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Settings" sheetId="2" state="visible" r:id="rId2"/>
    <sheet xmlns:r="http://schemas.openxmlformats.org/officeDocument/2006/relationships" name="Employees" sheetId="3" state="visible" r:id="rId3"/>
    <sheet xmlns:r="http://schemas.openxmlformats.org/officeDocument/2006/relationships" name="Hours Worked" sheetId="4" state="visible" r:id="rId4"/>
    <sheet xmlns:r="http://schemas.openxmlformats.org/officeDocument/2006/relationships" name="Time Off Log" sheetId="5" state="visible" r:id="rId5"/>
    <sheet xmlns:r="http://schemas.openxmlformats.org/officeDocument/2006/relationships" name="Balances" sheetId="6" state="visible" r:id="rId6"/>
    <sheet xmlns:r="http://schemas.openxmlformats.org/officeDocument/2006/relationships" name="Planner" sheetId="7" state="visible" r:id="rId7"/>
    <sheet xmlns:r="http://schemas.openxmlformats.org/officeDocument/2006/relationships" name="Team Calendar" sheetId="8" state="visible" r:id="rId8"/>
    <sheet xmlns:r="http://schemas.openxmlformats.org/officeDocument/2006/relationships" name="Holidays" sheetId="9" state="visible" r:id="rId9"/>
    <sheet xmlns:r="http://schemas.openxmlformats.org/officeDocument/2006/relationships" name="Periods" sheetId="10" state="visible" r:id="rId10"/>
    <sheet xmlns:r="http://schemas.openxmlformats.org/officeDocument/2006/relationships" name="Ledger" sheetId="11" state="visible" r:id="rId11"/>
  </sheets>
  <definedNames>
    <definedName name="_xlnm.Print_Area" localSheetId="0">'Start Here'!$A$1:$B$24</definedName>
    <definedName name="_xlnm.Print_Area" localSheetId="1">'Settings'!$A$1:$E$19</definedName>
    <definedName name="_xlnm.Print_Area" localSheetId="2">'Employees'!$A$1:$W$29</definedName>
    <definedName name="_xlnm.Print_Area" localSheetId="3">'Hours Worked'!$A$1:$BD$29</definedName>
    <definedName name="_xlnm.Print_Area" localSheetId="4">'Time Off Log'!$A$1:$J$34</definedName>
    <definedName name="_xlnm.Print_Area" localSheetId="5">'Balances'!$A$1:$P$31</definedName>
    <definedName name="_xlnm.Print_Area" localSheetId="6">'Planner'!$A$1:$B$20</definedName>
    <definedName name="_xlnm.Print_Area" localSheetId="7">'Team Calendar'!$A$1:$AG$33</definedName>
    <definedName name="_xlnm.Print_Area" localSheetId="8">'Holidays'!$A$1:$B$40</definedName>
    <definedName name="_xlnm.Print_Area" localSheetId="9">'Periods'!$A$1:$F$57</definedName>
    <definedName name="_xlnm._FilterDatabase" localSheetId="10" hidden="1">'Ledger'!$A$4:$V$1329</definedName>
    <definedName name="_xlnm.Print_Area" localSheetId="10">'Ledger'!$A$1:$V$57</definedName>
  </definedNames>
  <calcPr calcId="124519" fullCalcOnLoad="1"/>
</workbook>
</file>

<file path=xl/styles.xml><?xml version="1.0" encoding="utf-8"?>
<styleSheet xmlns="http://schemas.openxmlformats.org/spreadsheetml/2006/main">
  <numFmts count="10">
    <numFmt numFmtId="164" formatCode="yyyy-mm-dd"/>
    <numFmt numFmtId="165" formatCode="mmm d, yyyy"/>
    <numFmt numFmtId="166" formatCode="0.##"/>
    <numFmt numFmtId="167" formatCode="$#,##0.00"/>
    <numFmt numFmtId="168" formatCode="0.0000"/>
    <numFmt numFmtId="169" formatCode="m/d"/>
    <numFmt numFmtId="170" formatCode="0.0"/>
    <numFmt numFmtId="171" formatCode="mmmm yyyy"/>
    <numFmt numFmtId="172" formatCode="d"/>
    <numFmt numFmtId="173" formatCode="ddd, mmm d, yyyy"/>
  </numFmts>
  <fonts count="18">
    <font>
      <name val="Calibri"/>
      <family val="2"/>
      <color theme="1"/>
      <sz val="11"/>
      <scheme val="minor"/>
    </font>
    <font>
      <name val="Arial"/>
      <b val="1"/>
      <color rgb="001F4E5F"/>
      <sz val="16"/>
    </font>
    <font>
      <name val="Arial"/>
      <i val="1"/>
      <color rgb="005A6B70"/>
      <sz val="9"/>
    </font>
    <font>
      <name val="Arial"/>
      <b val="1"/>
      <color rgb="002E6F82"/>
      <sz val="11"/>
    </font>
    <font>
      <name val="Arial"/>
      <b val="1"/>
      <sz val="10"/>
    </font>
    <font>
      <name val="Arial"/>
      <sz val="10"/>
    </font>
    <font>
      <name val="Arial"/>
      <b val="1"/>
      <color rgb="00FFFFFF"/>
      <sz val="10"/>
    </font>
    <font>
      <name val="Arial"/>
      <b val="1"/>
      <color rgb="002E6F82"/>
    </font>
    <font>
      <name val="Arial"/>
      <i val="1"/>
      <sz val="9"/>
    </font>
    <font>
      <name val="Arial"/>
      <sz val="8"/>
    </font>
    <font>
      <name val="Arial"/>
      <b val="1"/>
      <color rgb="001F4E5F"/>
      <sz val="11"/>
    </font>
    <font>
      <name val="Arial"/>
      <b val="1"/>
    </font>
    <font>
      <name val="Arial"/>
      <b val="1"/>
      <sz val="12"/>
    </font>
    <font>
      <name val="Arial"/>
      <b val="1"/>
      <color rgb="001F4E5F"/>
    </font>
    <font>
      <color rgb="00FFFFFF"/>
      <sz val="6"/>
    </font>
    <font>
      <name val="Arial"/>
      <b val="1"/>
      <color rgb="00FFFFFF"/>
    </font>
    <font>
      <name val="Arial"/>
      <b val="1"/>
      <sz val="9"/>
    </font>
    <font>
      <name val="Arial"/>
      <sz val="9"/>
    </font>
  </fonts>
  <fills count="5">
    <fill>
      <patternFill/>
    </fill>
    <fill>
      <patternFill patternType="gray125"/>
    </fill>
    <fill>
      <patternFill patternType="solid">
        <fgColor rgb="00FFF7D6"/>
      </patternFill>
    </fill>
    <fill>
      <patternFill patternType="solid">
        <fgColor rgb="00F3F6F7"/>
      </patternFill>
    </fill>
    <fill>
      <patternFill patternType="solid">
        <fgColor rgb="001F4E5F"/>
      </patternFill>
    </fill>
  </fills>
  <borders count="6">
    <border>
      <left/>
      <right/>
      <top/>
      <bottom/>
      <diagonal/>
    </border>
    <border>
      <left style="thin">
        <color rgb="00C9D3D6"/>
      </left>
      <right style="thin">
        <color rgb="00C9D3D6"/>
      </right>
      <top style="thin">
        <color rgb="00C9D3D6"/>
      </top>
      <bottom style="thin">
        <color rgb="00C9D3D6"/>
      </bottom>
    </border>
    <border>
      <left/>
      <right/>
      <top style="thin">
        <color rgb="00C9D3D6"/>
      </top>
      <bottom/>
      <diagonal/>
    </border>
    <border>
      <left/>
      <right style="thin">
        <color rgb="00C9D3D6"/>
      </right>
      <top style="thin">
        <color rgb="00C9D3D6"/>
      </top>
      <bottom/>
      <diagonal/>
    </border>
    <border>
      <left/>
      <right/>
      <top style="thin">
        <color rgb="00C9D3D6"/>
      </top>
      <bottom style="thin">
        <color rgb="00C9D3D6"/>
      </bottom>
      <diagonal/>
    </border>
    <border>
      <left/>
      <right style="thin">
        <color rgb="00C9D3D6"/>
      </right>
      <top style="thin">
        <color rgb="00C9D3D6"/>
      </top>
      <bottom style="thin">
        <color rgb="00C9D3D6"/>
      </bottom>
      <diagonal/>
    </border>
  </borders>
  <cellStyleXfs count="1">
    <xf numFmtId="0" fontId="0" fillId="0" borderId="0"/>
  </cellStyleXfs>
  <cellXfs count="5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xf>
    <xf numFmtId="0" fontId="5" fillId="0" borderId="0" applyAlignment="1" pivotButton="0" quotePrefix="0" xfId="0">
      <alignment vertical="top" wrapText="1"/>
    </xf>
    <xf numFmtId="0" fontId="4" fillId="2" borderId="0" applyAlignment="1" pivotButton="0" quotePrefix="0" xfId="0">
      <alignment vertical="top"/>
    </xf>
    <xf numFmtId="0" fontId="4" fillId="3" borderId="0" applyAlignment="1" pivotButton="0" quotePrefix="0" xfId="0">
      <alignment vertical="top"/>
    </xf>
    <xf numFmtId="0" fontId="6" fillId="4" borderId="1" applyAlignment="1" pivotButton="0" quotePrefix="0" xfId="0">
      <alignment horizontal="center" vertical="center" wrapText="1"/>
    </xf>
    <xf numFmtId="0" fontId="5" fillId="0" borderId="1" pivotButton="0" quotePrefix="0" xfId="0"/>
    <xf numFmtId="0" fontId="5" fillId="2" borderId="1" pivotButton="0" quotePrefix="0" xfId="0"/>
    <xf numFmtId="166" fontId="5" fillId="2" borderId="1" pivotButton="0" quotePrefix="0" xfId="0"/>
    <xf numFmtId="165" fontId="5" fillId="2" borderId="1" pivotButton="0" quotePrefix="0" xfId="0"/>
    <xf numFmtId="0" fontId="2" fillId="0" borderId="0" applyAlignment="1" pivotButton="0" quotePrefix="0" xfId="0">
      <alignment vertical="top" wrapText="1"/>
    </xf>
    <xf numFmtId="0" fontId="7" fillId="0" borderId="0" pivotButton="0" quotePrefix="0" xfId="0"/>
    <xf numFmtId="165" fontId="5" fillId="3" borderId="1" pivotButton="0" quotePrefix="0" xfId="0"/>
    <xf numFmtId="1" fontId="5" fillId="3" borderId="1" pivotButton="0" quotePrefix="0" xfId="0"/>
    <xf numFmtId="0" fontId="5" fillId="3" borderId="1" applyAlignment="1" pivotButton="0" quotePrefix="0" xfId="0">
      <alignment horizontal="center"/>
    </xf>
    <xf numFmtId="167" fontId="5" fillId="2" borderId="1" pivotButton="0" quotePrefix="0" xfId="0"/>
    <xf numFmtId="168" fontId="5" fillId="2" borderId="1" pivotButton="0" quotePrefix="0" xfId="0"/>
    <xf numFmtId="166" fontId="5" fillId="3" borderId="1" pivotButton="0" quotePrefix="0" xfId="0"/>
    <xf numFmtId="0" fontId="0" fillId="3" borderId="0" pivotButton="0" quotePrefix="0" xfId="0"/>
    <xf numFmtId="0" fontId="8" fillId="0" borderId="0" pivotButton="0" quotePrefix="0" xfId="0"/>
    <xf numFmtId="169" fontId="9" fillId="3" borderId="0" applyAlignment="1" pivotButton="0" quotePrefix="0" xfId="0">
      <alignment horizontal="center"/>
    </xf>
    <xf numFmtId="0" fontId="5" fillId="3" borderId="1" pivotButton="0" quotePrefix="0" xfId="0"/>
    <xf numFmtId="166" fontId="5" fillId="2" borderId="1" applyAlignment="1" pivotButton="0" quotePrefix="0" xfId="0">
      <alignment horizontal="center"/>
    </xf>
    <xf numFmtId="2" fontId="5" fillId="3" borderId="1" pivotButton="0" quotePrefix="0" xfId="0"/>
    <xf numFmtId="2" fontId="10" fillId="3" borderId="1" pivotButton="0" quotePrefix="0" xfId="0"/>
    <xf numFmtId="170" fontId="5" fillId="3" borderId="1" pivotButton="0" quotePrefix="0" xfId="0"/>
    <xf numFmtId="167" fontId="5" fillId="3" borderId="1" pivotButton="0" quotePrefix="0" xfId="0"/>
    <xf numFmtId="0" fontId="11" fillId="0" borderId="0" pivotButton="0" quotePrefix="0" xfId="0"/>
    <xf numFmtId="2" fontId="11" fillId="0" borderId="1" pivotButton="0" quotePrefix="0" xfId="0"/>
    <xf numFmtId="167" fontId="11" fillId="0" borderId="1" pivotButton="0" quotePrefix="0" xfId="0"/>
    <xf numFmtId="0" fontId="12" fillId="0" borderId="0" pivotButton="0" quotePrefix="0" xfId="0"/>
    <xf numFmtId="0" fontId="12" fillId="0" borderId="1" pivotButton="0" quotePrefix="0" xfId="0"/>
    <xf numFmtId="0" fontId="11" fillId="0" borderId="0" applyAlignment="1" pivotButton="0" quotePrefix="0" xfId="0">
      <alignment horizontal="right"/>
    </xf>
    <xf numFmtId="171" fontId="13" fillId="2" borderId="1" applyAlignment="1" pivotButton="0" quotePrefix="0" xfId="0">
      <alignment horizontal="center"/>
    </xf>
    <xf numFmtId="0" fontId="0" fillId="0" borderId="4" pivotButton="0" quotePrefix="0" xfId="0"/>
    <xf numFmtId="0" fontId="0" fillId="0" borderId="5" pivotButton="0" quotePrefix="0" xfId="0"/>
    <xf numFmtId="165" fontId="14" fillId="0" borderId="0" pivotButton="0" quotePrefix="0" xfId="0"/>
    <xf numFmtId="0" fontId="0" fillId="4" borderId="0" pivotButton="0" quotePrefix="0" xfId="0"/>
    <xf numFmtId="0" fontId="15" fillId="4" borderId="0" pivotButton="0" quotePrefix="0" xfId="0"/>
    <xf numFmtId="0" fontId="6" fillId="4" borderId="1" applyAlignment="1" pivotButton="0" quotePrefix="0" xfId="0">
      <alignment horizontal="center"/>
    </xf>
    <xf numFmtId="172" fontId="6" fillId="4" borderId="1" applyAlignment="1" pivotButton="0" quotePrefix="0" xfId="0">
      <alignment horizontal="center"/>
    </xf>
    <xf numFmtId="0" fontId="16" fillId="0" borderId="1" applyAlignment="1" pivotButton="0" quotePrefix="0" xfId="0">
      <alignment horizontal="center"/>
    </xf>
    <xf numFmtId="0" fontId="16" fillId="3" borderId="1" applyAlignment="1" pivotButton="0" quotePrefix="0" xfId="0">
      <alignment horizontal="center"/>
    </xf>
    <xf numFmtId="173" fontId="5" fillId="2" borderId="1" pivotButton="0" quotePrefix="0" xfId="0"/>
    <xf numFmtId="1" fontId="17" fillId="0" borderId="0" pivotButton="0" quotePrefix="0" xfId="0"/>
    <xf numFmtId="2" fontId="17" fillId="0" borderId="0" pivotButton="0" quotePrefix="0" xfId="0"/>
    <xf numFmtId="165" fontId="17" fillId="0" borderId="0" pivotButton="0" quotePrefix="0" xfId="0"/>
    <xf numFmtId="1" fontId="17" fillId="3" borderId="0" pivotButton="0" quotePrefix="0" xfId="0"/>
    <xf numFmtId="2" fontId="17" fillId="3" borderId="0" pivotButton="0" quotePrefix="0" xfId="0"/>
    <xf numFmtId="165" fontId="17" fillId="3" borderId="0" pivotButton="0" quotePrefix="0" xfId="0"/>
  </cellXfs>
  <cellStyles count="1">
    <cellStyle name="Normal" xfId="0" builtinId="0" hidden="0"/>
  </cellStyles>
  <dxfs count="15">
    <dxf>
      <font>
        <i val="1"/>
        <color rgb="009C6500"/>
      </font>
    </dxf>
    <dxf>
      <font>
        <strike val="1"/>
        <color rgb="009AA5A8"/>
      </font>
    </dxf>
    <dxf>
      <fill>
        <patternFill patternType="solid">
          <fgColor rgb="00F8C9C4"/>
        </patternFill>
      </fill>
    </dxf>
    <dxf>
      <font>
        <b val="1"/>
        <color rgb="008B1A10"/>
      </font>
      <fill>
        <patternFill patternType="solid">
          <fgColor rgb="00F8C9C4"/>
        </patternFill>
      </fill>
    </dxf>
    <dxf>
      <font>
        <b val="1"/>
        <color rgb="008A4B00"/>
      </font>
      <fill>
        <patternFill patternType="solid">
          <fgColor rgb="00FCE3C4"/>
        </patternFill>
      </fill>
    </dxf>
    <dxf>
      <font>
        <b val="1"/>
        <color rgb="001D6B3A"/>
      </font>
      <fill>
        <patternFill patternType="solid">
          <fgColor rgb="00D5EDDF"/>
        </patternFill>
      </fill>
    </dxf>
    <dxf>
      <font>
        <b val="1"/>
        <color rgb="00B5530B"/>
      </font>
    </dxf>
    <dxf>
      <font>
        <b val="1"/>
        <color rgb="001D6B3A"/>
        <sz val="12"/>
      </font>
      <fill>
        <patternFill patternType="solid">
          <fgColor rgb="00D5EDDF"/>
        </patternFill>
      </fill>
    </dxf>
    <dxf>
      <font>
        <b val="1"/>
        <color rgb="008B1A10"/>
        <sz val="12"/>
      </font>
      <fill>
        <patternFill patternType="solid">
          <fgColor rgb="00F8C9C4"/>
        </patternFill>
      </fill>
    </dxf>
    <dxf>
      <font>
        <b val="1"/>
        <color rgb="000F4D2A"/>
      </font>
      <fill>
        <patternFill patternType="solid">
          <fgColor rgb="009ED9B8"/>
        </patternFill>
      </fill>
    </dxf>
    <dxf>
      <font>
        <b val="1"/>
        <color rgb="006B3300"/>
      </font>
      <fill>
        <patternFill patternType="solid">
          <fgColor rgb="00F7C08A"/>
        </patternFill>
      </fill>
    </dxf>
    <dxf>
      <font>
        <b val="1"/>
        <color rgb="0034474D"/>
      </font>
      <fill>
        <patternFill patternType="solid">
          <fgColor rgb="00C9D3D6"/>
        </patternFill>
      </fill>
    </dxf>
    <dxf>
      <font>
        <b val="1"/>
        <color rgb="007A5A00"/>
      </font>
      <fill>
        <patternFill patternType="solid">
          <fgColor rgb="00FFF2B3"/>
        </patternFill>
      </fill>
    </dxf>
    <dxf>
      <fill>
        <patternFill patternType="solid">
          <fgColor rgb="00E4E9EA"/>
        </patternFill>
      </fill>
    </dxf>
    <dxf>
      <font>
        <color rgb="00B8C2C5"/>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23"/>
  <sheetViews>
    <sheetView showGridLines="0" workbookViewId="0">
      <selection activeCell="A1" sqref="A1"/>
    </sheetView>
  </sheetViews>
  <sheetFormatPr baseColWidth="8" defaultRowHeight="15"/>
  <cols>
    <col width="18" customWidth="1" min="1" max="1"/>
    <col width="100" customWidth="1" min="2" max="2"/>
  </cols>
  <sheetData>
    <row r="1">
      <c r="A1" s="1" t="inlineStr">
        <is>
          <t>PTO &amp; Sick Leave Ledger</t>
        </is>
      </c>
    </row>
    <row r="2">
      <c r="A2" s="2" t="inlineStr">
        <is>
          <t>Pay-period accrual tracker for small teams · free from Tidewick · formulas only, no macros · tested in LibreOffice Calc</t>
        </is>
      </c>
    </row>
    <row r="4">
      <c r="A4" s="3" t="inlineStr">
        <is>
          <t>HOW IT WORKS</t>
        </is>
      </c>
    </row>
    <row r="5" ht="30" customHeight="1">
      <c r="A5" s="4" t="inlineStr">
        <is>
          <t>1. Settings</t>
        </is>
      </c>
      <c r="B5" s="5" t="inlineStr">
        <is>
          <t>Enter your plan year start, pay frequency, first period end date and default hours per workday. Add tenure tiers if your policy gives more PTO with seniority.</t>
        </is>
      </c>
    </row>
    <row r="6" ht="30" customHeight="1">
      <c r="A6" s="4" t="inlineStr">
        <is>
          <t>2. Employees</t>
        </is>
      </c>
      <c r="B6" s="5" t="inlineStr">
        <is>
          <t>One row per person (up to 25). Pick an accrual method for PTO and for sick leave: Per pay period, Per hour worked, or Front-loaded. Add caps, carryover limits and opening balances.</t>
        </is>
      </c>
    </row>
    <row r="7" ht="30" customHeight="1">
      <c r="A7" s="4" t="inlineStr">
        <is>
          <t>3. Hours Worked</t>
        </is>
      </c>
      <c r="B7" s="5" t="inlineStr">
        <is>
          <t>Only needed for 'Per hour worked' employees. Type hours for each pay period; blank cells use the employee's standard hours.</t>
        </is>
      </c>
    </row>
    <row r="8" ht="30" customHeight="1">
      <c r="A8" s="4" t="inlineStr">
        <is>
          <t>4. Time Off Log</t>
        </is>
      </c>
      <c r="B8" s="5" t="inlineStr">
        <is>
          <t>Log each absence: employee, type, first and last day, status. Workdays (skipping weekends and holidays) and hours charged fill in for you. Only 'Approved' rows are deducted.</t>
        </is>
      </c>
    </row>
    <row r="9" ht="30" customHeight="1">
      <c r="A9" s="4" t="inlineStr">
        <is>
          <t>5. Balances</t>
        </is>
      </c>
      <c r="B9" s="5" t="inlineStr">
        <is>
          <t>Live dashboard: balance as of the last payday, earned and used year-to-date, hours lost to the cap, projected year-end balance, carryover and liability in $.</t>
        </is>
      </c>
    </row>
    <row r="10" ht="30" customHeight="1">
      <c r="A10" s="4" t="inlineStr">
        <is>
          <t>6. Planner</t>
        </is>
      </c>
      <c r="B10" s="5" t="inlineStr">
        <is>
          <t>Check a request before approving it: pick the employee and dates and see whether the balance stays above zero for the rest of the year.</t>
        </is>
      </c>
    </row>
    <row r="11" ht="30" customHeight="1">
      <c r="A11" s="4" t="inlineStr">
        <is>
          <t>7. Team Calendar</t>
        </is>
      </c>
      <c r="B11" s="5" t="inlineStr">
        <is>
          <t>Pick a month to see who is out each day, with a daily head-count and an alert when coverage drops below your minimum.</t>
        </is>
      </c>
    </row>
    <row r="12">
      <c r="A12" s="3" t="inlineStr"/>
    </row>
    <row r="13">
      <c r="A13" s="3" t="inlineStr">
        <is>
          <t>CELL COLOURS</t>
        </is>
      </c>
    </row>
    <row r="14" ht="15" customHeight="1">
      <c r="A14" s="6" t="inlineStr">
        <is>
          <t>Pale yellow</t>
        </is>
      </c>
      <c r="B14" s="5" t="inlineStr">
        <is>
          <t>Your inputs. Type here.</t>
        </is>
      </c>
    </row>
    <row r="15" ht="45" customHeight="1">
      <c r="A15" s="7" t="inlineStr">
        <is>
          <t>Light grey</t>
        </is>
      </c>
      <c r="B15" s="5" t="inlineStr">
        <is>
          <t>Calculated. Don't type over these; the Ledger, Periods and Balances sheets are protected without a password; turn protection off from your spreadsheet app's sheet-protection command (LibreOffice: Tools &gt; Protect Sheet) if you need to edit them.</t>
        </is>
      </c>
    </row>
    <row r="16">
      <c r="A16" s="3" t="inlineStr"/>
    </row>
    <row r="17">
      <c r="A17" s="3" t="inlineStr">
        <is>
          <t>HOW THE CAP WORKS</t>
        </is>
      </c>
    </row>
    <row r="18" ht="60" customHeight="1">
      <c r="A18" s="4" t="inlineStr">
        <is>
          <t>Ledger logic</t>
        </is>
      </c>
      <c r="B18" s="5" t="inlineStr">
        <is>
          <t>Each pay period: start balance − approved leave + accrual. If a maximum balance is set, accrual only fills up to the cap and the rest is shown as 'lost to cap'. As soon as leave brings the balance down, accrual resumes. This is how payroll systems handle caps, and it's the part most simple trackers get wrong.</t>
        </is>
      </c>
    </row>
    <row r="19">
      <c r="A19" s="3" t="inlineStr"/>
    </row>
    <row r="20">
      <c r="A20" s="3" t="inlineStr">
        <is>
          <t>GOOD TO KNOW</t>
        </is>
      </c>
    </row>
    <row r="21" ht="45" customHeight="1">
      <c r="A21" s="4" t="inlineStr">
        <is>
          <t>Leave dates</t>
        </is>
      </c>
      <c r="B21" s="5" t="inlineStr">
        <is>
          <t>Leave is charged in the pay period that contains its FIRST day. Leave dated outside the plan year isn't counted; start a new copy for each plan year and enter year-end balances as opening balances.</t>
        </is>
      </c>
    </row>
    <row r="22" ht="15" customHeight="1">
      <c r="A22" s="4" t="inlineStr">
        <is>
          <t>Pending requests</t>
        </is>
      </c>
      <c r="B22" s="5" t="inlineStr">
        <is>
          <t>Pending and Denied rows are never deducted. Pending rows appear as '?' on the Team Calendar.</t>
        </is>
      </c>
    </row>
    <row r="23" ht="45" customHeight="1">
      <c r="A23" s="4" t="inlineStr">
        <is>
          <t>Disclaimer</t>
        </is>
      </c>
      <c r="B23" s="5" t="inlineStr">
        <is>
          <t>This is a record-keeping tool, not legal or payroll advice. Leave laws vary by country, state and city (for example, some places limit forfeiture of earned vacation or set minimum sick-leave accrual). Check your local rules and your written policy.</t>
        </is>
      </c>
    </row>
  </sheetData>
  <printOptions horizontalCentered="1"/>
  <pageMargins left="0.4" right="0.4" top="0.5" bottom="0.5" header="0.5" footer="0.5"/>
  <pageSetup orientation="landscape" paperSize="1" fitToHeight="1" fitToWidth="1"/>
</worksheet>
</file>

<file path=xl/worksheets/sheet2.xml><?xml version="1.0" encoding="utf-8"?>
<worksheet xmlns="http://schemas.openxmlformats.org/spreadsheetml/2006/main">
  <sheetPr>
    <outlinePr summaryBelow="1" summaryRight="1"/>
    <pageSetUpPr fitToPage="1"/>
  </sheetPr>
  <dimension ref="A1:E19"/>
  <sheetViews>
    <sheetView showGridLines="0" workbookViewId="0">
      <selection activeCell="A1" sqref="A1"/>
    </sheetView>
  </sheetViews>
  <sheetFormatPr baseColWidth="8" defaultRowHeight="15"/>
  <cols>
    <col width="44" customWidth="1" min="1" max="1"/>
    <col width="26" customWidth="1" min="2" max="2"/>
    <col width="3" customWidth="1" min="3" max="3"/>
    <col width="30" customWidth="1" min="4" max="4"/>
    <col width="26" customWidth="1" min="5" max="5"/>
  </cols>
  <sheetData>
    <row r="1">
      <c r="A1" s="1" t="inlineStr">
        <is>
          <t>Settings</t>
        </is>
      </c>
    </row>
    <row r="2">
      <c r="A2" s="2" t="inlineStr">
        <is>
          <t>Yellow cells are inputs. Everything else calculates.</t>
        </is>
      </c>
    </row>
    <row r="3" ht="32" customHeight="1">
      <c r="A3" s="8" t="inlineStr">
        <is>
          <t>Setting</t>
        </is>
      </c>
      <c r="B3" s="8" t="inlineStr">
        <is>
          <t>Value</t>
        </is>
      </c>
      <c r="D3" s="8" t="inlineStr">
        <is>
          <t>Tenure tiers: years of service (at least)</t>
        </is>
      </c>
      <c r="E3" s="8" t="inlineStr">
        <is>
          <t>Extra PTO hours per year</t>
        </is>
      </c>
    </row>
    <row r="4">
      <c r="A4" s="9" t="inlineStr">
        <is>
          <t>Company / team name</t>
        </is>
      </c>
      <c r="B4" s="10" t="inlineStr">
        <is>
          <t>Maple Lane Studio (sample)</t>
        </is>
      </c>
      <c r="D4" s="11" t="n">
        <v>0</v>
      </c>
      <c r="E4" s="11" t="n">
        <v>0</v>
      </c>
    </row>
    <row r="5">
      <c r="A5" s="9" t="inlineStr">
        <is>
          <t>Plan year start date</t>
        </is>
      </c>
      <c r="B5" s="12" t="n">
        <v>46023</v>
      </c>
      <c r="D5" s="11" t="n">
        <v>2</v>
      </c>
      <c r="E5" s="11" t="n">
        <v>16</v>
      </c>
    </row>
    <row r="6">
      <c r="A6" s="9" t="inlineStr">
        <is>
          <t>Pay frequency</t>
        </is>
      </c>
      <c r="B6" s="10" t="inlineStr">
        <is>
          <t>Biweekly</t>
        </is>
      </c>
      <c r="D6" s="11" t="n">
        <v>5</v>
      </c>
      <c r="E6" s="11" t="n">
        <v>40</v>
      </c>
    </row>
    <row r="7">
      <c r="A7" s="9" t="inlineStr">
        <is>
          <t>First pay period END date (weekly/biweekly)</t>
        </is>
      </c>
      <c r="B7" s="12" t="n">
        <v>46031</v>
      </c>
      <c r="D7" s="11" t="n"/>
      <c r="E7" s="11" t="n"/>
    </row>
    <row r="8">
      <c r="A8" s="9" t="inlineStr">
        <is>
          <t>Balances as of (default: today)</t>
        </is>
      </c>
      <c r="B8" s="12">
        <f>TODAY()</f>
        <v/>
      </c>
      <c r="D8" s="11" t="n"/>
      <c r="E8" s="11" t="n"/>
    </row>
    <row r="9">
      <c r="A9" s="9" t="inlineStr">
        <is>
          <t>Default hours per workday</t>
        </is>
      </c>
      <c r="B9" s="10" t="n">
        <v>8</v>
      </c>
      <c r="D9" s="11" t="n"/>
      <c r="E9" s="11" t="n"/>
    </row>
    <row r="10">
      <c r="A10" s="9" t="inlineStr">
        <is>
          <t>Minimum staff on duty (for calendar alert)</t>
        </is>
      </c>
      <c r="B10" s="10" t="n">
        <v>5</v>
      </c>
      <c r="D10" s="13" t="inlineStr">
        <is>
          <t>Keep years in ascending order. Applies to employees with 'Tenure tiers = Yes' (Per pay period and Front-loaded methods). The bonus starts in the first pay period after the work anniversary.</t>
        </is>
      </c>
    </row>
    <row r="11">
      <c r="A11" s="14" t="inlineStr">
        <is>
          <t>Calculated</t>
        </is>
      </c>
    </row>
    <row r="12">
      <c r="A12" s="9" t="inlineStr">
        <is>
          <t>Plan year end date</t>
        </is>
      </c>
      <c r="B12" s="15">
        <f>EDATE(B5,12)-1</f>
        <v/>
      </c>
    </row>
    <row r="13">
      <c r="A13" s="9" t="inlineStr">
        <is>
          <t>Pay periods per year (for accrual rate)</t>
        </is>
      </c>
      <c r="B13" s="16">
        <f>IF(B6="Weekly",52,IF(B6="Biweekly",26,IF(B6="Semi-monthly",24,12)))</f>
        <v/>
      </c>
    </row>
    <row r="14">
      <c r="A14" s="9" t="inlineStr">
        <is>
          <t>Ledger periods available</t>
        </is>
      </c>
      <c r="B14" s="16">
        <f>IF(B6="Weekly",53,IF(B6="Biweekly",27,B13))</f>
        <v/>
      </c>
    </row>
    <row r="15">
      <c r="A15" s="9" t="inlineStr">
        <is>
          <t>Last completed pay period (as of date)</t>
        </is>
      </c>
      <c r="B15" s="16">
        <f>COUNTIFS(Periods!$C$5:$C$57,"&lt;="&amp;B8,Periods!$D$5:$D$57,1)</f>
        <v/>
      </c>
    </row>
    <row r="16">
      <c r="A16" s="9" t="inlineStr">
        <is>
          <t>Pay periods in this plan year</t>
        </is>
      </c>
      <c r="B16" s="16">
        <f>COUNTIF(Periods!$D$5:$D$57,1)</f>
        <v/>
      </c>
    </row>
    <row r="17">
      <c r="A17" s="9" t="inlineStr">
        <is>
          <t>Last completed payday</t>
        </is>
      </c>
      <c r="B17" s="15">
        <f>IF(B15=0,"none yet",INDEX(Periods!$C$5:$C$57,B15))</f>
        <v/>
      </c>
    </row>
    <row r="19">
      <c r="A19" s="2" t="inlineStr">
        <is>
          <t>Semi-monthly periods end on the 15th and the last day of each month; monthly periods end on the last day of each month (plan year should start on the 1st).</t>
        </is>
      </c>
    </row>
  </sheetData>
  <mergeCells count="1">
    <mergeCell ref="D10:E13"/>
  </mergeCells>
  <dataValidations count="2">
    <dataValidation sqref="B6" showDropDown="0" showInputMessage="0" showErrorMessage="0" allowBlank="0" type="list">
      <formula1>"Weekly,Biweekly,Semi-monthly,Monthly"</formula1>
    </dataValidation>
    <dataValidation sqref="B5 B7 B8" showDropDown="0" showInputMessage="0" showErrorMessage="0" allowBlank="0" type="date" operator="greaterThan">
      <formula1>36526</formula1>
    </dataValidation>
  </dataValidations>
  <printOptions horizontalCentered="1"/>
  <pageMargins left="0.4" right="0.4" top="0.5" bottom="0.5" header="0.5" footer="0.5"/>
  <pageSetup orientation="landscape" paperSize="1" fitToHeight="1" fitToWidth="1"/>
</worksheet>
</file>

<file path=xl/worksheets/sheet3.xml><?xml version="1.0" encoding="utf-8"?>
<worksheet xmlns="http://schemas.openxmlformats.org/spreadsheetml/2006/main">
  <sheetPr>
    <outlinePr summaryBelow="1" summaryRight="1"/>
    <pageSetUpPr fitToPage="1"/>
  </sheetPr>
  <dimension ref="A1:W31"/>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4" customWidth="1" min="1" max="1"/>
    <col width="18" customWidth="1" min="2" max="2"/>
    <col width="15" customWidth="1" min="3" max="3"/>
    <col width="12" customWidth="1" min="4" max="4"/>
    <col width="11" customWidth="1" min="5" max="5"/>
    <col width="10" customWidth="1" min="6" max="6"/>
    <col width="9" customWidth="1" min="7" max="7"/>
    <col width="10" customWidth="1" min="8" max="8"/>
    <col width="15" customWidth="1" min="9" max="9"/>
    <col width="9" customWidth="1" min="10" max="10"/>
    <col width="10" customWidth="1" min="11" max="11"/>
    <col width="9" customWidth="1" min="12" max="12"/>
    <col width="10" customWidth="1" min="13" max="13"/>
    <col width="10" customWidth="1" min="14" max="14"/>
    <col width="8" customWidth="1" min="15" max="15"/>
    <col width="15" customWidth="1" min="16" max="16"/>
    <col width="9" customWidth="1" min="17" max="17"/>
    <col width="10" customWidth="1" min="18" max="18"/>
    <col width="9" customWidth="1" min="19" max="19"/>
    <col width="10" customWidth="1" min="20" max="20"/>
    <col width="10" customWidth="1" min="21" max="21"/>
    <col width="9" customWidth="1" min="22" max="22"/>
    <col width="11" customWidth="1" min="23" max="23"/>
  </cols>
  <sheetData>
    <row r="1">
      <c r="A1" s="1" t="inlineStr">
        <is>
          <t>Employees &amp; leave policies</t>
        </is>
      </c>
    </row>
    <row r="2">
      <c r="A2" s="2" t="inlineStr">
        <is>
          <t>One row per person. Methods: Per pay period · Per hour worked · Front-loaded. Leave a cap blank for no cap.</t>
        </is>
      </c>
    </row>
    <row r="4" ht="58" customHeight="1">
      <c r="A4" s="8" t="inlineStr">
        <is>
          <t>#</t>
        </is>
      </c>
      <c r="B4" s="8" t="inlineStr">
        <is>
          <t>Employee name</t>
        </is>
      </c>
      <c r="C4" s="8" t="inlineStr">
        <is>
          <t>Department</t>
        </is>
      </c>
      <c r="D4" s="8" t="inlineStr">
        <is>
          <t>Hire date</t>
        </is>
      </c>
      <c r="E4" s="8" t="inlineStr">
        <is>
          <t>End date (if left)</t>
        </is>
      </c>
      <c r="F4" s="8" t="inlineStr">
        <is>
          <t>Hours per workday (blank = default)</t>
        </is>
      </c>
      <c r="G4" s="8" t="inlineStr">
        <is>
          <t>Hourly rate ($)</t>
        </is>
      </c>
      <c r="H4" s="8" t="inlineStr">
        <is>
          <t>Standard hours per pay period</t>
        </is>
      </c>
      <c r="I4" s="8" t="inlineStr">
        <is>
          <t>PTO accrual method</t>
        </is>
      </c>
      <c r="J4" s="8" t="inlineStr">
        <is>
          <t>PTO hours per year</t>
        </is>
      </c>
      <c r="K4" s="8" t="inlineStr">
        <is>
          <t>PTO hours per hour worked</t>
        </is>
      </c>
      <c r="L4" s="8" t="inlineStr">
        <is>
          <t>PTO max balance (cap)</t>
        </is>
      </c>
      <c r="M4" s="8" t="inlineStr">
        <is>
          <t>PTO carryover limit at year end</t>
        </is>
      </c>
      <c r="N4" s="8" t="inlineStr">
        <is>
          <t>PTO opening balance (hours)</t>
        </is>
      </c>
      <c r="O4" s="8" t="inlineStr">
        <is>
          <t>Tenure tiers? (Yes/No)</t>
        </is>
      </c>
      <c r="P4" s="8" t="inlineStr">
        <is>
          <t>Sick accrual method</t>
        </is>
      </c>
      <c r="Q4" s="8" t="inlineStr">
        <is>
          <t>Sick hours per year</t>
        </is>
      </c>
      <c r="R4" s="8" t="inlineStr">
        <is>
          <t>Sick hours per hour worked</t>
        </is>
      </c>
      <c r="S4" s="8" t="inlineStr">
        <is>
          <t>Sick max balance (cap)</t>
        </is>
      </c>
      <c r="T4" s="8" t="inlineStr">
        <is>
          <t>Sick opening balance (hours)</t>
        </is>
      </c>
      <c r="U4" s="8" t="inlineStr">
        <is>
          <t>Waiting period before accrual (days)</t>
        </is>
      </c>
      <c r="V4" s="8" t="inlineStr">
        <is>
          <t>Years of service (as of)</t>
        </is>
      </c>
      <c r="W4" s="8" t="inlineStr">
        <is>
          <t>Current PTO hours per year incl. tenure</t>
        </is>
      </c>
    </row>
    <row r="5">
      <c r="A5" s="17" t="n">
        <v>1</v>
      </c>
      <c r="B5" s="10" t="inlineStr">
        <is>
          <t>Amira Khan</t>
        </is>
      </c>
      <c r="C5" s="10" t="inlineStr">
        <is>
          <t>Front Desk</t>
        </is>
      </c>
      <c r="D5" s="12" t="n">
        <v>43528</v>
      </c>
      <c r="E5" s="12" t="n"/>
      <c r="F5" s="10" t="n">
        <v>8</v>
      </c>
      <c r="G5" s="18" t="n">
        <v>22</v>
      </c>
      <c r="H5" s="11" t="n">
        <v>80</v>
      </c>
      <c r="I5" s="10" t="inlineStr">
        <is>
          <t>Per pay period</t>
        </is>
      </c>
      <c r="J5" s="11" t="n">
        <v>80</v>
      </c>
      <c r="K5" s="19" t="n"/>
      <c r="L5" s="11" t="n">
        <v>120</v>
      </c>
      <c r="M5" s="11" t="n">
        <v>40</v>
      </c>
      <c r="N5" s="11" t="n">
        <v>24</v>
      </c>
      <c r="O5" s="10" t="inlineStr">
        <is>
          <t>Yes</t>
        </is>
      </c>
      <c r="P5" s="10" t="inlineStr">
        <is>
          <t>Per hour worked</t>
        </is>
      </c>
      <c r="Q5" s="11" t="n"/>
      <c r="R5" s="19" t="n">
        <v>0.0333</v>
      </c>
      <c r="S5" s="11" t="n">
        <v>80</v>
      </c>
      <c r="T5" s="11" t="n">
        <v>16</v>
      </c>
      <c r="U5" s="10" t="n">
        <v>0</v>
      </c>
      <c r="V5" s="20">
        <f>IF(OR(B5="",D5=""),"",IF(Settings!$B$8&lt;D5,0,DATEDIF(D5,Settings!$B$8,"y")))</f>
        <v/>
      </c>
      <c r="W5" s="20">
        <f>IF(B5="","",IF(I5="Per hour worked","n/a (hourly)",N(J5)+IF(AND(O5="Yes",V5&lt;&gt;""),IF(COUNTIF(Settings!$D$4:$D$9,"&lt;="&amp;V5)=0,0,INDEX(Settings!$E$4:$E$9,COUNTIF(Settings!$D$4:$D$9,"&lt;="&amp;V5))),0)))</f>
        <v/>
      </c>
    </row>
    <row r="6">
      <c r="A6" s="17" t="n">
        <v>2</v>
      </c>
      <c r="B6" s="10" t="inlineStr">
        <is>
          <t>Daniel Ortiz</t>
        </is>
      </c>
      <c r="C6" s="10" t="inlineStr">
        <is>
          <t>Operations</t>
        </is>
      </c>
      <c r="D6" s="12" t="n">
        <v>45460</v>
      </c>
      <c r="E6" s="12" t="n"/>
      <c r="F6" s="10" t="n">
        <v>8</v>
      </c>
      <c r="G6" s="18" t="n">
        <v>26</v>
      </c>
      <c r="H6" s="11" t="n">
        <v>80</v>
      </c>
      <c r="I6" s="10" t="inlineStr">
        <is>
          <t>Per pay period</t>
        </is>
      </c>
      <c r="J6" s="11" t="n">
        <v>80</v>
      </c>
      <c r="K6" s="19" t="n"/>
      <c r="L6" s="11" t="n">
        <v>120</v>
      </c>
      <c r="M6" s="11" t="n">
        <v>80</v>
      </c>
      <c r="N6" s="11" t="n">
        <v>8</v>
      </c>
      <c r="O6" s="10" t="inlineStr">
        <is>
          <t>Yes</t>
        </is>
      </c>
      <c r="P6" s="10" t="inlineStr">
        <is>
          <t>Per pay period</t>
        </is>
      </c>
      <c r="Q6" s="11" t="n">
        <v>40</v>
      </c>
      <c r="R6" s="19" t="n"/>
      <c r="S6" s="11" t="n">
        <v>80</v>
      </c>
      <c r="T6" s="11" t="n">
        <v>10</v>
      </c>
      <c r="U6" s="10" t="n">
        <v>0</v>
      </c>
      <c r="V6" s="20">
        <f>IF(OR(B6="",D6=""),"",IF(Settings!$B$8&lt;D6,0,DATEDIF(D6,Settings!$B$8,"y")))</f>
        <v/>
      </c>
      <c r="W6" s="20">
        <f>IF(B6="","",IF(I6="Per hour worked","n/a (hourly)",N(J6)+IF(AND(O6="Yes",V6&lt;&gt;""),IF(COUNTIF(Settings!$D$4:$D$9,"&lt;="&amp;V6)=0,0,INDEX(Settings!$E$4:$E$9,COUNTIF(Settings!$D$4:$D$9,"&lt;="&amp;V6))),0)))</f>
        <v/>
      </c>
    </row>
    <row r="7">
      <c r="A7" s="17" t="n">
        <v>3</v>
      </c>
      <c r="B7" s="10" t="inlineStr">
        <is>
          <t>Grace Liu</t>
        </is>
      </c>
      <c r="C7" s="10" t="inlineStr">
        <is>
          <t>Front Desk (PT)</t>
        </is>
      </c>
      <c r="D7" s="12" t="n">
        <v>45901</v>
      </c>
      <c r="E7" s="12" t="n"/>
      <c r="F7" s="10" t="n">
        <v>6</v>
      </c>
      <c r="G7" s="18" t="n">
        <v>19</v>
      </c>
      <c r="H7" s="11" t="n">
        <v>40</v>
      </c>
      <c r="I7" s="10" t="inlineStr">
        <is>
          <t>Per hour worked</t>
        </is>
      </c>
      <c r="J7" s="11" t="n"/>
      <c r="K7" s="19" t="n">
        <v>0.0385</v>
      </c>
      <c r="L7" s="11" t="n">
        <v>60</v>
      </c>
      <c r="M7" s="11" t="n">
        <v>20</v>
      </c>
      <c r="N7" s="11" t="n">
        <v>4</v>
      </c>
      <c r="O7" s="10" t="inlineStr">
        <is>
          <t>No</t>
        </is>
      </c>
      <c r="P7" s="10" t="inlineStr">
        <is>
          <t>Per hour worked</t>
        </is>
      </c>
      <c r="Q7" s="11" t="n"/>
      <c r="R7" s="19" t="n">
        <v>0.0333</v>
      </c>
      <c r="S7" s="11" t="n">
        <v>48</v>
      </c>
      <c r="T7" s="11" t="n">
        <v>6</v>
      </c>
      <c r="U7" s="10" t="n">
        <v>0</v>
      </c>
      <c r="V7" s="20">
        <f>IF(OR(B7="",D7=""),"",IF(Settings!$B$8&lt;D7,0,DATEDIF(D7,Settings!$B$8,"y")))</f>
        <v/>
      </c>
      <c r="W7" s="20">
        <f>IF(B7="","",IF(I7="Per hour worked","n/a (hourly)",N(J7)+IF(AND(O7="Yes",V7&lt;&gt;""),IF(COUNTIF(Settings!$D$4:$D$9,"&lt;="&amp;V7)=0,0,INDEX(Settings!$E$4:$E$9,COUNTIF(Settings!$D$4:$D$9,"&lt;="&amp;V7))),0)))</f>
        <v/>
      </c>
    </row>
    <row r="8">
      <c r="A8" s="17" t="n">
        <v>4</v>
      </c>
      <c r="B8" s="10" t="inlineStr">
        <is>
          <t>Marcus Bell</t>
        </is>
      </c>
      <c r="C8" s="10" t="inlineStr">
        <is>
          <t>Sales</t>
        </is>
      </c>
      <c r="D8" s="12" t="n">
        <v>42016</v>
      </c>
      <c r="E8" s="12" t="n"/>
      <c r="F8" s="10" t="n">
        <v>8</v>
      </c>
      <c r="G8" s="18" t="n">
        <v>34</v>
      </c>
      <c r="H8" s="11" t="n">
        <v>80</v>
      </c>
      <c r="I8" s="10" t="inlineStr">
        <is>
          <t>Front-loaded</t>
        </is>
      </c>
      <c r="J8" s="11" t="n">
        <v>120</v>
      </c>
      <c r="K8" s="19" t="n"/>
      <c r="L8" s="11" t="n"/>
      <c r="M8" s="11" t="n">
        <v>40</v>
      </c>
      <c r="N8" s="11" t="n">
        <v>40</v>
      </c>
      <c r="O8" s="10" t="inlineStr">
        <is>
          <t>Yes</t>
        </is>
      </c>
      <c r="P8" s="10" t="inlineStr">
        <is>
          <t>Front-loaded</t>
        </is>
      </c>
      <c r="Q8" s="11" t="n">
        <v>40</v>
      </c>
      <c r="R8" s="19" t="n"/>
      <c r="S8" s="11" t="n"/>
      <c r="T8" s="11" t="n">
        <v>0</v>
      </c>
      <c r="U8" s="10" t="n">
        <v>0</v>
      </c>
      <c r="V8" s="20">
        <f>IF(OR(B8="",D8=""),"",IF(Settings!$B$8&lt;D8,0,DATEDIF(D8,Settings!$B$8,"y")))</f>
        <v/>
      </c>
      <c r="W8" s="20">
        <f>IF(B8="","",IF(I8="Per hour worked","n/a (hourly)",N(J8)+IF(AND(O8="Yes",V8&lt;&gt;""),IF(COUNTIF(Settings!$D$4:$D$9,"&lt;="&amp;V8)=0,0,INDEX(Settings!$E$4:$E$9,COUNTIF(Settings!$D$4:$D$9,"&lt;="&amp;V8))),0)))</f>
        <v/>
      </c>
    </row>
    <row r="9">
      <c r="A9" s="17" t="n">
        <v>5</v>
      </c>
      <c r="B9" s="10" t="inlineStr">
        <is>
          <t>Priya Nair</t>
        </is>
      </c>
      <c r="C9" s="10" t="inlineStr">
        <is>
          <t>Accounts</t>
        </is>
      </c>
      <c r="D9" s="12" t="n">
        <v>46146</v>
      </c>
      <c r="E9" s="12" t="n"/>
      <c r="F9" s="10" t="n">
        <v>8</v>
      </c>
      <c r="G9" s="18" t="n">
        <v>28</v>
      </c>
      <c r="H9" s="11" t="n">
        <v>80</v>
      </c>
      <c r="I9" s="10" t="inlineStr">
        <is>
          <t>Per pay period</t>
        </is>
      </c>
      <c r="J9" s="11" t="n">
        <v>80</v>
      </c>
      <c r="K9" s="19" t="n"/>
      <c r="L9" s="11" t="n">
        <v>120</v>
      </c>
      <c r="M9" s="11" t="n">
        <v>40</v>
      </c>
      <c r="N9" s="11" t="n">
        <v>0</v>
      </c>
      <c r="O9" s="10" t="inlineStr">
        <is>
          <t>Yes</t>
        </is>
      </c>
      <c r="P9" s="10" t="inlineStr">
        <is>
          <t>Per hour worked</t>
        </is>
      </c>
      <c r="Q9" s="11" t="n"/>
      <c r="R9" s="19" t="n">
        <v>0.0333</v>
      </c>
      <c r="S9" s="11" t="n">
        <v>80</v>
      </c>
      <c r="T9" s="11" t="n">
        <v>0</v>
      </c>
      <c r="U9" s="10" t="n">
        <v>90</v>
      </c>
      <c r="V9" s="20">
        <f>IF(OR(B9="",D9=""),"",IF(Settings!$B$8&lt;D9,0,DATEDIF(D9,Settings!$B$8,"y")))</f>
        <v/>
      </c>
      <c r="W9" s="20">
        <f>IF(B9="","",IF(I9="Per hour worked","n/a (hourly)",N(J9)+IF(AND(O9="Yes",V9&lt;&gt;""),IF(COUNTIF(Settings!$D$4:$D$9,"&lt;="&amp;V9)=0,0,INDEX(Settings!$E$4:$E$9,COUNTIF(Settings!$D$4:$D$9,"&lt;="&amp;V9))),0)))</f>
        <v/>
      </c>
    </row>
    <row r="10">
      <c r="A10" s="17" t="n">
        <v>6</v>
      </c>
      <c r="B10" s="10" t="inlineStr">
        <is>
          <t>Tom Reyes</t>
        </is>
      </c>
      <c r="C10" s="10" t="inlineStr">
        <is>
          <t>Warehouse</t>
        </is>
      </c>
      <c r="D10" s="12" t="n">
        <v>44228</v>
      </c>
      <c r="E10" s="12" t="n"/>
      <c r="F10" s="10" t="n">
        <v>8</v>
      </c>
      <c r="G10" s="18" t="n">
        <v>21</v>
      </c>
      <c r="H10" s="11" t="n">
        <v>80</v>
      </c>
      <c r="I10" s="10" t="inlineStr">
        <is>
          <t>Per pay period</t>
        </is>
      </c>
      <c r="J10" s="11" t="n">
        <v>96</v>
      </c>
      <c r="K10" s="19" t="n"/>
      <c r="L10" s="11" t="n">
        <v>100</v>
      </c>
      <c r="M10" s="11" t="n">
        <v>40</v>
      </c>
      <c r="N10" s="11" t="n">
        <v>60</v>
      </c>
      <c r="O10" s="10" t="inlineStr">
        <is>
          <t>Yes</t>
        </is>
      </c>
      <c r="P10" s="10" t="inlineStr">
        <is>
          <t>Per pay period</t>
        </is>
      </c>
      <c r="Q10" s="11" t="n">
        <v>40</v>
      </c>
      <c r="R10" s="19" t="n"/>
      <c r="S10" s="11" t="n">
        <v>80</v>
      </c>
      <c r="T10" s="11" t="n">
        <v>12</v>
      </c>
      <c r="U10" s="10" t="n">
        <v>0</v>
      </c>
      <c r="V10" s="20">
        <f>IF(OR(B10="",D10=""),"",IF(Settings!$B$8&lt;D10,0,DATEDIF(D10,Settings!$B$8,"y")))</f>
        <v/>
      </c>
      <c r="W10" s="20">
        <f>IF(B10="","",IF(I10="Per hour worked","n/a (hourly)",N(J10)+IF(AND(O10="Yes",V10&lt;&gt;""),IF(COUNTIF(Settings!$D$4:$D$9,"&lt;="&amp;V10)=0,0,INDEX(Settings!$E$4:$E$9,COUNTIF(Settings!$D$4:$D$9,"&lt;="&amp;V10))),0)))</f>
        <v/>
      </c>
    </row>
    <row r="11">
      <c r="A11" s="17" t="n">
        <v>7</v>
      </c>
      <c r="B11" s="10" t="n"/>
      <c r="C11" s="10" t="n"/>
      <c r="D11" s="12" t="n"/>
      <c r="E11" s="12" t="n"/>
      <c r="F11" s="10" t="n"/>
      <c r="G11" s="18" t="n"/>
      <c r="H11" s="11" t="n"/>
      <c r="I11" s="10" t="n"/>
      <c r="J11" s="11" t="n"/>
      <c r="K11" s="19" t="n"/>
      <c r="L11" s="11" t="n"/>
      <c r="M11" s="11" t="n"/>
      <c r="N11" s="11" t="n"/>
      <c r="O11" s="10" t="n"/>
      <c r="P11" s="10" t="n"/>
      <c r="Q11" s="11" t="n"/>
      <c r="R11" s="19" t="n"/>
      <c r="S11" s="11" t="n"/>
      <c r="T11" s="11" t="n"/>
      <c r="U11" s="10" t="n"/>
      <c r="V11" s="20">
        <f>IF(OR(B11="",D11=""),"",IF(Settings!$B$8&lt;D11,0,DATEDIF(D11,Settings!$B$8,"y")))</f>
        <v/>
      </c>
      <c r="W11" s="20">
        <f>IF(B11="","",IF(I11="Per hour worked","n/a (hourly)",N(J11)+IF(AND(O11="Yes",V11&lt;&gt;""),IF(COUNTIF(Settings!$D$4:$D$9,"&lt;="&amp;V11)=0,0,INDEX(Settings!$E$4:$E$9,COUNTIF(Settings!$D$4:$D$9,"&lt;="&amp;V11))),0)))</f>
        <v/>
      </c>
    </row>
    <row r="12">
      <c r="A12" s="17" t="n">
        <v>8</v>
      </c>
      <c r="B12" s="10" t="n"/>
      <c r="C12" s="10" t="n"/>
      <c r="D12" s="12" t="n"/>
      <c r="E12" s="12" t="n"/>
      <c r="F12" s="10" t="n"/>
      <c r="G12" s="18" t="n"/>
      <c r="H12" s="11" t="n"/>
      <c r="I12" s="10" t="n"/>
      <c r="J12" s="11" t="n"/>
      <c r="K12" s="19" t="n"/>
      <c r="L12" s="11" t="n"/>
      <c r="M12" s="11" t="n"/>
      <c r="N12" s="11" t="n"/>
      <c r="O12" s="10" t="n"/>
      <c r="P12" s="10" t="n"/>
      <c r="Q12" s="11" t="n"/>
      <c r="R12" s="19" t="n"/>
      <c r="S12" s="11" t="n"/>
      <c r="T12" s="11" t="n"/>
      <c r="U12" s="10" t="n"/>
      <c r="V12" s="20">
        <f>IF(OR(B12="",D12=""),"",IF(Settings!$B$8&lt;D12,0,DATEDIF(D12,Settings!$B$8,"y")))</f>
        <v/>
      </c>
      <c r="W12" s="20">
        <f>IF(B12="","",IF(I12="Per hour worked","n/a (hourly)",N(J12)+IF(AND(O12="Yes",V12&lt;&gt;""),IF(COUNTIF(Settings!$D$4:$D$9,"&lt;="&amp;V12)=0,0,INDEX(Settings!$E$4:$E$9,COUNTIF(Settings!$D$4:$D$9,"&lt;="&amp;V12))),0)))</f>
        <v/>
      </c>
    </row>
    <row r="13">
      <c r="A13" s="17" t="n">
        <v>9</v>
      </c>
      <c r="B13" s="10" t="n"/>
      <c r="C13" s="10" t="n"/>
      <c r="D13" s="12" t="n"/>
      <c r="E13" s="12" t="n"/>
      <c r="F13" s="10" t="n"/>
      <c r="G13" s="18" t="n"/>
      <c r="H13" s="11" t="n"/>
      <c r="I13" s="10" t="n"/>
      <c r="J13" s="11" t="n"/>
      <c r="K13" s="19" t="n"/>
      <c r="L13" s="11" t="n"/>
      <c r="M13" s="11" t="n"/>
      <c r="N13" s="11" t="n"/>
      <c r="O13" s="10" t="n"/>
      <c r="P13" s="10" t="n"/>
      <c r="Q13" s="11" t="n"/>
      <c r="R13" s="19" t="n"/>
      <c r="S13" s="11" t="n"/>
      <c r="T13" s="11" t="n"/>
      <c r="U13" s="10" t="n"/>
      <c r="V13" s="20">
        <f>IF(OR(B13="",D13=""),"",IF(Settings!$B$8&lt;D13,0,DATEDIF(D13,Settings!$B$8,"y")))</f>
        <v/>
      </c>
      <c r="W13" s="20">
        <f>IF(B13="","",IF(I13="Per hour worked","n/a (hourly)",N(J13)+IF(AND(O13="Yes",V13&lt;&gt;""),IF(COUNTIF(Settings!$D$4:$D$9,"&lt;="&amp;V13)=0,0,INDEX(Settings!$E$4:$E$9,COUNTIF(Settings!$D$4:$D$9,"&lt;="&amp;V13))),0)))</f>
        <v/>
      </c>
    </row>
    <row r="14">
      <c r="A14" s="17" t="n">
        <v>10</v>
      </c>
      <c r="B14" s="10" t="n"/>
      <c r="C14" s="10" t="n"/>
      <c r="D14" s="12" t="n"/>
      <c r="E14" s="12" t="n"/>
      <c r="F14" s="10" t="n"/>
      <c r="G14" s="18" t="n"/>
      <c r="H14" s="11" t="n"/>
      <c r="I14" s="10" t="n"/>
      <c r="J14" s="11" t="n"/>
      <c r="K14" s="19" t="n"/>
      <c r="L14" s="11" t="n"/>
      <c r="M14" s="11" t="n"/>
      <c r="N14" s="11" t="n"/>
      <c r="O14" s="10" t="n"/>
      <c r="P14" s="10" t="n"/>
      <c r="Q14" s="11" t="n"/>
      <c r="R14" s="19" t="n"/>
      <c r="S14" s="11" t="n"/>
      <c r="T14" s="11" t="n"/>
      <c r="U14" s="10" t="n"/>
      <c r="V14" s="20">
        <f>IF(OR(B14="",D14=""),"",IF(Settings!$B$8&lt;D14,0,DATEDIF(D14,Settings!$B$8,"y")))</f>
        <v/>
      </c>
      <c r="W14" s="20">
        <f>IF(B14="","",IF(I14="Per hour worked","n/a (hourly)",N(J14)+IF(AND(O14="Yes",V14&lt;&gt;""),IF(COUNTIF(Settings!$D$4:$D$9,"&lt;="&amp;V14)=0,0,INDEX(Settings!$E$4:$E$9,COUNTIF(Settings!$D$4:$D$9,"&lt;="&amp;V14))),0)))</f>
        <v/>
      </c>
    </row>
    <row r="15">
      <c r="A15" s="17" t="n">
        <v>11</v>
      </c>
      <c r="B15" s="10" t="n"/>
      <c r="C15" s="10" t="n"/>
      <c r="D15" s="12" t="n"/>
      <c r="E15" s="12" t="n"/>
      <c r="F15" s="10" t="n"/>
      <c r="G15" s="18" t="n"/>
      <c r="H15" s="11" t="n"/>
      <c r="I15" s="10" t="n"/>
      <c r="J15" s="11" t="n"/>
      <c r="K15" s="19" t="n"/>
      <c r="L15" s="11" t="n"/>
      <c r="M15" s="11" t="n"/>
      <c r="N15" s="11" t="n"/>
      <c r="O15" s="10" t="n"/>
      <c r="P15" s="10" t="n"/>
      <c r="Q15" s="11" t="n"/>
      <c r="R15" s="19" t="n"/>
      <c r="S15" s="11" t="n"/>
      <c r="T15" s="11" t="n"/>
      <c r="U15" s="10" t="n"/>
      <c r="V15" s="20">
        <f>IF(OR(B15="",D15=""),"",IF(Settings!$B$8&lt;D15,0,DATEDIF(D15,Settings!$B$8,"y")))</f>
        <v/>
      </c>
      <c r="W15" s="20">
        <f>IF(B15="","",IF(I15="Per hour worked","n/a (hourly)",N(J15)+IF(AND(O15="Yes",V15&lt;&gt;""),IF(COUNTIF(Settings!$D$4:$D$9,"&lt;="&amp;V15)=0,0,INDEX(Settings!$E$4:$E$9,COUNTIF(Settings!$D$4:$D$9,"&lt;="&amp;V15))),0)))</f>
        <v/>
      </c>
    </row>
    <row r="16">
      <c r="A16" s="17" t="n">
        <v>12</v>
      </c>
      <c r="B16" s="10" t="n"/>
      <c r="C16" s="10" t="n"/>
      <c r="D16" s="12" t="n"/>
      <c r="E16" s="12" t="n"/>
      <c r="F16" s="10" t="n"/>
      <c r="G16" s="18" t="n"/>
      <c r="H16" s="11" t="n"/>
      <c r="I16" s="10" t="n"/>
      <c r="J16" s="11" t="n"/>
      <c r="K16" s="19" t="n"/>
      <c r="L16" s="11" t="n"/>
      <c r="M16" s="11" t="n"/>
      <c r="N16" s="11" t="n"/>
      <c r="O16" s="10" t="n"/>
      <c r="P16" s="10" t="n"/>
      <c r="Q16" s="11" t="n"/>
      <c r="R16" s="19" t="n"/>
      <c r="S16" s="11" t="n"/>
      <c r="T16" s="11" t="n"/>
      <c r="U16" s="10" t="n"/>
      <c r="V16" s="20">
        <f>IF(OR(B16="",D16=""),"",IF(Settings!$B$8&lt;D16,0,DATEDIF(D16,Settings!$B$8,"y")))</f>
        <v/>
      </c>
      <c r="W16" s="20">
        <f>IF(B16="","",IF(I16="Per hour worked","n/a (hourly)",N(J16)+IF(AND(O16="Yes",V16&lt;&gt;""),IF(COUNTIF(Settings!$D$4:$D$9,"&lt;="&amp;V16)=0,0,INDEX(Settings!$E$4:$E$9,COUNTIF(Settings!$D$4:$D$9,"&lt;="&amp;V16))),0)))</f>
        <v/>
      </c>
    </row>
    <row r="17">
      <c r="A17" s="17" t="n">
        <v>13</v>
      </c>
      <c r="B17" s="10" t="n"/>
      <c r="C17" s="10" t="n"/>
      <c r="D17" s="12" t="n"/>
      <c r="E17" s="12" t="n"/>
      <c r="F17" s="10" t="n"/>
      <c r="G17" s="18" t="n"/>
      <c r="H17" s="11" t="n"/>
      <c r="I17" s="10" t="n"/>
      <c r="J17" s="11" t="n"/>
      <c r="K17" s="19" t="n"/>
      <c r="L17" s="11" t="n"/>
      <c r="M17" s="11" t="n"/>
      <c r="N17" s="11" t="n"/>
      <c r="O17" s="10" t="n"/>
      <c r="P17" s="10" t="n"/>
      <c r="Q17" s="11" t="n"/>
      <c r="R17" s="19" t="n"/>
      <c r="S17" s="11" t="n"/>
      <c r="T17" s="11" t="n"/>
      <c r="U17" s="10" t="n"/>
      <c r="V17" s="20">
        <f>IF(OR(B17="",D17=""),"",IF(Settings!$B$8&lt;D17,0,DATEDIF(D17,Settings!$B$8,"y")))</f>
        <v/>
      </c>
      <c r="W17" s="20">
        <f>IF(B17="","",IF(I17="Per hour worked","n/a (hourly)",N(J17)+IF(AND(O17="Yes",V17&lt;&gt;""),IF(COUNTIF(Settings!$D$4:$D$9,"&lt;="&amp;V17)=0,0,INDEX(Settings!$E$4:$E$9,COUNTIF(Settings!$D$4:$D$9,"&lt;="&amp;V17))),0)))</f>
        <v/>
      </c>
    </row>
    <row r="18">
      <c r="A18" s="17" t="n">
        <v>14</v>
      </c>
      <c r="B18" s="10" t="n"/>
      <c r="C18" s="10" t="n"/>
      <c r="D18" s="12" t="n"/>
      <c r="E18" s="12" t="n"/>
      <c r="F18" s="10" t="n"/>
      <c r="G18" s="18" t="n"/>
      <c r="H18" s="11" t="n"/>
      <c r="I18" s="10" t="n"/>
      <c r="J18" s="11" t="n"/>
      <c r="K18" s="19" t="n"/>
      <c r="L18" s="11" t="n"/>
      <c r="M18" s="11" t="n"/>
      <c r="N18" s="11" t="n"/>
      <c r="O18" s="10" t="n"/>
      <c r="P18" s="10" t="n"/>
      <c r="Q18" s="11" t="n"/>
      <c r="R18" s="19" t="n"/>
      <c r="S18" s="11" t="n"/>
      <c r="T18" s="11" t="n"/>
      <c r="U18" s="10" t="n"/>
      <c r="V18" s="20">
        <f>IF(OR(B18="",D18=""),"",IF(Settings!$B$8&lt;D18,0,DATEDIF(D18,Settings!$B$8,"y")))</f>
        <v/>
      </c>
      <c r="W18" s="20">
        <f>IF(B18="","",IF(I18="Per hour worked","n/a (hourly)",N(J18)+IF(AND(O18="Yes",V18&lt;&gt;""),IF(COUNTIF(Settings!$D$4:$D$9,"&lt;="&amp;V18)=0,0,INDEX(Settings!$E$4:$E$9,COUNTIF(Settings!$D$4:$D$9,"&lt;="&amp;V18))),0)))</f>
        <v/>
      </c>
    </row>
    <row r="19">
      <c r="A19" s="17" t="n">
        <v>15</v>
      </c>
      <c r="B19" s="10" t="n"/>
      <c r="C19" s="10" t="n"/>
      <c r="D19" s="12" t="n"/>
      <c r="E19" s="12" t="n"/>
      <c r="F19" s="10" t="n"/>
      <c r="G19" s="18" t="n"/>
      <c r="H19" s="11" t="n"/>
      <c r="I19" s="10" t="n"/>
      <c r="J19" s="11" t="n"/>
      <c r="K19" s="19" t="n"/>
      <c r="L19" s="11" t="n"/>
      <c r="M19" s="11" t="n"/>
      <c r="N19" s="11" t="n"/>
      <c r="O19" s="10" t="n"/>
      <c r="P19" s="10" t="n"/>
      <c r="Q19" s="11" t="n"/>
      <c r="R19" s="19" t="n"/>
      <c r="S19" s="11" t="n"/>
      <c r="T19" s="11" t="n"/>
      <c r="U19" s="10" t="n"/>
      <c r="V19" s="20">
        <f>IF(OR(B19="",D19=""),"",IF(Settings!$B$8&lt;D19,0,DATEDIF(D19,Settings!$B$8,"y")))</f>
        <v/>
      </c>
      <c r="W19" s="20">
        <f>IF(B19="","",IF(I19="Per hour worked","n/a (hourly)",N(J19)+IF(AND(O19="Yes",V19&lt;&gt;""),IF(COUNTIF(Settings!$D$4:$D$9,"&lt;="&amp;V19)=0,0,INDEX(Settings!$E$4:$E$9,COUNTIF(Settings!$D$4:$D$9,"&lt;="&amp;V19))),0)))</f>
        <v/>
      </c>
    </row>
    <row r="20">
      <c r="A20" s="17" t="n">
        <v>16</v>
      </c>
      <c r="B20" s="10" t="n"/>
      <c r="C20" s="10" t="n"/>
      <c r="D20" s="12" t="n"/>
      <c r="E20" s="12" t="n"/>
      <c r="F20" s="10" t="n"/>
      <c r="G20" s="18" t="n"/>
      <c r="H20" s="11" t="n"/>
      <c r="I20" s="10" t="n"/>
      <c r="J20" s="11" t="n"/>
      <c r="K20" s="19" t="n"/>
      <c r="L20" s="11" t="n"/>
      <c r="M20" s="11" t="n"/>
      <c r="N20" s="11" t="n"/>
      <c r="O20" s="10" t="n"/>
      <c r="P20" s="10" t="n"/>
      <c r="Q20" s="11" t="n"/>
      <c r="R20" s="19" t="n"/>
      <c r="S20" s="11" t="n"/>
      <c r="T20" s="11" t="n"/>
      <c r="U20" s="10" t="n"/>
      <c r="V20" s="20">
        <f>IF(OR(B20="",D20=""),"",IF(Settings!$B$8&lt;D20,0,DATEDIF(D20,Settings!$B$8,"y")))</f>
        <v/>
      </c>
      <c r="W20" s="20">
        <f>IF(B20="","",IF(I20="Per hour worked","n/a (hourly)",N(J20)+IF(AND(O20="Yes",V20&lt;&gt;""),IF(COUNTIF(Settings!$D$4:$D$9,"&lt;="&amp;V20)=0,0,INDEX(Settings!$E$4:$E$9,COUNTIF(Settings!$D$4:$D$9,"&lt;="&amp;V20))),0)))</f>
        <v/>
      </c>
    </row>
    <row r="21">
      <c r="A21" s="17" t="n">
        <v>17</v>
      </c>
      <c r="B21" s="10" t="n"/>
      <c r="C21" s="10" t="n"/>
      <c r="D21" s="12" t="n"/>
      <c r="E21" s="12" t="n"/>
      <c r="F21" s="10" t="n"/>
      <c r="G21" s="18" t="n"/>
      <c r="H21" s="11" t="n"/>
      <c r="I21" s="10" t="n"/>
      <c r="J21" s="11" t="n"/>
      <c r="K21" s="19" t="n"/>
      <c r="L21" s="11" t="n"/>
      <c r="M21" s="11" t="n"/>
      <c r="N21" s="11" t="n"/>
      <c r="O21" s="10" t="n"/>
      <c r="P21" s="10" t="n"/>
      <c r="Q21" s="11" t="n"/>
      <c r="R21" s="19" t="n"/>
      <c r="S21" s="11" t="n"/>
      <c r="T21" s="11" t="n"/>
      <c r="U21" s="10" t="n"/>
      <c r="V21" s="20">
        <f>IF(OR(B21="",D21=""),"",IF(Settings!$B$8&lt;D21,0,DATEDIF(D21,Settings!$B$8,"y")))</f>
        <v/>
      </c>
      <c r="W21" s="20">
        <f>IF(B21="","",IF(I21="Per hour worked","n/a (hourly)",N(J21)+IF(AND(O21="Yes",V21&lt;&gt;""),IF(COUNTIF(Settings!$D$4:$D$9,"&lt;="&amp;V21)=0,0,INDEX(Settings!$E$4:$E$9,COUNTIF(Settings!$D$4:$D$9,"&lt;="&amp;V21))),0)))</f>
        <v/>
      </c>
    </row>
    <row r="22">
      <c r="A22" s="17" t="n">
        <v>18</v>
      </c>
      <c r="B22" s="10" t="n"/>
      <c r="C22" s="10" t="n"/>
      <c r="D22" s="12" t="n"/>
      <c r="E22" s="12" t="n"/>
      <c r="F22" s="10" t="n"/>
      <c r="G22" s="18" t="n"/>
      <c r="H22" s="11" t="n"/>
      <c r="I22" s="10" t="n"/>
      <c r="J22" s="11" t="n"/>
      <c r="K22" s="19" t="n"/>
      <c r="L22" s="11" t="n"/>
      <c r="M22" s="11" t="n"/>
      <c r="N22" s="11" t="n"/>
      <c r="O22" s="10" t="n"/>
      <c r="P22" s="10" t="n"/>
      <c r="Q22" s="11" t="n"/>
      <c r="R22" s="19" t="n"/>
      <c r="S22" s="11" t="n"/>
      <c r="T22" s="11" t="n"/>
      <c r="U22" s="10" t="n"/>
      <c r="V22" s="20">
        <f>IF(OR(B22="",D22=""),"",IF(Settings!$B$8&lt;D22,0,DATEDIF(D22,Settings!$B$8,"y")))</f>
        <v/>
      </c>
      <c r="W22" s="20">
        <f>IF(B22="","",IF(I22="Per hour worked","n/a (hourly)",N(J22)+IF(AND(O22="Yes",V22&lt;&gt;""),IF(COUNTIF(Settings!$D$4:$D$9,"&lt;="&amp;V22)=0,0,INDEX(Settings!$E$4:$E$9,COUNTIF(Settings!$D$4:$D$9,"&lt;="&amp;V22))),0)))</f>
        <v/>
      </c>
    </row>
    <row r="23">
      <c r="A23" s="17" t="n">
        <v>19</v>
      </c>
      <c r="B23" s="10" t="n"/>
      <c r="C23" s="10" t="n"/>
      <c r="D23" s="12" t="n"/>
      <c r="E23" s="12" t="n"/>
      <c r="F23" s="10" t="n"/>
      <c r="G23" s="18" t="n"/>
      <c r="H23" s="11" t="n"/>
      <c r="I23" s="10" t="n"/>
      <c r="J23" s="11" t="n"/>
      <c r="K23" s="19" t="n"/>
      <c r="L23" s="11" t="n"/>
      <c r="M23" s="11" t="n"/>
      <c r="N23" s="11" t="n"/>
      <c r="O23" s="10" t="n"/>
      <c r="P23" s="10" t="n"/>
      <c r="Q23" s="11" t="n"/>
      <c r="R23" s="19" t="n"/>
      <c r="S23" s="11" t="n"/>
      <c r="T23" s="11" t="n"/>
      <c r="U23" s="10" t="n"/>
      <c r="V23" s="20">
        <f>IF(OR(B23="",D23=""),"",IF(Settings!$B$8&lt;D23,0,DATEDIF(D23,Settings!$B$8,"y")))</f>
        <v/>
      </c>
      <c r="W23" s="20">
        <f>IF(B23="","",IF(I23="Per hour worked","n/a (hourly)",N(J23)+IF(AND(O23="Yes",V23&lt;&gt;""),IF(COUNTIF(Settings!$D$4:$D$9,"&lt;="&amp;V23)=0,0,INDEX(Settings!$E$4:$E$9,COUNTIF(Settings!$D$4:$D$9,"&lt;="&amp;V23))),0)))</f>
        <v/>
      </c>
    </row>
    <row r="24">
      <c r="A24" s="17" t="n">
        <v>20</v>
      </c>
      <c r="B24" s="10" t="n"/>
      <c r="C24" s="10" t="n"/>
      <c r="D24" s="12" t="n"/>
      <c r="E24" s="12" t="n"/>
      <c r="F24" s="10" t="n"/>
      <c r="G24" s="18" t="n"/>
      <c r="H24" s="11" t="n"/>
      <c r="I24" s="10" t="n"/>
      <c r="J24" s="11" t="n"/>
      <c r="K24" s="19" t="n"/>
      <c r="L24" s="11" t="n"/>
      <c r="M24" s="11" t="n"/>
      <c r="N24" s="11" t="n"/>
      <c r="O24" s="10" t="n"/>
      <c r="P24" s="10" t="n"/>
      <c r="Q24" s="11" t="n"/>
      <c r="R24" s="19" t="n"/>
      <c r="S24" s="11" t="n"/>
      <c r="T24" s="11" t="n"/>
      <c r="U24" s="10" t="n"/>
      <c r="V24" s="20">
        <f>IF(OR(B24="",D24=""),"",IF(Settings!$B$8&lt;D24,0,DATEDIF(D24,Settings!$B$8,"y")))</f>
        <v/>
      </c>
      <c r="W24" s="20">
        <f>IF(B24="","",IF(I24="Per hour worked","n/a (hourly)",N(J24)+IF(AND(O24="Yes",V24&lt;&gt;""),IF(COUNTIF(Settings!$D$4:$D$9,"&lt;="&amp;V24)=0,0,INDEX(Settings!$E$4:$E$9,COUNTIF(Settings!$D$4:$D$9,"&lt;="&amp;V24))),0)))</f>
        <v/>
      </c>
    </row>
    <row r="25">
      <c r="A25" s="17" t="n">
        <v>21</v>
      </c>
      <c r="B25" s="10" t="n"/>
      <c r="C25" s="10" t="n"/>
      <c r="D25" s="12" t="n"/>
      <c r="E25" s="12" t="n"/>
      <c r="F25" s="10" t="n"/>
      <c r="G25" s="18" t="n"/>
      <c r="H25" s="11" t="n"/>
      <c r="I25" s="10" t="n"/>
      <c r="J25" s="11" t="n"/>
      <c r="K25" s="19" t="n"/>
      <c r="L25" s="11" t="n"/>
      <c r="M25" s="11" t="n"/>
      <c r="N25" s="11" t="n"/>
      <c r="O25" s="10" t="n"/>
      <c r="P25" s="10" t="n"/>
      <c r="Q25" s="11" t="n"/>
      <c r="R25" s="19" t="n"/>
      <c r="S25" s="11" t="n"/>
      <c r="T25" s="11" t="n"/>
      <c r="U25" s="10" t="n"/>
      <c r="V25" s="20">
        <f>IF(OR(B25="",D25=""),"",IF(Settings!$B$8&lt;D25,0,DATEDIF(D25,Settings!$B$8,"y")))</f>
        <v/>
      </c>
      <c r="W25" s="20">
        <f>IF(B25="","",IF(I25="Per hour worked","n/a (hourly)",N(J25)+IF(AND(O25="Yes",V25&lt;&gt;""),IF(COUNTIF(Settings!$D$4:$D$9,"&lt;="&amp;V25)=0,0,INDEX(Settings!$E$4:$E$9,COUNTIF(Settings!$D$4:$D$9,"&lt;="&amp;V25))),0)))</f>
        <v/>
      </c>
    </row>
    <row r="26">
      <c r="A26" s="17" t="n">
        <v>22</v>
      </c>
      <c r="B26" s="10" t="n"/>
      <c r="C26" s="10" t="n"/>
      <c r="D26" s="12" t="n"/>
      <c r="E26" s="12" t="n"/>
      <c r="F26" s="10" t="n"/>
      <c r="G26" s="18" t="n"/>
      <c r="H26" s="11" t="n"/>
      <c r="I26" s="10" t="n"/>
      <c r="J26" s="11" t="n"/>
      <c r="K26" s="19" t="n"/>
      <c r="L26" s="11" t="n"/>
      <c r="M26" s="11" t="n"/>
      <c r="N26" s="11" t="n"/>
      <c r="O26" s="10" t="n"/>
      <c r="P26" s="10" t="n"/>
      <c r="Q26" s="11" t="n"/>
      <c r="R26" s="19" t="n"/>
      <c r="S26" s="11" t="n"/>
      <c r="T26" s="11" t="n"/>
      <c r="U26" s="10" t="n"/>
      <c r="V26" s="20">
        <f>IF(OR(B26="",D26=""),"",IF(Settings!$B$8&lt;D26,0,DATEDIF(D26,Settings!$B$8,"y")))</f>
        <v/>
      </c>
      <c r="W26" s="20">
        <f>IF(B26="","",IF(I26="Per hour worked","n/a (hourly)",N(J26)+IF(AND(O26="Yes",V26&lt;&gt;""),IF(COUNTIF(Settings!$D$4:$D$9,"&lt;="&amp;V26)=0,0,INDEX(Settings!$E$4:$E$9,COUNTIF(Settings!$D$4:$D$9,"&lt;="&amp;V26))),0)))</f>
        <v/>
      </c>
    </row>
    <row r="27">
      <c r="A27" s="17" t="n">
        <v>23</v>
      </c>
      <c r="B27" s="10" t="n"/>
      <c r="C27" s="10" t="n"/>
      <c r="D27" s="12" t="n"/>
      <c r="E27" s="12" t="n"/>
      <c r="F27" s="10" t="n"/>
      <c r="G27" s="18" t="n"/>
      <c r="H27" s="11" t="n"/>
      <c r="I27" s="10" t="n"/>
      <c r="J27" s="11" t="n"/>
      <c r="K27" s="19" t="n"/>
      <c r="L27" s="11" t="n"/>
      <c r="M27" s="11" t="n"/>
      <c r="N27" s="11" t="n"/>
      <c r="O27" s="10" t="n"/>
      <c r="P27" s="10" t="n"/>
      <c r="Q27" s="11" t="n"/>
      <c r="R27" s="19" t="n"/>
      <c r="S27" s="11" t="n"/>
      <c r="T27" s="11" t="n"/>
      <c r="U27" s="10" t="n"/>
      <c r="V27" s="20">
        <f>IF(OR(B27="",D27=""),"",IF(Settings!$B$8&lt;D27,0,DATEDIF(D27,Settings!$B$8,"y")))</f>
        <v/>
      </c>
      <c r="W27" s="20">
        <f>IF(B27="","",IF(I27="Per hour worked","n/a (hourly)",N(J27)+IF(AND(O27="Yes",V27&lt;&gt;""),IF(COUNTIF(Settings!$D$4:$D$9,"&lt;="&amp;V27)=0,0,INDEX(Settings!$E$4:$E$9,COUNTIF(Settings!$D$4:$D$9,"&lt;="&amp;V27))),0)))</f>
        <v/>
      </c>
    </row>
    <row r="28">
      <c r="A28" s="17" t="n">
        <v>24</v>
      </c>
      <c r="B28" s="10" t="n"/>
      <c r="C28" s="10" t="n"/>
      <c r="D28" s="12" t="n"/>
      <c r="E28" s="12" t="n"/>
      <c r="F28" s="10" t="n"/>
      <c r="G28" s="18" t="n"/>
      <c r="H28" s="11" t="n"/>
      <c r="I28" s="10" t="n"/>
      <c r="J28" s="11" t="n"/>
      <c r="K28" s="19" t="n"/>
      <c r="L28" s="11" t="n"/>
      <c r="M28" s="11" t="n"/>
      <c r="N28" s="11" t="n"/>
      <c r="O28" s="10" t="n"/>
      <c r="P28" s="10" t="n"/>
      <c r="Q28" s="11" t="n"/>
      <c r="R28" s="19" t="n"/>
      <c r="S28" s="11" t="n"/>
      <c r="T28" s="11" t="n"/>
      <c r="U28" s="10" t="n"/>
      <c r="V28" s="20">
        <f>IF(OR(B28="",D28=""),"",IF(Settings!$B$8&lt;D28,0,DATEDIF(D28,Settings!$B$8,"y")))</f>
        <v/>
      </c>
      <c r="W28" s="20">
        <f>IF(B28="","",IF(I28="Per hour worked","n/a (hourly)",N(J28)+IF(AND(O28="Yes",V28&lt;&gt;""),IF(COUNTIF(Settings!$D$4:$D$9,"&lt;="&amp;V28)=0,0,INDEX(Settings!$E$4:$E$9,COUNTIF(Settings!$D$4:$D$9,"&lt;="&amp;V28))),0)))</f>
        <v/>
      </c>
    </row>
    <row r="29">
      <c r="A29" s="17" t="n">
        <v>25</v>
      </c>
      <c r="B29" s="10" t="n"/>
      <c r="C29" s="10" t="n"/>
      <c r="D29" s="12" t="n"/>
      <c r="E29" s="12" t="n"/>
      <c r="F29" s="10" t="n"/>
      <c r="G29" s="18" t="n"/>
      <c r="H29" s="11" t="n"/>
      <c r="I29" s="10" t="n"/>
      <c r="J29" s="11" t="n"/>
      <c r="K29" s="19" t="n"/>
      <c r="L29" s="11" t="n"/>
      <c r="M29" s="11" t="n"/>
      <c r="N29" s="11" t="n"/>
      <c r="O29" s="10" t="n"/>
      <c r="P29" s="10" t="n"/>
      <c r="Q29" s="11" t="n"/>
      <c r="R29" s="19" t="n"/>
      <c r="S29" s="11" t="n"/>
      <c r="T29" s="11" t="n"/>
      <c r="U29" s="10" t="n"/>
      <c r="V29" s="20">
        <f>IF(OR(B29="",D29=""),"",IF(Settings!$B$8&lt;D29,0,DATEDIF(D29,Settings!$B$8,"y")))</f>
        <v/>
      </c>
      <c r="W29" s="20">
        <f>IF(B29="","",IF(I29="Per hour worked","n/a (hourly)",N(J29)+IF(AND(O29="Yes",V29&lt;&gt;""),IF(COUNTIF(Settings!$D$4:$D$9,"&lt;="&amp;V29)=0,0,INDEX(Settings!$E$4:$E$9,COUNTIF(Settings!$D$4:$D$9,"&lt;="&amp;V29))),0)))</f>
        <v/>
      </c>
    </row>
    <row r="31">
      <c r="A31" s="2" t="inlineStr">
        <is>
          <t>Rates: 'per hour worked' = hours of leave earned for each hour worked (e.g. 1 hour per 30 worked = 0.0333). 'Per pay period' spreads the yearly hours evenly over the pay periods. 'Front-loaded' grants the full year in the first eligible pay period.</t>
        </is>
      </c>
    </row>
  </sheetData>
  <dataValidations count="4">
    <dataValidation sqref="I5:I29 P5:P29" showDropDown="0" showInputMessage="0" showErrorMessage="0" allowBlank="1" type="list">
      <formula1>"Per pay period,Per hour worked,Front-loaded,None"</formula1>
    </dataValidation>
    <dataValidation sqref="O5:O29" showDropDown="0" showInputMessage="0" showErrorMessage="0" allowBlank="1" type="list">
      <formula1>"Yes,No"</formula1>
    </dataValidation>
    <dataValidation sqref="F5:F29 G5:G29 H5:H29 J5:J29 K5:K29 L5:L29 M5:M29 N5:N29 Q5:Q29 R5:R29 S5:S29 T5:T29 U5:U29" showDropDown="0" showInputMessage="0" showErrorMessage="0" allowBlank="1" type="decimal" operator="greaterThanOrEqual">
      <formula1>0</formula1>
    </dataValidation>
    <dataValidation sqref="D5:E29" showDropDown="0" showInputMessage="0" showErrorMessage="0" allowBlank="1" type="date" operator="greaterThan">
      <formula1>1</formula1>
    </dataValidation>
  </dataValidations>
  <printOptions horizontalCentered="1"/>
  <pageMargins left="0.4" right="0.4" top="0.5" bottom="0.5" header="0.5" footer="0.5"/>
  <pageSetup orientation="landscape" paperSize="1" fitToHeight="1" fitToWidth="1"/>
</worksheet>
</file>

<file path=xl/worksheets/sheet4.xml><?xml version="1.0" encoding="utf-8"?>
<worksheet xmlns="http://schemas.openxmlformats.org/spreadsheetml/2006/main">
  <sheetPr>
    <outlinePr summaryBelow="1" summaryRight="1"/>
    <pageSetUpPr fitToPage="1"/>
  </sheetPr>
  <dimension ref="A1:BD29"/>
  <sheetViews>
    <sheetView showGridLines="0" workbookViewId="0">
      <pane xSplit="3" ySplit="4" topLeftCell="D5" activePane="bottomRight" state="frozen"/>
      <selection pane="topRight"/>
      <selection pane="bottomLeft"/>
      <selection pane="bottomRight" activeCell="A1" sqref="A1"/>
    </sheetView>
  </sheetViews>
  <sheetFormatPr baseColWidth="8" defaultRowHeight="15"/>
  <cols>
    <col width="4" customWidth="1" min="1" max="1"/>
    <col width="18" customWidth="1" min="2" max="2"/>
    <col width="8" customWidth="1" min="3" max="3"/>
    <col width="6" customWidth="1" min="4" max="4"/>
    <col width="6" customWidth="1" min="5" max="5"/>
    <col width="6" customWidth="1" min="6" max="6"/>
    <col width="6" customWidth="1" min="7" max="7"/>
    <col width="6" customWidth="1" min="8" max="8"/>
    <col width="6" customWidth="1" min="9" max="9"/>
    <col width="6" customWidth="1" min="10" max="10"/>
    <col width="6" customWidth="1" min="11" max="11"/>
    <col width="6" customWidth="1" min="12" max="12"/>
    <col width="6" customWidth="1" min="13" max="13"/>
    <col width="6" customWidth="1" min="14" max="14"/>
    <col width="6" customWidth="1" min="15" max="15"/>
    <col width="6" customWidth="1" min="16" max="16"/>
    <col width="6" customWidth="1" min="17" max="17"/>
    <col width="6" customWidth="1" min="18" max="18"/>
    <col width="6" customWidth="1" min="19" max="19"/>
    <col width="6" customWidth="1" min="20" max="20"/>
    <col width="6" customWidth="1" min="21" max="21"/>
    <col width="6" customWidth="1" min="22" max="22"/>
    <col width="6" customWidth="1" min="23" max="23"/>
    <col width="6" customWidth="1" min="24" max="24"/>
    <col width="6" customWidth="1" min="25" max="25"/>
    <col width="6" customWidth="1" min="26" max="26"/>
    <col width="6" customWidth="1" min="27" max="27"/>
    <col width="6" customWidth="1" min="28" max="28"/>
    <col width="6" customWidth="1" min="29" max="29"/>
    <col width="6" customWidth="1" min="30" max="30"/>
    <col width="6" customWidth="1" min="31" max="31"/>
    <col width="6" customWidth="1" min="32" max="32"/>
    <col width="6" customWidth="1" min="33" max="33"/>
    <col width="6" customWidth="1" min="34" max="34"/>
    <col width="6" customWidth="1" min="35" max="35"/>
    <col width="6" customWidth="1" min="36" max="36"/>
    <col width="6" customWidth="1" min="37" max="37"/>
    <col width="6" customWidth="1" min="38" max="38"/>
    <col width="6" customWidth="1" min="39" max="39"/>
    <col width="6" customWidth="1" min="40" max="40"/>
    <col width="6" customWidth="1" min="41" max="41"/>
    <col width="6" customWidth="1" min="42" max="42"/>
    <col width="6" customWidth="1" min="43" max="43"/>
    <col width="6" customWidth="1" min="44" max="44"/>
    <col width="6" customWidth="1" min="45" max="45"/>
    <col width="6" customWidth="1" min="46" max="46"/>
    <col width="6" customWidth="1" min="47" max="47"/>
    <col width="6" customWidth="1" min="48" max="48"/>
    <col width="6" customWidth="1" min="49" max="49"/>
    <col width="6" customWidth="1" min="50" max="50"/>
    <col width="6" customWidth="1" min="51" max="51"/>
    <col width="6" customWidth="1" min="52" max="52"/>
    <col width="6" customWidth="1" min="53" max="53"/>
    <col width="6" customWidth="1" min="54" max="54"/>
    <col width="6" customWidth="1" min="55" max="55"/>
    <col width="6" customWidth="1" min="56" max="56"/>
  </cols>
  <sheetData>
    <row r="1">
      <c r="A1" s="1" t="inlineStr">
        <is>
          <t>Hours worked per pay period</t>
        </is>
      </c>
    </row>
    <row r="2">
      <c r="A2" s="2" t="inlineStr">
        <is>
          <t>Only used for 'Per hour worked' accrual. Blank = the employee's standard hours per pay period.</t>
        </is>
      </c>
    </row>
    <row r="3" ht="20" customHeight="1">
      <c r="A3" s="8" t="inlineStr">
        <is>
          <t>#</t>
        </is>
      </c>
      <c r="B3" s="8" t="inlineStr">
        <is>
          <t>Employee</t>
        </is>
      </c>
      <c r="C3" s="8" t="inlineStr">
        <is>
          <t>Std hours</t>
        </is>
      </c>
      <c r="D3" s="8" t="inlineStr">
        <is>
          <t>P1</t>
        </is>
      </c>
      <c r="E3" s="8" t="inlineStr">
        <is>
          <t>P2</t>
        </is>
      </c>
      <c r="F3" s="8" t="inlineStr">
        <is>
          <t>P3</t>
        </is>
      </c>
      <c r="G3" s="8" t="inlineStr">
        <is>
          <t>P4</t>
        </is>
      </c>
      <c r="H3" s="8" t="inlineStr">
        <is>
          <t>P5</t>
        </is>
      </c>
      <c r="I3" s="8" t="inlineStr">
        <is>
          <t>P6</t>
        </is>
      </c>
      <c r="J3" s="8" t="inlineStr">
        <is>
          <t>P7</t>
        </is>
      </c>
      <c r="K3" s="8" t="inlineStr">
        <is>
          <t>P8</t>
        </is>
      </c>
      <c r="L3" s="8" t="inlineStr">
        <is>
          <t>P9</t>
        </is>
      </c>
      <c r="M3" s="8" t="inlineStr">
        <is>
          <t>P10</t>
        </is>
      </c>
      <c r="N3" s="8" t="inlineStr">
        <is>
          <t>P11</t>
        </is>
      </c>
      <c r="O3" s="8" t="inlineStr">
        <is>
          <t>P12</t>
        </is>
      </c>
      <c r="P3" s="8" t="inlineStr">
        <is>
          <t>P13</t>
        </is>
      </c>
      <c r="Q3" s="8" t="inlineStr">
        <is>
          <t>P14</t>
        </is>
      </c>
      <c r="R3" s="8" t="inlineStr">
        <is>
          <t>P15</t>
        </is>
      </c>
      <c r="S3" s="8" t="inlineStr">
        <is>
          <t>P16</t>
        </is>
      </c>
      <c r="T3" s="8" t="inlineStr">
        <is>
          <t>P17</t>
        </is>
      </c>
      <c r="U3" s="8" t="inlineStr">
        <is>
          <t>P18</t>
        </is>
      </c>
      <c r="V3" s="8" t="inlineStr">
        <is>
          <t>P19</t>
        </is>
      </c>
      <c r="W3" s="8" t="inlineStr">
        <is>
          <t>P20</t>
        </is>
      </c>
      <c r="X3" s="8" t="inlineStr">
        <is>
          <t>P21</t>
        </is>
      </c>
      <c r="Y3" s="8" t="inlineStr">
        <is>
          <t>P22</t>
        </is>
      </c>
      <c r="Z3" s="8" t="inlineStr">
        <is>
          <t>P23</t>
        </is>
      </c>
      <c r="AA3" s="8" t="inlineStr">
        <is>
          <t>P24</t>
        </is>
      </c>
      <c r="AB3" s="8" t="inlineStr">
        <is>
          <t>P25</t>
        </is>
      </c>
      <c r="AC3" s="8" t="inlineStr">
        <is>
          <t>P26</t>
        </is>
      </c>
      <c r="AD3" s="8" t="inlineStr">
        <is>
          <t>P27</t>
        </is>
      </c>
      <c r="AE3" s="8" t="inlineStr">
        <is>
          <t>P28</t>
        </is>
      </c>
      <c r="AF3" s="8" t="inlineStr">
        <is>
          <t>P29</t>
        </is>
      </c>
      <c r="AG3" s="8" t="inlineStr">
        <is>
          <t>P30</t>
        </is>
      </c>
      <c r="AH3" s="8" t="inlineStr">
        <is>
          <t>P31</t>
        </is>
      </c>
      <c r="AI3" s="8" t="inlineStr">
        <is>
          <t>P32</t>
        </is>
      </c>
      <c r="AJ3" s="8" t="inlineStr">
        <is>
          <t>P33</t>
        </is>
      </c>
      <c r="AK3" s="8" t="inlineStr">
        <is>
          <t>P34</t>
        </is>
      </c>
      <c r="AL3" s="8" t="inlineStr">
        <is>
          <t>P35</t>
        </is>
      </c>
      <c r="AM3" s="8" t="inlineStr">
        <is>
          <t>P36</t>
        </is>
      </c>
      <c r="AN3" s="8" t="inlineStr">
        <is>
          <t>P37</t>
        </is>
      </c>
      <c r="AO3" s="8" t="inlineStr">
        <is>
          <t>P38</t>
        </is>
      </c>
      <c r="AP3" s="8" t="inlineStr">
        <is>
          <t>P39</t>
        </is>
      </c>
      <c r="AQ3" s="8" t="inlineStr">
        <is>
          <t>P40</t>
        </is>
      </c>
      <c r="AR3" s="8" t="inlineStr">
        <is>
          <t>P41</t>
        </is>
      </c>
      <c r="AS3" s="8" t="inlineStr">
        <is>
          <t>P42</t>
        </is>
      </c>
      <c r="AT3" s="8" t="inlineStr">
        <is>
          <t>P43</t>
        </is>
      </c>
      <c r="AU3" s="8" t="inlineStr">
        <is>
          <t>P44</t>
        </is>
      </c>
      <c r="AV3" s="8" t="inlineStr">
        <is>
          <t>P45</t>
        </is>
      </c>
      <c r="AW3" s="8" t="inlineStr">
        <is>
          <t>P46</t>
        </is>
      </c>
      <c r="AX3" s="8" t="inlineStr">
        <is>
          <t>P47</t>
        </is>
      </c>
      <c r="AY3" s="8" t="inlineStr">
        <is>
          <t>P48</t>
        </is>
      </c>
      <c r="AZ3" s="8" t="inlineStr">
        <is>
          <t>P49</t>
        </is>
      </c>
      <c r="BA3" s="8" t="inlineStr">
        <is>
          <t>P50</t>
        </is>
      </c>
      <c r="BB3" s="8" t="inlineStr">
        <is>
          <t>P51</t>
        </is>
      </c>
      <c r="BC3" s="8" t="inlineStr">
        <is>
          <t>P52</t>
        </is>
      </c>
      <c r="BD3" s="8" t="inlineStr">
        <is>
          <t>P53</t>
        </is>
      </c>
    </row>
    <row r="4">
      <c r="A4" s="21" t="inlineStr"/>
      <c r="B4" s="22" t="inlineStr">
        <is>
          <t>Period ends →</t>
        </is>
      </c>
      <c r="D4" s="23">
        <f>IF(INDEX(Periods!$D$5:$D$57,1)=1,INDEX(Periods!$C$5:$C$57,1),"")</f>
        <v/>
      </c>
      <c r="E4" s="23">
        <f>IF(INDEX(Periods!$D$5:$D$57,2)=1,INDEX(Periods!$C$5:$C$57,2),"")</f>
        <v/>
      </c>
      <c r="F4" s="23">
        <f>IF(INDEX(Periods!$D$5:$D$57,3)=1,INDEX(Periods!$C$5:$C$57,3),"")</f>
        <v/>
      </c>
      <c r="G4" s="23">
        <f>IF(INDEX(Periods!$D$5:$D$57,4)=1,INDEX(Periods!$C$5:$C$57,4),"")</f>
        <v/>
      </c>
      <c r="H4" s="23">
        <f>IF(INDEX(Periods!$D$5:$D$57,5)=1,INDEX(Periods!$C$5:$C$57,5),"")</f>
        <v/>
      </c>
      <c r="I4" s="23">
        <f>IF(INDEX(Periods!$D$5:$D$57,6)=1,INDEX(Periods!$C$5:$C$57,6),"")</f>
        <v/>
      </c>
      <c r="J4" s="23">
        <f>IF(INDEX(Periods!$D$5:$D$57,7)=1,INDEX(Periods!$C$5:$C$57,7),"")</f>
        <v/>
      </c>
      <c r="K4" s="23">
        <f>IF(INDEX(Periods!$D$5:$D$57,8)=1,INDEX(Periods!$C$5:$C$57,8),"")</f>
        <v/>
      </c>
      <c r="L4" s="23">
        <f>IF(INDEX(Periods!$D$5:$D$57,9)=1,INDEX(Periods!$C$5:$C$57,9),"")</f>
        <v/>
      </c>
      <c r="M4" s="23">
        <f>IF(INDEX(Periods!$D$5:$D$57,10)=1,INDEX(Periods!$C$5:$C$57,10),"")</f>
        <v/>
      </c>
      <c r="N4" s="23">
        <f>IF(INDEX(Periods!$D$5:$D$57,11)=1,INDEX(Periods!$C$5:$C$57,11),"")</f>
        <v/>
      </c>
      <c r="O4" s="23">
        <f>IF(INDEX(Periods!$D$5:$D$57,12)=1,INDEX(Periods!$C$5:$C$57,12),"")</f>
        <v/>
      </c>
      <c r="P4" s="23">
        <f>IF(INDEX(Periods!$D$5:$D$57,13)=1,INDEX(Periods!$C$5:$C$57,13),"")</f>
        <v/>
      </c>
      <c r="Q4" s="23">
        <f>IF(INDEX(Periods!$D$5:$D$57,14)=1,INDEX(Periods!$C$5:$C$57,14),"")</f>
        <v/>
      </c>
      <c r="R4" s="23">
        <f>IF(INDEX(Periods!$D$5:$D$57,15)=1,INDEX(Periods!$C$5:$C$57,15),"")</f>
        <v/>
      </c>
      <c r="S4" s="23">
        <f>IF(INDEX(Periods!$D$5:$D$57,16)=1,INDEX(Periods!$C$5:$C$57,16),"")</f>
        <v/>
      </c>
      <c r="T4" s="23">
        <f>IF(INDEX(Periods!$D$5:$D$57,17)=1,INDEX(Periods!$C$5:$C$57,17),"")</f>
        <v/>
      </c>
      <c r="U4" s="23">
        <f>IF(INDEX(Periods!$D$5:$D$57,18)=1,INDEX(Periods!$C$5:$C$57,18),"")</f>
        <v/>
      </c>
      <c r="V4" s="23">
        <f>IF(INDEX(Periods!$D$5:$D$57,19)=1,INDEX(Periods!$C$5:$C$57,19),"")</f>
        <v/>
      </c>
      <c r="W4" s="23">
        <f>IF(INDEX(Periods!$D$5:$D$57,20)=1,INDEX(Periods!$C$5:$C$57,20),"")</f>
        <v/>
      </c>
      <c r="X4" s="23">
        <f>IF(INDEX(Periods!$D$5:$D$57,21)=1,INDEX(Periods!$C$5:$C$57,21),"")</f>
        <v/>
      </c>
      <c r="Y4" s="23">
        <f>IF(INDEX(Periods!$D$5:$D$57,22)=1,INDEX(Periods!$C$5:$C$57,22),"")</f>
        <v/>
      </c>
      <c r="Z4" s="23">
        <f>IF(INDEX(Periods!$D$5:$D$57,23)=1,INDEX(Periods!$C$5:$C$57,23),"")</f>
        <v/>
      </c>
      <c r="AA4" s="23">
        <f>IF(INDEX(Periods!$D$5:$D$57,24)=1,INDEX(Periods!$C$5:$C$57,24),"")</f>
        <v/>
      </c>
      <c r="AB4" s="23">
        <f>IF(INDEX(Periods!$D$5:$D$57,25)=1,INDEX(Periods!$C$5:$C$57,25),"")</f>
        <v/>
      </c>
      <c r="AC4" s="23">
        <f>IF(INDEX(Periods!$D$5:$D$57,26)=1,INDEX(Periods!$C$5:$C$57,26),"")</f>
        <v/>
      </c>
      <c r="AD4" s="23">
        <f>IF(INDEX(Periods!$D$5:$D$57,27)=1,INDEX(Periods!$C$5:$C$57,27),"")</f>
        <v/>
      </c>
      <c r="AE4" s="23">
        <f>IF(INDEX(Periods!$D$5:$D$57,28)=1,INDEX(Periods!$C$5:$C$57,28),"")</f>
        <v/>
      </c>
      <c r="AF4" s="23">
        <f>IF(INDEX(Periods!$D$5:$D$57,29)=1,INDEX(Periods!$C$5:$C$57,29),"")</f>
        <v/>
      </c>
      <c r="AG4" s="23">
        <f>IF(INDEX(Periods!$D$5:$D$57,30)=1,INDEX(Periods!$C$5:$C$57,30),"")</f>
        <v/>
      </c>
      <c r="AH4" s="23">
        <f>IF(INDEX(Periods!$D$5:$D$57,31)=1,INDEX(Periods!$C$5:$C$57,31),"")</f>
        <v/>
      </c>
      <c r="AI4" s="23">
        <f>IF(INDEX(Periods!$D$5:$D$57,32)=1,INDEX(Periods!$C$5:$C$57,32),"")</f>
        <v/>
      </c>
      <c r="AJ4" s="23">
        <f>IF(INDEX(Periods!$D$5:$D$57,33)=1,INDEX(Periods!$C$5:$C$57,33),"")</f>
        <v/>
      </c>
      <c r="AK4" s="23">
        <f>IF(INDEX(Periods!$D$5:$D$57,34)=1,INDEX(Periods!$C$5:$C$57,34),"")</f>
        <v/>
      </c>
      <c r="AL4" s="23">
        <f>IF(INDEX(Periods!$D$5:$D$57,35)=1,INDEX(Periods!$C$5:$C$57,35),"")</f>
        <v/>
      </c>
      <c r="AM4" s="23">
        <f>IF(INDEX(Periods!$D$5:$D$57,36)=1,INDEX(Periods!$C$5:$C$57,36),"")</f>
        <v/>
      </c>
      <c r="AN4" s="23">
        <f>IF(INDEX(Periods!$D$5:$D$57,37)=1,INDEX(Periods!$C$5:$C$57,37),"")</f>
        <v/>
      </c>
      <c r="AO4" s="23">
        <f>IF(INDEX(Periods!$D$5:$D$57,38)=1,INDEX(Periods!$C$5:$C$57,38),"")</f>
        <v/>
      </c>
      <c r="AP4" s="23">
        <f>IF(INDEX(Periods!$D$5:$D$57,39)=1,INDEX(Periods!$C$5:$C$57,39),"")</f>
        <v/>
      </c>
      <c r="AQ4" s="23">
        <f>IF(INDEX(Periods!$D$5:$D$57,40)=1,INDEX(Periods!$C$5:$C$57,40),"")</f>
        <v/>
      </c>
      <c r="AR4" s="23">
        <f>IF(INDEX(Periods!$D$5:$D$57,41)=1,INDEX(Periods!$C$5:$C$57,41),"")</f>
        <v/>
      </c>
      <c r="AS4" s="23">
        <f>IF(INDEX(Periods!$D$5:$D$57,42)=1,INDEX(Periods!$C$5:$C$57,42),"")</f>
        <v/>
      </c>
      <c r="AT4" s="23">
        <f>IF(INDEX(Periods!$D$5:$D$57,43)=1,INDEX(Periods!$C$5:$C$57,43),"")</f>
        <v/>
      </c>
      <c r="AU4" s="23">
        <f>IF(INDEX(Periods!$D$5:$D$57,44)=1,INDEX(Periods!$C$5:$C$57,44),"")</f>
        <v/>
      </c>
      <c r="AV4" s="23">
        <f>IF(INDEX(Periods!$D$5:$D$57,45)=1,INDEX(Periods!$C$5:$C$57,45),"")</f>
        <v/>
      </c>
      <c r="AW4" s="23">
        <f>IF(INDEX(Periods!$D$5:$D$57,46)=1,INDEX(Periods!$C$5:$C$57,46),"")</f>
        <v/>
      </c>
      <c r="AX4" s="23">
        <f>IF(INDEX(Periods!$D$5:$D$57,47)=1,INDEX(Periods!$C$5:$C$57,47),"")</f>
        <v/>
      </c>
      <c r="AY4" s="23">
        <f>IF(INDEX(Periods!$D$5:$D$57,48)=1,INDEX(Periods!$C$5:$C$57,48),"")</f>
        <v/>
      </c>
      <c r="AZ4" s="23">
        <f>IF(INDEX(Periods!$D$5:$D$57,49)=1,INDEX(Periods!$C$5:$C$57,49),"")</f>
        <v/>
      </c>
      <c r="BA4" s="23">
        <f>IF(INDEX(Periods!$D$5:$D$57,50)=1,INDEX(Periods!$C$5:$C$57,50),"")</f>
        <v/>
      </c>
      <c r="BB4" s="23">
        <f>IF(INDEX(Periods!$D$5:$D$57,51)=1,INDEX(Periods!$C$5:$C$57,51),"")</f>
        <v/>
      </c>
      <c r="BC4" s="23">
        <f>IF(INDEX(Periods!$D$5:$D$57,52)=1,INDEX(Periods!$C$5:$C$57,52),"")</f>
        <v/>
      </c>
      <c r="BD4" s="23">
        <f>IF(INDEX(Periods!$D$5:$D$57,53)=1,INDEX(Periods!$C$5:$C$57,53),"")</f>
        <v/>
      </c>
    </row>
    <row r="5">
      <c r="A5" s="24" t="n">
        <v>1</v>
      </c>
      <c r="B5" s="24">
        <f>IF(Employees!B5="","",Employees!B5)</f>
        <v/>
      </c>
      <c r="C5" s="24">
        <f>IF(Employees!B5="","",N(Employees!H5))</f>
        <v/>
      </c>
      <c r="D5" s="25" t="n"/>
      <c r="E5" s="25" t="n"/>
      <c r="F5" s="25" t="n"/>
      <c r="G5" s="25" t="n"/>
      <c r="H5" s="25" t="n"/>
      <c r="I5" s="25" t="n"/>
      <c r="J5" s="25" t="n"/>
      <c r="K5" s="25" t="n"/>
      <c r="L5" s="25" t="n"/>
      <c r="M5" s="25" t="n"/>
      <c r="N5" s="25" t="n"/>
      <c r="O5" s="25" t="n"/>
      <c r="P5" s="25" t="n"/>
      <c r="Q5" s="25" t="n"/>
      <c r="R5" s="25" t="n"/>
      <c r="S5" s="25" t="n"/>
      <c r="T5" s="25" t="n"/>
      <c r="U5" s="25" t="n"/>
      <c r="V5" s="25" t="n"/>
      <c r="W5" s="25" t="n"/>
      <c r="X5" s="25" t="n"/>
      <c r="Y5" s="25" t="n"/>
      <c r="Z5" s="25" t="n"/>
      <c r="AA5" s="25" t="n"/>
      <c r="AB5" s="25" t="n"/>
      <c r="AC5" s="25" t="n"/>
      <c r="AD5" s="25" t="n"/>
      <c r="AE5" s="25" t="n"/>
      <c r="AF5" s="25" t="n"/>
      <c r="AG5" s="25" t="n"/>
      <c r="AH5" s="25" t="n"/>
      <c r="AI5" s="25" t="n"/>
      <c r="AJ5" s="25" t="n"/>
      <c r="AK5" s="25" t="n"/>
      <c r="AL5" s="25" t="n"/>
      <c r="AM5" s="25" t="n"/>
      <c r="AN5" s="25" t="n"/>
      <c r="AO5" s="25" t="n"/>
      <c r="AP5" s="25" t="n"/>
      <c r="AQ5" s="25" t="n"/>
      <c r="AR5" s="25" t="n"/>
      <c r="AS5" s="25" t="n"/>
      <c r="AT5" s="25" t="n"/>
      <c r="AU5" s="25" t="n"/>
      <c r="AV5" s="25" t="n"/>
      <c r="AW5" s="25" t="n"/>
      <c r="AX5" s="25" t="n"/>
      <c r="AY5" s="25" t="n"/>
      <c r="AZ5" s="25" t="n"/>
      <c r="BA5" s="25" t="n"/>
      <c r="BB5" s="25" t="n"/>
      <c r="BC5" s="25" t="n"/>
      <c r="BD5" s="25" t="n"/>
    </row>
    <row r="6">
      <c r="A6" s="24" t="n">
        <v>2</v>
      </c>
      <c r="B6" s="24">
        <f>IF(Employees!B6="","",Employees!B6)</f>
        <v/>
      </c>
      <c r="C6" s="24">
        <f>IF(Employees!B6="","",N(Employees!H6))</f>
        <v/>
      </c>
      <c r="D6" s="25" t="n"/>
      <c r="E6" s="25" t="n"/>
      <c r="F6" s="25" t="n"/>
      <c r="G6" s="25" t="n"/>
      <c r="H6" s="25" t="n"/>
      <c r="I6" s="25" t="n"/>
      <c r="J6" s="25" t="n"/>
      <c r="K6" s="25" t="n"/>
      <c r="L6" s="25" t="n"/>
      <c r="M6" s="25" t="n"/>
      <c r="N6" s="25" t="n"/>
      <c r="O6" s="25" t="n"/>
      <c r="P6" s="25" t="n"/>
      <c r="Q6" s="25" t="n"/>
      <c r="R6" s="25" t="n"/>
      <c r="S6" s="25" t="n"/>
      <c r="T6" s="25" t="n"/>
      <c r="U6" s="25" t="n"/>
      <c r="V6" s="25" t="n"/>
      <c r="W6" s="25" t="n"/>
      <c r="X6" s="25" t="n"/>
      <c r="Y6" s="25" t="n"/>
      <c r="Z6" s="25" t="n"/>
      <c r="AA6" s="25" t="n"/>
      <c r="AB6" s="25" t="n"/>
      <c r="AC6" s="25" t="n"/>
      <c r="AD6" s="25" t="n"/>
      <c r="AE6" s="25" t="n"/>
      <c r="AF6" s="25" t="n"/>
      <c r="AG6" s="25" t="n"/>
      <c r="AH6" s="25" t="n"/>
      <c r="AI6" s="25" t="n"/>
      <c r="AJ6" s="25" t="n"/>
      <c r="AK6" s="25" t="n"/>
      <c r="AL6" s="25" t="n"/>
      <c r="AM6" s="25" t="n"/>
      <c r="AN6" s="25" t="n"/>
      <c r="AO6" s="25" t="n"/>
      <c r="AP6" s="25" t="n"/>
      <c r="AQ6" s="25" t="n"/>
      <c r="AR6" s="25" t="n"/>
      <c r="AS6" s="25" t="n"/>
      <c r="AT6" s="25" t="n"/>
      <c r="AU6" s="25" t="n"/>
      <c r="AV6" s="25" t="n"/>
      <c r="AW6" s="25" t="n"/>
      <c r="AX6" s="25" t="n"/>
      <c r="AY6" s="25" t="n"/>
      <c r="AZ6" s="25" t="n"/>
      <c r="BA6" s="25" t="n"/>
      <c r="BB6" s="25" t="n"/>
      <c r="BC6" s="25" t="n"/>
      <c r="BD6" s="25" t="n"/>
    </row>
    <row r="7">
      <c r="A7" s="24" t="n">
        <v>3</v>
      </c>
      <c r="B7" s="24">
        <f>IF(Employees!B7="","",Employees!B7)</f>
        <v/>
      </c>
      <c r="C7" s="24">
        <f>IF(Employees!B7="","",N(Employees!H7))</f>
        <v/>
      </c>
      <c r="D7" s="25" t="n">
        <v>38</v>
      </c>
      <c r="E7" s="25" t="n">
        <v>42</v>
      </c>
      <c r="F7" s="25" t="n">
        <v>40</v>
      </c>
      <c r="G7" s="25" t="n">
        <v>36</v>
      </c>
      <c r="H7" s="25" t="n">
        <v>44</v>
      </c>
      <c r="I7" s="25" t="n">
        <v>40</v>
      </c>
      <c r="J7" s="25" t="n">
        <v>32</v>
      </c>
      <c r="K7" s="25" t="n">
        <v>40</v>
      </c>
      <c r="L7" s="25" t="n">
        <v>41</v>
      </c>
      <c r="M7" s="25" t="n">
        <v>39</v>
      </c>
      <c r="N7" s="25" t="n">
        <v>40</v>
      </c>
      <c r="O7" s="25" t="n">
        <v>28</v>
      </c>
      <c r="P7" s="25" t="n">
        <v>40</v>
      </c>
      <c r="Q7" s="25" t="n">
        <v>40</v>
      </c>
      <c r="R7" s="25" t="n">
        <v>45</v>
      </c>
      <c r="S7" s="25" t="n">
        <v>40</v>
      </c>
      <c r="T7" s="25" t="n">
        <v>36</v>
      </c>
      <c r="U7" s="25" t="n">
        <v>40</v>
      </c>
      <c r="V7" s="25" t="n">
        <v>40</v>
      </c>
      <c r="W7" s="25" t="n">
        <v>38</v>
      </c>
      <c r="X7" s="25" t="n"/>
      <c r="Y7" s="25" t="n"/>
      <c r="Z7" s="25" t="n"/>
      <c r="AA7" s="25" t="n"/>
      <c r="AB7" s="25" t="n"/>
      <c r="AC7" s="25" t="n"/>
      <c r="AD7" s="25" t="n"/>
      <c r="AE7" s="25" t="n"/>
      <c r="AF7" s="25" t="n"/>
      <c r="AG7" s="25" t="n"/>
      <c r="AH7" s="25" t="n"/>
      <c r="AI7" s="25" t="n"/>
      <c r="AJ7" s="25" t="n"/>
      <c r="AK7" s="25" t="n"/>
      <c r="AL7" s="25" t="n"/>
      <c r="AM7" s="25" t="n"/>
      <c r="AN7" s="25" t="n"/>
      <c r="AO7" s="25" t="n"/>
      <c r="AP7" s="25" t="n"/>
      <c r="AQ7" s="25" t="n"/>
      <c r="AR7" s="25" t="n"/>
      <c r="AS7" s="25" t="n"/>
      <c r="AT7" s="25" t="n"/>
      <c r="AU7" s="25" t="n"/>
      <c r="AV7" s="25" t="n"/>
      <c r="AW7" s="25" t="n"/>
      <c r="AX7" s="25" t="n"/>
      <c r="AY7" s="25" t="n"/>
      <c r="AZ7" s="25" t="n"/>
      <c r="BA7" s="25" t="n"/>
      <c r="BB7" s="25" t="n"/>
      <c r="BC7" s="25" t="n"/>
      <c r="BD7" s="25" t="n"/>
    </row>
    <row r="8">
      <c r="A8" s="24" t="n">
        <v>4</v>
      </c>
      <c r="B8" s="24">
        <f>IF(Employees!B8="","",Employees!B8)</f>
        <v/>
      </c>
      <c r="C8" s="24">
        <f>IF(Employees!B8="","",N(Employees!H8))</f>
        <v/>
      </c>
      <c r="D8" s="25" t="n"/>
      <c r="E8" s="25" t="n"/>
      <c r="F8" s="25" t="n"/>
      <c r="G8" s="25" t="n"/>
      <c r="H8" s="25" t="n"/>
      <c r="I8" s="25" t="n"/>
      <c r="J8" s="25" t="n"/>
      <c r="K8" s="25" t="n"/>
      <c r="L8" s="25" t="n"/>
      <c r="M8" s="25" t="n"/>
      <c r="N8" s="25" t="n"/>
      <c r="O8" s="25" t="n"/>
      <c r="P8" s="25" t="n"/>
      <c r="Q8" s="25" t="n"/>
      <c r="R8" s="25" t="n"/>
      <c r="S8" s="25" t="n"/>
      <c r="T8" s="25" t="n"/>
      <c r="U8" s="25" t="n"/>
      <c r="V8" s="25" t="n"/>
      <c r="W8" s="25" t="n"/>
      <c r="X8" s="25" t="n"/>
      <c r="Y8" s="25" t="n"/>
      <c r="Z8" s="25" t="n"/>
      <c r="AA8" s="25" t="n"/>
      <c r="AB8" s="25" t="n"/>
      <c r="AC8" s="25" t="n"/>
      <c r="AD8" s="25" t="n"/>
      <c r="AE8" s="25" t="n"/>
      <c r="AF8" s="25" t="n"/>
      <c r="AG8" s="25" t="n"/>
      <c r="AH8" s="25" t="n"/>
      <c r="AI8" s="25" t="n"/>
      <c r="AJ8" s="25" t="n"/>
      <c r="AK8" s="25" t="n"/>
      <c r="AL8" s="25" t="n"/>
      <c r="AM8" s="25" t="n"/>
      <c r="AN8" s="25" t="n"/>
      <c r="AO8" s="25" t="n"/>
      <c r="AP8" s="25" t="n"/>
      <c r="AQ8" s="25" t="n"/>
      <c r="AR8" s="25" t="n"/>
      <c r="AS8" s="25" t="n"/>
      <c r="AT8" s="25" t="n"/>
      <c r="AU8" s="25" t="n"/>
      <c r="AV8" s="25" t="n"/>
      <c r="AW8" s="25" t="n"/>
      <c r="AX8" s="25" t="n"/>
      <c r="AY8" s="25" t="n"/>
      <c r="AZ8" s="25" t="n"/>
      <c r="BA8" s="25" t="n"/>
      <c r="BB8" s="25" t="n"/>
      <c r="BC8" s="25" t="n"/>
      <c r="BD8" s="25" t="n"/>
    </row>
    <row r="9">
      <c r="A9" s="24" t="n">
        <v>5</v>
      </c>
      <c r="B9" s="24">
        <f>IF(Employees!B9="","",Employees!B9)</f>
        <v/>
      </c>
      <c r="C9" s="24">
        <f>IF(Employees!B9="","",N(Employees!H9))</f>
        <v/>
      </c>
      <c r="D9" s="25" t="n"/>
      <c r="E9" s="25" t="n"/>
      <c r="F9" s="25" t="n"/>
      <c r="G9" s="25" t="n"/>
      <c r="H9" s="25" t="n"/>
      <c r="I9" s="25" t="n"/>
      <c r="J9" s="25" t="n"/>
      <c r="K9" s="25" t="n"/>
      <c r="L9" s="25" t="n"/>
      <c r="M9" s="25" t="n"/>
      <c r="N9" s="25" t="n"/>
      <c r="O9" s="25" t="n"/>
      <c r="P9" s="25" t="n"/>
      <c r="Q9" s="25" t="n"/>
      <c r="R9" s="25" t="n"/>
      <c r="S9" s="25" t="n"/>
      <c r="T9" s="25" t="n"/>
      <c r="U9" s="25" t="n"/>
      <c r="V9" s="25" t="n"/>
      <c r="W9" s="25" t="n"/>
      <c r="X9" s="25" t="n"/>
      <c r="Y9" s="25" t="n"/>
      <c r="Z9" s="25" t="n"/>
      <c r="AA9" s="25" t="n"/>
      <c r="AB9" s="25" t="n"/>
      <c r="AC9" s="25" t="n"/>
      <c r="AD9" s="25" t="n"/>
      <c r="AE9" s="25" t="n"/>
      <c r="AF9" s="25" t="n"/>
      <c r="AG9" s="25" t="n"/>
      <c r="AH9" s="25" t="n"/>
      <c r="AI9" s="25" t="n"/>
      <c r="AJ9" s="25" t="n"/>
      <c r="AK9" s="25" t="n"/>
      <c r="AL9" s="25" t="n"/>
      <c r="AM9" s="25" t="n"/>
      <c r="AN9" s="25" t="n"/>
      <c r="AO9" s="25" t="n"/>
      <c r="AP9" s="25" t="n"/>
      <c r="AQ9" s="25" t="n"/>
      <c r="AR9" s="25" t="n"/>
      <c r="AS9" s="25" t="n"/>
      <c r="AT9" s="25" t="n"/>
      <c r="AU9" s="25" t="n"/>
      <c r="AV9" s="25" t="n"/>
      <c r="AW9" s="25" t="n"/>
      <c r="AX9" s="25" t="n"/>
      <c r="AY9" s="25" t="n"/>
      <c r="AZ9" s="25" t="n"/>
      <c r="BA9" s="25" t="n"/>
      <c r="BB9" s="25" t="n"/>
      <c r="BC9" s="25" t="n"/>
      <c r="BD9" s="25" t="n"/>
    </row>
    <row r="10">
      <c r="A10" s="24" t="n">
        <v>6</v>
      </c>
      <c r="B10" s="24">
        <f>IF(Employees!B10="","",Employees!B10)</f>
        <v/>
      </c>
      <c r="C10" s="24">
        <f>IF(Employees!B10="","",N(Employees!H10))</f>
        <v/>
      </c>
      <c r="D10" s="25" t="n"/>
      <c r="E10" s="25" t="n"/>
      <c r="F10" s="25" t="n"/>
      <c r="G10" s="25" t="n"/>
      <c r="H10" s="25" t="n"/>
      <c r="I10" s="25" t="n"/>
      <c r="J10" s="25" t="n"/>
      <c r="K10" s="25" t="n"/>
      <c r="L10" s="25" t="n"/>
      <c r="M10" s="25" t="n"/>
      <c r="N10" s="25" t="n"/>
      <c r="O10" s="25" t="n"/>
      <c r="P10" s="25" t="n"/>
      <c r="Q10" s="25" t="n"/>
      <c r="R10" s="25" t="n"/>
      <c r="S10" s="25" t="n"/>
      <c r="T10" s="25" t="n"/>
      <c r="U10" s="25" t="n"/>
      <c r="V10" s="25" t="n"/>
      <c r="W10" s="25" t="n"/>
      <c r="X10" s="25" t="n"/>
      <c r="Y10" s="25" t="n"/>
      <c r="Z10" s="25" t="n"/>
      <c r="AA10" s="25" t="n"/>
      <c r="AB10" s="25" t="n"/>
      <c r="AC10" s="25" t="n"/>
      <c r="AD10" s="25" t="n"/>
      <c r="AE10" s="25" t="n"/>
      <c r="AF10" s="25" t="n"/>
      <c r="AG10" s="25" t="n"/>
      <c r="AH10" s="25" t="n"/>
      <c r="AI10" s="25" t="n"/>
      <c r="AJ10" s="25" t="n"/>
      <c r="AK10" s="25" t="n"/>
      <c r="AL10" s="25" t="n"/>
      <c r="AM10" s="25" t="n"/>
      <c r="AN10" s="25" t="n"/>
      <c r="AO10" s="25" t="n"/>
      <c r="AP10" s="25" t="n"/>
      <c r="AQ10" s="25" t="n"/>
      <c r="AR10" s="25" t="n"/>
      <c r="AS10" s="25" t="n"/>
      <c r="AT10" s="25" t="n"/>
      <c r="AU10" s="25" t="n"/>
      <c r="AV10" s="25" t="n"/>
      <c r="AW10" s="25" t="n"/>
      <c r="AX10" s="25" t="n"/>
      <c r="AY10" s="25" t="n"/>
      <c r="AZ10" s="25" t="n"/>
      <c r="BA10" s="25" t="n"/>
      <c r="BB10" s="25" t="n"/>
      <c r="BC10" s="25" t="n"/>
      <c r="BD10" s="25" t="n"/>
    </row>
    <row r="11">
      <c r="A11" s="24" t="n">
        <v>7</v>
      </c>
      <c r="B11" s="24">
        <f>IF(Employees!B11="","",Employees!B11)</f>
        <v/>
      </c>
      <c r="C11" s="24">
        <f>IF(Employees!B11="","",N(Employees!H11))</f>
        <v/>
      </c>
      <c r="D11" s="25" t="n"/>
      <c r="E11" s="25" t="n"/>
      <c r="F11" s="25" t="n"/>
      <c r="G11" s="25" t="n"/>
      <c r="H11" s="25" t="n"/>
      <c r="I11" s="25" t="n"/>
      <c r="J11" s="25" t="n"/>
      <c r="K11" s="25" t="n"/>
      <c r="L11" s="25" t="n"/>
      <c r="M11" s="25" t="n"/>
      <c r="N11" s="25" t="n"/>
      <c r="O11" s="25" t="n"/>
      <c r="P11" s="25" t="n"/>
      <c r="Q11" s="25" t="n"/>
      <c r="R11" s="25" t="n"/>
      <c r="S11" s="25" t="n"/>
      <c r="T11" s="25" t="n"/>
      <c r="U11" s="25" t="n"/>
      <c r="V11" s="25" t="n"/>
      <c r="W11" s="25" t="n"/>
      <c r="X11" s="25" t="n"/>
      <c r="Y11" s="25" t="n"/>
      <c r="Z11" s="25" t="n"/>
      <c r="AA11" s="25" t="n"/>
      <c r="AB11" s="25" t="n"/>
      <c r="AC11" s="25" t="n"/>
      <c r="AD11" s="25" t="n"/>
      <c r="AE11" s="25" t="n"/>
      <c r="AF11" s="25" t="n"/>
      <c r="AG11" s="25" t="n"/>
      <c r="AH11" s="25" t="n"/>
      <c r="AI11" s="25" t="n"/>
      <c r="AJ11" s="25" t="n"/>
      <c r="AK11" s="25" t="n"/>
      <c r="AL11" s="25" t="n"/>
      <c r="AM11" s="25" t="n"/>
      <c r="AN11" s="25" t="n"/>
      <c r="AO11" s="25" t="n"/>
      <c r="AP11" s="25" t="n"/>
      <c r="AQ11" s="25" t="n"/>
      <c r="AR11" s="25" t="n"/>
      <c r="AS11" s="25" t="n"/>
      <c r="AT11" s="25" t="n"/>
      <c r="AU11" s="25" t="n"/>
      <c r="AV11" s="25" t="n"/>
      <c r="AW11" s="25" t="n"/>
      <c r="AX11" s="25" t="n"/>
      <c r="AY11" s="25" t="n"/>
      <c r="AZ11" s="25" t="n"/>
      <c r="BA11" s="25" t="n"/>
      <c r="BB11" s="25" t="n"/>
      <c r="BC11" s="25" t="n"/>
      <c r="BD11" s="25" t="n"/>
    </row>
    <row r="12">
      <c r="A12" s="24" t="n">
        <v>8</v>
      </c>
      <c r="B12" s="24">
        <f>IF(Employees!B12="","",Employees!B12)</f>
        <v/>
      </c>
      <c r="C12" s="24">
        <f>IF(Employees!B12="","",N(Employees!H12))</f>
        <v/>
      </c>
      <c r="D12" s="25" t="n"/>
      <c r="E12" s="25" t="n"/>
      <c r="F12" s="25" t="n"/>
      <c r="G12" s="25" t="n"/>
      <c r="H12" s="25" t="n"/>
      <c r="I12" s="25" t="n"/>
      <c r="J12" s="25" t="n"/>
      <c r="K12" s="25" t="n"/>
      <c r="L12" s="25" t="n"/>
      <c r="M12" s="25" t="n"/>
      <c r="N12" s="25" t="n"/>
      <c r="O12" s="25" t="n"/>
      <c r="P12" s="25" t="n"/>
      <c r="Q12" s="25" t="n"/>
      <c r="R12" s="25" t="n"/>
      <c r="S12" s="25" t="n"/>
      <c r="T12" s="25" t="n"/>
      <c r="U12" s="25" t="n"/>
      <c r="V12" s="25" t="n"/>
      <c r="W12" s="25" t="n"/>
      <c r="X12" s="25" t="n"/>
      <c r="Y12" s="25" t="n"/>
      <c r="Z12" s="25" t="n"/>
      <c r="AA12" s="25" t="n"/>
      <c r="AB12" s="25" t="n"/>
      <c r="AC12" s="25" t="n"/>
      <c r="AD12" s="25" t="n"/>
      <c r="AE12" s="25" t="n"/>
      <c r="AF12" s="25" t="n"/>
      <c r="AG12" s="25" t="n"/>
      <c r="AH12" s="25" t="n"/>
      <c r="AI12" s="25" t="n"/>
      <c r="AJ12" s="25" t="n"/>
      <c r="AK12" s="25" t="n"/>
      <c r="AL12" s="25" t="n"/>
      <c r="AM12" s="25" t="n"/>
      <c r="AN12" s="25" t="n"/>
      <c r="AO12" s="25" t="n"/>
      <c r="AP12" s="25" t="n"/>
      <c r="AQ12" s="25" t="n"/>
      <c r="AR12" s="25" t="n"/>
      <c r="AS12" s="25" t="n"/>
      <c r="AT12" s="25" t="n"/>
      <c r="AU12" s="25" t="n"/>
      <c r="AV12" s="25" t="n"/>
      <c r="AW12" s="25" t="n"/>
      <c r="AX12" s="25" t="n"/>
      <c r="AY12" s="25" t="n"/>
      <c r="AZ12" s="25" t="n"/>
      <c r="BA12" s="25" t="n"/>
      <c r="BB12" s="25" t="n"/>
      <c r="BC12" s="25" t="n"/>
      <c r="BD12" s="25" t="n"/>
    </row>
    <row r="13">
      <c r="A13" s="24" t="n">
        <v>9</v>
      </c>
      <c r="B13" s="24">
        <f>IF(Employees!B13="","",Employees!B13)</f>
        <v/>
      </c>
      <c r="C13" s="24">
        <f>IF(Employees!B13="","",N(Employees!H13))</f>
        <v/>
      </c>
      <c r="D13" s="25" t="n"/>
      <c r="E13" s="25" t="n"/>
      <c r="F13" s="25" t="n"/>
      <c r="G13" s="25" t="n"/>
      <c r="H13" s="25" t="n"/>
      <c r="I13" s="25" t="n"/>
      <c r="J13" s="25" t="n"/>
      <c r="K13" s="25" t="n"/>
      <c r="L13" s="25" t="n"/>
      <c r="M13" s="25" t="n"/>
      <c r="N13" s="25" t="n"/>
      <c r="O13" s="25" t="n"/>
      <c r="P13" s="25" t="n"/>
      <c r="Q13" s="25" t="n"/>
      <c r="R13" s="25" t="n"/>
      <c r="S13" s="25" t="n"/>
      <c r="T13" s="25" t="n"/>
      <c r="U13" s="25" t="n"/>
      <c r="V13" s="25" t="n"/>
      <c r="W13" s="25" t="n"/>
      <c r="X13" s="25" t="n"/>
      <c r="Y13" s="25" t="n"/>
      <c r="Z13" s="25" t="n"/>
      <c r="AA13" s="25" t="n"/>
      <c r="AB13" s="25" t="n"/>
      <c r="AC13" s="25" t="n"/>
      <c r="AD13" s="25" t="n"/>
      <c r="AE13" s="25" t="n"/>
      <c r="AF13" s="25" t="n"/>
      <c r="AG13" s="25" t="n"/>
      <c r="AH13" s="25" t="n"/>
      <c r="AI13" s="25" t="n"/>
      <c r="AJ13" s="25" t="n"/>
      <c r="AK13" s="25" t="n"/>
      <c r="AL13" s="25" t="n"/>
      <c r="AM13" s="25" t="n"/>
      <c r="AN13" s="25" t="n"/>
      <c r="AO13" s="25" t="n"/>
      <c r="AP13" s="25" t="n"/>
      <c r="AQ13" s="25" t="n"/>
      <c r="AR13" s="25" t="n"/>
      <c r="AS13" s="25" t="n"/>
      <c r="AT13" s="25" t="n"/>
      <c r="AU13" s="25" t="n"/>
      <c r="AV13" s="25" t="n"/>
      <c r="AW13" s="25" t="n"/>
      <c r="AX13" s="25" t="n"/>
      <c r="AY13" s="25" t="n"/>
      <c r="AZ13" s="25" t="n"/>
      <c r="BA13" s="25" t="n"/>
      <c r="BB13" s="25" t="n"/>
      <c r="BC13" s="25" t="n"/>
      <c r="BD13" s="25" t="n"/>
    </row>
    <row r="14">
      <c r="A14" s="24" t="n">
        <v>10</v>
      </c>
      <c r="B14" s="24">
        <f>IF(Employees!B14="","",Employees!B14)</f>
        <v/>
      </c>
      <c r="C14" s="24">
        <f>IF(Employees!B14="","",N(Employees!H14))</f>
        <v/>
      </c>
      <c r="D14" s="25" t="n"/>
      <c r="E14" s="25" t="n"/>
      <c r="F14" s="25" t="n"/>
      <c r="G14" s="25" t="n"/>
      <c r="H14" s="25" t="n"/>
      <c r="I14" s="25" t="n"/>
      <c r="J14" s="25" t="n"/>
      <c r="K14" s="25" t="n"/>
      <c r="L14" s="25" t="n"/>
      <c r="M14" s="25" t="n"/>
      <c r="N14" s="25" t="n"/>
      <c r="O14" s="25" t="n"/>
      <c r="P14" s="25" t="n"/>
      <c r="Q14" s="25" t="n"/>
      <c r="R14" s="25" t="n"/>
      <c r="S14" s="25" t="n"/>
      <c r="T14" s="25" t="n"/>
      <c r="U14" s="25" t="n"/>
      <c r="V14" s="25" t="n"/>
      <c r="W14" s="25" t="n"/>
      <c r="X14" s="25" t="n"/>
      <c r="Y14" s="25" t="n"/>
      <c r="Z14" s="25" t="n"/>
      <c r="AA14" s="25" t="n"/>
      <c r="AB14" s="25" t="n"/>
      <c r="AC14" s="25" t="n"/>
      <c r="AD14" s="25" t="n"/>
      <c r="AE14" s="25" t="n"/>
      <c r="AF14" s="25" t="n"/>
      <c r="AG14" s="25" t="n"/>
      <c r="AH14" s="25" t="n"/>
      <c r="AI14" s="25" t="n"/>
      <c r="AJ14" s="25" t="n"/>
      <c r="AK14" s="25" t="n"/>
      <c r="AL14" s="25" t="n"/>
      <c r="AM14" s="25" t="n"/>
      <c r="AN14" s="25" t="n"/>
      <c r="AO14" s="25" t="n"/>
      <c r="AP14" s="25" t="n"/>
      <c r="AQ14" s="25" t="n"/>
      <c r="AR14" s="25" t="n"/>
      <c r="AS14" s="25" t="n"/>
      <c r="AT14" s="25" t="n"/>
      <c r="AU14" s="25" t="n"/>
      <c r="AV14" s="25" t="n"/>
      <c r="AW14" s="25" t="n"/>
      <c r="AX14" s="25" t="n"/>
      <c r="AY14" s="25" t="n"/>
      <c r="AZ14" s="25" t="n"/>
      <c r="BA14" s="25" t="n"/>
      <c r="BB14" s="25" t="n"/>
      <c r="BC14" s="25" t="n"/>
      <c r="BD14" s="25" t="n"/>
    </row>
    <row r="15">
      <c r="A15" s="24" t="n">
        <v>11</v>
      </c>
      <c r="B15" s="24">
        <f>IF(Employees!B15="","",Employees!B15)</f>
        <v/>
      </c>
      <c r="C15" s="24">
        <f>IF(Employees!B15="","",N(Employees!H15))</f>
        <v/>
      </c>
      <c r="D15" s="25" t="n"/>
      <c r="E15" s="25" t="n"/>
      <c r="F15" s="25" t="n"/>
      <c r="G15" s="25" t="n"/>
      <c r="H15" s="25" t="n"/>
      <c r="I15" s="25" t="n"/>
      <c r="J15" s="25" t="n"/>
      <c r="K15" s="25" t="n"/>
      <c r="L15" s="25" t="n"/>
      <c r="M15" s="25" t="n"/>
      <c r="N15" s="25" t="n"/>
      <c r="O15" s="25" t="n"/>
      <c r="P15" s="25" t="n"/>
      <c r="Q15" s="25" t="n"/>
      <c r="R15" s="25" t="n"/>
      <c r="S15" s="25" t="n"/>
      <c r="T15" s="25" t="n"/>
      <c r="U15" s="25" t="n"/>
      <c r="V15" s="25" t="n"/>
      <c r="W15" s="25" t="n"/>
      <c r="X15" s="25" t="n"/>
      <c r="Y15" s="25" t="n"/>
      <c r="Z15" s="25" t="n"/>
      <c r="AA15" s="25" t="n"/>
      <c r="AB15" s="25" t="n"/>
      <c r="AC15" s="25" t="n"/>
      <c r="AD15" s="25" t="n"/>
      <c r="AE15" s="25" t="n"/>
      <c r="AF15" s="25" t="n"/>
      <c r="AG15" s="25" t="n"/>
      <c r="AH15" s="25" t="n"/>
      <c r="AI15" s="25" t="n"/>
      <c r="AJ15" s="25" t="n"/>
      <c r="AK15" s="25" t="n"/>
      <c r="AL15" s="25" t="n"/>
      <c r="AM15" s="25" t="n"/>
      <c r="AN15" s="25" t="n"/>
      <c r="AO15" s="25" t="n"/>
      <c r="AP15" s="25" t="n"/>
      <c r="AQ15" s="25" t="n"/>
      <c r="AR15" s="25" t="n"/>
      <c r="AS15" s="25" t="n"/>
      <c r="AT15" s="25" t="n"/>
      <c r="AU15" s="25" t="n"/>
      <c r="AV15" s="25" t="n"/>
      <c r="AW15" s="25" t="n"/>
      <c r="AX15" s="25" t="n"/>
      <c r="AY15" s="25" t="n"/>
      <c r="AZ15" s="25" t="n"/>
      <c r="BA15" s="25" t="n"/>
      <c r="BB15" s="25" t="n"/>
      <c r="BC15" s="25" t="n"/>
      <c r="BD15" s="25" t="n"/>
    </row>
    <row r="16">
      <c r="A16" s="24" t="n">
        <v>12</v>
      </c>
      <c r="B16" s="24">
        <f>IF(Employees!B16="","",Employees!B16)</f>
        <v/>
      </c>
      <c r="C16" s="24">
        <f>IF(Employees!B16="","",N(Employees!H16))</f>
        <v/>
      </c>
      <c r="D16" s="25" t="n"/>
      <c r="E16" s="25" t="n"/>
      <c r="F16" s="25" t="n"/>
      <c r="G16" s="25" t="n"/>
      <c r="H16" s="25" t="n"/>
      <c r="I16" s="25" t="n"/>
      <c r="J16" s="25" t="n"/>
      <c r="K16" s="25" t="n"/>
      <c r="L16" s="25" t="n"/>
      <c r="M16" s="25" t="n"/>
      <c r="N16" s="25" t="n"/>
      <c r="O16" s="25" t="n"/>
      <c r="P16" s="25" t="n"/>
      <c r="Q16" s="25" t="n"/>
      <c r="R16" s="25" t="n"/>
      <c r="S16" s="25" t="n"/>
      <c r="T16" s="25" t="n"/>
      <c r="U16" s="25" t="n"/>
      <c r="V16" s="25" t="n"/>
      <c r="W16" s="25" t="n"/>
      <c r="X16" s="25" t="n"/>
      <c r="Y16" s="25" t="n"/>
      <c r="Z16" s="25" t="n"/>
      <c r="AA16" s="25" t="n"/>
      <c r="AB16" s="25" t="n"/>
      <c r="AC16" s="25" t="n"/>
      <c r="AD16" s="25" t="n"/>
      <c r="AE16" s="25" t="n"/>
      <c r="AF16" s="25" t="n"/>
      <c r="AG16" s="25" t="n"/>
      <c r="AH16" s="25" t="n"/>
      <c r="AI16" s="25" t="n"/>
      <c r="AJ16" s="25" t="n"/>
      <c r="AK16" s="25" t="n"/>
      <c r="AL16" s="25" t="n"/>
      <c r="AM16" s="25" t="n"/>
      <c r="AN16" s="25" t="n"/>
      <c r="AO16" s="25" t="n"/>
      <c r="AP16" s="25" t="n"/>
      <c r="AQ16" s="25" t="n"/>
      <c r="AR16" s="25" t="n"/>
      <c r="AS16" s="25" t="n"/>
      <c r="AT16" s="25" t="n"/>
      <c r="AU16" s="25" t="n"/>
      <c r="AV16" s="25" t="n"/>
      <c r="AW16" s="25" t="n"/>
      <c r="AX16" s="25" t="n"/>
      <c r="AY16" s="25" t="n"/>
      <c r="AZ16" s="25" t="n"/>
      <c r="BA16" s="25" t="n"/>
      <c r="BB16" s="25" t="n"/>
      <c r="BC16" s="25" t="n"/>
      <c r="BD16" s="25" t="n"/>
    </row>
    <row r="17">
      <c r="A17" s="24" t="n">
        <v>13</v>
      </c>
      <c r="B17" s="24">
        <f>IF(Employees!B17="","",Employees!B17)</f>
        <v/>
      </c>
      <c r="C17" s="24">
        <f>IF(Employees!B17="","",N(Employees!H17))</f>
        <v/>
      </c>
      <c r="D17" s="25" t="n"/>
      <c r="E17" s="25" t="n"/>
      <c r="F17" s="25" t="n"/>
      <c r="G17" s="25" t="n"/>
      <c r="H17" s="25" t="n"/>
      <c r="I17" s="25" t="n"/>
      <c r="J17" s="25" t="n"/>
      <c r="K17" s="25" t="n"/>
      <c r="L17" s="25" t="n"/>
      <c r="M17" s="25" t="n"/>
      <c r="N17" s="25" t="n"/>
      <c r="O17" s="25" t="n"/>
      <c r="P17" s="25" t="n"/>
      <c r="Q17" s="25" t="n"/>
      <c r="R17" s="25" t="n"/>
      <c r="S17" s="25" t="n"/>
      <c r="T17" s="25" t="n"/>
      <c r="U17" s="25" t="n"/>
      <c r="V17" s="25" t="n"/>
      <c r="W17" s="25" t="n"/>
      <c r="X17" s="25" t="n"/>
      <c r="Y17" s="25" t="n"/>
      <c r="Z17" s="25" t="n"/>
      <c r="AA17" s="25" t="n"/>
      <c r="AB17" s="25" t="n"/>
      <c r="AC17" s="25" t="n"/>
      <c r="AD17" s="25" t="n"/>
      <c r="AE17" s="25" t="n"/>
      <c r="AF17" s="25" t="n"/>
      <c r="AG17" s="25" t="n"/>
      <c r="AH17" s="25" t="n"/>
      <c r="AI17" s="25" t="n"/>
      <c r="AJ17" s="25" t="n"/>
      <c r="AK17" s="25" t="n"/>
      <c r="AL17" s="25" t="n"/>
      <c r="AM17" s="25" t="n"/>
      <c r="AN17" s="25" t="n"/>
      <c r="AO17" s="25" t="n"/>
      <c r="AP17" s="25" t="n"/>
      <c r="AQ17" s="25" t="n"/>
      <c r="AR17" s="25" t="n"/>
      <c r="AS17" s="25" t="n"/>
      <c r="AT17" s="25" t="n"/>
      <c r="AU17" s="25" t="n"/>
      <c r="AV17" s="25" t="n"/>
      <c r="AW17" s="25" t="n"/>
      <c r="AX17" s="25" t="n"/>
      <c r="AY17" s="25" t="n"/>
      <c r="AZ17" s="25" t="n"/>
      <c r="BA17" s="25" t="n"/>
      <c r="BB17" s="25" t="n"/>
      <c r="BC17" s="25" t="n"/>
      <c r="BD17" s="25" t="n"/>
    </row>
    <row r="18">
      <c r="A18" s="24" t="n">
        <v>14</v>
      </c>
      <c r="B18" s="24">
        <f>IF(Employees!B18="","",Employees!B18)</f>
        <v/>
      </c>
      <c r="C18" s="24">
        <f>IF(Employees!B18="","",N(Employees!H18))</f>
        <v/>
      </c>
      <c r="D18" s="25" t="n"/>
      <c r="E18" s="25" t="n"/>
      <c r="F18" s="25" t="n"/>
      <c r="G18" s="25" t="n"/>
      <c r="H18" s="25" t="n"/>
      <c r="I18" s="25" t="n"/>
      <c r="J18" s="25" t="n"/>
      <c r="K18" s="25" t="n"/>
      <c r="L18" s="25" t="n"/>
      <c r="M18" s="25" t="n"/>
      <c r="N18" s="25" t="n"/>
      <c r="O18" s="25" t="n"/>
      <c r="P18" s="25" t="n"/>
      <c r="Q18" s="25" t="n"/>
      <c r="R18" s="25" t="n"/>
      <c r="S18" s="25" t="n"/>
      <c r="T18" s="25" t="n"/>
      <c r="U18" s="25" t="n"/>
      <c r="V18" s="25" t="n"/>
      <c r="W18" s="25" t="n"/>
      <c r="X18" s="25" t="n"/>
      <c r="Y18" s="25" t="n"/>
      <c r="Z18" s="25" t="n"/>
      <c r="AA18" s="25" t="n"/>
      <c r="AB18" s="25" t="n"/>
      <c r="AC18" s="25" t="n"/>
      <c r="AD18" s="25" t="n"/>
      <c r="AE18" s="25" t="n"/>
      <c r="AF18" s="25" t="n"/>
      <c r="AG18" s="25" t="n"/>
      <c r="AH18" s="25" t="n"/>
      <c r="AI18" s="25" t="n"/>
      <c r="AJ18" s="25" t="n"/>
      <c r="AK18" s="25" t="n"/>
      <c r="AL18" s="25" t="n"/>
      <c r="AM18" s="25" t="n"/>
      <c r="AN18" s="25" t="n"/>
      <c r="AO18" s="25" t="n"/>
      <c r="AP18" s="25" t="n"/>
      <c r="AQ18" s="25" t="n"/>
      <c r="AR18" s="25" t="n"/>
      <c r="AS18" s="25" t="n"/>
      <c r="AT18" s="25" t="n"/>
      <c r="AU18" s="25" t="n"/>
      <c r="AV18" s="25" t="n"/>
      <c r="AW18" s="25" t="n"/>
      <c r="AX18" s="25" t="n"/>
      <c r="AY18" s="25" t="n"/>
      <c r="AZ18" s="25" t="n"/>
      <c r="BA18" s="25" t="n"/>
      <c r="BB18" s="25" t="n"/>
      <c r="BC18" s="25" t="n"/>
      <c r="BD18" s="25" t="n"/>
    </row>
    <row r="19">
      <c r="A19" s="24" t="n">
        <v>15</v>
      </c>
      <c r="B19" s="24">
        <f>IF(Employees!B19="","",Employees!B19)</f>
        <v/>
      </c>
      <c r="C19" s="24">
        <f>IF(Employees!B19="","",N(Employees!H19))</f>
        <v/>
      </c>
      <c r="D19" s="25" t="n"/>
      <c r="E19" s="25" t="n"/>
      <c r="F19" s="25" t="n"/>
      <c r="G19" s="25" t="n"/>
      <c r="H19" s="25" t="n"/>
      <c r="I19" s="25" t="n"/>
      <c r="J19" s="25" t="n"/>
      <c r="K19" s="25" t="n"/>
      <c r="L19" s="25" t="n"/>
      <c r="M19" s="25" t="n"/>
      <c r="N19" s="25" t="n"/>
      <c r="O19" s="25" t="n"/>
      <c r="P19" s="25" t="n"/>
      <c r="Q19" s="25" t="n"/>
      <c r="R19" s="25" t="n"/>
      <c r="S19" s="25" t="n"/>
      <c r="T19" s="25" t="n"/>
      <c r="U19" s="25" t="n"/>
      <c r="V19" s="25" t="n"/>
      <c r="W19" s="25" t="n"/>
      <c r="X19" s="25" t="n"/>
      <c r="Y19" s="25" t="n"/>
      <c r="Z19" s="25" t="n"/>
      <c r="AA19" s="25" t="n"/>
      <c r="AB19" s="25" t="n"/>
      <c r="AC19" s="25" t="n"/>
      <c r="AD19" s="25" t="n"/>
      <c r="AE19" s="25" t="n"/>
      <c r="AF19" s="25" t="n"/>
      <c r="AG19" s="25" t="n"/>
      <c r="AH19" s="25" t="n"/>
      <c r="AI19" s="25" t="n"/>
      <c r="AJ19" s="25" t="n"/>
      <c r="AK19" s="25" t="n"/>
      <c r="AL19" s="25" t="n"/>
      <c r="AM19" s="25" t="n"/>
      <c r="AN19" s="25" t="n"/>
      <c r="AO19" s="25" t="n"/>
      <c r="AP19" s="25" t="n"/>
      <c r="AQ19" s="25" t="n"/>
      <c r="AR19" s="25" t="n"/>
      <c r="AS19" s="25" t="n"/>
      <c r="AT19" s="25" t="n"/>
      <c r="AU19" s="25" t="n"/>
      <c r="AV19" s="25" t="n"/>
      <c r="AW19" s="25" t="n"/>
      <c r="AX19" s="25" t="n"/>
      <c r="AY19" s="25" t="n"/>
      <c r="AZ19" s="25" t="n"/>
      <c r="BA19" s="25" t="n"/>
      <c r="BB19" s="25" t="n"/>
      <c r="BC19" s="25" t="n"/>
      <c r="BD19" s="25" t="n"/>
    </row>
    <row r="20">
      <c r="A20" s="24" t="n">
        <v>16</v>
      </c>
      <c r="B20" s="24">
        <f>IF(Employees!B20="","",Employees!B20)</f>
        <v/>
      </c>
      <c r="C20" s="24">
        <f>IF(Employees!B20="","",N(Employees!H20))</f>
        <v/>
      </c>
      <c r="D20" s="25" t="n"/>
      <c r="E20" s="25" t="n"/>
      <c r="F20" s="25" t="n"/>
      <c r="G20" s="25" t="n"/>
      <c r="H20" s="25" t="n"/>
      <c r="I20" s="25" t="n"/>
      <c r="J20" s="25" t="n"/>
      <c r="K20" s="25" t="n"/>
      <c r="L20" s="25" t="n"/>
      <c r="M20" s="25" t="n"/>
      <c r="N20" s="25" t="n"/>
      <c r="O20" s="25" t="n"/>
      <c r="P20" s="25" t="n"/>
      <c r="Q20" s="25" t="n"/>
      <c r="R20" s="25" t="n"/>
      <c r="S20" s="25" t="n"/>
      <c r="T20" s="25" t="n"/>
      <c r="U20" s="25" t="n"/>
      <c r="V20" s="25" t="n"/>
      <c r="W20" s="25" t="n"/>
      <c r="X20" s="25" t="n"/>
      <c r="Y20" s="25" t="n"/>
      <c r="Z20" s="25" t="n"/>
      <c r="AA20" s="25" t="n"/>
      <c r="AB20" s="25" t="n"/>
      <c r="AC20" s="25" t="n"/>
      <c r="AD20" s="25" t="n"/>
      <c r="AE20" s="25" t="n"/>
      <c r="AF20" s="25" t="n"/>
      <c r="AG20" s="25" t="n"/>
      <c r="AH20" s="25" t="n"/>
      <c r="AI20" s="25" t="n"/>
      <c r="AJ20" s="25" t="n"/>
      <c r="AK20" s="25" t="n"/>
      <c r="AL20" s="25" t="n"/>
      <c r="AM20" s="25" t="n"/>
      <c r="AN20" s="25" t="n"/>
      <c r="AO20" s="25" t="n"/>
      <c r="AP20" s="25" t="n"/>
      <c r="AQ20" s="25" t="n"/>
      <c r="AR20" s="25" t="n"/>
      <c r="AS20" s="25" t="n"/>
      <c r="AT20" s="25" t="n"/>
      <c r="AU20" s="25" t="n"/>
      <c r="AV20" s="25" t="n"/>
      <c r="AW20" s="25" t="n"/>
      <c r="AX20" s="25" t="n"/>
      <c r="AY20" s="25" t="n"/>
      <c r="AZ20" s="25" t="n"/>
      <c r="BA20" s="25" t="n"/>
      <c r="BB20" s="25" t="n"/>
      <c r="BC20" s="25" t="n"/>
      <c r="BD20" s="25" t="n"/>
    </row>
    <row r="21">
      <c r="A21" s="24" t="n">
        <v>17</v>
      </c>
      <c r="B21" s="24">
        <f>IF(Employees!B21="","",Employees!B21)</f>
        <v/>
      </c>
      <c r="C21" s="24">
        <f>IF(Employees!B21="","",N(Employees!H21))</f>
        <v/>
      </c>
      <c r="D21" s="25" t="n"/>
      <c r="E21" s="25" t="n"/>
      <c r="F21" s="25" t="n"/>
      <c r="G21" s="25" t="n"/>
      <c r="H21" s="25" t="n"/>
      <c r="I21" s="25" t="n"/>
      <c r="J21" s="25" t="n"/>
      <c r="K21" s="25" t="n"/>
      <c r="L21" s="25" t="n"/>
      <c r="M21" s="25" t="n"/>
      <c r="N21" s="25" t="n"/>
      <c r="O21" s="25" t="n"/>
      <c r="P21" s="25" t="n"/>
      <c r="Q21" s="25" t="n"/>
      <c r="R21" s="25" t="n"/>
      <c r="S21" s="25" t="n"/>
      <c r="T21" s="25" t="n"/>
      <c r="U21" s="25" t="n"/>
      <c r="V21" s="25" t="n"/>
      <c r="W21" s="25" t="n"/>
      <c r="X21" s="25" t="n"/>
      <c r="Y21" s="25" t="n"/>
      <c r="Z21" s="25" t="n"/>
      <c r="AA21" s="25" t="n"/>
      <c r="AB21" s="25" t="n"/>
      <c r="AC21" s="25" t="n"/>
      <c r="AD21" s="25" t="n"/>
      <c r="AE21" s="25" t="n"/>
      <c r="AF21" s="25" t="n"/>
      <c r="AG21" s="25" t="n"/>
      <c r="AH21" s="25" t="n"/>
      <c r="AI21" s="25" t="n"/>
      <c r="AJ21" s="25" t="n"/>
      <c r="AK21" s="25" t="n"/>
      <c r="AL21" s="25" t="n"/>
      <c r="AM21" s="25" t="n"/>
      <c r="AN21" s="25" t="n"/>
      <c r="AO21" s="25" t="n"/>
      <c r="AP21" s="25" t="n"/>
      <c r="AQ21" s="25" t="n"/>
      <c r="AR21" s="25" t="n"/>
      <c r="AS21" s="25" t="n"/>
      <c r="AT21" s="25" t="n"/>
      <c r="AU21" s="25" t="n"/>
      <c r="AV21" s="25" t="n"/>
      <c r="AW21" s="25" t="n"/>
      <c r="AX21" s="25" t="n"/>
      <c r="AY21" s="25" t="n"/>
      <c r="AZ21" s="25" t="n"/>
      <c r="BA21" s="25" t="n"/>
      <c r="BB21" s="25" t="n"/>
      <c r="BC21" s="25" t="n"/>
      <c r="BD21" s="25" t="n"/>
    </row>
    <row r="22">
      <c r="A22" s="24" t="n">
        <v>18</v>
      </c>
      <c r="B22" s="24">
        <f>IF(Employees!B22="","",Employees!B22)</f>
        <v/>
      </c>
      <c r="C22" s="24">
        <f>IF(Employees!B22="","",N(Employees!H22))</f>
        <v/>
      </c>
      <c r="D22" s="25" t="n"/>
      <c r="E22" s="25" t="n"/>
      <c r="F22" s="25" t="n"/>
      <c r="G22" s="25" t="n"/>
      <c r="H22" s="25" t="n"/>
      <c r="I22" s="25" t="n"/>
      <c r="J22" s="25" t="n"/>
      <c r="K22" s="25" t="n"/>
      <c r="L22" s="25" t="n"/>
      <c r="M22" s="25" t="n"/>
      <c r="N22" s="25" t="n"/>
      <c r="O22" s="25" t="n"/>
      <c r="P22" s="25" t="n"/>
      <c r="Q22" s="25" t="n"/>
      <c r="R22" s="25" t="n"/>
      <c r="S22" s="25" t="n"/>
      <c r="T22" s="25" t="n"/>
      <c r="U22" s="25" t="n"/>
      <c r="V22" s="25" t="n"/>
      <c r="W22" s="25" t="n"/>
      <c r="X22" s="25" t="n"/>
      <c r="Y22" s="25" t="n"/>
      <c r="Z22" s="25" t="n"/>
      <c r="AA22" s="25" t="n"/>
      <c r="AB22" s="25" t="n"/>
      <c r="AC22" s="25" t="n"/>
      <c r="AD22" s="25" t="n"/>
      <c r="AE22" s="25" t="n"/>
      <c r="AF22" s="25" t="n"/>
      <c r="AG22" s="25" t="n"/>
      <c r="AH22" s="25" t="n"/>
      <c r="AI22" s="25" t="n"/>
      <c r="AJ22" s="25" t="n"/>
      <c r="AK22" s="25" t="n"/>
      <c r="AL22" s="25" t="n"/>
      <c r="AM22" s="25" t="n"/>
      <c r="AN22" s="25" t="n"/>
      <c r="AO22" s="25" t="n"/>
      <c r="AP22" s="25" t="n"/>
      <c r="AQ22" s="25" t="n"/>
      <c r="AR22" s="25" t="n"/>
      <c r="AS22" s="25" t="n"/>
      <c r="AT22" s="25" t="n"/>
      <c r="AU22" s="25" t="n"/>
      <c r="AV22" s="25" t="n"/>
      <c r="AW22" s="25" t="n"/>
      <c r="AX22" s="25" t="n"/>
      <c r="AY22" s="25" t="n"/>
      <c r="AZ22" s="25" t="n"/>
      <c r="BA22" s="25" t="n"/>
      <c r="BB22" s="25" t="n"/>
      <c r="BC22" s="25" t="n"/>
      <c r="BD22" s="25" t="n"/>
    </row>
    <row r="23">
      <c r="A23" s="24" t="n">
        <v>19</v>
      </c>
      <c r="B23" s="24">
        <f>IF(Employees!B23="","",Employees!B23)</f>
        <v/>
      </c>
      <c r="C23" s="24">
        <f>IF(Employees!B23="","",N(Employees!H23))</f>
        <v/>
      </c>
      <c r="D23" s="25" t="n"/>
      <c r="E23" s="25" t="n"/>
      <c r="F23" s="25" t="n"/>
      <c r="G23" s="25" t="n"/>
      <c r="H23" s="25" t="n"/>
      <c r="I23" s="25" t="n"/>
      <c r="J23" s="25" t="n"/>
      <c r="K23" s="25" t="n"/>
      <c r="L23" s="25" t="n"/>
      <c r="M23" s="25" t="n"/>
      <c r="N23" s="25" t="n"/>
      <c r="O23" s="25" t="n"/>
      <c r="P23" s="25" t="n"/>
      <c r="Q23" s="25" t="n"/>
      <c r="R23" s="25" t="n"/>
      <c r="S23" s="25" t="n"/>
      <c r="T23" s="25" t="n"/>
      <c r="U23" s="25" t="n"/>
      <c r="V23" s="25" t="n"/>
      <c r="W23" s="25" t="n"/>
      <c r="X23" s="25" t="n"/>
      <c r="Y23" s="25" t="n"/>
      <c r="Z23" s="25" t="n"/>
      <c r="AA23" s="25" t="n"/>
      <c r="AB23" s="25" t="n"/>
      <c r="AC23" s="25" t="n"/>
      <c r="AD23" s="25" t="n"/>
      <c r="AE23" s="25" t="n"/>
      <c r="AF23" s="25" t="n"/>
      <c r="AG23" s="25" t="n"/>
      <c r="AH23" s="25" t="n"/>
      <c r="AI23" s="25" t="n"/>
      <c r="AJ23" s="25" t="n"/>
      <c r="AK23" s="25" t="n"/>
      <c r="AL23" s="25" t="n"/>
      <c r="AM23" s="25" t="n"/>
      <c r="AN23" s="25" t="n"/>
      <c r="AO23" s="25" t="n"/>
      <c r="AP23" s="25" t="n"/>
      <c r="AQ23" s="25" t="n"/>
      <c r="AR23" s="25" t="n"/>
      <c r="AS23" s="25" t="n"/>
      <c r="AT23" s="25" t="n"/>
      <c r="AU23" s="25" t="n"/>
      <c r="AV23" s="25" t="n"/>
      <c r="AW23" s="25" t="n"/>
      <c r="AX23" s="25" t="n"/>
      <c r="AY23" s="25" t="n"/>
      <c r="AZ23" s="25" t="n"/>
      <c r="BA23" s="25" t="n"/>
      <c r="BB23" s="25" t="n"/>
      <c r="BC23" s="25" t="n"/>
      <c r="BD23" s="25" t="n"/>
    </row>
    <row r="24">
      <c r="A24" s="24" t="n">
        <v>20</v>
      </c>
      <c r="B24" s="24">
        <f>IF(Employees!B24="","",Employees!B24)</f>
        <v/>
      </c>
      <c r="C24" s="24">
        <f>IF(Employees!B24="","",N(Employees!H24))</f>
        <v/>
      </c>
      <c r="D24" s="25" t="n"/>
      <c r="E24" s="25" t="n"/>
      <c r="F24" s="25" t="n"/>
      <c r="G24" s="25" t="n"/>
      <c r="H24" s="25" t="n"/>
      <c r="I24" s="25" t="n"/>
      <c r="J24" s="25" t="n"/>
      <c r="K24" s="25" t="n"/>
      <c r="L24" s="25" t="n"/>
      <c r="M24" s="25" t="n"/>
      <c r="N24" s="25" t="n"/>
      <c r="O24" s="25" t="n"/>
      <c r="P24" s="25" t="n"/>
      <c r="Q24" s="25" t="n"/>
      <c r="R24" s="25" t="n"/>
      <c r="S24" s="25" t="n"/>
      <c r="T24" s="25" t="n"/>
      <c r="U24" s="25" t="n"/>
      <c r="V24" s="25" t="n"/>
      <c r="W24" s="25" t="n"/>
      <c r="X24" s="25" t="n"/>
      <c r="Y24" s="25" t="n"/>
      <c r="Z24" s="25" t="n"/>
      <c r="AA24" s="25" t="n"/>
      <c r="AB24" s="25" t="n"/>
      <c r="AC24" s="25" t="n"/>
      <c r="AD24" s="25" t="n"/>
      <c r="AE24" s="25" t="n"/>
      <c r="AF24" s="25" t="n"/>
      <c r="AG24" s="25" t="n"/>
      <c r="AH24" s="25" t="n"/>
      <c r="AI24" s="25" t="n"/>
      <c r="AJ24" s="25" t="n"/>
      <c r="AK24" s="25" t="n"/>
      <c r="AL24" s="25" t="n"/>
      <c r="AM24" s="25" t="n"/>
      <c r="AN24" s="25" t="n"/>
      <c r="AO24" s="25" t="n"/>
      <c r="AP24" s="25" t="n"/>
      <c r="AQ24" s="25" t="n"/>
      <c r="AR24" s="25" t="n"/>
      <c r="AS24" s="25" t="n"/>
      <c r="AT24" s="25" t="n"/>
      <c r="AU24" s="25" t="n"/>
      <c r="AV24" s="25" t="n"/>
      <c r="AW24" s="25" t="n"/>
      <c r="AX24" s="25" t="n"/>
      <c r="AY24" s="25" t="n"/>
      <c r="AZ24" s="25" t="n"/>
      <c r="BA24" s="25" t="n"/>
      <c r="BB24" s="25" t="n"/>
      <c r="BC24" s="25" t="n"/>
      <c r="BD24" s="25" t="n"/>
    </row>
    <row r="25">
      <c r="A25" s="24" t="n">
        <v>21</v>
      </c>
      <c r="B25" s="24">
        <f>IF(Employees!B25="","",Employees!B25)</f>
        <v/>
      </c>
      <c r="C25" s="24">
        <f>IF(Employees!B25="","",N(Employees!H25))</f>
        <v/>
      </c>
      <c r="D25" s="25" t="n"/>
      <c r="E25" s="25" t="n"/>
      <c r="F25" s="25" t="n"/>
      <c r="G25" s="25" t="n"/>
      <c r="H25" s="25" t="n"/>
      <c r="I25" s="25" t="n"/>
      <c r="J25" s="25" t="n"/>
      <c r="K25" s="25" t="n"/>
      <c r="L25" s="25" t="n"/>
      <c r="M25" s="25" t="n"/>
      <c r="N25" s="25" t="n"/>
      <c r="O25" s="25" t="n"/>
      <c r="P25" s="25" t="n"/>
      <c r="Q25" s="25" t="n"/>
      <c r="R25" s="25" t="n"/>
      <c r="S25" s="25" t="n"/>
      <c r="T25" s="25" t="n"/>
      <c r="U25" s="25" t="n"/>
      <c r="V25" s="25" t="n"/>
      <c r="W25" s="25" t="n"/>
      <c r="X25" s="25" t="n"/>
      <c r="Y25" s="25" t="n"/>
      <c r="Z25" s="25" t="n"/>
      <c r="AA25" s="25" t="n"/>
      <c r="AB25" s="25" t="n"/>
      <c r="AC25" s="25" t="n"/>
      <c r="AD25" s="25" t="n"/>
      <c r="AE25" s="25" t="n"/>
      <c r="AF25" s="25" t="n"/>
      <c r="AG25" s="25" t="n"/>
      <c r="AH25" s="25" t="n"/>
      <c r="AI25" s="25" t="n"/>
      <c r="AJ25" s="25" t="n"/>
      <c r="AK25" s="25" t="n"/>
      <c r="AL25" s="25" t="n"/>
      <c r="AM25" s="25" t="n"/>
      <c r="AN25" s="25" t="n"/>
      <c r="AO25" s="25" t="n"/>
      <c r="AP25" s="25" t="n"/>
      <c r="AQ25" s="25" t="n"/>
      <c r="AR25" s="25" t="n"/>
      <c r="AS25" s="25" t="n"/>
      <c r="AT25" s="25" t="n"/>
      <c r="AU25" s="25" t="n"/>
      <c r="AV25" s="25" t="n"/>
      <c r="AW25" s="25" t="n"/>
      <c r="AX25" s="25" t="n"/>
      <c r="AY25" s="25" t="n"/>
      <c r="AZ25" s="25" t="n"/>
      <c r="BA25" s="25" t="n"/>
      <c r="BB25" s="25" t="n"/>
      <c r="BC25" s="25" t="n"/>
      <c r="BD25" s="25" t="n"/>
    </row>
    <row r="26">
      <c r="A26" s="24" t="n">
        <v>22</v>
      </c>
      <c r="B26" s="24">
        <f>IF(Employees!B26="","",Employees!B26)</f>
        <v/>
      </c>
      <c r="C26" s="24">
        <f>IF(Employees!B26="","",N(Employees!H26))</f>
        <v/>
      </c>
      <c r="D26" s="25" t="n"/>
      <c r="E26" s="25" t="n"/>
      <c r="F26" s="25" t="n"/>
      <c r="G26" s="25" t="n"/>
      <c r="H26" s="25" t="n"/>
      <c r="I26" s="25" t="n"/>
      <c r="J26" s="25" t="n"/>
      <c r="K26" s="25" t="n"/>
      <c r="L26" s="25" t="n"/>
      <c r="M26" s="25" t="n"/>
      <c r="N26" s="25" t="n"/>
      <c r="O26" s="25" t="n"/>
      <c r="P26" s="25" t="n"/>
      <c r="Q26" s="25" t="n"/>
      <c r="R26" s="25" t="n"/>
      <c r="S26" s="25" t="n"/>
      <c r="T26" s="25" t="n"/>
      <c r="U26" s="25" t="n"/>
      <c r="V26" s="25" t="n"/>
      <c r="W26" s="25" t="n"/>
      <c r="X26" s="25" t="n"/>
      <c r="Y26" s="25" t="n"/>
      <c r="Z26" s="25" t="n"/>
      <c r="AA26" s="25" t="n"/>
      <c r="AB26" s="25" t="n"/>
      <c r="AC26" s="25" t="n"/>
      <c r="AD26" s="25" t="n"/>
      <c r="AE26" s="25" t="n"/>
      <c r="AF26" s="25" t="n"/>
      <c r="AG26" s="25" t="n"/>
      <c r="AH26" s="25" t="n"/>
      <c r="AI26" s="25" t="n"/>
      <c r="AJ26" s="25" t="n"/>
      <c r="AK26" s="25" t="n"/>
      <c r="AL26" s="25" t="n"/>
      <c r="AM26" s="25" t="n"/>
      <c r="AN26" s="25" t="n"/>
      <c r="AO26" s="25" t="n"/>
      <c r="AP26" s="25" t="n"/>
      <c r="AQ26" s="25" t="n"/>
      <c r="AR26" s="25" t="n"/>
      <c r="AS26" s="25" t="n"/>
      <c r="AT26" s="25" t="n"/>
      <c r="AU26" s="25" t="n"/>
      <c r="AV26" s="25" t="n"/>
      <c r="AW26" s="25" t="n"/>
      <c r="AX26" s="25" t="n"/>
      <c r="AY26" s="25" t="n"/>
      <c r="AZ26" s="25" t="n"/>
      <c r="BA26" s="25" t="n"/>
      <c r="BB26" s="25" t="n"/>
      <c r="BC26" s="25" t="n"/>
      <c r="BD26" s="25" t="n"/>
    </row>
    <row r="27">
      <c r="A27" s="24" t="n">
        <v>23</v>
      </c>
      <c r="B27" s="24">
        <f>IF(Employees!B27="","",Employees!B27)</f>
        <v/>
      </c>
      <c r="C27" s="24">
        <f>IF(Employees!B27="","",N(Employees!H27))</f>
        <v/>
      </c>
      <c r="D27" s="25" t="n"/>
      <c r="E27" s="25" t="n"/>
      <c r="F27" s="25" t="n"/>
      <c r="G27" s="25" t="n"/>
      <c r="H27" s="25" t="n"/>
      <c r="I27" s="25" t="n"/>
      <c r="J27" s="25" t="n"/>
      <c r="K27" s="25" t="n"/>
      <c r="L27" s="25" t="n"/>
      <c r="M27" s="25" t="n"/>
      <c r="N27" s="25" t="n"/>
      <c r="O27" s="25" t="n"/>
      <c r="P27" s="25" t="n"/>
      <c r="Q27" s="25" t="n"/>
      <c r="R27" s="25" t="n"/>
      <c r="S27" s="25" t="n"/>
      <c r="T27" s="25" t="n"/>
      <c r="U27" s="25" t="n"/>
      <c r="V27" s="25" t="n"/>
      <c r="W27" s="25" t="n"/>
      <c r="X27" s="25" t="n"/>
      <c r="Y27" s="25" t="n"/>
      <c r="Z27" s="25" t="n"/>
      <c r="AA27" s="25" t="n"/>
      <c r="AB27" s="25" t="n"/>
      <c r="AC27" s="25" t="n"/>
      <c r="AD27" s="25" t="n"/>
      <c r="AE27" s="25" t="n"/>
      <c r="AF27" s="25" t="n"/>
      <c r="AG27" s="25" t="n"/>
      <c r="AH27" s="25" t="n"/>
      <c r="AI27" s="25" t="n"/>
      <c r="AJ27" s="25" t="n"/>
      <c r="AK27" s="25" t="n"/>
      <c r="AL27" s="25" t="n"/>
      <c r="AM27" s="25" t="n"/>
      <c r="AN27" s="25" t="n"/>
      <c r="AO27" s="25" t="n"/>
      <c r="AP27" s="25" t="n"/>
      <c r="AQ27" s="25" t="n"/>
      <c r="AR27" s="25" t="n"/>
      <c r="AS27" s="25" t="n"/>
      <c r="AT27" s="25" t="n"/>
      <c r="AU27" s="25" t="n"/>
      <c r="AV27" s="25" t="n"/>
      <c r="AW27" s="25" t="n"/>
      <c r="AX27" s="25" t="n"/>
      <c r="AY27" s="25" t="n"/>
      <c r="AZ27" s="25" t="n"/>
      <c r="BA27" s="25" t="n"/>
      <c r="BB27" s="25" t="n"/>
      <c r="BC27" s="25" t="n"/>
      <c r="BD27" s="25" t="n"/>
    </row>
    <row r="28">
      <c r="A28" s="24" t="n">
        <v>24</v>
      </c>
      <c r="B28" s="24">
        <f>IF(Employees!B28="","",Employees!B28)</f>
        <v/>
      </c>
      <c r="C28" s="24">
        <f>IF(Employees!B28="","",N(Employees!H28))</f>
        <v/>
      </c>
      <c r="D28" s="25" t="n"/>
      <c r="E28" s="25" t="n"/>
      <c r="F28" s="25" t="n"/>
      <c r="G28" s="25" t="n"/>
      <c r="H28" s="25" t="n"/>
      <c r="I28" s="25" t="n"/>
      <c r="J28" s="25" t="n"/>
      <c r="K28" s="25" t="n"/>
      <c r="L28" s="25" t="n"/>
      <c r="M28" s="25" t="n"/>
      <c r="N28" s="25" t="n"/>
      <c r="O28" s="25" t="n"/>
      <c r="P28" s="25" t="n"/>
      <c r="Q28" s="25" t="n"/>
      <c r="R28" s="25" t="n"/>
      <c r="S28" s="25" t="n"/>
      <c r="T28" s="25" t="n"/>
      <c r="U28" s="25" t="n"/>
      <c r="V28" s="25" t="n"/>
      <c r="W28" s="25" t="n"/>
      <c r="X28" s="25" t="n"/>
      <c r="Y28" s="25" t="n"/>
      <c r="Z28" s="25" t="n"/>
      <c r="AA28" s="25" t="n"/>
      <c r="AB28" s="25" t="n"/>
      <c r="AC28" s="25" t="n"/>
      <c r="AD28" s="25" t="n"/>
      <c r="AE28" s="25" t="n"/>
      <c r="AF28" s="25" t="n"/>
      <c r="AG28" s="25" t="n"/>
      <c r="AH28" s="25" t="n"/>
      <c r="AI28" s="25" t="n"/>
      <c r="AJ28" s="25" t="n"/>
      <c r="AK28" s="25" t="n"/>
      <c r="AL28" s="25" t="n"/>
      <c r="AM28" s="25" t="n"/>
      <c r="AN28" s="25" t="n"/>
      <c r="AO28" s="25" t="n"/>
      <c r="AP28" s="25" t="n"/>
      <c r="AQ28" s="25" t="n"/>
      <c r="AR28" s="25" t="n"/>
      <c r="AS28" s="25" t="n"/>
      <c r="AT28" s="25" t="n"/>
      <c r="AU28" s="25" t="n"/>
      <c r="AV28" s="25" t="n"/>
      <c r="AW28" s="25" t="n"/>
      <c r="AX28" s="25" t="n"/>
      <c r="AY28" s="25" t="n"/>
      <c r="AZ28" s="25" t="n"/>
      <c r="BA28" s="25" t="n"/>
      <c r="BB28" s="25" t="n"/>
      <c r="BC28" s="25" t="n"/>
      <c r="BD28" s="25" t="n"/>
    </row>
    <row r="29">
      <c r="A29" s="24" t="n">
        <v>25</v>
      </c>
      <c r="B29" s="24">
        <f>IF(Employees!B29="","",Employees!B29)</f>
        <v/>
      </c>
      <c r="C29" s="24">
        <f>IF(Employees!B29="","",N(Employees!H29))</f>
        <v/>
      </c>
      <c r="D29" s="25" t="n"/>
      <c r="E29" s="25" t="n"/>
      <c r="F29" s="25" t="n"/>
      <c r="G29" s="25" t="n"/>
      <c r="H29" s="25" t="n"/>
      <c r="I29" s="25" t="n"/>
      <c r="J29" s="25" t="n"/>
      <c r="K29" s="25" t="n"/>
      <c r="L29" s="25" t="n"/>
      <c r="M29" s="25" t="n"/>
      <c r="N29" s="25" t="n"/>
      <c r="O29" s="25" t="n"/>
      <c r="P29" s="25" t="n"/>
      <c r="Q29" s="25" t="n"/>
      <c r="R29" s="25" t="n"/>
      <c r="S29" s="25" t="n"/>
      <c r="T29" s="25" t="n"/>
      <c r="U29" s="25" t="n"/>
      <c r="V29" s="25" t="n"/>
      <c r="W29" s="25" t="n"/>
      <c r="X29" s="25" t="n"/>
      <c r="Y29" s="25" t="n"/>
      <c r="Z29" s="25" t="n"/>
      <c r="AA29" s="25" t="n"/>
      <c r="AB29" s="25" t="n"/>
      <c r="AC29" s="25" t="n"/>
      <c r="AD29" s="25" t="n"/>
      <c r="AE29" s="25" t="n"/>
      <c r="AF29" s="25" t="n"/>
      <c r="AG29" s="25" t="n"/>
      <c r="AH29" s="25" t="n"/>
      <c r="AI29" s="25" t="n"/>
      <c r="AJ29" s="25" t="n"/>
      <c r="AK29" s="25" t="n"/>
      <c r="AL29" s="25" t="n"/>
      <c r="AM29" s="25" t="n"/>
      <c r="AN29" s="25" t="n"/>
      <c r="AO29" s="25" t="n"/>
      <c r="AP29" s="25" t="n"/>
      <c r="AQ29" s="25" t="n"/>
      <c r="AR29" s="25" t="n"/>
      <c r="AS29" s="25" t="n"/>
      <c r="AT29" s="25" t="n"/>
      <c r="AU29" s="25" t="n"/>
      <c r="AV29" s="25" t="n"/>
      <c r="AW29" s="25" t="n"/>
      <c r="AX29" s="25" t="n"/>
      <c r="AY29" s="25" t="n"/>
      <c r="AZ29" s="25" t="n"/>
      <c r="BA29" s="25" t="n"/>
      <c r="BB29" s="25" t="n"/>
      <c r="BC29" s="25" t="n"/>
      <c r="BD29" s="25" t="n"/>
    </row>
  </sheetData>
  <dataValidations count="1">
    <dataValidation sqref="D5:BD29" showDropDown="0" showInputMessage="0" showErrorMessage="0" allowBlank="1" type="decimal" operator="between">
      <formula1>0</formula1>
      <formula2>400</formula2>
    </dataValidation>
  </dataValidations>
  <printOptions horizontalCentered="1"/>
  <pageMargins left="0.4" right="0.4" top="0.5" bottom="0.5" header="0.5" footer="0.5"/>
  <pageSetup orientation="landscape" paperSize="1" fitToHeight="1" fitToWidth="1"/>
</worksheet>
</file>

<file path=xl/worksheets/sheet5.xml><?xml version="1.0" encoding="utf-8"?>
<worksheet xmlns="http://schemas.openxmlformats.org/spreadsheetml/2006/main">
  <sheetPr>
    <outlinePr summaryBelow="1" summaryRight="1"/>
    <pageSetUpPr fitToPage="1"/>
  </sheetPr>
  <dimension ref="A1:J504"/>
  <sheetViews>
    <sheetView showGridLines="0" workbookViewId="0">
      <pane ySplit="4" topLeftCell="A5" activePane="bottomLeft" state="frozen"/>
      <selection pane="bottomLeft" activeCell="A1" sqref="A1"/>
    </sheetView>
  </sheetViews>
  <sheetFormatPr baseColWidth="8" defaultRowHeight="15"/>
  <cols>
    <col width="20" customWidth="1" min="1" max="1"/>
    <col width="10" customWidth="1" min="2" max="2"/>
    <col width="13" customWidth="1" min="3" max="3"/>
    <col width="13" customWidth="1" min="4" max="4"/>
    <col width="11" customWidth="1" min="5" max="5"/>
    <col width="10" customWidth="1" min="6" max="6"/>
    <col width="10" customWidth="1" min="7" max="7"/>
    <col width="11" customWidth="1" min="8" max="8"/>
    <col width="26" customWidth="1" min="9" max="9"/>
    <col width="13" customWidth="1" min="10" max="10"/>
  </cols>
  <sheetData>
    <row r="1">
      <c r="A1" s="1" t="inlineStr">
        <is>
          <t>Time off log</t>
        </is>
      </c>
    </row>
    <row r="2">
      <c r="A2" s="2" t="inlineStr">
        <is>
          <t>One row per absence. Only 'Approved' rows are deducted. Leave 'Last day' blank for a single day; use 'Hours override' for half days.</t>
        </is>
      </c>
    </row>
    <row r="4" ht="32" customHeight="1">
      <c r="A4" s="8" t="inlineStr">
        <is>
          <t>Employee</t>
        </is>
      </c>
      <c r="B4" s="8" t="inlineStr">
        <is>
          <t>Type</t>
        </is>
      </c>
      <c r="C4" s="8" t="inlineStr">
        <is>
          <t>First day</t>
        </is>
      </c>
      <c r="D4" s="8" t="inlineStr">
        <is>
          <t>Last day</t>
        </is>
      </c>
      <c r="E4" s="8" t="inlineStr">
        <is>
          <t>Status</t>
        </is>
      </c>
      <c r="F4" s="8" t="inlineStr">
        <is>
          <t>Hours override</t>
        </is>
      </c>
      <c r="G4" s="8" t="inlineStr">
        <is>
          <t>Workdays (calc)</t>
        </is>
      </c>
      <c r="H4" s="8" t="inlineStr">
        <is>
          <t>Hours charged (calc)</t>
        </is>
      </c>
      <c r="I4" s="8" t="inlineStr">
        <is>
          <t>Note</t>
        </is>
      </c>
      <c r="J4" s="8" t="inlineStr">
        <is>
          <t>Last day (calc)</t>
        </is>
      </c>
    </row>
    <row r="5">
      <c r="A5" s="10" t="inlineStr">
        <is>
          <t>Amira Khan</t>
        </is>
      </c>
      <c r="B5" s="10" t="inlineStr">
        <is>
          <t>Sick</t>
        </is>
      </c>
      <c r="C5" s="12" t="n">
        <v>46056</v>
      </c>
      <c r="D5" s="12" t="n"/>
      <c r="E5" s="10" t="inlineStr">
        <is>
          <t>Approved</t>
        </is>
      </c>
      <c r="F5" s="11" t="n"/>
      <c r="G5" s="20">
        <f>IF(OR($A5="",$C5=""),"",NETWORKDAYS($C5,$J5,Holidays!$A$5:$A$40))</f>
        <v/>
      </c>
      <c r="H5" s="20">
        <f>IF(G5="","",IF($F5&lt;&gt;"",$F5,G5*IFERROR(IF(INDEX(Employees!$F$5:$F$29,MATCH($A5,Employees!$B$5:$B$29,0))="",Settings!$B$9,INDEX(Employees!$F$5:$F$29,MATCH($A5,Employees!$B$5:$B$29,0))),Settings!$B$9)))</f>
        <v/>
      </c>
      <c r="I5" s="10" t="inlineStr"/>
      <c r="J5" s="15">
        <f>IF($C5="","",IF($D5="",$C5,$D5))</f>
        <v/>
      </c>
    </row>
    <row r="6">
      <c r="A6" s="10" t="inlineStr">
        <is>
          <t>Amira Khan</t>
        </is>
      </c>
      <c r="B6" s="10" t="inlineStr">
        <is>
          <t>PTO</t>
        </is>
      </c>
      <c r="C6" s="12" t="n">
        <v>46097</v>
      </c>
      <c r="D6" s="12" t="n">
        <v>46101</v>
      </c>
      <c r="E6" s="10" t="inlineStr">
        <is>
          <t>Approved</t>
        </is>
      </c>
      <c r="F6" s="11" t="n"/>
      <c r="G6" s="20">
        <f>IF(OR($A6="",$C6=""),"",NETWORKDAYS($C6,$J6,Holidays!$A$5:$A$40))</f>
        <v/>
      </c>
      <c r="H6" s="20">
        <f>IF(G6="","",IF($F6&lt;&gt;"",$F6,G6*IFERROR(IF(INDEX(Employees!$F$5:$F$29,MATCH($A6,Employees!$B$5:$B$29,0))="",Settings!$B$9,INDEX(Employees!$F$5:$F$29,MATCH($A6,Employees!$B$5:$B$29,0))),Settings!$B$9)))</f>
        <v/>
      </c>
      <c r="I6" s="10" t="inlineStr">
        <is>
          <t>Spring break</t>
        </is>
      </c>
      <c r="J6" s="15">
        <f>IF($C6="","",IF($D6="",$C6,$D6))</f>
        <v/>
      </c>
    </row>
    <row r="7">
      <c r="A7" s="10" t="inlineStr">
        <is>
          <t>Amira Khan</t>
        </is>
      </c>
      <c r="B7" s="10" t="inlineStr">
        <is>
          <t>PTO</t>
        </is>
      </c>
      <c r="C7" s="12" t="n">
        <v>46244</v>
      </c>
      <c r="D7" s="12" t="n">
        <v>46248</v>
      </c>
      <c r="E7" s="10" t="inlineStr">
        <is>
          <t>Approved</t>
        </is>
      </c>
      <c r="F7" s="11" t="n"/>
      <c r="G7" s="20">
        <f>IF(OR($A7="",$C7=""),"",NETWORKDAYS($C7,$J7,Holidays!$A$5:$A$40))</f>
        <v/>
      </c>
      <c r="H7" s="20">
        <f>IF(G7="","",IF($F7&lt;&gt;"",$F7,G7*IFERROR(IF(INDEX(Employees!$F$5:$F$29,MATCH($A7,Employees!$B$5:$B$29,0))="",Settings!$B$9,INDEX(Employees!$F$5:$F$29,MATCH($A7,Employees!$B$5:$B$29,0))),Settings!$B$9)))</f>
        <v/>
      </c>
      <c r="I7" s="10" t="inlineStr">
        <is>
          <t>Family trip</t>
        </is>
      </c>
      <c r="J7" s="15">
        <f>IF($C7="","",IF($D7="",$C7,$D7))</f>
        <v/>
      </c>
    </row>
    <row r="8">
      <c r="A8" s="10" t="inlineStr">
        <is>
          <t>Amira Khan</t>
        </is>
      </c>
      <c r="B8" s="10" t="inlineStr">
        <is>
          <t>PTO</t>
        </is>
      </c>
      <c r="C8" s="12" t="n">
        <v>46300</v>
      </c>
      <c r="D8" s="12" t="n">
        <v>46301</v>
      </c>
      <c r="E8" s="10" t="inlineStr">
        <is>
          <t>Approved</t>
        </is>
      </c>
      <c r="F8" s="11" t="n"/>
      <c r="G8" s="20">
        <f>IF(OR($A8="",$C8=""),"",NETWORKDAYS($C8,$J8,Holidays!$A$5:$A$40))</f>
        <v/>
      </c>
      <c r="H8" s="20">
        <f>IF(G8="","",IF($F8&lt;&gt;"",$F8,G8*IFERROR(IF(INDEX(Employees!$F$5:$F$29,MATCH($A8,Employees!$B$5:$B$29,0))="",Settings!$B$9,INDEX(Employees!$F$5:$F$29,MATCH($A8,Employees!$B$5:$B$29,0))),Settings!$B$9)))</f>
        <v/>
      </c>
      <c r="I8" s="10" t="inlineStr"/>
      <c r="J8" s="15">
        <f>IF($C8="","",IF($D8="",$C8,$D8))</f>
        <v/>
      </c>
    </row>
    <row r="9">
      <c r="A9" s="10" t="inlineStr">
        <is>
          <t>Amira Khan</t>
        </is>
      </c>
      <c r="B9" s="10" t="inlineStr">
        <is>
          <t>PTO</t>
        </is>
      </c>
      <c r="C9" s="12" t="n">
        <v>46377</v>
      </c>
      <c r="D9" s="12" t="n">
        <v>46380</v>
      </c>
      <c r="E9" s="10" t="inlineStr">
        <is>
          <t>Approved</t>
        </is>
      </c>
      <c r="F9" s="11" t="n"/>
      <c r="G9" s="20">
        <f>IF(OR($A9="",$C9=""),"",NETWORKDAYS($C9,$J9,Holidays!$A$5:$A$40))</f>
        <v/>
      </c>
      <c r="H9" s="20">
        <f>IF(G9="","",IF($F9&lt;&gt;"",$F9,G9*IFERROR(IF(INDEX(Employees!$F$5:$F$29,MATCH($A9,Employees!$B$5:$B$29,0))="",Settings!$B$9,INDEX(Employees!$F$5:$F$29,MATCH($A9,Employees!$B$5:$B$29,0))),Settings!$B$9)))</f>
        <v/>
      </c>
      <c r="I9" s="10" t="inlineStr">
        <is>
          <t>Holidays</t>
        </is>
      </c>
      <c r="J9" s="15">
        <f>IF($C9="","",IF($D9="",$C9,$D9))</f>
        <v/>
      </c>
    </row>
    <row r="10">
      <c r="A10" s="10" t="inlineStr">
        <is>
          <t>Daniel Ortiz</t>
        </is>
      </c>
      <c r="B10" s="10" t="inlineStr">
        <is>
          <t>PTO</t>
        </is>
      </c>
      <c r="C10" s="12" t="n">
        <v>46164</v>
      </c>
      <c r="D10" s="12" t="n"/>
      <c r="E10" s="10" t="inlineStr">
        <is>
          <t>Approved</t>
        </is>
      </c>
      <c r="F10" s="11" t="n"/>
      <c r="G10" s="20">
        <f>IF(OR($A10="",$C10=""),"",NETWORKDAYS($C10,$J10,Holidays!$A$5:$A$40))</f>
        <v/>
      </c>
      <c r="H10" s="20">
        <f>IF(G10="","",IF($F10&lt;&gt;"",$F10,G10*IFERROR(IF(INDEX(Employees!$F$5:$F$29,MATCH($A10,Employees!$B$5:$B$29,0))="",Settings!$B$9,INDEX(Employees!$F$5:$F$29,MATCH($A10,Employees!$B$5:$B$29,0))),Settings!$B$9)))</f>
        <v/>
      </c>
      <c r="I10" s="10" t="inlineStr">
        <is>
          <t>Long weekend</t>
        </is>
      </c>
      <c r="J10" s="15">
        <f>IF($C10="","",IF($D10="",$C10,$D10))</f>
        <v/>
      </c>
    </row>
    <row r="11">
      <c r="A11" s="10" t="inlineStr">
        <is>
          <t>Daniel Ortiz</t>
        </is>
      </c>
      <c r="B11" s="10" t="inlineStr">
        <is>
          <t>PTO</t>
        </is>
      </c>
      <c r="C11" s="12" t="n">
        <v>46202</v>
      </c>
      <c r="D11" s="12" t="n">
        <v>46205</v>
      </c>
      <c r="E11" s="10" t="inlineStr">
        <is>
          <t>Approved</t>
        </is>
      </c>
      <c r="F11" s="11" t="n"/>
      <c r="G11" s="20">
        <f>IF(OR($A11="",$C11=""),"",NETWORKDAYS($C11,$J11,Holidays!$A$5:$A$40))</f>
        <v/>
      </c>
      <c r="H11" s="20">
        <f>IF(G11="","",IF($F11&lt;&gt;"",$F11,G11*IFERROR(IF(INDEX(Employees!$F$5:$F$29,MATCH($A11,Employees!$B$5:$B$29,0))="",Settings!$B$9,INDEX(Employees!$F$5:$F$29,MATCH($A11,Employees!$B$5:$B$29,0))),Settings!$B$9)))</f>
        <v/>
      </c>
      <c r="I11" s="10" t="inlineStr"/>
      <c r="J11" s="15">
        <f>IF($C11="","",IF($D11="",$C11,$D11))</f>
        <v/>
      </c>
    </row>
    <row r="12">
      <c r="A12" s="10" t="inlineStr">
        <is>
          <t>Daniel Ortiz</t>
        </is>
      </c>
      <c r="B12" s="10" t="inlineStr">
        <is>
          <t>Sick</t>
        </is>
      </c>
      <c r="C12" s="12" t="n">
        <v>46279</v>
      </c>
      <c r="D12" s="12" t="n"/>
      <c r="E12" s="10" t="inlineStr">
        <is>
          <t>Approved</t>
        </is>
      </c>
      <c r="F12" s="11" t="n">
        <v>4</v>
      </c>
      <c r="G12" s="20">
        <f>IF(OR($A12="",$C12=""),"",NETWORKDAYS($C12,$J12,Holidays!$A$5:$A$40))</f>
        <v/>
      </c>
      <c r="H12" s="20">
        <f>IF(G12="","",IF($F12&lt;&gt;"",$F12,G12*IFERROR(IF(INDEX(Employees!$F$5:$F$29,MATCH($A12,Employees!$B$5:$B$29,0))="",Settings!$B$9,INDEX(Employees!$F$5:$F$29,MATCH($A12,Employees!$B$5:$B$29,0))),Settings!$B$9)))</f>
        <v/>
      </c>
      <c r="I12" s="10" t="inlineStr">
        <is>
          <t>Half day</t>
        </is>
      </c>
      <c r="J12" s="15">
        <f>IF($C12="","",IF($D12="",$C12,$D12))</f>
        <v/>
      </c>
    </row>
    <row r="13">
      <c r="A13" s="10" t="inlineStr">
        <is>
          <t>Daniel Ortiz</t>
        </is>
      </c>
      <c r="B13" s="10" t="inlineStr">
        <is>
          <t>Sick</t>
        </is>
      </c>
      <c r="C13" s="12" t="n">
        <v>46303</v>
      </c>
      <c r="D13" s="12" t="n"/>
      <c r="E13" s="10" t="inlineStr">
        <is>
          <t>Approved</t>
        </is>
      </c>
      <c r="F13" s="11" t="n"/>
      <c r="G13" s="20">
        <f>IF(OR($A13="",$C13=""),"",NETWORKDAYS($C13,$J13,Holidays!$A$5:$A$40))</f>
        <v/>
      </c>
      <c r="H13" s="20">
        <f>IF(G13="","",IF($F13&lt;&gt;"",$F13,G13*IFERROR(IF(INDEX(Employees!$F$5:$F$29,MATCH($A13,Employees!$B$5:$B$29,0))="",Settings!$B$9,INDEX(Employees!$F$5:$F$29,MATCH($A13,Employees!$B$5:$B$29,0))),Settings!$B$9)))</f>
        <v/>
      </c>
      <c r="I13" s="10" t="inlineStr"/>
      <c r="J13" s="15">
        <f>IF($C13="","",IF($D13="",$C13,$D13))</f>
        <v/>
      </c>
    </row>
    <row r="14">
      <c r="A14" s="10" t="inlineStr">
        <is>
          <t>Daniel Ortiz</t>
        </is>
      </c>
      <c r="B14" s="10" t="inlineStr">
        <is>
          <t>PTO</t>
        </is>
      </c>
      <c r="C14" s="12" t="n">
        <v>46322</v>
      </c>
      <c r="D14" s="12" t="n">
        <v>46323</v>
      </c>
      <c r="E14" s="10" t="inlineStr">
        <is>
          <t>Approved</t>
        </is>
      </c>
      <c r="F14" s="11" t="n"/>
      <c r="G14" s="20">
        <f>IF(OR($A14="",$C14=""),"",NETWORKDAYS($C14,$J14,Holidays!$A$5:$A$40))</f>
        <v/>
      </c>
      <c r="H14" s="20">
        <f>IF(G14="","",IF($F14&lt;&gt;"",$F14,G14*IFERROR(IF(INDEX(Employees!$F$5:$F$29,MATCH($A14,Employees!$B$5:$B$29,0))="",Settings!$B$9,INDEX(Employees!$F$5:$F$29,MATCH($A14,Employees!$B$5:$B$29,0))),Settings!$B$9)))</f>
        <v/>
      </c>
      <c r="I14" s="10" t="inlineStr"/>
      <c r="J14" s="15">
        <f>IF($C14="","",IF($D14="",$C14,$D14))</f>
        <v/>
      </c>
    </row>
    <row r="15">
      <c r="A15" s="10" t="inlineStr">
        <is>
          <t>Daniel Ortiz</t>
        </is>
      </c>
      <c r="B15" s="10" t="inlineStr">
        <is>
          <t>PTO</t>
        </is>
      </c>
      <c r="C15" s="12" t="n">
        <v>46349</v>
      </c>
      <c r="D15" s="12" t="n">
        <v>46351</v>
      </c>
      <c r="E15" s="10" t="inlineStr">
        <is>
          <t>Pending</t>
        </is>
      </c>
      <c r="F15" s="11" t="n"/>
      <c r="G15" s="20">
        <f>IF(OR($A15="",$C15=""),"",NETWORKDAYS($C15,$J15,Holidays!$A$5:$A$40))</f>
        <v/>
      </c>
      <c r="H15" s="20">
        <f>IF(G15="","",IF($F15&lt;&gt;"",$F15,G15*IFERROR(IF(INDEX(Employees!$F$5:$F$29,MATCH($A15,Employees!$B$5:$B$29,0))="",Settings!$B$9,INDEX(Employees!$F$5:$F$29,MATCH($A15,Employees!$B$5:$B$29,0))),Settings!$B$9)))</f>
        <v/>
      </c>
      <c r="I15" s="10" t="inlineStr">
        <is>
          <t>Check in Planner</t>
        </is>
      </c>
      <c r="J15" s="15">
        <f>IF($C15="","",IF($D15="",$C15,$D15))</f>
        <v/>
      </c>
    </row>
    <row r="16">
      <c r="A16" s="10" t="inlineStr">
        <is>
          <t>Grace Liu</t>
        </is>
      </c>
      <c r="B16" s="10" t="inlineStr">
        <is>
          <t>Sick</t>
        </is>
      </c>
      <c r="C16" s="12" t="n">
        <v>46044</v>
      </c>
      <c r="D16" s="12" t="n"/>
      <c r="E16" s="10" t="inlineStr">
        <is>
          <t>Approved</t>
        </is>
      </c>
      <c r="F16" s="11" t="n"/>
      <c r="G16" s="20">
        <f>IF(OR($A16="",$C16=""),"",NETWORKDAYS($C16,$J16,Holidays!$A$5:$A$40))</f>
        <v/>
      </c>
      <c r="H16" s="20">
        <f>IF(G16="","",IF($F16&lt;&gt;"",$F16,G16*IFERROR(IF(INDEX(Employees!$F$5:$F$29,MATCH($A16,Employees!$B$5:$B$29,0))="",Settings!$B$9,INDEX(Employees!$F$5:$F$29,MATCH($A16,Employees!$B$5:$B$29,0))),Settings!$B$9)))</f>
        <v/>
      </c>
      <c r="I16" s="10" t="inlineStr"/>
      <c r="J16" s="15">
        <f>IF($C16="","",IF($D16="",$C16,$D16))</f>
        <v/>
      </c>
    </row>
    <row r="17">
      <c r="A17" s="10" t="inlineStr">
        <is>
          <t>Grace Liu</t>
        </is>
      </c>
      <c r="B17" s="10" t="inlineStr">
        <is>
          <t>PTO</t>
        </is>
      </c>
      <c r="C17" s="12" t="n">
        <v>46118</v>
      </c>
      <c r="D17" s="12" t="n"/>
      <c r="E17" s="10" t="inlineStr">
        <is>
          <t>Approved</t>
        </is>
      </c>
      <c r="F17" s="11" t="n"/>
      <c r="G17" s="20">
        <f>IF(OR($A17="",$C17=""),"",NETWORKDAYS($C17,$J17,Holidays!$A$5:$A$40))</f>
        <v/>
      </c>
      <c r="H17" s="20">
        <f>IF(G17="","",IF($F17&lt;&gt;"",$F17,G17*IFERROR(IF(INDEX(Employees!$F$5:$F$29,MATCH($A17,Employees!$B$5:$B$29,0))="",Settings!$B$9,INDEX(Employees!$F$5:$F$29,MATCH($A17,Employees!$B$5:$B$29,0))),Settings!$B$9)))</f>
        <v/>
      </c>
      <c r="I17" s="10" t="inlineStr"/>
      <c r="J17" s="15">
        <f>IF($C17="","",IF($D17="",$C17,$D17))</f>
        <v/>
      </c>
    </row>
    <row r="18">
      <c r="A18" s="10" t="inlineStr">
        <is>
          <t>Grace Liu</t>
        </is>
      </c>
      <c r="B18" s="10" t="inlineStr">
        <is>
          <t>PTO</t>
        </is>
      </c>
      <c r="C18" s="12" t="n">
        <v>46315</v>
      </c>
      <c r="D18" s="12" t="n"/>
      <c r="E18" s="10" t="inlineStr">
        <is>
          <t>Pending</t>
        </is>
      </c>
      <c r="F18" s="11" t="n"/>
      <c r="G18" s="20">
        <f>IF(OR($A18="",$C18=""),"",NETWORKDAYS($C18,$J18,Holidays!$A$5:$A$40))</f>
        <v/>
      </c>
      <c r="H18" s="20">
        <f>IF(G18="","",IF($F18&lt;&gt;"",$F18,G18*IFERROR(IF(INDEX(Employees!$F$5:$F$29,MATCH($A18,Employees!$B$5:$B$29,0))="",Settings!$B$9,INDEX(Employees!$F$5:$F$29,MATCH($A18,Employees!$B$5:$B$29,0))),Settings!$B$9)))</f>
        <v/>
      </c>
      <c r="I18" s="10" t="inlineStr"/>
      <c r="J18" s="15">
        <f>IF($C18="","",IF($D18="",$C18,$D18))</f>
        <v/>
      </c>
    </row>
    <row r="19">
      <c r="A19" s="10" t="inlineStr">
        <is>
          <t>Marcus Bell</t>
        </is>
      </c>
      <c r="B19" s="10" t="inlineStr">
        <is>
          <t>PTO</t>
        </is>
      </c>
      <c r="C19" s="12" t="n">
        <v>46069</v>
      </c>
      <c r="D19" s="12" t="n">
        <v>46073</v>
      </c>
      <c r="E19" s="10" t="inlineStr">
        <is>
          <t>Approved</t>
        </is>
      </c>
      <c r="F19" s="11" t="n"/>
      <c r="G19" s="20">
        <f>IF(OR($A19="",$C19=""),"",NETWORKDAYS($C19,$J19,Holidays!$A$5:$A$40))</f>
        <v/>
      </c>
      <c r="H19" s="20">
        <f>IF(G19="","",IF($F19&lt;&gt;"",$F19,G19*IFERROR(IF(INDEX(Employees!$F$5:$F$29,MATCH($A19,Employees!$B$5:$B$29,0))="",Settings!$B$9,INDEX(Employees!$F$5:$F$29,MATCH($A19,Employees!$B$5:$B$29,0))),Settings!$B$9)))</f>
        <v/>
      </c>
      <c r="I19" s="10" t="inlineStr"/>
      <c r="J19" s="15">
        <f>IF($C19="","",IF($D19="",$C19,$D19))</f>
        <v/>
      </c>
    </row>
    <row r="20">
      <c r="A20" s="10" t="inlineStr">
        <is>
          <t>Marcus Bell</t>
        </is>
      </c>
      <c r="B20" s="10" t="inlineStr">
        <is>
          <t>PTO</t>
        </is>
      </c>
      <c r="C20" s="12" t="n">
        <v>46181</v>
      </c>
      <c r="D20" s="12" t="n">
        <v>46192</v>
      </c>
      <c r="E20" s="10" t="inlineStr">
        <is>
          <t>Approved</t>
        </is>
      </c>
      <c r="F20" s="11" t="n"/>
      <c r="G20" s="20">
        <f>IF(OR($A20="",$C20=""),"",NETWORKDAYS($C20,$J20,Holidays!$A$5:$A$40))</f>
        <v/>
      </c>
      <c r="H20" s="20">
        <f>IF(G20="","",IF($F20&lt;&gt;"",$F20,G20*IFERROR(IF(INDEX(Employees!$F$5:$F$29,MATCH($A20,Employees!$B$5:$B$29,0))="",Settings!$B$9,INDEX(Employees!$F$5:$F$29,MATCH($A20,Employees!$B$5:$B$29,0))),Settings!$B$9)))</f>
        <v/>
      </c>
      <c r="I20" s="10" t="inlineStr">
        <is>
          <t>Two weeks off</t>
        </is>
      </c>
      <c r="J20" s="15">
        <f>IF($C20="","",IF($D20="",$C20,$D20))</f>
        <v/>
      </c>
    </row>
    <row r="21">
      <c r="A21" s="10" t="inlineStr">
        <is>
          <t>Marcus Bell</t>
        </is>
      </c>
      <c r="B21" s="10" t="inlineStr">
        <is>
          <t>PTO</t>
        </is>
      </c>
      <c r="C21" s="12" t="n">
        <v>46321</v>
      </c>
      <c r="D21" s="12" t="n">
        <v>46325</v>
      </c>
      <c r="E21" s="10" t="inlineStr">
        <is>
          <t>Approved</t>
        </is>
      </c>
      <c r="F21" s="11" t="n"/>
      <c r="G21" s="20">
        <f>IF(OR($A21="",$C21=""),"",NETWORKDAYS($C21,$J21,Holidays!$A$5:$A$40))</f>
        <v/>
      </c>
      <c r="H21" s="20">
        <f>IF(G21="","",IF($F21&lt;&gt;"",$F21,G21*IFERROR(IF(INDEX(Employees!$F$5:$F$29,MATCH($A21,Employees!$B$5:$B$29,0))="",Settings!$B$9,INDEX(Employees!$F$5:$F$29,MATCH($A21,Employees!$B$5:$B$29,0))),Settings!$B$9)))</f>
        <v/>
      </c>
      <c r="I21" s="10" t="inlineStr"/>
      <c r="J21" s="15">
        <f>IF($C21="","",IF($D21="",$C21,$D21))</f>
        <v/>
      </c>
    </row>
    <row r="22">
      <c r="A22" s="10" t="inlineStr">
        <is>
          <t>Priya Nair</t>
        </is>
      </c>
      <c r="B22" s="10" t="inlineStr">
        <is>
          <t>PTO</t>
        </is>
      </c>
      <c r="C22" s="12" t="n">
        <v>46290</v>
      </c>
      <c r="D22" s="12" t="n"/>
      <c r="E22" s="10" t="inlineStr">
        <is>
          <t>Approved</t>
        </is>
      </c>
      <c r="F22" s="11" t="n"/>
      <c r="G22" s="20">
        <f>IF(OR($A22="",$C22=""),"",NETWORKDAYS($C22,$J22,Holidays!$A$5:$A$40))</f>
        <v/>
      </c>
      <c r="H22" s="20">
        <f>IF(G22="","",IF($F22&lt;&gt;"",$F22,G22*IFERROR(IF(INDEX(Employees!$F$5:$F$29,MATCH($A22,Employees!$B$5:$B$29,0))="",Settings!$B$9,INDEX(Employees!$F$5:$F$29,MATCH($A22,Employees!$B$5:$B$29,0))),Settings!$B$9)))</f>
        <v/>
      </c>
      <c r="I22" s="10" t="inlineStr"/>
      <c r="J22" s="15">
        <f>IF($C22="","",IF($D22="",$C22,$D22))</f>
        <v/>
      </c>
    </row>
    <row r="23">
      <c r="A23" s="10" t="inlineStr">
        <is>
          <t>Tom Reyes</t>
        </is>
      </c>
      <c r="B23" s="10" t="inlineStr">
        <is>
          <t>Sick</t>
        </is>
      </c>
      <c r="C23" s="12" t="n">
        <v>46090</v>
      </c>
      <c r="D23" s="12" t="n"/>
      <c r="E23" s="10" t="inlineStr">
        <is>
          <t>Approved</t>
        </is>
      </c>
      <c r="F23" s="11" t="n"/>
      <c r="G23" s="20">
        <f>IF(OR($A23="",$C23=""),"",NETWORKDAYS($C23,$J23,Holidays!$A$5:$A$40))</f>
        <v/>
      </c>
      <c r="H23" s="20">
        <f>IF(G23="","",IF($F23&lt;&gt;"",$F23,G23*IFERROR(IF(INDEX(Employees!$F$5:$F$29,MATCH($A23,Employees!$B$5:$B$29,0))="",Settings!$B$9,INDEX(Employees!$F$5:$F$29,MATCH($A23,Employees!$B$5:$B$29,0))),Settings!$B$9)))</f>
        <v/>
      </c>
      <c r="I23" s="10" t="inlineStr"/>
      <c r="J23" s="15">
        <f>IF($C23="","",IF($D23="",$C23,$D23))</f>
        <v/>
      </c>
    </row>
    <row r="24">
      <c r="A24" s="10" t="inlineStr">
        <is>
          <t>Tom Reyes</t>
        </is>
      </c>
      <c r="B24" s="10" t="inlineStr">
        <is>
          <t>Unpaid</t>
        </is>
      </c>
      <c r="C24" s="12" t="n">
        <v>46113</v>
      </c>
      <c r="D24" s="12" t="n"/>
      <c r="E24" s="10" t="inlineStr">
        <is>
          <t>Approved</t>
        </is>
      </c>
      <c r="F24" s="11" t="n"/>
      <c r="G24" s="20">
        <f>IF(OR($A24="",$C24=""),"",NETWORKDAYS($C24,$J24,Holidays!$A$5:$A$40))</f>
        <v/>
      </c>
      <c r="H24" s="20">
        <f>IF(G24="","",IF($F24&lt;&gt;"",$F24,G24*IFERROR(IF(INDEX(Employees!$F$5:$F$29,MATCH($A24,Employees!$B$5:$B$29,0))="",Settings!$B$9,INDEX(Employees!$F$5:$F$29,MATCH($A24,Employees!$B$5:$B$29,0))),Settings!$B$9)))</f>
        <v/>
      </c>
      <c r="I24" s="10" t="inlineStr">
        <is>
          <t>Personal</t>
        </is>
      </c>
      <c r="J24" s="15">
        <f>IF($C24="","",IF($D24="",$C24,$D24))</f>
        <v/>
      </c>
    </row>
    <row r="25">
      <c r="A25" s="10" t="inlineStr">
        <is>
          <t>Tom Reyes</t>
        </is>
      </c>
      <c r="B25" s="10" t="inlineStr">
        <is>
          <t>PTO</t>
        </is>
      </c>
      <c r="C25" s="12" t="n">
        <v>46188</v>
      </c>
      <c r="D25" s="12" t="n">
        <v>46190</v>
      </c>
      <c r="E25" s="10" t="inlineStr">
        <is>
          <t>Approved</t>
        </is>
      </c>
      <c r="F25" s="11" t="n"/>
      <c r="G25" s="20">
        <f>IF(OR($A25="",$C25=""),"",NETWORKDAYS($C25,$J25,Holidays!$A$5:$A$40))</f>
        <v/>
      </c>
      <c r="H25" s="20">
        <f>IF(G25="","",IF($F25&lt;&gt;"",$F25,G25*IFERROR(IF(INDEX(Employees!$F$5:$F$29,MATCH($A25,Employees!$B$5:$B$29,0))="",Settings!$B$9,INDEX(Employees!$F$5:$F$29,MATCH($A25,Employees!$B$5:$B$29,0))),Settings!$B$9)))</f>
        <v/>
      </c>
      <c r="I25" s="10" t="inlineStr"/>
      <c r="J25" s="15">
        <f>IF($C25="","",IF($D25="",$C25,$D25))</f>
        <v/>
      </c>
    </row>
    <row r="26">
      <c r="A26" s="10" t="inlineStr">
        <is>
          <t>Tom Reyes</t>
        </is>
      </c>
      <c r="B26" s="10" t="inlineStr">
        <is>
          <t>PTO</t>
        </is>
      </c>
      <c r="C26" s="12" t="n">
        <v>46307</v>
      </c>
      <c r="D26" s="12" t="n">
        <v>46308</v>
      </c>
      <c r="E26" s="10" t="inlineStr">
        <is>
          <t>Approved</t>
        </is>
      </c>
      <c r="F26" s="11" t="n"/>
      <c r="G26" s="20">
        <f>IF(OR($A26="",$C26=""),"",NETWORKDAYS($C26,$J26,Holidays!$A$5:$A$40))</f>
        <v/>
      </c>
      <c r="H26" s="20">
        <f>IF(G26="","",IF($F26&lt;&gt;"",$F26,G26*IFERROR(IF(INDEX(Employees!$F$5:$F$29,MATCH($A26,Employees!$B$5:$B$29,0))="",Settings!$B$9,INDEX(Employees!$F$5:$F$29,MATCH($A26,Employees!$B$5:$B$29,0))),Settings!$B$9)))</f>
        <v/>
      </c>
      <c r="I26" s="10" t="inlineStr"/>
      <c r="J26" s="15">
        <f>IF($C26="","",IF($D26="",$C26,$D26))</f>
        <v/>
      </c>
    </row>
    <row r="27">
      <c r="A27" s="10" t="n"/>
      <c r="B27" s="10" t="n"/>
      <c r="C27" s="12" t="n"/>
      <c r="D27" s="12" t="n"/>
      <c r="E27" s="10" t="n"/>
      <c r="F27" s="11" t="n"/>
      <c r="G27" s="20">
        <f>IF(OR($A27="",$C27=""),"",NETWORKDAYS($C27,$J27,Holidays!$A$5:$A$40))</f>
        <v/>
      </c>
      <c r="H27" s="20">
        <f>IF(G27="","",IF($F27&lt;&gt;"",$F27,G27*IFERROR(IF(INDEX(Employees!$F$5:$F$29,MATCH($A27,Employees!$B$5:$B$29,0))="",Settings!$B$9,INDEX(Employees!$F$5:$F$29,MATCH($A27,Employees!$B$5:$B$29,0))),Settings!$B$9)))</f>
        <v/>
      </c>
      <c r="I27" s="10" t="n"/>
      <c r="J27" s="15">
        <f>IF($C27="","",IF($D27="",$C27,$D27))</f>
        <v/>
      </c>
    </row>
    <row r="28">
      <c r="A28" s="10" t="n"/>
      <c r="B28" s="10" t="n"/>
      <c r="C28" s="12" t="n"/>
      <c r="D28" s="12" t="n"/>
      <c r="E28" s="10" t="n"/>
      <c r="F28" s="11" t="n"/>
      <c r="G28" s="20">
        <f>IF(OR($A28="",$C28=""),"",NETWORKDAYS($C28,$J28,Holidays!$A$5:$A$40))</f>
        <v/>
      </c>
      <c r="H28" s="20">
        <f>IF(G28="","",IF($F28&lt;&gt;"",$F28,G28*IFERROR(IF(INDEX(Employees!$F$5:$F$29,MATCH($A28,Employees!$B$5:$B$29,0))="",Settings!$B$9,INDEX(Employees!$F$5:$F$29,MATCH($A28,Employees!$B$5:$B$29,0))),Settings!$B$9)))</f>
        <v/>
      </c>
      <c r="I28" s="10" t="n"/>
      <c r="J28" s="15">
        <f>IF($C28="","",IF($D28="",$C28,$D28))</f>
        <v/>
      </c>
    </row>
    <row r="29">
      <c r="A29" s="10" t="n"/>
      <c r="B29" s="10" t="n"/>
      <c r="C29" s="12" t="n"/>
      <c r="D29" s="12" t="n"/>
      <c r="E29" s="10" t="n"/>
      <c r="F29" s="11" t="n"/>
      <c r="G29" s="20">
        <f>IF(OR($A29="",$C29=""),"",NETWORKDAYS($C29,$J29,Holidays!$A$5:$A$40))</f>
        <v/>
      </c>
      <c r="H29" s="20">
        <f>IF(G29="","",IF($F29&lt;&gt;"",$F29,G29*IFERROR(IF(INDEX(Employees!$F$5:$F$29,MATCH($A29,Employees!$B$5:$B$29,0))="",Settings!$B$9,INDEX(Employees!$F$5:$F$29,MATCH($A29,Employees!$B$5:$B$29,0))),Settings!$B$9)))</f>
        <v/>
      </c>
      <c r="I29" s="10" t="n"/>
      <c r="J29" s="15">
        <f>IF($C29="","",IF($D29="",$C29,$D29))</f>
        <v/>
      </c>
    </row>
    <row r="30">
      <c r="A30" s="10" t="n"/>
      <c r="B30" s="10" t="n"/>
      <c r="C30" s="12" t="n"/>
      <c r="D30" s="12" t="n"/>
      <c r="E30" s="10" t="n"/>
      <c r="F30" s="11" t="n"/>
      <c r="G30" s="20">
        <f>IF(OR($A30="",$C30=""),"",NETWORKDAYS($C30,$J30,Holidays!$A$5:$A$40))</f>
        <v/>
      </c>
      <c r="H30" s="20">
        <f>IF(G30="","",IF($F30&lt;&gt;"",$F30,G30*IFERROR(IF(INDEX(Employees!$F$5:$F$29,MATCH($A30,Employees!$B$5:$B$29,0))="",Settings!$B$9,INDEX(Employees!$F$5:$F$29,MATCH($A30,Employees!$B$5:$B$29,0))),Settings!$B$9)))</f>
        <v/>
      </c>
      <c r="I30" s="10" t="n"/>
      <c r="J30" s="15">
        <f>IF($C30="","",IF($D30="",$C30,$D30))</f>
        <v/>
      </c>
    </row>
    <row r="31">
      <c r="A31" s="10" t="n"/>
      <c r="B31" s="10" t="n"/>
      <c r="C31" s="12" t="n"/>
      <c r="D31" s="12" t="n"/>
      <c r="E31" s="10" t="n"/>
      <c r="F31" s="11" t="n"/>
      <c r="G31" s="20">
        <f>IF(OR($A31="",$C31=""),"",NETWORKDAYS($C31,$J31,Holidays!$A$5:$A$40))</f>
        <v/>
      </c>
      <c r="H31" s="20">
        <f>IF(G31="","",IF($F31&lt;&gt;"",$F31,G31*IFERROR(IF(INDEX(Employees!$F$5:$F$29,MATCH($A31,Employees!$B$5:$B$29,0))="",Settings!$B$9,INDEX(Employees!$F$5:$F$29,MATCH($A31,Employees!$B$5:$B$29,0))),Settings!$B$9)))</f>
        <v/>
      </c>
      <c r="I31" s="10" t="n"/>
      <c r="J31" s="15">
        <f>IF($C31="","",IF($D31="",$C31,$D31))</f>
        <v/>
      </c>
    </row>
    <row r="32">
      <c r="A32" s="10" t="n"/>
      <c r="B32" s="10" t="n"/>
      <c r="C32" s="12" t="n"/>
      <c r="D32" s="12" t="n"/>
      <c r="E32" s="10" t="n"/>
      <c r="F32" s="11" t="n"/>
      <c r="G32" s="20">
        <f>IF(OR($A32="",$C32=""),"",NETWORKDAYS($C32,$J32,Holidays!$A$5:$A$40))</f>
        <v/>
      </c>
      <c r="H32" s="20">
        <f>IF(G32="","",IF($F32&lt;&gt;"",$F32,G32*IFERROR(IF(INDEX(Employees!$F$5:$F$29,MATCH($A32,Employees!$B$5:$B$29,0))="",Settings!$B$9,INDEX(Employees!$F$5:$F$29,MATCH($A32,Employees!$B$5:$B$29,0))),Settings!$B$9)))</f>
        <v/>
      </c>
      <c r="I32" s="10" t="n"/>
      <c r="J32" s="15">
        <f>IF($C32="","",IF($D32="",$C32,$D32))</f>
        <v/>
      </c>
    </row>
    <row r="33">
      <c r="A33" s="10" t="n"/>
      <c r="B33" s="10" t="n"/>
      <c r="C33" s="12" t="n"/>
      <c r="D33" s="12" t="n"/>
      <c r="E33" s="10" t="n"/>
      <c r="F33" s="11" t="n"/>
      <c r="G33" s="20">
        <f>IF(OR($A33="",$C33=""),"",NETWORKDAYS($C33,$J33,Holidays!$A$5:$A$40))</f>
        <v/>
      </c>
      <c r="H33" s="20">
        <f>IF(G33="","",IF($F33&lt;&gt;"",$F33,G33*IFERROR(IF(INDEX(Employees!$F$5:$F$29,MATCH($A33,Employees!$B$5:$B$29,0))="",Settings!$B$9,INDEX(Employees!$F$5:$F$29,MATCH($A33,Employees!$B$5:$B$29,0))),Settings!$B$9)))</f>
        <v/>
      </c>
      <c r="I33" s="10" t="n"/>
      <c r="J33" s="15">
        <f>IF($C33="","",IF($D33="",$C33,$D33))</f>
        <v/>
      </c>
    </row>
    <row r="34">
      <c r="A34" s="10" t="n"/>
      <c r="B34" s="10" t="n"/>
      <c r="C34" s="12" t="n"/>
      <c r="D34" s="12" t="n"/>
      <c r="E34" s="10" t="n"/>
      <c r="F34" s="11" t="n"/>
      <c r="G34" s="20">
        <f>IF(OR($A34="",$C34=""),"",NETWORKDAYS($C34,$J34,Holidays!$A$5:$A$40))</f>
        <v/>
      </c>
      <c r="H34" s="20">
        <f>IF(G34="","",IF($F34&lt;&gt;"",$F34,G34*IFERROR(IF(INDEX(Employees!$F$5:$F$29,MATCH($A34,Employees!$B$5:$B$29,0))="",Settings!$B$9,INDEX(Employees!$F$5:$F$29,MATCH($A34,Employees!$B$5:$B$29,0))),Settings!$B$9)))</f>
        <v/>
      </c>
      <c r="I34" s="10" t="n"/>
      <c r="J34" s="15">
        <f>IF($C34="","",IF($D34="",$C34,$D34))</f>
        <v/>
      </c>
    </row>
    <row r="35">
      <c r="A35" s="10" t="n"/>
      <c r="B35" s="10" t="n"/>
      <c r="C35" s="12" t="n"/>
      <c r="D35" s="12" t="n"/>
      <c r="E35" s="10" t="n"/>
      <c r="F35" s="11" t="n"/>
      <c r="G35" s="20">
        <f>IF(OR($A35="",$C35=""),"",NETWORKDAYS($C35,$J35,Holidays!$A$5:$A$40))</f>
        <v/>
      </c>
      <c r="H35" s="20">
        <f>IF(G35="","",IF($F35&lt;&gt;"",$F35,G35*IFERROR(IF(INDEX(Employees!$F$5:$F$29,MATCH($A35,Employees!$B$5:$B$29,0))="",Settings!$B$9,INDEX(Employees!$F$5:$F$29,MATCH($A35,Employees!$B$5:$B$29,0))),Settings!$B$9)))</f>
        <v/>
      </c>
      <c r="I35" s="10" t="n"/>
      <c r="J35" s="15">
        <f>IF($C35="","",IF($D35="",$C35,$D35))</f>
        <v/>
      </c>
    </row>
    <row r="36">
      <c r="A36" s="10" t="n"/>
      <c r="B36" s="10" t="n"/>
      <c r="C36" s="12" t="n"/>
      <c r="D36" s="12" t="n"/>
      <c r="E36" s="10" t="n"/>
      <c r="F36" s="11" t="n"/>
      <c r="G36" s="20">
        <f>IF(OR($A36="",$C36=""),"",NETWORKDAYS($C36,$J36,Holidays!$A$5:$A$40))</f>
        <v/>
      </c>
      <c r="H36" s="20">
        <f>IF(G36="","",IF($F36&lt;&gt;"",$F36,G36*IFERROR(IF(INDEX(Employees!$F$5:$F$29,MATCH($A36,Employees!$B$5:$B$29,0))="",Settings!$B$9,INDEX(Employees!$F$5:$F$29,MATCH($A36,Employees!$B$5:$B$29,0))),Settings!$B$9)))</f>
        <v/>
      </c>
      <c r="I36" s="10" t="n"/>
      <c r="J36" s="15">
        <f>IF($C36="","",IF($D36="",$C36,$D36))</f>
        <v/>
      </c>
    </row>
    <row r="37">
      <c r="A37" s="10" t="n"/>
      <c r="B37" s="10" t="n"/>
      <c r="C37" s="12" t="n"/>
      <c r="D37" s="12" t="n"/>
      <c r="E37" s="10" t="n"/>
      <c r="F37" s="11" t="n"/>
      <c r="G37" s="20">
        <f>IF(OR($A37="",$C37=""),"",NETWORKDAYS($C37,$J37,Holidays!$A$5:$A$40))</f>
        <v/>
      </c>
      <c r="H37" s="20">
        <f>IF(G37="","",IF($F37&lt;&gt;"",$F37,G37*IFERROR(IF(INDEX(Employees!$F$5:$F$29,MATCH($A37,Employees!$B$5:$B$29,0))="",Settings!$B$9,INDEX(Employees!$F$5:$F$29,MATCH($A37,Employees!$B$5:$B$29,0))),Settings!$B$9)))</f>
        <v/>
      </c>
      <c r="I37" s="10" t="n"/>
      <c r="J37" s="15">
        <f>IF($C37="","",IF($D37="",$C37,$D37))</f>
        <v/>
      </c>
    </row>
    <row r="38">
      <c r="A38" s="10" t="n"/>
      <c r="B38" s="10" t="n"/>
      <c r="C38" s="12" t="n"/>
      <c r="D38" s="12" t="n"/>
      <c r="E38" s="10" t="n"/>
      <c r="F38" s="11" t="n"/>
      <c r="G38" s="20">
        <f>IF(OR($A38="",$C38=""),"",NETWORKDAYS($C38,$J38,Holidays!$A$5:$A$40))</f>
        <v/>
      </c>
      <c r="H38" s="20">
        <f>IF(G38="","",IF($F38&lt;&gt;"",$F38,G38*IFERROR(IF(INDEX(Employees!$F$5:$F$29,MATCH($A38,Employees!$B$5:$B$29,0))="",Settings!$B$9,INDEX(Employees!$F$5:$F$29,MATCH($A38,Employees!$B$5:$B$29,0))),Settings!$B$9)))</f>
        <v/>
      </c>
      <c r="I38" s="10" t="n"/>
      <c r="J38" s="15">
        <f>IF($C38="","",IF($D38="",$C38,$D38))</f>
        <v/>
      </c>
    </row>
    <row r="39">
      <c r="A39" s="10" t="n"/>
      <c r="B39" s="10" t="n"/>
      <c r="C39" s="12" t="n"/>
      <c r="D39" s="12" t="n"/>
      <c r="E39" s="10" t="n"/>
      <c r="F39" s="11" t="n"/>
      <c r="G39" s="20">
        <f>IF(OR($A39="",$C39=""),"",NETWORKDAYS($C39,$J39,Holidays!$A$5:$A$40))</f>
        <v/>
      </c>
      <c r="H39" s="20">
        <f>IF(G39="","",IF($F39&lt;&gt;"",$F39,G39*IFERROR(IF(INDEX(Employees!$F$5:$F$29,MATCH($A39,Employees!$B$5:$B$29,0))="",Settings!$B$9,INDEX(Employees!$F$5:$F$29,MATCH($A39,Employees!$B$5:$B$29,0))),Settings!$B$9)))</f>
        <v/>
      </c>
      <c r="I39" s="10" t="n"/>
      <c r="J39" s="15">
        <f>IF($C39="","",IF($D39="",$C39,$D39))</f>
        <v/>
      </c>
    </row>
    <row r="40">
      <c r="A40" s="10" t="n"/>
      <c r="B40" s="10" t="n"/>
      <c r="C40" s="12" t="n"/>
      <c r="D40" s="12" t="n"/>
      <c r="E40" s="10" t="n"/>
      <c r="F40" s="11" t="n"/>
      <c r="G40" s="20">
        <f>IF(OR($A40="",$C40=""),"",NETWORKDAYS($C40,$J40,Holidays!$A$5:$A$40))</f>
        <v/>
      </c>
      <c r="H40" s="20">
        <f>IF(G40="","",IF($F40&lt;&gt;"",$F40,G40*IFERROR(IF(INDEX(Employees!$F$5:$F$29,MATCH($A40,Employees!$B$5:$B$29,0))="",Settings!$B$9,INDEX(Employees!$F$5:$F$29,MATCH($A40,Employees!$B$5:$B$29,0))),Settings!$B$9)))</f>
        <v/>
      </c>
      <c r="I40" s="10" t="n"/>
      <c r="J40" s="15">
        <f>IF($C40="","",IF($D40="",$C40,$D40))</f>
        <v/>
      </c>
    </row>
    <row r="41">
      <c r="A41" s="10" t="n"/>
      <c r="B41" s="10" t="n"/>
      <c r="C41" s="12" t="n"/>
      <c r="D41" s="12" t="n"/>
      <c r="E41" s="10" t="n"/>
      <c r="F41" s="11" t="n"/>
      <c r="G41" s="20">
        <f>IF(OR($A41="",$C41=""),"",NETWORKDAYS($C41,$J41,Holidays!$A$5:$A$40))</f>
        <v/>
      </c>
      <c r="H41" s="20">
        <f>IF(G41="","",IF($F41&lt;&gt;"",$F41,G41*IFERROR(IF(INDEX(Employees!$F$5:$F$29,MATCH($A41,Employees!$B$5:$B$29,0))="",Settings!$B$9,INDEX(Employees!$F$5:$F$29,MATCH($A41,Employees!$B$5:$B$29,0))),Settings!$B$9)))</f>
        <v/>
      </c>
      <c r="I41" s="10" t="n"/>
      <c r="J41" s="15">
        <f>IF($C41="","",IF($D41="",$C41,$D41))</f>
        <v/>
      </c>
    </row>
    <row r="42">
      <c r="A42" s="10" t="n"/>
      <c r="B42" s="10" t="n"/>
      <c r="C42" s="12" t="n"/>
      <c r="D42" s="12" t="n"/>
      <c r="E42" s="10" t="n"/>
      <c r="F42" s="11" t="n"/>
      <c r="G42" s="20">
        <f>IF(OR($A42="",$C42=""),"",NETWORKDAYS($C42,$J42,Holidays!$A$5:$A$40))</f>
        <v/>
      </c>
      <c r="H42" s="20">
        <f>IF(G42="","",IF($F42&lt;&gt;"",$F42,G42*IFERROR(IF(INDEX(Employees!$F$5:$F$29,MATCH($A42,Employees!$B$5:$B$29,0))="",Settings!$B$9,INDEX(Employees!$F$5:$F$29,MATCH($A42,Employees!$B$5:$B$29,0))),Settings!$B$9)))</f>
        <v/>
      </c>
      <c r="I42" s="10" t="n"/>
      <c r="J42" s="15">
        <f>IF($C42="","",IF($D42="",$C42,$D42))</f>
        <v/>
      </c>
    </row>
    <row r="43">
      <c r="A43" s="10" t="n"/>
      <c r="B43" s="10" t="n"/>
      <c r="C43" s="12" t="n"/>
      <c r="D43" s="12" t="n"/>
      <c r="E43" s="10" t="n"/>
      <c r="F43" s="11" t="n"/>
      <c r="G43" s="20">
        <f>IF(OR($A43="",$C43=""),"",NETWORKDAYS($C43,$J43,Holidays!$A$5:$A$40))</f>
        <v/>
      </c>
      <c r="H43" s="20">
        <f>IF(G43="","",IF($F43&lt;&gt;"",$F43,G43*IFERROR(IF(INDEX(Employees!$F$5:$F$29,MATCH($A43,Employees!$B$5:$B$29,0))="",Settings!$B$9,INDEX(Employees!$F$5:$F$29,MATCH($A43,Employees!$B$5:$B$29,0))),Settings!$B$9)))</f>
        <v/>
      </c>
      <c r="I43" s="10" t="n"/>
      <c r="J43" s="15">
        <f>IF($C43="","",IF($D43="",$C43,$D43))</f>
        <v/>
      </c>
    </row>
    <row r="44">
      <c r="A44" s="10" t="n"/>
      <c r="B44" s="10" t="n"/>
      <c r="C44" s="12" t="n"/>
      <c r="D44" s="12" t="n"/>
      <c r="E44" s="10" t="n"/>
      <c r="F44" s="11" t="n"/>
      <c r="G44" s="20">
        <f>IF(OR($A44="",$C44=""),"",NETWORKDAYS($C44,$J44,Holidays!$A$5:$A$40))</f>
        <v/>
      </c>
      <c r="H44" s="20">
        <f>IF(G44="","",IF($F44&lt;&gt;"",$F44,G44*IFERROR(IF(INDEX(Employees!$F$5:$F$29,MATCH($A44,Employees!$B$5:$B$29,0))="",Settings!$B$9,INDEX(Employees!$F$5:$F$29,MATCH($A44,Employees!$B$5:$B$29,0))),Settings!$B$9)))</f>
        <v/>
      </c>
      <c r="I44" s="10" t="n"/>
      <c r="J44" s="15">
        <f>IF($C44="","",IF($D44="",$C44,$D44))</f>
        <v/>
      </c>
    </row>
    <row r="45">
      <c r="A45" s="10" t="n"/>
      <c r="B45" s="10" t="n"/>
      <c r="C45" s="12" t="n"/>
      <c r="D45" s="12" t="n"/>
      <c r="E45" s="10" t="n"/>
      <c r="F45" s="11" t="n"/>
      <c r="G45" s="20">
        <f>IF(OR($A45="",$C45=""),"",NETWORKDAYS($C45,$J45,Holidays!$A$5:$A$40))</f>
        <v/>
      </c>
      <c r="H45" s="20">
        <f>IF(G45="","",IF($F45&lt;&gt;"",$F45,G45*IFERROR(IF(INDEX(Employees!$F$5:$F$29,MATCH($A45,Employees!$B$5:$B$29,0))="",Settings!$B$9,INDEX(Employees!$F$5:$F$29,MATCH($A45,Employees!$B$5:$B$29,0))),Settings!$B$9)))</f>
        <v/>
      </c>
      <c r="I45" s="10" t="n"/>
      <c r="J45" s="15">
        <f>IF($C45="","",IF($D45="",$C45,$D45))</f>
        <v/>
      </c>
    </row>
    <row r="46">
      <c r="A46" s="10" t="n"/>
      <c r="B46" s="10" t="n"/>
      <c r="C46" s="12" t="n"/>
      <c r="D46" s="12" t="n"/>
      <c r="E46" s="10" t="n"/>
      <c r="F46" s="11" t="n"/>
      <c r="G46" s="20">
        <f>IF(OR($A46="",$C46=""),"",NETWORKDAYS($C46,$J46,Holidays!$A$5:$A$40))</f>
        <v/>
      </c>
      <c r="H46" s="20">
        <f>IF(G46="","",IF($F46&lt;&gt;"",$F46,G46*IFERROR(IF(INDEX(Employees!$F$5:$F$29,MATCH($A46,Employees!$B$5:$B$29,0))="",Settings!$B$9,INDEX(Employees!$F$5:$F$29,MATCH($A46,Employees!$B$5:$B$29,0))),Settings!$B$9)))</f>
        <v/>
      </c>
      <c r="I46" s="10" t="n"/>
      <c r="J46" s="15">
        <f>IF($C46="","",IF($D46="",$C46,$D46))</f>
        <v/>
      </c>
    </row>
    <row r="47">
      <c r="A47" s="10" t="n"/>
      <c r="B47" s="10" t="n"/>
      <c r="C47" s="12" t="n"/>
      <c r="D47" s="12" t="n"/>
      <c r="E47" s="10" t="n"/>
      <c r="F47" s="11" t="n"/>
      <c r="G47" s="20">
        <f>IF(OR($A47="",$C47=""),"",NETWORKDAYS($C47,$J47,Holidays!$A$5:$A$40))</f>
        <v/>
      </c>
      <c r="H47" s="20">
        <f>IF(G47="","",IF($F47&lt;&gt;"",$F47,G47*IFERROR(IF(INDEX(Employees!$F$5:$F$29,MATCH($A47,Employees!$B$5:$B$29,0))="",Settings!$B$9,INDEX(Employees!$F$5:$F$29,MATCH($A47,Employees!$B$5:$B$29,0))),Settings!$B$9)))</f>
        <v/>
      </c>
      <c r="I47" s="10" t="n"/>
      <c r="J47" s="15">
        <f>IF($C47="","",IF($D47="",$C47,$D47))</f>
        <v/>
      </c>
    </row>
    <row r="48">
      <c r="A48" s="10" t="n"/>
      <c r="B48" s="10" t="n"/>
      <c r="C48" s="12" t="n"/>
      <c r="D48" s="12" t="n"/>
      <c r="E48" s="10" t="n"/>
      <c r="F48" s="11" t="n"/>
      <c r="G48" s="20">
        <f>IF(OR($A48="",$C48=""),"",NETWORKDAYS($C48,$J48,Holidays!$A$5:$A$40))</f>
        <v/>
      </c>
      <c r="H48" s="20">
        <f>IF(G48="","",IF($F48&lt;&gt;"",$F48,G48*IFERROR(IF(INDEX(Employees!$F$5:$F$29,MATCH($A48,Employees!$B$5:$B$29,0))="",Settings!$B$9,INDEX(Employees!$F$5:$F$29,MATCH($A48,Employees!$B$5:$B$29,0))),Settings!$B$9)))</f>
        <v/>
      </c>
      <c r="I48" s="10" t="n"/>
      <c r="J48" s="15">
        <f>IF($C48="","",IF($D48="",$C48,$D48))</f>
        <v/>
      </c>
    </row>
    <row r="49">
      <c r="A49" s="10" t="n"/>
      <c r="B49" s="10" t="n"/>
      <c r="C49" s="12" t="n"/>
      <c r="D49" s="12" t="n"/>
      <c r="E49" s="10" t="n"/>
      <c r="F49" s="11" t="n"/>
      <c r="G49" s="20">
        <f>IF(OR($A49="",$C49=""),"",NETWORKDAYS($C49,$J49,Holidays!$A$5:$A$40))</f>
        <v/>
      </c>
      <c r="H49" s="20">
        <f>IF(G49="","",IF($F49&lt;&gt;"",$F49,G49*IFERROR(IF(INDEX(Employees!$F$5:$F$29,MATCH($A49,Employees!$B$5:$B$29,0))="",Settings!$B$9,INDEX(Employees!$F$5:$F$29,MATCH($A49,Employees!$B$5:$B$29,0))),Settings!$B$9)))</f>
        <v/>
      </c>
      <c r="I49" s="10" t="n"/>
      <c r="J49" s="15">
        <f>IF($C49="","",IF($D49="",$C49,$D49))</f>
        <v/>
      </c>
    </row>
    <row r="50">
      <c r="A50" s="10" t="n"/>
      <c r="B50" s="10" t="n"/>
      <c r="C50" s="12" t="n"/>
      <c r="D50" s="12" t="n"/>
      <c r="E50" s="10" t="n"/>
      <c r="F50" s="11" t="n"/>
      <c r="G50" s="20">
        <f>IF(OR($A50="",$C50=""),"",NETWORKDAYS($C50,$J50,Holidays!$A$5:$A$40))</f>
        <v/>
      </c>
      <c r="H50" s="20">
        <f>IF(G50="","",IF($F50&lt;&gt;"",$F50,G50*IFERROR(IF(INDEX(Employees!$F$5:$F$29,MATCH($A50,Employees!$B$5:$B$29,0))="",Settings!$B$9,INDEX(Employees!$F$5:$F$29,MATCH($A50,Employees!$B$5:$B$29,0))),Settings!$B$9)))</f>
        <v/>
      </c>
      <c r="I50" s="10" t="n"/>
      <c r="J50" s="15">
        <f>IF($C50="","",IF($D50="",$C50,$D50))</f>
        <v/>
      </c>
    </row>
    <row r="51">
      <c r="A51" s="10" t="n"/>
      <c r="B51" s="10" t="n"/>
      <c r="C51" s="12" t="n"/>
      <c r="D51" s="12" t="n"/>
      <c r="E51" s="10" t="n"/>
      <c r="F51" s="11" t="n"/>
      <c r="G51" s="20">
        <f>IF(OR($A51="",$C51=""),"",NETWORKDAYS($C51,$J51,Holidays!$A$5:$A$40))</f>
        <v/>
      </c>
      <c r="H51" s="20">
        <f>IF(G51="","",IF($F51&lt;&gt;"",$F51,G51*IFERROR(IF(INDEX(Employees!$F$5:$F$29,MATCH($A51,Employees!$B$5:$B$29,0))="",Settings!$B$9,INDEX(Employees!$F$5:$F$29,MATCH($A51,Employees!$B$5:$B$29,0))),Settings!$B$9)))</f>
        <v/>
      </c>
      <c r="I51" s="10" t="n"/>
      <c r="J51" s="15">
        <f>IF($C51="","",IF($D51="",$C51,$D51))</f>
        <v/>
      </c>
    </row>
    <row r="52">
      <c r="A52" s="10" t="n"/>
      <c r="B52" s="10" t="n"/>
      <c r="C52" s="12" t="n"/>
      <c r="D52" s="12" t="n"/>
      <c r="E52" s="10" t="n"/>
      <c r="F52" s="11" t="n"/>
      <c r="G52" s="20">
        <f>IF(OR($A52="",$C52=""),"",NETWORKDAYS($C52,$J52,Holidays!$A$5:$A$40))</f>
        <v/>
      </c>
      <c r="H52" s="20">
        <f>IF(G52="","",IF($F52&lt;&gt;"",$F52,G52*IFERROR(IF(INDEX(Employees!$F$5:$F$29,MATCH($A52,Employees!$B$5:$B$29,0))="",Settings!$B$9,INDEX(Employees!$F$5:$F$29,MATCH($A52,Employees!$B$5:$B$29,0))),Settings!$B$9)))</f>
        <v/>
      </c>
      <c r="I52" s="10" t="n"/>
      <c r="J52" s="15">
        <f>IF($C52="","",IF($D52="",$C52,$D52))</f>
        <v/>
      </c>
    </row>
    <row r="53">
      <c r="A53" s="10" t="n"/>
      <c r="B53" s="10" t="n"/>
      <c r="C53" s="12" t="n"/>
      <c r="D53" s="12" t="n"/>
      <c r="E53" s="10" t="n"/>
      <c r="F53" s="11" t="n"/>
      <c r="G53" s="20">
        <f>IF(OR($A53="",$C53=""),"",NETWORKDAYS($C53,$J53,Holidays!$A$5:$A$40))</f>
        <v/>
      </c>
      <c r="H53" s="20">
        <f>IF(G53="","",IF($F53&lt;&gt;"",$F53,G53*IFERROR(IF(INDEX(Employees!$F$5:$F$29,MATCH($A53,Employees!$B$5:$B$29,0))="",Settings!$B$9,INDEX(Employees!$F$5:$F$29,MATCH($A53,Employees!$B$5:$B$29,0))),Settings!$B$9)))</f>
        <v/>
      </c>
      <c r="I53" s="10" t="n"/>
      <c r="J53" s="15">
        <f>IF($C53="","",IF($D53="",$C53,$D53))</f>
        <v/>
      </c>
    </row>
    <row r="54">
      <c r="A54" s="10" t="n"/>
      <c r="B54" s="10" t="n"/>
      <c r="C54" s="12" t="n"/>
      <c r="D54" s="12" t="n"/>
      <c r="E54" s="10" t="n"/>
      <c r="F54" s="11" t="n"/>
      <c r="G54" s="20">
        <f>IF(OR($A54="",$C54=""),"",NETWORKDAYS($C54,$J54,Holidays!$A$5:$A$40))</f>
        <v/>
      </c>
      <c r="H54" s="20">
        <f>IF(G54="","",IF($F54&lt;&gt;"",$F54,G54*IFERROR(IF(INDEX(Employees!$F$5:$F$29,MATCH($A54,Employees!$B$5:$B$29,0))="",Settings!$B$9,INDEX(Employees!$F$5:$F$29,MATCH($A54,Employees!$B$5:$B$29,0))),Settings!$B$9)))</f>
        <v/>
      </c>
      <c r="I54" s="10" t="n"/>
      <c r="J54" s="15">
        <f>IF($C54="","",IF($D54="",$C54,$D54))</f>
        <v/>
      </c>
    </row>
    <row r="55">
      <c r="A55" s="10" t="n"/>
      <c r="B55" s="10" t="n"/>
      <c r="C55" s="12" t="n"/>
      <c r="D55" s="12" t="n"/>
      <c r="E55" s="10" t="n"/>
      <c r="F55" s="11" t="n"/>
      <c r="G55" s="20">
        <f>IF(OR($A55="",$C55=""),"",NETWORKDAYS($C55,$J55,Holidays!$A$5:$A$40))</f>
        <v/>
      </c>
      <c r="H55" s="20">
        <f>IF(G55="","",IF($F55&lt;&gt;"",$F55,G55*IFERROR(IF(INDEX(Employees!$F$5:$F$29,MATCH($A55,Employees!$B$5:$B$29,0))="",Settings!$B$9,INDEX(Employees!$F$5:$F$29,MATCH($A55,Employees!$B$5:$B$29,0))),Settings!$B$9)))</f>
        <v/>
      </c>
      <c r="I55" s="10" t="n"/>
      <c r="J55" s="15">
        <f>IF($C55="","",IF($D55="",$C55,$D55))</f>
        <v/>
      </c>
    </row>
    <row r="56">
      <c r="A56" s="10" t="n"/>
      <c r="B56" s="10" t="n"/>
      <c r="C56" s="12" t="n"/>
      <c r="D56" s="12" t="n"/>
      <c r="E56" s="10" t="n"/>
      <c r="F56" s="11" t="n"/>
      <c r="G56" s="20">
        <f>IF(OR($A56="",$C56=""),"",NETWORKDAYS($C56,$J56,Holidays!$A$5:$A$40))</f>
        <v/>
      </c>
      <c r="H56" s="20">
        <f>IF(G56="","",IF($F56&lt;&gt;"",$F56,G56*IFERROR(IF(INDEX(Employees!$F$5:$F$29,MATCH($A56,Employees!$B$5:$B$29,0))="",Settings!$B$9,INDEX(Employees!$F$5:$F$29,MATCH($A56,Employees!$B$5:$B$29,0))),Settings!$B$9)))</f>
        <v/>
      </c>
      <c r="I56" s="10" t="n"/>
      <c r="J56" s="15">
        <f>IF($C56="","",IF($D56="",$C56,$D56))</f>
        <v/>
      </c>
    </row>
    <row r="57">
      <c r="A57" s="10" t="n"/>
      <c r="B57" s="10" t="n"/>
      <c r="C57" s="12" t="n"/>
      <c r="D57" s="12" t="n"/>
      <c r="E57" s="10" t="n"/>
      <c r="F57" s="11" t="n"/>
      <c r="G57" s="20">
        <f>IF(OR($A57="",$C57=""),"",NETWORKDAYS($C57,$J57,Holidays!$A$5:$A$40))</f>
        <v/>
      </c>
      <c r="H57" s="20">
        <f>IF(G57="","",IF($F57&lt;&gt;"",$F57,G57*IFERROR(IF(INDEX(Employees!$F$5:$F$29,MATCH($A57,Employees!$B$5:$B$29,0))="",Settings!$B$9,INDEX(Employees!$F$5:$F$29,MATCH($A57,Employees!$B$5:$B$29,0))),Settings!$B$9)))</f>
        <v/>
      </c>
      <c r="I57" s="10" t="n"/>
      <c r="J57" s="15">
        <f>IF($C57="","",IF($D57="",$C57,$D57))</f>
        <v/>
      </c>
    </row>
    <row r="58">
      <c r="A58" s="10" t="n"/>
      <c r="B58" s="10" t="n"/>
      <c r="C58" s="12" t="n"/>
      <c r="D58" s="12" t="n"/>
      <c r="E58" s="10" t="n"/>
      <c r="F58" s="11" t="n"/>
      <c r="G58" s="20">
        <f>IF(OR($A58="",$C58=""),"",NETWORKDAYS($C58,$J58,Holidays!$A$5:$A$40))</f>
        <v/>
      </c>
      <c r="H58" s="20">
        <f>IF(G58="","",IF($F58&lt;&gt;"",$F58,G58*IFERROR(IF(INDEX(Employees!$F$5:$F$29,MATCH($A58,Employees!$B$5:$B$29,0))="",Settings!$B$9,INDEX(Employees!$F$5:$F$29,MATCH($A58,Employees!$B$5:$B$29,0))),Settings!$B$9)))</f>
        <v/>
      </c>
      <c r="I58" s="10" t="n"/>
      <c r="J58" s="15">
        <f>IF($C58="","",IF($D58="",$C58,$D58))</f>
        <v/>
      </c>
    </row>
    <row r="59">
      <c r="A59" s="10" t="n"/>
      <c r="B59" s="10" t="n"/>
      <c r="C59" s="12" t="n"/>
      <c r="D59" s="12" t="n"/>
      <c r="E59" s="10" t="n"/>
      <c r="F59" s="11" t="n"/>
      <c r="G59" s="20">
        <f>IF(OR($A59="",$C59=""),"",NETWORKDAYS($C59,$J59,Holidays!$A$5:$A$40))</f>
        <v/>
      </c>
      <c r="H59" s="20">
        <f>IF(G59="","",IF($F59&lt;&gt;"",$F59,G59*IFERROR(IF(INDEX(Employees!$F$5:$F$29,MATCH($A59,Employees!$B$5:$B$29,0))="",Settings!$B$9,INDEX(Employees!$F$5:$F$29,MATCH($A59,Employees!$B$5:$B$29,0))),Settings!$B$9)))</f>
        <v/>
      </c>
      <c r="I59" s="10" t="n"/>
      <c r="J59" s="15">
        <f>IF($C59="","",IF($D59="",$C59,$D59))</f>
        <v/>
      </c>
    </row>
    <row r="60">
      <c r="A60" s="10" t="n"/>
      <c r="B60" s="10" t="n"/>
      <c r="C60" s="12" t="n"/>
      <c r="D60" s="12" t="n"/>
      <c r="E60" s="10" t="n"/>
      <c r="F60" s="11" t="n"/>
      <c r="G60" s="20">
        <f>IF(OR($A60="",$C60=""),"",NETWORKDAYS($C60,$J60,Holidays!$A$5:$A$40))</f>
        <v/>
      </c>
      <c r="H60" s="20">
        <f>IF(G60="","",IF($F60&lt;&gt;"",$F60,G60*IFERROR(IF(INDEX(Employees!$F$5:$F$29,MATCH($A60,Employees!$B$5:$B$29,0))="",Settings!$B$9,INDEX(Employees!$F$5:$F$29,MATCH($A60,Employees!$B$5:$B$29,0))),Settings!$B$9)))</f>
        <v/>
      </c>
      <c r="I60" s="10" t="n"/>
      <c r="J60" s="15">
        <f>IF($C60="","",IF($D60="",$C60,$D60))</f>
        <v/>
      </c>
    </row>
    <row r="61">
      <c r="A61" s="10" t="n"/>
      <c r="B61" s="10" t="n"/>
      <c r="C61" s="12" t="n"/>
      <c r="D61" s="12" t="n"/>
      <c r="E61" s="10" t="n"/>
      <c r="F61" s="11" t="n"/>
      <c r="G61" s="20">
        <f>IF(OR($A61="",$C61=""),"",NETWORKDAYS($C61,$J61,Holidays!$A$5:$A$40))</f>
        <v/>
      </c>
      <c r="H61" s="20">
        <f>IF(G61="","",IF($F61&lt;&gt;"",$F61,G61*IFERROR(IF(INDEX(Employees!$F$5:$F$29,MATCH($A61,Employees!$B$5:$B$29,0))="",Settings!$B$9,INDEX(Employees!$F$5:$F$29,MATCH($A61,Employees!$B$5:$B$29,0))),Settings!$B$9)))</f>
        <v/>
      </c>
      <c r="I61" s="10" t="n"/>
      <c r="J61" s="15">
        <f>IF($C61="","",IF($D61="",$C61,$D61))</f>
        <v/>
      </c>
    </row>
    <row r="62">
      <c r="A62" s="10" t="n"/>
      <c r="B62" s="10" t="n"/>
      <c r="C62" s="12" t="n"/>
      <c r="D62" s="12" t="n"/>
      <c r="E62" s="10" t="n"/>
      <c r="F62" s="11" t="n"/>
      <c r="G62" s="20">
        <f>IF(OR($A62="",$C62=""),"",NETWORKDAYS($C62,$J62,Holidays!$A$5:$A$40))</f>
        <v/>
      </c>
      <c r="H62" s="20">
        <f>IF(G62="","",IF($F62&lt;&gt;"",$F62,G62*IFERROR(IF(INDEX(Employees!$F$5:$F$29,MATCH($A62,Employees!$B$5:$B$29,0))="",Settings!$B$9,INDEX(Employees!$F$5:$F$29,MATCH($A62,Employees!$B$5:$B$29,0))),Settings!$B$9)))</f>
        <v/>
      </c>
      <c r="I62" s="10" t="n"/>
      <c r="J62" s="15">
        <f>IF($C62="","",IF($D62="",$C62,$D62))</f>
        <v/>
      </c>
    </row>
    <row r="63">
      <c r="A63" s="10" t="n"/>
      <c r="B63" s="10" t="n"/>
      <c r="C63" s="12" t="n"/>
      <c r="D63" s="12" t="n"/>
      <c r="E63" s="10" t="n"/>
      <c r="F63" s="11" t="n"/>
      <c r="G63" s="20">
        <f>IF(OR($A63="",$C63=""),"",NETWORKDAYS($C63,$J63,Holidays!$A$5:$A$40))</f>
        <v/>
      </c>
      <c r="H63" s="20">
        <f>IF(G63="","",IF($F63&lt;&gt;"",$F63,G63*IFERROR(IF(INDEX(Employees!$F$5:$F$29,MATCH($A63,Employees!$B$5:$B$29,0))="",Settings!$B$9,INDEX(Employees!$F$5:$F$29,MATCH($A63,Employees!$B$5:$B$29,0))),Settings!$B$9)))</f>
        <v/>
      </c>
      <c r="I63" s="10" t="n"/>
      <c r="J63" s="15">
        <f>IF($C63="","",IF($D63="",$C63,$D63))</f>
        <v/>
      </c>
    </row>
    <row r="64">
      <c r="A64" s="10" t="n"/>
      <c r="B64" s="10" t="n"/>
      <c r="C64" s="12" t="n"/>
      <c r="D64" s="12" t="n"/>
      <c r="E64" s="10" t="n"/>
      <c r="F64" s="11" t="n"/>
      <c r="G64" s="20">
        <f>IF(OR($A64="",$C64=""),"",NETWORKDAYS($C64,$J64,Holidays!$A$5:$A$40))</f>
        <v/>
      </c>
      <c r="H64" s="20">
        <f>IF(G64="","",IF($F64&lt;&gt;"",$F64,G64*IFERROR(IF(INDEX(Employees!$F$5:$F$29,MATCH($A64,Employees!$B$5:$B$29,0))="",Settings!$B$9,INDEX(Employees!$F$5:$F$29,MATCH($A64,Employees!$B$5:$B$29,0))),Settings!$B$9)))</f>
        <v/>
      </c>
      <c r="I64" s="10" t="n"/>
      <c r="J64" s="15">
        <f>IF($C64="","",IF($D64="",$C64,$D64))</f>
        <v/>
      </c>
    </row>
    <row r="65">
      <c r="A65" s="10" t="n"/>
      <c r="B65" s="10" t="n"/>
      <c r="C65" s="12" t="n"/>
      <c r="D65" s="12" t="n"/>
      <c r="E65" s="10" t="n"/>
      <c r="F65" s="11" t="n"/>
      <c r="G65" s="20">
        <f>IF(OR($A65="",$C65=""),"",NETWORKDAYS($C65,$J65,Holidays!$A$5:$A$40))</f>
        <v/>
      </c>
      <c r="H65" s="20">
        <f>IF(G65="","",IF($F65&lt;&gt;"",$F65,G65*IFERROR(IF(INDEX(Employees!$F$5:$F$29,MATCH($A65,Employees!$B$5:$B$29,0))="",Settings!$B$9,INDEX(Employees!$F$5:$F$29,MATCH($A65,Employees!$B$5:$B$29,0))),Settings!$B$9)))</f>
        <v/>
      </c>
      <c r="I65" s="10" t="n"/>
      <c r="J65" s="15">
        <f>IF($C65="","",IF($D65="",$C65,$D65))</f>
        <v/>
      </c>
    </row>
    <row r="66">
      <c r="A66" s="10" t="n"/>
      <c r="B66" s="10" t="n"/>
      <c r="C66" s="12" t="n"/>
      <c r="D66" s="12" t="n"/>
      <c r="E66" s="10" t="n"/>
      <c r="F66" s="11" t="n"/>
      <c r="G66" s="20">
        <f>IF(OR($A66="",$C66=""),"",NETWORKDAYS($C66,$J66,Holidays!$A$5:$A$40))</f>
        <v/>
      </c>
      <c r="H66" s="20">
        <f>IF(G66="","",IF($F66&lt;&gt;"",$F66,G66*IFERROR(IF(INDEX(Employees!$F$5:$F$29,MATCH($A66,Employees!$B$5:$B$29,0))="",Settings!$B$9,INDEX(Employees!$F$5:$F$29,MATCH($A66,Employees!$B$5:$B$29,0))),Settings!$B$9)))</f>
        <v/>
      </c>
      <c r="I66" s="10" t="n"/>
      <c r="J66" s="15">
        <f>IF($C66="","",IF($D66="",$C66,$D66))</f>
        <v/>
      </c>
    </row>
    <row r="67">
      <c r="A67" s="10" t="n"/>
      <c r="B67" s="10" t="n"/>
      <c r="C67" s="12" t="n"/>
      <c r="D67" s="12" t="n"/>
      <c r="E67" s="10" t="n"/>
      <c r="F67" s="11" t="n"/>
      <c r="G67" s="20">
        <f>IF(OR($A67="",$C67=""),"",NETWORKDAYS($C67,$J67,Holidays!$A$5:$A$40))</f>
        <v/>
      </c>
      <c r="H67" s="20">
        <f>IF(G67="","",IF($F67&lt;&gt;"",$F67,G67*IFERROR(IF(INDEX(Employees!$F$5:$F$29,MATCH($A67,Employees!$B$5:$B$29,0))="",Settings!$B$9,INDEX(Employees!$F$5:$F$29,MATCH($A67,Employees!$B$5:$B$29,0))),Settings!$B$9)))</f>
        <v/>
      </c>
      <c r="I67" s="10" t="n"/>
      <c r="J67" s="15">
        <f>IF($C67="","",IF($D67="",$C67,$D67))</f>
        <v/>
      </c>
    </row>
    <row r="68">
      <c r="A68" s="10" t="n"/>
      <c r="B68" s="10" t="n"/>
      <c r="C68" s="12" t="n"/>
      <c r="D68" s="12" t="n"/>
      <c r="E68" s="10" t="n"/>
      <c r="F68" s="11" t="n"/>
      <c r="G68" s="20">
        <f>IF(OR($A68="",$C68=""),"",NETWORKDAYS($C68,$J68,Holidays!$A$5:$A$40))</f>
        <v/>
      </c>
      <c r="H68" s="20">
        <f>IF(G68="","",IF($F68&lt;&gt;"",$F68,G68*IFERROR(IF(INDEX(Employees!$F$5:$F$29,MATCH($A68,Employees!$B$5:$B$29,0))="",Settings!$B$9,INDEX(Employees!$F$5:$F$29,MATCH($A68,Employees!$B$5:$B$29,0))),Settings!$B$9)))</f>
        <v/>
      </c>
      <c r="I68" s="10" t="n"/>
      <c r="J68" s="15">
        <f>IF($C68="","",IF($D68="",$C68,$D68))</f>
        <v/>
      </c>
    </row>
    <row r="69">
      <c r="A69" s="10" t="n"/>
      <c r="B69" s="10" t="n"/>
      <c r="C69" s="12" t="n"/>
      <c r="D69" s="12" t="n"/>
      <c r="E69" s="10" t="n"/>
      <c r="F69" s="11" t="n"/>
      <c r="G69" s="20">
        <f>IF(OR($A69="",$C69=""),"",NETWORKDAYS($C69,$J69,Holidays!$A$5:$A$40))</f>
        <v/>
      </c>
      <c r="H69" s="20">
        <f>IF(G69="","",IF($F69&lt;&gt;"",$F69,G69*IFERROR(IF(INDEX(Employees!$F$5:$F$29,MATCH($A69,Employees!$B$5:$B$29,0))="",Settings!$B$9,INDEX(Employees!$F$5:$F$29,MATCH($A69,Employees!$B$5:$B$29,0))),Settings!$B$9)))</f>
        <v/>
      </c>
      <c r="I69" s="10" t="n"/>
      <c r="J69" s="15">
        <f>IF($C69="","",IF($D69="",$C69,$D69))</f>
        <v/>
      </c>
    </row>
    <row r="70">
      <c r="A70" s="10" t="n"/>
      <c r="B70" s="10" t="n"/>
      <c r="C70" s="12" t="n"/>
      <c r="D70" s="12" t="n"/>
      <c r="E70" s="10" t="n"/>
      <c r="F70" s="11" t="n"/>
      <c r="G70" s="20">
        <f>IF(OR($A70="",$C70=""),"",NETWORKDAYS($C70,$J70,Holidays!$A$5:$A$40))</f>
        <v/>
      </c>
      <c r="H70" s="20">
        <f>IF(G70="","",IF($F70&lt;&gt;"",$F70,G70*IFERROR(IF(INDEX(Employees!$F$5:$F$29,MATCH($A70,Employees!$B$5:$B$29,0))="",Settings!$B$9,INDEX(Employees!$F$5:$F$29,MATCH($A70,Employees!$B$5:$B$29,0))),Settings!$B$9)))</f>
        <v/>
      </c>
      <c r="I70" s="10" t="n"/>
      <c r="J70" s="15">
        <f>IF($C70="","",IF($D70="",$C70,$D70))</f>
        <v/>
      </c>
    </row>
    <row r="71">
      <c r="A71" s="10" t="n"/>
      <c r="B71" s="10" t="n"/>
      <c r="C71" s="12" t="n"/>
      <c r="D71" s="12" t="n"/>
      <c r="E71" s="10" t="n"/>
      <c r="F71" s="11" t="n"/>
      <c r="G71" s="20">
        <f>IF(OR($A71="",$C71=""),"",NETWORKDAYS($C71,$J71,Holidays!$A$5:$A$40))</f>
        <v/>
      </c>
      <c r="H71" s="20">
        <f>IF(G71="","",IF($F71&lt;&gt;"",$F71,G71*IFERROR(IF(INDEX(Employees!$F$5:$F$29,MATCH($A71,Employees!$B$5:$B$29,0))="",Settings!$B$9,INDEX(Employees!$F$5:$F$29,MATCH($A71,Employees!$B$5:$B$29,0))),Settings!$B$9)))</f>
        <v/>
      </c>
      <c r="I71" s="10" t="n"/>
      <c r="J71" s="15">
        <f>IF($C71="","",IF($D71="",$C71,$D71))</f>
        <v/>
      </c>
    </row>
    <row r="72">
      <c r="A72" s="10" t="n"/>
      <c r="B72" s="10" t="n"/>
      <c r="C72" s="12" t="n"/>
      <c r="D72" s="12" t="n"/>
      <c r="E72" s="10" t="n"/>
      <c r="F72" s="11" t="n"/>
      <c r="G72" s="20">
        <f>IF(OR($A72="",$C72=""),"",NETWORKDAYS($C72,$J72,Holidays!$A$5:$A$40))</f>
        <v/>
      </c>
      <c r="H72" s="20">
        <f>IF(G72="","",IF($F72&lt;&gt;"",$F72,G72*IFERROR(IF(INDEX(Employees!$F$5:$F$29,MATCH($A72,Employees!$B$5:$B$29,0))="",Settings!$B$9,INDEX(Employees!$F$5:$F$29,MATCH($A72,Employees!$B$5:$B$29,0))),Settings!$B$9)))</f>
        <v/>
      </c>
      <c r="I72" s="10" t="n"/>
      <c r="J72" s="15">
        <f>IF($C72="","",IF($D72="",$C72,$D72))</f>
        <v/>
      </c>
    </row>
    <row r="73">
      <c r="A73" s="10" t="n"/>
      <c r="B73" s="10" t="n"/>
      <c r="C73" s="12" t="n"/>
      <c r="D73" s="12" t="n"/>
      <c r="E73" s="10" t="n"/>
      <c r="F73" s="11" t="n"/>
      <c r="G73" s="20">
        <f>IF(OR($A73="",$C73=""),"",NETWORKDAYS($C73,$J73,Holidays!$A$5:$A$40))</f>
        <v/>
      </c>
      <c r="H73" s="20">
        <f>IF(G73="","",IF($F73&lt;&gt;"",$F73,G73*IFERROR(IF(INDEX(Employees!$F$5:$F$29,MATCH($A73,Employees!$B$5:$B$29,0))="",Settings!$B$9,INDEX(Employees!$F$5:$F$29,MATCH($A73,Employees!$B$5:$B$29,0))),Settings!$B$9)))</f>
        <v/>
      </c>
      <c r="I73" s="10" t="n"/>
      <c r="J73" s="15">
        <f>IF($C73="","",IF($D73="",$C73,$D73))</f>
        <v/>
      </c>
    </row>
    <row r="74">
      <c r="A74" s="10" t="n"/>
      <c r="B74" s="10" t="n"/>
      <c r="C74" s="12" t="n"/>
      <c r="D74" s="12" t="n"/>
      <c r="E74" s="10" t="n"/>
      <c r="F74" s="11" t="n"/>
      <c r="G74" s="20">
        <f>IF(OR($A74="",$C74=""),"",NETWORKDAYS($C74,$J74,Holidays!$A$5:$A$40))</f>
        <v/>
      </c>
      <c r="H74" s="20">
        <f>IF(G74="","",IF($F74&lt;&gt;"",$F74,G74*IFERROR(IF(INDEX(Employees!$F$5:$F$29,MATCH($A74,Employees!$B$5:$B$29,0))="",Settings!$B$9,INDEX(Employees!$F$5:$F$29,MATCH($A74,Employees!$B$5:$B$29,0))),Settings!$B$9)))</f>
        <v/>
      </c>
      <c r="I74" s="10" t="n"/>
      <c r="J74" s="15">
        <f>IF($C74="","",IF($D74="",$C74,$D74))</f>
        <v/>
      </c>
    </row>
    <row r="75">
      <c r="A75" s="10" t="n"/>
      <c r="B75" s="10" t="n"/>
      <c r="C75" s="12" t="n"/>
      <c r="D75" s="12" t="n"/>
      <c r="E75" s="10" t="n"/>
      <c r="F75" s="11" t="n"/>
      <c r="G75" s="20">
        <f>IF(OR($A75="",$C75=""),"",NETWORKDAYS($C75,$J75,Holidays!$A$5:$A$40))</f>
        <v/>
      </c>
      <c r="H75" s="20">
        <f>IF(G75="","",IF($F75&lt;&gt;"",$F75,G75*IFERROR(IF(INDEX(Employees!$F$5:$F$29,MATCH($A75,Employees!$B$5:$B$29,0))="",Settings!$B$9,INDEX(Employees!$F$5:$F$29,MATCH($A75,Employees!$B$5:$B$29,0))),Settings!$B$9)))</f>
        <v/>
      </c>
      <c r="I75" s="10" t="n"/>
      <c r="J75" s="15">
        <f>IF($C75="","",IF($D75="",$C75,$D75))</f>
        <v/>
      </c>
    </row>
    <row r="76">
      <c r="A76" s="10" t="n"/>
      <c r="B76" s="10" t="n"/>
      <c r="C76" s="12" t="n"/>
      <c r="D76" s="12" t="n"/>
      <c r="E76" s="10" t="n"/>
      <c r="F76" s="11" t="n"/>
      <c r="G76" s="20">
        <f>IF(OR($A76="",$C76=""),"",NETWORKDAYS($C76,$J76,Holidays!$A$5:$A$40))</f>
        <v/>
      </c>
      <c r="H76" s="20">
        <f>IF(G76="","",IF($F76&lt;&gt;"",$F76,G76*IFERROR(IF(INDEX(Employees!$F$5:$F$29,MATCH($A76,Employees!$B$5:$B$29,0))="",Settings!$B$9,INDEX(Employees!$F$5:$F$29,MATCH($A76,Employees!$B$5:$B$29,0))),Settings!$B$9)))</f>
        <v/>
      </c>
      <c r="I76" s="10" t="n"/>
      <c r="J76" s="15">
        <f>IF($C76="","",IF($D76="",$C76,$D76))</f>
        <v/>
      </c>
    </row>
    <row r="77">
      <c r="A77" s="10" t="n"/>
      <c r="B77" s="10" t="n"/>
      <c r="C77" s="12" t="n"/>
      <c r="D77" s="12" t="n"/>
      <c r="E77" s="10" t="n"/>
      <c r="F77" s="11" t="n"/>
      <c r="G77" s="20">
        <f>IF(OR($A77="",$C77=""),"",NETWORKDAYS($C77,$J77,Holidays!$A$5:$A$40))</f>
        <v/>
      </c>
      <c r="H77" s="20">
        <f>IF(G77="","",IF($F77&lt;&gt;"",$F77,G77*IFERROR(IF(INDEX(Employees!$F$5:$F$29,MATCH($A77,Employees!$B$5:$B$29,0))="",Settings!$B$9,INDEX(Employees!$F$5:$F$29,MATCH($A77,Employees!$B$5:$B$29,0))),Settings!$B$9)))</f>
        <v/>
      </c>
      <c r="I77" s="10" t="n"/>
      <c r="J77" s="15">
        <f>IF($C77="","",IF($D77="",$C77,$D77))</f>
        <v/>
      </c>
    </row>
    <row r="78">
      <c r="A78" s="10" t="n"/>
      <c r="B78" s="10" t="n"/>
      <c r="C78" s="12" t="n"/>
      <c r="D78" s="12" t="n"/>
      <c r="E78" s="10" t="n"/>
      <c r="F78" s="11" t="n"/>
      <c r="G78" s="20">
        <f>IF(OR($A78="",$C78=""),"",NETWORKDAYS($C78,$J78,Holidays!$A$5:$A$40))</f>
        <v/>
      </c>
      <c r="H78" s="20">
        <f>IF(G78="","",IF($F78&lt;&gt;"",$F78,G78*IFERROR(IF(INDEX(Employees!$F$5:$F$29,MATCH($A78,Employees!$B$5:$B$29,0))="",Settings!$B$9,INDEX(Employees!$F$5:$F$29,MATCH($A78,Employees!$B$5:$B$29,0))),Settings!$B$9)))</f>
        <v/>
      </c>
      <c r="I78" s="10" t="n"/>
      <c r="J78" s="15">
        <f>IF($C78="","",IF($D78="",$C78,$D78))</f>
        <v/>
      </c>
    </row>
    <row r="79">
      <c r="A79" s="10" t="n"/>
      <c r="B79" s="10" t="n"/>
      <c r="C79" s="12" t="n"/>
      <c r="D79" s="12" t="n"/>
      <c r="E79" s="10" t="n"/>
      <c r="F79" s="11" t="n"/>
      <c r="G79" s="20">
        <f>IF(OR($A79="",$C79=""),"",NETWORKDAYS($C79,$J79,Holidays!$A$5:$A$40))</f>
        <v/>
      </c>
      <c r="H79" s="20">
        <f>IF(G79="","",IF($F79&lt;&gt;"",$F79,G79*IFERROR(IF(INDEX(Employees!$F$5:$F$29,MATCH($A79,Employees!$B$5:$B$29,0))="",Settings!$B$9,INDEX(Employees!$F$5:$F$29,MATCH($A79,Employees!$B$5:$B$29,0))),Settings!$B$9)))</f>
        <v/>
      </c>
      <c r="I79" s="10" t="n"/>
      <c r="J79" s="15">
        <f>IF($C79="","",IF($D79="",$C79,$D79))</f>
        <v/>
      </c>
    </row>
    <row r="80">
      <c r="A80" s="10" t="n"/>
      <c r="B80" s="10" t="n"/>
      <c r="C80" s="12" t="n"/>
      <c r="D80" s="12" t="n"/>
      <c r="E80" s="10" t="n"/>
      <c r="F80" s="11" t="n"/>
      <c r="G80" s="20">
        <f>IF(OR($A80="",$C80=""),"",NETWORKDAYS($C80,$J80,Holidays!$A$5:$A$40))</f>
        <v/>
      </c>
      <c r="H80" s="20">
        <f>IF(G80="","",IF($F80&lt;&gt;"",$F80,G80*IFERROR(IF(INDEX(Employees!$F$5:$F$29,MATCH($A80,Employees!$B$5:$B$29,0))="",Settings!$B$9,INDEX(Employees!$F$5:$F$29,MATCH($A80,Employees!$B$5:$B$29,0))),Settings!$B$9)))</f>
        <v/>
      </c>
      <c r="I80" s="10" t="n"/>
      <c r="J80" s="15">
        <f>IF($C80="","",IF($D80="",$C80,$D80))</f>
        <v/>
      </c>
    </row>
    <row r="81">
      <c r="A81" s="10" t="n"/>
      <c r="B81" s="10" t="n"/>
      <c r="C81" s="12" t="n"/>
      <c r="D81" s="12" t="n"/>
      <c r="E81" s="10" t="n"/>
      <c r="F81" s="11" t="n"/>
      <c r="G81" s="20">
        <f>IF(OR($A81="",$C81=""),"",NETWORKDAYS($C81,$J81,Holidays!$A$5:$A$40))</f>
        <v/>
      </c>
      <c r="H81" s="20">
        <f>IF(G81="","",IF($F81&lt;&gt;"",$F81,G81*IFERROR(IF(INDEX(Employees!$F$5:$F$29,MATCH($A81,Employees!$B$5:$B$29,0))="",Settings!$B$9,INDEX(Employees!$F$5:$F$29,MATCH($A81,Employees!$B$5:$B$29,0))),Settings!$B$9)))</f>
        <v/>
      </c>
      <c r="I81" s="10" t="n"/>
      <c r="J81" s="15">
        <f>IF($C81="","",IF($D81="",$C81,$D81))</f>
        <v/>
      </c>
    </row>
    <row r="82">
      <c r="A82" s="10" t="n"/>
      <c r="B82" s="10" t="n"/>
      <c r="C82" s="12" t="n"/>
      <c r="D82" s="12" t="n"/>
      <c r="E82" s="10" t="n"/>
      <c r="F82" s="11" t="n"/>
      <c r="G82" s="20">
        <f>IF(OR($A82="",$C82=""),"",NETWORKDAYS($C82,$J82,Holidays!$A$5:$A$40))</f>
        <v/>
      </c>
      <c r="H82" s="20">
        <f>IF(G82="","",IF($F82&lt;&gt;"",$F82,G82*IFERROR(IF(INDEX(Employees!$F$5:$F$29,MATCH($A82,Employees!$B$5:$B$29,0))="",Settings!$B$9,INDEX(Employees!$F$5:$F$29,MATCH($A82,Employees!$B$5:$B$29,0))),Settings!$B$9)))</f>
        <v/>
      </c>
      <c r="I82" s="10" t="n"/>
      <c r="J82" s="15">
        <f>IF($C82="","",IF($D82="",$C82,$D82))</f>
        <v/>
      </c>
    </row>
    <row r="83">
      <c r="A83" s="10" t="n"/>
      <c r="B83" s="10" t="n"/>
      <c r="C83" s="12" t="n"/>
      <c r="D83" s="12" t="n"/>
      <c r="E83" s="10" t="n"/>
      <c r="F83" s="11" t="n"/>
      <c r="G83" s="20">
        <f>IF(OR($A83="",$C83=""),"",NETWORKDAYS($C83,$J83,Holidays!$A$5:$A$40))</f>
        <v/>
      </c>
      <c r="H83" s="20">
        <f>IF(G83="","",IF($F83&lt;&gt;"",$F83,G83*IFERROR(IF(INDEX(Employees!$F$5:$F$29,MATCH($A83,Employees!$B$5:$B$29,0))="",Settings!$B$9,INDEX(Employees!$F$5:$F$29,MATCH($A83,Employees!$B$5:$B$29,0))),Settings!$B$9)))</f>
        <v/>
      </c>
      <c r="I83" s="10" t="n"/>
      <c r="J83" s="15">
        <f>IF($C83="","",IF($D83="",$C83,$D83))</f>
        <v/>
      </c>
    </row>
    <row r="84">
      <c r="A84" s="10" t="n"/>
      <c r="B84" s="10" t="n"/>
      <c r="C84" s="12" t="n"/>
      <c r="D84" s="12" t="n"/>
      <c r="E84" s="10" t="n"/>
      <c r="F84" s="11" t="n"/>
      <c r="G84" s="20">
        <f>IF(OR($A84="",$C84=""),"",NETWORKDAYS($C84,$J84,Holidays!$A$5:$A$40))</f>
        <v/>
      </c>
      <c r="H84" s="20">
        <f>IF(G84="","",IF($F84&lt;&gt;"",$F84,G84*IFERROR(IF(INDEX(Employees!$F$5:$F$29,MATCH($A84,Employees!$B$5:$B$29,0))="",Settings!$B$9,INDEX(Employees!$F$5:$F$29,MATCH($A84,Employees!$B$5:$B$29,0))),Settings!$B$9)))</f>
        <v/>
      </c>
      <c r="I84" s="10" t="n"/>
      <c r="J84" s="15">
        <f>IF($C84="","",IF($D84="",$C84,$D84))</f>
        <v/>
      </c>
    </row>
    <row r="85">
      <c r="A85" s="10" t="n"/>
      <c r="B85" s="10" t="n"/>
      <c r="C85" s="12" t="n"/>
      <c r="D85" s="12" t="n"/>
      <c r="E85" s="10" t="n"/>
      <c r="F85" s="11" t="n"/>
      <c r="G85" s="20">
        <f>IF(OR($A85="",$C85=""),"",NETWORKDAYS($C85,$J85,Holidays!$A$5:$A$40))</f>
        <v/>
      </c>
      <c r="H85" s="20">
        <f>IF(G85="","",IF($F85&lt;&gt;"",$F85,G85*IFERROR(IF(INDEX(Employees!$F$5:$F$29,MATCH($A85,Employees!$B$5:$B$29,0))="",Settings!$B$9,INDEX(Employees!$F$5:$F$29,MATCH($A85,Employees!$B$5:$B$29,0))),Settings!$B$9)))</f>
        <v/>
      </c>
      <c r="I85" s="10" t="n"/>
      <c r="J85" s="15">
        <f>IF($C85="","",IF($D85="",$C85,$D85))</f>
        <v/>
      </c>
    </row>
    <row r="86">
      <c r="A86" s="10" t="n"/>
      <c r="B86" s="10" t="n"/>
      <c r="C86" s="12" t="n"/>
      <c r="D86" s="12" t="n"/>
      <c r="E86" s="10" t="n"/>
      <c r="F86" s="11" t="n"/>
      <c r="G86" s="20">
        <f>IF(OR($A86="",$C86=""),"",NETWORKDAYS($C86,$J86,Holidays!$A$5:$A$40))</f>
        <v/>
      </c>
      <c r="H86" s="20">
        <f>IF(G86="","",IF($F86&lt;&gt;"",$F86,G86*IFERROR(IF(INDEX(Employees!$F$5:$F$29,MATCH($A86,Employees!$B$5:$B$29,0))="",Settings!$B$9,INDEX(Employees!$F$5:$F$29,MATCH($A86,Employees!$B$5:$B$29,0))),Settings!$B$9)))</f>
        <v/>
      </c>
      <c r="I86" s="10" t="n"/>
      <c r="J86" s="15">
        <f>IF($C86="","",IF($D86="",$C86,$D86))</f>
        <v/>
      </c>
    </row>
    <row r="87">
      <c r="A87" s="10" t="n"/>
      <c r="B87" s="10" t="n"/>
      <c r="C87" s="12" t="n"/>
      <c r="D87" s="12" t="n"/>
      <c r="E87" s="10" t="n"/>
      <c r="F87" s="11" t="n"/>
      <c r="G87" s="20">
        <f>IF(OR($A87="",$C87=""),"",NETWORKDAYS($C87,$J87,Holidays!$A$5:$A$40))</f>
        <v/>
      </c>
      <c r="H87" s="20">
        <f>IF(G87="","",IF($F87&lt;&gt;"",$F87,G87*IFERROR(IF(INDEX(Employees!$F$5:$F$29,MATCH($A87,Employees!$B$5:$B$29,0))="",Settings!$B$9,INDEX(Employees!$F$5:$F$29,MATCH($A87,Employees!$B$5:$B$29,0))),Settings!$B$9)))</f>
        <v/>
      </c>
      <c r="I87" s="10" t="n"/>
      <c r="J87" s="15">
        <f>IF($C87="","",IF($D87="",$C87,$D87))</f>
        <v/>
      </c>
    </row>
    <row r="88">
      <c r="A88" s="10" t="n"/>
      <c r="B88" s="10" t="n"/>
      <c r="C88" s="12" t="n"/>
      <c r="D88" s="12" t="n"/>
      <c r="E88" s="10" t="n"/>
      <c r="F88" s="11" t="n"/>
      <c r="G88" s="20">
        <f>IF(OR($A88="",$C88=""),"",NETWORKDAYS($C88,$J88,Holidays!$A$5:$A$40))</f>
        <v/>
      </c>
      <c r="H88" s="20">
        <f>IF(G88="","",IF($F88&lt;&gt;"",$F88,G88*IFERROR(IF(INDEX(Employees!$F$5:$F$29,MATCH($A88,Employees!$B$5:$B$29,0))="",Settings!$B$9,INDEX(Employees!$F$5:$F$29,MATCH($A88,Employees!$B$5:$B$29,0))),Settings!$B$9)))</f>
        <v/>
      </c>
      <c r="I88" s="10" t="n"/>
      <c r="J88" s="15">
        <f>IF($C88="","",IF($D88="",$C88,$D88))</f>
        <v/>
      </c>
    </row>
    <row r="89">
      <c r="A89" s="10" t="n"/>
      <c r="B89" s="10" t="n"/>
      <c r="C89" s="12" t="n"/>
      <c r="D89" s="12" t="n"/>
      <c r="E89" s="10" t="n"/>
      <c r="F89" s="11" t="n"/>
      <c r="G89" s="20">
        <f>IF(OR($A89="",$C89=""),"",NETWORKDAYS($C89,$J89,Holidays!$A$5:$A$40))</f>
        <v/>
      </c>
      <c r="H89" s="20">
        <f>IF(G89="","",IF($F89&lt;&gt;"",$F89,G89*IFERROR(IF(INDEX(Employees!$F$5:$F$29,MATCH($A89,Employees!$B$5:$B$29,0))="",Settings!$B$9,INDEX(Employees!$F$5:$F$29,MATCH($A89,Employees!$B$5:$B$29,0))),Settings!$B$9)))</f>
        <v/>
      </c>
      <c r="I89" s="10" t="n"/>
      <c r="J89" s="15">
        <f>IF($C89="","",IF($D89="",$C89,$D89))</f>
        <v/>
      </c>
    </row>
    <row r="90">
      <c r="A90" s="10" t="n"/>
      <c r="B90" s="10" t="n"/>
      <c r="C90" s="12" t="n"/>
      <c r="D90" s="12" t="n"/>
      <c r="E90" s="10" t="n"/>
      <c r="F90" s="11" t="n"/>
      <c r="G90" s="20">
        <f>IF(OR($A90="",$C90=""),"",NETWORKDAYS($C90,$J90,Holidays!$A$5:$A$40))</f>
        <v/>
      </c>
      <c r="H90" s="20">
        <f>IF(G90="","",IF($F90&lt;&gt;"",$F90,G90*IFERROR(IF(INDEX(Employees!$F$5:$F$29,MATCH($A90,Employees!$B$5:$B$29,0))="",Settings!$B$9,INDEX(Employees!$F$5:$F$29,MATCH($A90,Employees!$B$5:$B$29,0))),Settings!$B$9)))</f>
        <v/>
      </c>
      <c r="I90" s="10" t="n"/>
      <c r="J90" s="15">
        <f>IF($C90="","",IF($D90="",$C90,$D90))</f>
        <v/>
      </c>
    </row>
    <row r="91">
      <c r="A91" s="10" t="n"/>
      <c r="B91" s="10" t="n"/>
      <c r="C91" s="12" t="n"/>
      <c r="D91" s="12" t="n"/>
      <c r="E91" s="10" t="n"/>
      <c r="F91" s="11" t="n"/>
      <c r="G91" s="20">
        <f>IF(OR($A91="",$C91=""),"",NETWORKDAYS($C91,$J91,Holidays!$A$5:$A$40))</f>
        <v/>
      </c>
      <c r="H91" s="20">
        <f>IF(G91="","",IF($F91&lt;&gt;"",$F91,G91*IFERROR(IF(INDEX(Employees!$F$5:$F$29,MATCH($A91,Employees!$B$5:$B$29,0))="",Settings!$B$9,INDEX(Employees!$F$5:$F$29,MATCH($A91,Employees!$B$5:$B$29,0))),Settings!$B$9)))</f>
        <v/>
      </c>
      <c r="I91" s="10" t="n"/>
      <c r="J91" s="15">
        <f>IF($C91="","",IF($D91="",$C91,$D91))</f>
        <v/>
      </c>
    </row>
    <row r="92">
      <c r="A92" s="10" t="n"/>
      <c r="B92" s="10" t="n"/>
      <c r="C92" s="12" t="n"/>
      <c r="D92" s="12" t="n"/>
      <c r="E92" s="10" t="n"/>
      <c r="F92" s="11" t="n"/>
      <c r="G92" s="20">
        <f>IF(OR($A92="",$C92=""),"",NETWORKDAYS($C92,$J92,Holidays!$A$5:$A$40))</f>
        <v/>
      </c>
      <c r="H92" s="20">
        <f>IF(G92="","",IF($F92&lt;&gt;"",$F92,G92*IFERROR(IF(INDEX(Employees!$F$5:$F$29,MATCH($A92,Employees!$B$5:$B$29,0))="",Settings!$B$9,INDEX(Employees!$F$5:$F$29,MATCH($A92,Employees!$B$5:$B$29,0))),Settings!$B$9)))</f>
        <v/>
      </c>
      <c r="I92" s="10" t="n"/>
      <c r="J92" s="15">
        <f>IF($C92="","",IF($D92="",$C92,$D92))</f>
        <v/>
      </c>
    </row>
    <row r="93">
      <c r="A93" s="10" t="n"/>
      <c r="B93" s="10" t="n"/>
      <c r="C93" s="12" t="n"/>
      <c r="D93" s="12" t="n"/>
      <c r="E93" s="10" t="n"/>
      <c r="F93" s="11" t="n"/>
      <c r="G93" s="20">
        <f>IF(OR($A93="",$C93=""),"",NETWORKDAYS($C93,$J93,Holidays!$A$5:$A$40))</f>
        <v/>
      </c>
      <c r="H93" s="20">
        <f>IF(G93="","",IF($F93&lt;&gt;"",$F93,G93*IFERROR(IF(INDEX(Employees!$F$5:$F$29,MATCH($A93,Employees!$B$5:$B$29,0))="",Settings!$B$9,INDEX(Employees!$F$5:$F$29,MATCH($A93,Employees!$B$5:$B$29,0))),Settings!$B$9)))</f>
        <v/>
      </c>
      <c r="I93" s="10" t="n"/>
      <c r="J93" s="15">
        <f>IF($C93="","",IF($D93="",$C93,$D93))</f>
        <v/>
      </c>
    </row>
    <row r="94">
      <c r="A94" s="10" t="n"/>
      <c r="B94" s="10" t="n"/>
      <c r="C94" s="12" t="n"/>
      <c r="D94" s="12" t="n"/>
      <c r="E94" s="10" t="n"/>
      <c r="F94" s="11" t="n"/>
      <c r="G94" s="20">
        <f>IF(OR($A94="",$C94=""),"",NETWORKDAYS($C94,$J94,Holidays!$A$5:$A$40))</f>
        <v/>
      </c>
      <c r="H94" s="20">
        <f>IF(G94="","",IF($F94&lt;&gt;"",$F94,G94*IFERROR(IF(INDEX(Employees!$F$5:$F$29,MATCH($A94,Employees!$B$5:$B$29,0))="",Settings!$B$9,INDEX(Employees!$F$5:$F$29,MATCH($A94,Employees!$B$5:$B$29,0))),Settings!$B$9)))</f>
        <v/>
      </c>
      <c r="I94" s="10" t="n"/>
      <c r="J94" s="15">
        <f>IF($C94="","",IF($D94="",$C94,$D94))</f>
        <v/>
      </c>
    </row>
    <row r="95">
      <c r="A95" s="10" t="n"/>
      <c r="B95" s="10" t="n"/>
      <c r="C95" s="12" t="n"/>
      <c r="D95" s="12" t="n"/>
      <c r="E95" s="10" t="n"/>
      <c r="F95" s="11" t="n"/>
      <c r="G95" s="20">
        <f>IF(OR($A95="",$C95=""),"",NETWORKDAYS($C95,$J95,Holidays!$A$5:$A$40))</f>
        <v/>
      </c>
      <c r="H95" s="20">
        <f>IF(G95="","",IF($F95&lt;&gt;"",$F95,G95*IFERROR(IF(INDEX(Employees!$F$5:$F$29,MATCH($A95,Employees!$B$5:$B$29,0))="",Settings!$B$9,INDEX(Employees!$F$5:$F$29,MATCH($A95,Employees!$B$5:$B$29,0))),Settings!$B$9)))</f>
        <v/>
      </c>
      <c r="I95" s="10" t="n"/>
      <c r="J95" s="15">
        <f>IF($C95="","",IF($D95="",$C95,$D95))</f>
        <v/>
      </c>
    </row>
    <row r="96">
      <c r="A96" s="10" t="n"/>
      <c r="B96" s="10" t="n"/>
      <c r="C96" s="12" t="n"/>
      <c r="D96" s="12" t="n"/>
      <c r="E96" s="10" t="n"/>
      <c r="F96" s="11" t="n"/>
      <c r="G96" s="20">
        <f>IF(OR($A96="",$C96=""),"",NETWORKDAYS($C96,$J96,Holidays!$A$5:$A$40))</f>
        <v/>
      </c>
      <c r="H96" s="20">
        <f>IF(G96="","",IF($F96&lt;&gt;"",$F96,G96*IFERROR(IF(INDEX(Employees!$F$5:$F$29,MATCH($A96,Employees!$B$5:$B$29,0))="",Settings!$B$9,INDEX(Employees!$F$5:$F$29,MATCH($A96,Employees!$B$5:$B$29,0))),Settings!$B$9)))</f>
        <v/>
      </c>
      <c r="I96" s="10" t="n"/>
      <c r="J96" s="15">
        <f>IF($C96="","",IF($D96="",$C96,$D96))</f>
        <v/>
      </c>
    </row>
    <row r="97">
      <c r="A97" s="10" t="n"/>
      <c r="B97" s="10" t="n"/>
      <c r="C97" s="12" t="n"/>
      <c r="D97" s="12" t="n"/>
      <c r="E97" s="10" t="n"/>
      <c r="F97" s="11" t="n"/>
      <c r="G97" s="20">
        <f>IF(OR($A97="",$C97=""),"",NETWORKDAYS($C97,$J97,Holidays!$A$5:$A$40))</f>
        <v/>
      </c>
      <c r="H97" s="20">
        <f>IF(G97="","",IF($F97&lt;&gt;"",$F97,G97*IFERROR(IF(INDEX(Employees!$F$5:$F$29,MATCH($A97,Employees!$B$5:$B$29,0))="",Settings!$B$9,INDEX(Employees!$F$5:$F$29,MATCH($A97,Employees!$B$5:$B$29,0))),Settings!$B$9)))</f>
        <v/>
      </c>
      <c r="I97" s="10" t="n"/>
      <c r="J97" s="15">
        <f>IF($C97="","",IF($D97="",$C97,$D97))</f>
        <v/>
      </c>
    </row>
    <row r="98">
      <c r="A98" s="10" t="n"/>
      <c r="B98" s="10" t="n"/>
      <c r="C98" s="12" t="n"/>
      <c r="D98" s="12" t="n"/>
      <c r="E98" s="10" t="n"/>
      <c r="F98" s="11" t="n"/>
      <c r="G98" s="20">
        <f>IF(OR($A98="",$C98=""),"",NETWORKDAYS($C98,$J98,Holidays!$A$5:$A$40))</f>
        <v/>
      </c>
      <c r="H98" s="20">
        <f>IF(G98="","",IF($F98&lt;&gt;"",$F98,G98*IFERROR(IF(INDEX(Employees!$F$5:$F$29,MATCH($A98,Employees!$B$5:$B$29,0))="",Settings!$B$9,INDEX(Employees!$F$5:$F$29,MATCH($A98,Employees!$B$5:$B$29,0))),Settings!$B$9)))</f>
        <v/>
      </c>
      <c r="I98" s="10" t="n"/>
      <c r="J98" s="15">
        <f>IF($C98="","",IF($D98="",$C98,$D98))</f>
        <v/>
      </c>
    </row>
    <row r="99">
      <c r="A99" s="10" t="n"/>
      <c r="B99" s="10" t="n"/>
      <c r="C99" s="12" t="n"/>
      <c r="D99" s="12" t="n"/>
      <c r="E99" s="10" t="n"/>
      <c r="F99" s="11" t="n"/>
      <c r="G99" s="20">
        <f>IF(OR($A99="",$C99=""),"",NETWORKDAYS($C99,$J99,Holidays!$A$5:$A$40))</f>
        <v/>
      </c>
      <c r="H99" s="20">
        <f>IF(G99="","",IF($F99&lt;&gt;"",$F99,G99*IFERROR(IF(INDEX(Employees!$F$5:$F$29,MATCH($A99,Employees!$B$5:$B$29,0))="",Settings!$B$9,INDEX(Employees!$F$5:$F$29,MATCH($A99,Employees!$B$5:$B$29,0))),Settings!$B$9)))</f>
        <v/>
      </c>
      <c r="I99" s="10" t="n"/>
      <c r="J99" s="15">
        <f>IF($C99="","",IF($D99="",$C99,$D99))</f>
        <v/>
      </c>
    </row>
    <row r="100">
      <c r="A100" s="10" t="n"/>
      <c r="B100" s="10" t="n"/>
      <c r="C100" s="12" t="n"/>
      <c r="D100" s="12" t="n"/>
      <c r="E100" s="10" t="n"/>
      <c r="F100" s="11" t="n"/>
      <c r="G100" s="20">
        <f>IF(OR($A100="",$C100=""),"",NETWORKDAYS($C100,$J100,Holidays!$A$5:$A$40))</f>
        <v/>
      </c>
      <c r="H100" s="20">
        <f>IF(G100="","",IF($F100&lt;&gt;"",$F100,G100*IFERROR(IF(INDEX(Employees!$F$5:$F$29,MATCH($A100,Employees!$B$5:$B$29,0))="",Settings!$B$9,INDEX(Employees!$F$5:$F$29,MATCH($A100,Employees!$B$5:$B$29,0))),Settings!$B$9)))</f>
        <v/>
      </c>
      <c r="I100" s="10" t="n"/>
      <c r="J100" s="15">
        <f>IF($C100="","",IF($D100="",$C100,$D100))</f>
        <v/>
      </c>
    </row>
    <row r="101">
      <c r="A101" s="10" t="n"/>
      <c r="B101" s="10" t="n"/>
      <c r="C101" s="12" t="n"/>
      <c r="D101" s="12" t="n"/>
      <c r="E101" s="10" t="n"/>
      <c r="F101" s="11" t="n"/>
      <c r="G101" s="20">
        <f>IF(OR($A101="",$C101=""),"",NETWORKDAYS($C101,$J101,Holidays!$A$5:$A$40))</f>
        <v/>
      </c>
      <c r="H101" s="20">
        <f>IF(G101="","",IF($F101&lt;&gt;"",$F101,G101*IFERROR(IF(INDEX(Employees!$F$5:$F$29,MATCH($A101,Employees!$B$5:$B$29,0))="",Settings!$B$9,INDEX(Employees!$F$5:$F$29,MATCH($A101,Employees!$B$5:$B$29,0))),Settings!$B$9)))</f>
        <v/>
      </c>
      <c r="I101" s="10" t="n"/>
      <c r="J101" s="15">
        <f>IF($C101="","",IF($D101="",$C101,$D101))</f>
        <v/>
      </c>
    </row>
    <row r="102">
      <c r="A102" s="10" t="n"/>
      <c r="B102" s="10" t="n"/>
      <c r="C102" s="12" t="n"/>
      <c r="D102" s="12" t="n"/>
      <c r="E102" s="10" t="n"/>
      <c r="F102" s="11" t="n"/>
      <c r="G102" s="20">
        <f>IF(OR($A102="",$C102=""),"",NETWORKDAYS($C102,$J102,Holidays!$A$5:$A$40))</f>
        <v/>
      </c>
      <c r="H102" s="20">
        <f>IF(G102="","",IF($F102&lt;&gt;"",$F102,G102*IFERROR(IF(INDEX(Employees!$F$5:$F$29,MATCH($A102,Employees!$B$5:$B$29,0))="",Settings!$B$9,INDEX(Employees!$F$5:$F$29,MATCH($A102,Employees!$B$5:$B$29,0))),Settings!$B$9)))</f>
        <v/>
      </c>
      <c r="I102" s="10" t="n"/>
      <c r="J102" s="15">
        <f>IF($C102="","",IF($D102="",$C102,$D102))</f>
        <v/>
      </c>
    </row>
    <row r="103">
      <c r="A103" s="10" t="n"/>
      <c r="B103" s="10" t="n"/>
      <c r="C103" s="12" t="n"/>
      <c r="D103" s="12" t="n"/>
      <c r="E103" s="10" t="n"/>
      <c r="F103" s="11" t="n"/>
      <c r="G103" s="20">
        <f>IF(OR($A103="",$C103=""),"",NETWORKDAYS($C103,$J103,Holidays!$A$5:$A$40))</f>
        <v/>
      </c>
      <c r="H103" s="20">
        <f>IF(G103="","",IF($F103&lt;&gt;"",$F103,G103*IFERROR(IF(INDEX(Employees!$F$5:$F$29,MATCH($A103,Employees!$B$5:$B$29,0))="",Settings!$B$9,INDEX(Employees!$F$5:$F$29,MATCH($A103,Employees!$B$5:$B$29,0))),Settings!$B$9)))</f>
        <v/>
      </c>
      <c r="I103" s="10" t="n"/>
      <c r="J103" s="15">
        <f>IF($C103="","",IF($D103="",$C103,$D103))</f>
        <v/>
      </c>
    </row>
    <row r="104">
      <c r="A104" s="10" t="n"/>
      <c r="B104" s="10" t="n"/>
      <c r="C104" s="12" t="n"/>
      <c r="D104" s="12" t="n"/>
      <c r="E104" s="10" t="n"/>
      <c r="F104" s="11" t="n"/>
      <c r="G104" s="20">
        <f>IF(OR($A104="",$C104=""),"",NETWORKDAYS($C104,$J104,Holidays!$A$5:$A$40))</f>
        <v/>
      </c>
      <c r="H104" s="20">
        <f>IF(G104="","",IF($F104&lt;&gt;"",$F104,G104*IFERROR(IF(INDEX(Employees!$F$5:$F$29,MATCH($A104,Employees!$B$5:$B$29,0))="",Settings!$B$9,INDEX(Employees!$F$5:$F$29,MATCH($A104,Employees!$B$5:$B$29,0))),Settings!$B$9)))</f>
        <v/>
      </c>
      <c r="I104" s="10" t="n"/>
      <c r="J104" s="15">
        <f>IF($C104="","",IF($D104="",$C104,$D104))</f>
        <v/>
      </c>
    </row>
    <row r="105">
      <c r="A105" s="10" t="n"/>
      <c r="B105" s="10" t="n"/>
      <c r="C105" s="12" t="n"/>
      <c r="D105" s="12" t="n"/>
      <c r="E105" s="10" t="n"/>
      <c r="F105" s="11" t="n"/>
      <c r="G105" s="20">
        <f>IF(OR($A105="",$C105=""),"",NETWORKDAYS($C105,$J105,Holidays!$A$5:$A$40))</f>
        <v/>
      </c>
      <c r="H105" s="20">
        <f>IF(G105="","",IF($F105&lt;&gt;"",$F105,G105*IFERROR(IF(INDEX(Employees!$F$5:$F$29,MATCH($A105,Employees!$B$5:$B$29,0))="",Settings!$B$9,INDEX(Employees!$F$5:$F$29,MATCH($A105,Employees!$B$5:$B$29,0))),Settings!$B$9)))</f>
        <v/>
      </c>
      <c r="I105" s="10" t="n"/>
      <c r="J105" s="15">
        <f>IF($C105="","",IF($D105="",$C105,$D105))</f>
        <v/>
      </c>
    </row>
    <row r="106">
      <c r="A106" s="10" t="n"/>
      <c r="B106" s="10" t="n"/>
      <c r="C106" s="12" t="n"/>
      <c r="D106" s="12" t="n"/>
      <c r="E106" s="10" t="n"/>
      <c r="F106" s="11" t="n"/>
      <c r="G106" s="20">
        <f>IF(OR($A106="",$C106=""),"",NETWORKDAYS($C106,$J106,Holidays!$A$5:$A$40))</f>
        <v/>
      </c>
      <c r="H106" s="20">
        <f>IF(G106="","",IF($F106&lt;&gt;"",$F106,G106*IFERROR(IF(INDEX(Employees!$F$5:$F$29,MATCH($A106,Employees!$B$5:$B$29,0))="",Settings!$B$9,INDEX(Employees!$F$5:$F$29,MATCH($A106,Employees!$B$5:$B$29,0))),Settings!$B$9)))</f>
        <v/>
      </c>
      <c r="I106" s="10" t="n"/>
      <c r="J106" s="15">
        <f>IF($C106="","",IF($D106="",$C106,$D106))</f>
        <v/>
      </c>
    </row>
    <row r="107">
      <c r="A107" s="10" t="n"/>
      <c r="B107" s="10" t="n"/>
      <c r="C107" s="12" t="n"/>
      <c r="D107" s="12" t="n"/>
      <c r="E107" s="10" t="n"/>
      <c r="F107" s="11" t="n"/>
      <c r="G107" s="20">
        <f>IF(OR($A107="",$C107=""),"",NETWORKDAYS($C107,$J107,Holidays!$A$5:$A$40))</f>
        <v/>
      </c>
      <c r="H107" s="20">
        <f>IF(G107="","",IF($F107&lt;&gt;"",$F107,G107*IFERROR(IF(INDEX(Employees!$F$5:$F$29,MATCH($A107,Employees!$B$5:$B$29,0))="",Settings!$B$9,INDEX(Employees!$F$5:$F$29,MATCH($A107,Employees!$B$5:$B$29,0))),Settings!$B$9)))</f>
        <v/>
      </c>
      <c r="I107" s="10" t="n"/>
      <c r="J107" s="15">
        <f>IF($C107="","",IF($D107="",$C107,$D107))</f>
        <v/>
      </c>
    </row>
    <row r="108">
      <c r="A108" s="10" t="n"/>
      <c r="B108" s="10" t="n"/>
      <c r="C108" s="12" t="n"/>
      <c r="D108" s="12" t="n"/>
      <c r="E108" s="10" t="n"/>
      <c r="F108" s="11" t="n"/>
      <c r="G108" s="20">
        <f>IF(OR($A108="",$C108=""),"",NETWORKDAYS($C108,$J108,Holidays!$A$5:$A$40))</f>
        <v/>
      </c>
      <c r="H108" s="20">
        <f>IF(G108="","",IF($F108&lt;&gt;"",$F108,G108*IFERROR(IF(INDEX(Employees!$F$5:$F$29,MATCH($A108,Employees!$B$5:$B$29,0))="",Settings!$B$9,INDEX(Employees!$F$5:$F$29,MATCH($A108,Employees!$B$5:$B$29,0))),Settings!$B$9)))</f>
        <v/>
      </c>
      <c r="I108" s="10" t="n"/>
      <c r="J108" s="15">
        <f>IF($C108="","",IF($D108="",$C108,$D108))</f>
        <v/>
      </c>
    </row>
    <row r="109">
      <c r="A109" s="10" t="n"/>
      <c r="B109" s="10" t="n"/>
      <c r="C109" s="12" t="n"/>
      <c r="D109" s="12" t="n"/>
      <c r="E109" s="10" t="n"/>
      <c r="F109" s="11" t="n"/>
      <c r="G109" s="20">
        <f>IF(OR($A109="",$C109=""),"",NETWORKDAYS($C109,$J109,Holidays!$A$5:$A$40))</f>
        <v/>
      </c>
      <c r="H109" s="20">
        <f>IF(G109="","",IF($F109&lt;&gt;"",$F109,G109*IFERROR(IF(INDEX(Employees!$F$5:$F$29,MATCH($A109,Employees!$B$5:$B$29,0))="",Settings!$B$9,INDEX(Employees!$F$5:$F$29,MATCH($A109,Employees!$B$5:$B$29,0))),Settings!$B$9)))</f>
        <v/>
      </c>
      <c r="I109" s="10" t="n"/>
      <c r="J109" s="15">
        <f>IF($C109="","",IF($D109="",$C109,$D109))</f>
        <v/>
      </c>
    </row>
    <row r="110">
      <c r="A110" s="10" t="n"/>
      <c r="B110" s="10" t="n"/>
      <c r="C110" s="12" t="n"/>
      <c r="D110" s="12" t="n"/>
      <c r="E110" s="10" t="n"/>
      <c r="F110" s="11" t="n"/>
      <c r="G110" s="20">
        <f>IF(OR($A110="",$C110=""),"",NETWORKDAYS($C110,$J110,Holidays!$A$5:$A$40))</f>
        <v/>
      </c>
      <c r="H110" s="20">
        <f>IF(G110="","",IF($F110&lt;&gt;"",$F110,G110*IFERROR(IF(INDEX(Employees!$F$5:$F$29,MATCH($A110,Employees!$B$5:$B$29,0))="",Settings!$B$9,INDEX(Employees!$F$5:$F$29,MATCH($A110,Employees!$B$5:$B$29,0))),Settings!$B$9)))</f>
        <v/>
      </c>
      <c r="I110" s="10" t="n"/>
      <c r="J110" s="15">
        <f>IF($C110="","",IF($D110="",$C110,$D110))</f>
        <v/>
      </c>
    </row>
    <row r="111">
      <c r="A111" s="10" t="n"/>
      <c r="B111" s="10" t="n"/>
      <c r="C111" s="12" t="n"/>
      <c r="D111" s="12" t="n"/>
      <c r="E111" s="10" t="n"/>
      <c r="F111" s="11" t="n"/>
      <c r="G111" s="20">
        <f>IF(OR($A111="",$C111=""),"",NETWORKDAYS($C111,$J111,Holidays!$A$5:$A$40))</f>
        <v/>
      </c>
      <c r="H111" s="20">
        <f>IF(G111="","",IF($F111&lt;&gt;"",$F111,G111*IFERROR(IF(INDEX(Employees!$F$5:$F$29,MATCH($A111,Employees!$B$5:$B$29,0))="",Settings!$B$9,INDEX(Employees!$F$5:$F$29,MATCH($A111,Employees!$B$5:$B$29,0))),Settings!$B$9)))</f>
        <v/>
      </c>
      <c r="I111" s="10" t="n"/>
      <c r="J111" s="15">
        <f>IF($C111="","",IF($D111="",$C111,$D111))</f>
        <v/>
      </c>
    </row>
    <row r="112">
      <c r="A112" s="10" t="n"/>
      <c r="B112" s="10" t="n"/>
      <c r="C112" s="12" t="n"/>
      <c r="D112" s="12" t="n"/>
      <c r="E112" s="10" t="n"/>
      <c r="F112" s="11" t="n"/>
      <c r="G112" s="20">
        <f>IF(OR($A112="",$C112=""),"",NETWORKDAYS($C112,$J112,Holidays!$A$5:$A$40))</f>
        <v/>
      </c>
      <c r="H112" s="20">
        <f>IF(G112="","",IF($F112&lt;&gt;"",$F112,G112*IFERROR(IF(INDEX(Employees!$F$5:$F$29,MATCH($A112,Employees!$B$5:$B$29,0))="",Settings!$B$9,INDEX(Employees!$F$5:$F$29,MATCH($A112,Employees!$B$5:$B$29,0))),Settings!$B$9)))</f>
        <v/>
      </c>
      <c r="I112" s="10" t="n"/>
      <c r="J112" s="15">
        <f>IF($C112="","",IF($D112="",$C112,$D112))</f>
        <v/>
      </c>
    </row>
    <row r="113">
      <c r="A113" s="10" t="n"/>
      <c r="B113" s="10" t="n"/>
      <c r="C113" s="12" t="n"/>
      <c r="D113" s="12" t="n"/>
      <c r="E113" s="10" t="n"/>
      <c r="F113" s="11" t="n"/>
      <c r="G113" s="20">
        <f>IF(OR($A113="",$C113=""),"",NETWORKDAYS($C113,$J113,Holidays!$A$5:$A$40))</f>
        <v/>
      </c>
      <c r="H113" s="20">
        <f>IF(G113="","",IF($F113&lt;&gt;"",$F113,G113*IFERROR(IF(INDEX(Employees!$F$5:$F$29,MATCH($A113,Employees!$B$5:$B$29,0))="",Settings!$B$9,INDEX(Employees!$F$5:$F$29,MATCH($A113,Employees!$B$5:$B$29,0))),Settings!$B$9)))</f>
        <v/>
      </c>
      <c r="I113" s="10" t="n"/>
      <c r="J113" s="15">
        <f>IF($C113="","",IF($D113="",$C113,$D113))</f>
        <v/>
      </c>
    </row>
    <row r="114">
      <c r="A114" s="10" t="n"/>
      <c r="B114" s="10" t="n"/>
      <c r="C114" s="12" t="n"/>
      <c r="D114" s="12" t="n"/>
      <c r="E114" s="10" t="n"/>
      <c r="F114" s="11" t="n"/>
      <c r="G114" s="20">
        <f>IF(OR($A114="",$C114=""),"",NETWORKDAYS($C114,$J114,Holidays!$A$5:$A$40))</f>
        <v/>
      </c>
      <c r="H114" s="20">
        <f>IF(G114="","",IF($F114&lt;&gt;"",$F114,G114*IFERROR(IF(INDEX(Employees!$F$5:$F$29,MATCH($A114,Employees!$B$5:$B$29,0))="",Settings!$B$9,INDEX(Employees!$F$5:$F$29,MATCH($A114,Employees!$B$5:$B$29,0))),Settings!$B$9)))</f>
        <v/>
      </c>
      <c r="I114" s="10" t="n"/>
      <c r="J114" s="15">
        <f>IF($C114="","",IF($D114="",$C114,$D114))</f>
        <v/>
      </c>
    </row>
    <row r="115">
      <c r="A115" s="10" t="n"/>
      <c r="B115" s="10" t="n"/>
      <c r="C115" s="12" t="n"/>
      <c r="D115" s="12" t="n"/>
      <c r="E115" s="10" t="n"/>
      <c r="F115" s="11" t="n"/>
      <c r="G115" s="20">
        <f>IF(OR($A115="",$C115=""),"",NETWORKDAYS($C115,$J115,Holidays!$A$5:$A$40))</f>
        <v/>
      </c>
      <c r="H115" s="20">
        <f>IF(G115="","",IF($F115&lt;&gt;"",$F115,G115*IFERROR(IF(INDEX(Employees!$F$5:$F$29,MATCH($A115,Employees!$B$5:$B$29,0))="",Settings!$B$9,INDEX(Employees!$F$5:$F$29,MATCH($A115,Employees!$B$5:$B$29,0))),Settings!$B$9)))</f>
        <v/>
      </c>
      <c r="I115" s="10" t="n"/>
      <c r="J115" s="15">
        <f>IF($C115="","",IF($D115="",$C115,$D115))</f>
        <v/>
      </c>
    </row>
    <row r="116">
      <c r="A116" s="10" t="n"/>
      <c r="B116" s="10" t="n"/>
      <c r="C116" s="12" t="n"/>
      <c r="D116" s="12" t="n"/>
      <c r="E116" s="10" t="n"/>
      <c r="F116" s="11" t="n"/>
      <c r="G116" s="20">
        <f>IF(OR($A116="",$C116=""),"",NETWORKDAYS($C116,$J116,Holidays!$A$5:$A$40))</f>
        <v/>
      </c>
      <c r="H116" s="20">
        <f>IF(G116="","",IF($F116&lt;&gt;"",$F116,G116*IFERROR(IF(INDEX(Employees!$F$5:$F$29,MATCH($A116,Employees!$B$5:$B$29,0))="",Settings!$B$9,INDEX(Employees!$F$5:$F$29,MATCH($A116,Employees!$B$5:$B$29,0))),Settings!$B$9)))</f>
        <v/>
      </c>
      <c r="I116" s="10" t="n"/>
      <c r="J116" s="15">
        <f>IF($C116="","",IF($D116="",$C116,$D116))</f>
        <v/>
      </c>
    </row>
    <row r="117">
      <c r="A117" s="10" t="n"/>
      <c r="B117" s="10" t="n"/>
      <c r="C117" s="12" t="n"/>
      <c r="D117" s="12" t="n"/>
      <c r="E117" s="10" t="n"/>
      <c r="F117" s="11" t="n"/>
      <c r="G117" s="20">
        <f>IF(OR($A117="",$C117=""),"",NETWORKDAYS($C117,$J117,Holidays!$A$5:$A$40))</f>
        <v/>
      </c>
      <c r="H117" s="20">
        <f>IF(G117="","",IF($F117&lt;&gt;"",$F117,G117*IFERROR(IF(INDEX(Employees!$F$5:$F$29,MATCH($A117,Employees!$B$5:$B$29,0))="",Settings!$B$9,INDEX(Employees!$F$5:$F$29,MATCH($A117,Employees!$B$5:$B$29,0))),Settings!$B$9)))</f>
        <v/>
      </c>
      <c r="I117" s="10" t="n"/>
      <c r="J117" s="15">
        <f>IF($C117="","",IF($D117="",$C117,$D117))</f>
        <v/>
      </c>
    </row>
    <row r="118">
      <c r="A118" s="10" t="n"/>
      <c r="B118" s="10" t="n"/>
      <c r="C118" s="12" t="n"/>
      <c r="D118" s="12" t="n"/>
      <c r="E118" s="10" t="n"/>
      <c r="F118" s="11" t="n"/>
      <c r="G118" s="20">
        <f>IF(OR($A118="",$C118=""),"",NETWORKDAYS($C118,$J118,Holidays!$A$5:$A$40))</f>
        <v/>
      </c>
      <c r="H118" s="20">
        <f>IF(G118="","",IF($F118&lt;&gt;"",$F118,G118*IFERROR(IF(INDEX(Employees!$F$5:$F$29,MATCH($A118,Employees!$B$5:$B$29,0))="",Settings!$B$9,INDEX(Employees!$F$5:$F$29,MATCH($A118,Employees!$B$5:$B$29,0))),Settings!$B$9)))</f>
        <v/>
      </c>
      <c r="I118" s="10" t="n"/>
      <c r="J118" s="15">
        <f>IF($C118="","",IF($D118="",$C118,$D118))</f>
        <v/>
      </c>
    </row>
    <row r="119">
      <c r="A119" s="10" t="n"/>
      <c r="B119" s="10" t="n"/>
      <c r="C119" s="12" t="n"/>
      <c r="D119" s="12" t="n"/>
      <c r="E119" s="10" t="n"/>
      <c r="F119" s="11" t="n"/>
      <c r="G119" s="20">
        <f>IF(OR($A119="",$C119=""),"",NETWORKDAYS($C119,$J119,Holidays!$A$5:$A$40))</f>
        <v/>
      </c>
      <c r="H119" s="20">
        <f>IF(G119="","",IF($F119&lt;&gt;"",$F119,G119*IFERROR(IF(INDEX(Employees!$F$5:$F$29,MATCH($A119,Employees!$B$5:$B$29,0))="",Settings!$B$9,INDEX(Employees!$F$5:$F$29,MATCH($A119,Employees!$B$5:$B$29,0))),Settings!$B$9)))</f>
        <v/>
      </c>
      <c r="I119" s="10" t="n"/>
      <c r="J119" s="15">
        <f>IF($C119="","",IF($D119="",$C119,$D119))</f>
        <v/>
      </c>
    </row>
    <row r="120">
      <c r="A120" s="10" t="n"/>
      <c r="B120" s="10" t="n"/>
      <c r="C120" s="12" t="n"/>
      <c r="D120" s="12" t="n"/>
      <c r="E120" s="10" t="n"/>
      <c r="F120" s="11" t="n"/>
      <c r="G120" s="20">
        <f>IF(OR($A120="",$C120=""),"",NETWORKDAYS($C120,$J120,Holidays!$A$5:$A$40))</f>
        <v/>
      </c>
      <c r="H120" s="20">
        <f>IF(G120="","",IF($F120&lt;&gt;"",$F120,G120*IFERROR(IF(INDEX(Employees!$F$5:$F$29,MATCH($A120,Employees!$B$5:$B$29,0))="",Settings!$B$9,INDEX(Employees!$F$5:$F$29,MATCH($A120,Employees!$B$5:$B$29,0))),Settings!$B$9)))</f>
        <v/>
      </c>
      <c r="I120" s="10" t="n"/>
      <c r="J120" s="15">
        <f>IF($C120="","",IF($D120="",$C120,$D120))</f>
        <v/>
      </c>
    </row>
    <row r="121">
      <c r="A121" s="10" t="n"/>
      <c r="B121" s="10" t="n"/>
      <c r="C121" s="12" t="n"/>
      <c r="D121" s="12" t="n"/>
      <c r="E121" s="10" t="n"/>
      <c r="F121" s="11" t="n"/>
      <c r="G121" s="20">
        <f>IF(OR($A121="",$C121=""),"",NETWORKDAYS($C121,$J121,Holidays!$A$5:$A$40))</f>
        <v/>
      </c>
      <c r="H121" s="20">
        <f>IF(G121="","",IF($F121&lt;&gt;"",$F121,G121*IFERROR(IF(INDEX(Employees!$F$5:$F$29,MATCH($A121,Employees!$B$5:$B$29,0))="",Settings!$B$9,INDEX(Employees!$F$5:$F$29,MATCH($A121,Employees!$B$5:$B$29,0))),Settings!$B$9)))</f>
        <v/>
      </c>
      <c r="I121" s="10" t="n"/>
      <c r="J121" s="15">
        <f>IF($C121="","",IF($D121="",$C121,$D121))</f>
        <v/>
      </c>
    </row>
    <row r="122">
      <c r="A122" s="10" t="n"/>
      <c r="B122" s="10" t="n"/>
      <c r="C122" s="12" t="n"/>
      <c r="D122" s="12" t="n"/>
      <c r="E122" s="10" t="n"/>
      <c r="F122" s="11" t="n"/>
      <c r="G122" s="20">
        <f>IF(OR($A122="",$C122=""),"",NETWORKDAYS($C122,$J122,Holidays!$A$5:$A$40))</f>
        <v/>
      </c>
      <c r="H122" s="20">
        <f>IF(G122="","",IF($F122&lt;&gt;"",$F122,G122*IFERROR(IF(INDEX(Employees!$F$5:$F$29,MATCH($A122,Employees!$B$5:$B$29,0))="",Settings!$B$9,INDEX(Employees!$F$5:$F$29,MATCH($A122,Employees!$B$5:$B$29,0))),Settings!$B$9)))</f>
        <v/>
      </c>
      <c r="I122" s="10" t="n"/>
      <c r="J122" s="15">
        <f>IF($C122="","",IF($D122="",$C122,$D122))</f>
        <v/>
      </c>
    </row>
    <row r="123">
      <c r="A123" s="10" t="n"/>
      <c r="B123" s="10" t="n"/>
      <c r="C123" s="12" t="n"/>
      <c r="D123" s="12" t="n"/>
      <c r="E123" s="10" t="n"/>
      <c r="F123" s="11" t="n"/>
      <c r="G123" s="20">
        <f>IF(OR($A123="",$C123=""),"",NETWORKDAYS($C123,$J123,Holidays!$A$5:$A$40))</f>
        <v/>
      </c>
      <c r="H123" s="20">
        <f>IF(G123="","",IF($F123&lt;&gt;"",$F123,G123*IFERROR(IF(INDEX(Employees!$F$5:$F$29,MATCH($A123,Employees!$B$5:$B$29,0))="",Settings!$B$9,INDEX(Employees!$F$5:$F$29,MATCH($A123,Employees!$B$5:$B$29,0))),Settings!$B$9)))</f>
        <v/>
      </c>
      <c r="I123" s="10" t="n"/>
      <c r="J123" s="15">
        <f>IF($C123="","",IF($D123="",$C123,$D123))</f>
        <v/>
      </c>
    </row>
    <row r="124">
      <c r="A124" s="10" t="n"/>
      <c r="B124" s="10" t="n"/>
      <c r="C124" s="12" t="n"/>
      <c r="D124" s="12" t="n"/>
      <c r="E124" s="10" t="n"/>
      <c r="F124" s="11" t="n"/>
      <c r="G124" s="20">
        <f>IF(OR($A124="",$C124=""),"",NETWORKDAYS($C124,$J124,Holidays!$A$5:$A$40))</f>
        <v/>
      </c>
      <c r="H124" s="20">
        <f>IF(G124="","",IF($F124&lt;&gt;"",$F124,G124*IFERROR(IF(INDEX(Employees!$F$5:$F$29,MATCH($A124,Employees!$B$5:$B$29,0))="",Settings!$B$9,INDEX(Employees!$F$5:$F$29,MATCH($A124,Employees!$B$5:$B$29,0))),Settings!$B$9)))</f>
        <v/>
      </c>
      <c r="I124" s="10" t="n"/>
      <c r="J124" s="15">
        <f>IF($C124="","",IF($D124="",$C124,$D124))</f>
        <v/>
      </c>
    </row>
    <row r="125">
      <c r="A125" s="10" t="n"/>
      <c r="B125" s="10" t="n"/>
      <c r="C125" s="12" t="n"/>
      <c r="D125" s="12" t="n"/>
      <c r="E125" s="10" t="n"/>
      <c r="F125" s="11" t="n"/>
      <c r="G125" s="20">
        <f>IF(OR($A125="",$C125=""),"",NETWORKDAYS($C125,$J125,Holidays!$A$5:$A$40))</f>
        <v/>
      </c>
      <c r="H125" s="20">
        <f>IF(G125="","",IF($F125&lt;&gt;"",$F125,G125*IFERROR(IF(INDEX(Employees!$F$5:$F$29,MATCH($A125,Employees!$B$5:$B$29,0))="",Settings!$B$9,INDEX(Employees!$F$5:$F$29,MATCH($A125,Employees!$B$5:$B$29,0))),Settings!$B$9)))</f>
        <v/>
      </c>
      <c r="I125" s="10" t="n"/>
      <c r="J125" s="15">
        <f>IF($C125="","",IF($D125="",$C125,$D125))</f>
        <v/>
      </c>
    </row>
    <row r="126">
      <c r="A126" s="10" t="n"/>
      <c r="B126" s="10" t="n"/>
      <c r="C126" s="12" t="n"/>
      <c r="D126" s="12" t="n"/>
      <c r="E126" s="10" t="n"/>
      <c r="F126" s="11" t="n"/>
      <c r="G126" s="20">
        <f>IF(OR($A126="",$C126=""),"",NETWORKDAYS($C126,$J126,Holidays!$A$5:$A$40))</f>
        <v/>
      </c>
      <c r="H126" s="20">
        <f>IF(G126="","",IF($F126&lt;&gt;"",$F126,G126*IFERROR(IF(INDEX(Employees!$F$5:$F$29,MATCH($A126,Employees!$B$5:$B$29,0))="",Settings!$B$9,INDEX(Employees!$F$5:$F$29,MATCH($A126,Employees!$B$5:$B$29,0))),Settings!$B$9)))</f>
        <v/>
      </c>
      <c r="I126" s="10" t="n"/>
      <c r="J126" s="15">
        <f>IF($C126="","",IF($D126="",$C126,$D126))</f>
        <v/>
      </c>
    </row>
    <row r="127">
      <c r="A127" s="10" t="n"/>
      <c r="B127" s="10" t="n"/>
      <c r="C127" s="12" t="n"/>
      <c r="D127" s="12" t="n"/>
      <c r="E127" s="10" t="n"/>
      <c r="F127" s="11" t="n"/>
      <c r="G127" s="20">
        <f>IF(OR($A127="",$C127=""),"",NETWORKDAYS($C127,$J127,Holidays!$A$5:$A$40))</f>
        <v/>
      </c>
      <c r="H127" s="20">
        <f>IF(G127="","",IF($F127&lt;&gt;"",$F127,G127*IFERROR(IF(INDEX(Employees!$F$5:$F$29,MATCH($A127,Employees!$B$5:$B$29,0))="",Settings!$B$9,INDEX(Employees!$F$5:$F$29,MATCH($A127,Employees!$B$5:$B$29,0))),Settings!$B$9)))</f>
        <v/>
      </c>
      <c r="I127" s="10" t="n"/>
      <c r="J127" s="15">
        <f>IF($C127="","",IF($D127="",$C127,$D127))</f>
        <v/>
      </c>
    </row>
    <row r="128">
      <c r="A128" s="10" t="n"/>
      <c r="B128" s="10" t="n"/>
      <c r="C128" s="12" t="n"/>
      <c r="D128" s="12" t="n"/>
      <c r="E128" s="10" t="n"/>
      <c r="F128" s="11" t="n"/>
      <c r="G128" s="20">
        <f>IF(OR($A128="",$C128=""),"",NETWORKDAYS($C128,$J128,Holidays!$A$5:$A$40))</f>
        <v/>
      </c>
      <c r="H128" s="20">
        <f>IF(G128="","",IF($F128&lt;&gt;"",$F128,G128*IFERROR(IF(INDEX(Employees!$F$5:$F$29,MATCH($A128,Employees!$B$5:$B$29,0))="",Settings!$B$9,INDEX(Employees!$F$5:$F$29,MATCH($A128,Employees!$B$5:$B$29,0))),Settings!$B$9)))</f>
        <v/>
      </c>
      <c r="I128" s="10" t="n"/>
      <c r="J128" s="15">
        <f>IF($C128="","",IF($D128="",$C128,$D128))</f>
        <v/>
      </c>
    </row>
    <row r="129">
      <c r="A129" s="10" t="n"/>
      <c r="B129" s="10" t="n"/>
      <c r="C129" s="12" t="n"/>
      <c r="D129" s="12" t="n"/>
      <c r="E129" s="10" t="n"/>
      <c r="F129" s="11" t="n"/>
      <c r="G129" s="20">
        <f>IF(OR($A129="",$C129=""),"",NETWORKDAYS($C129,$J129,Holidays!$A$5:$A$40))</f>
        <v/>
      </c>
      <c r="H129" s="20">
        <f>IF(G129="","",IF($F129&lt;&gt;"",$F129,G129*IFERROR(IF(INDEX(Employees!$F$5:$F$29,MATCH($A129,Employees!$B$5:$B$29,0))="",Settings!$B$9,INDEX(Employees!$F$5:$F$29,MATCH($A129,Employees!$B$5:$B$29,0))),Settings!$B$9)))</f>
        <v/>
      </c>
      <c r="I129" s="10" t="n"/>
      <c r="J129" s="15">
        <f>IF($C129="","",IF($D129="",$C129,$D129))</f>
        <v/>
      </c>
    </row>
    <row r="130">
      <c r="A130" s="10" t="n"/>
      <c r="B130" s="10" t="n"/>
      <c r="C130" s="12" t="n"/>
      <c r="D130" s="12" t="n"/>
      <c r="E130" s="10" t="n"/>
      <c r="F130" s="11" t="n"/>
      <c r="G130" s="20">
        <f>IF(OR($A130="",$C130=""),"",NETWORKDAYS($C130,$J130,Holidays!$A$5:$A$40))</f>
        <v/>
      </c>
      <c r="H130" s="20">
        <f>IF(G130="","",IF($F130&lt;&gt;"",$F130,G130*IFERROR(IF(INDEX(Employees!$F$5:$F$29,MATCH($A130,Employees!$B$5:$B$29,0))="",Settings!$B$9,INDEX(Employees!$F$5:$F$29,MATCH($A130,Employees!$B$5:$B$29,0))),Settings!$B$9)))</f>
        <v/>
      </c>
      <c r="I130" s="10" t="n"/>
      <c r="J130" s="15">
        <f>IF($C130="","",IF($D130="",$C130,$D130))</f>
        <v/>
      </c>
    </row>
    <row r="131">
      <c r="A131" s="10" t="n"/>
      <c r="B131" s="10" t="n"/>
      <c r="C131" s="12" t="n"/>
      <c r="D131" s="12" t="n"/>
      <c r="E131" s="10" t="n"/>
      <c r="F131" s="11" t="n"/>
      <c r="G131" s="20">
        <f>IF(OR($A131="",$C131=""),"",NETWORKDAYS($C131,$J131,Holidays!$A$5:$A$40))</f>
        <v/>
      </c>
      <c r="H131" s="20">
        <f>IF(G131="","",IF($F131&lt;&gt;"",$F131,G131*IFERROR(IF(INDEX(Employees!$F$5:$F$29,MATCH($A131,Employees!$B$5:$B$29,0))="",Settings!$B$9,INDEX(Employees!$F$5:$F$29,MATCH($A131,Employees!$B$5:$B$29,0))),Settings!$B$9)))</f>
        <v/>
      </c>
      <c r="I131" s="10" t="n"/>
      <c r="J131" s="15">
        <f>IF($C131="","",IF($D131="",$C131,$D131))</f>
        <v/>
      </c>
    </row>
    <row r="132">
      <c r="A132" s="10" t="n"/>
      <c r="B132" s="10" t="n"/>
      <c r="C132" s="12" t="n"/>
      <c r="D132" s="12" t="n"/>
      <c r="E132" s="10" t="n"/>
      <c r="F132" s="11" t="n"/>
      <c r="G132" s="20">
        <f>IF(OR($A132="",$C132=""),"",NETWORKDAYS($C132,$J132,Holidays!$A$5:$A$40))</f>
        <v/>
      </c>
      <c r="H132" s="20">
        <f>IF(G132="","",IF($F132&lt;&gt;"",$F132,G132*IFERROR(IF(INDEX(Employees!$F$5:$F$29,MATCH($A132,Employees!$B$5:$B$29,0))="",Settings!$B$9,INDEX(Employees!$F$5:$F$29,MATCH($A132,Employees!$B$5:$B$29,0))),Settings!$B$9)))</f>
        <v/>
      </c>
      <c r="I132" s="10" t="n"/>
      <c r="J132" s="15">
        <f>IF($C132="","",IF($D132="",$C132,$D132))</f>
        <v/>
      </c>
    </row>
    <row r="133">
      <c r="A133" s="10" t="n"/>
      <c r="B133" s="10" t="n"/>
      <c r="C133" s="12" t="n"/>
      <c r="D133" s="12" t="n"/>
      <c r="E133" s="10" t="n"/>
      <c r="F133" s="11" t="n"/>
      <c r="G133" s="20">
        <f>IF(OR($A133="",$C133=""),"",NETWORKDAYS($C133,$J133,Holidays!$A$5:$A$40))</f>
        <v/>
      </c>
      <c r="H133" s="20">
        <f>IF(G133="","",IF($F133&lt;&gt;"",$F133,G133*IFERROR(IF(INDEX(Employees!$F$5:$F$29,MATCH($A133,Employees!$B$5:$B$29,0))="",Settings!$B$9,INDEX(Employees!$F$5:$F$29,MATCH($A133,Employees!$B$5:$B$29,0))),Settings!$B$9)))</f>
        <v/>
      </c>
      <c r="I133" s="10" t="n"/>
      <c r="J133" s="15">
        <f>IF($C133="","",IF($D133="",$C133,$D133))</f>
        <v/>
      </c>
    </row>
    <row r="134">
      <c r="A134" s="10" t="n"/>
      <c r="B134" s="10" t="n"/>
      <c r="C134" s="12" t="n"/>
      <c r="D134" s="12" t="n"/>
      <c r="E134" s="10" t="n"/>
      <c r="F134" s="11" t="n"/>
      <c r="G134" s="20">
        <f>IF(OR($A134="",$C134=""),"",NETWORKDAYS($C134,$J134,Holidays!$A$5:$A$40))</f>
        <v/>
      </c>
      <c r="H134" s="20">
        <f>IF(G134="","",IF($F134&lt;&gt;"",$F134,G134*IFERROR(IF(INDEX(Employees!$F$5:$F$29,MATCH($A134,Employees!$B$5:$B$29,0))="",Settings!$B$9,INDEX(Employees!$F$5:$F$29,MATCH($A134,Employees!$B$5:$B$29,0))),Settings!$B$9)))</f>
        <v/>
      </c>
      <c r="I134" s="10" t="n"/>
      <c r="J134" s="15">
        <f>IF($C134="","",IF($D134="",$C134,$D134))</f>
        <v/>
      </c>
    </row>
    <row r="135">
      <c r="A135" s="10" t="n"/>
      <c r="B135" s="10" t="n"/>
      <c r="C135" s="12" t="n"/>
      <c r="D135" s="12" t="n"/>
      <c r="E135" s="10" t="n"/>
      <c r="F135" s="11" t="n"/>
      <c r="G135" s="20">
        <f>IF(OR($A135="",$C135=""),"",NETWORKDAYS($C135,$J135,Holidays!$A$5:$A$40))</f>
        <v/>
      </c>
      <c r="H135" s="20">
        <f>IF(G135="","",IF($F135&lt;&gt;"",$F135,G135*IFERROR(IF(INDEX(Employees!$F$5:$F$29,MATCH($A135,Employees!$B$5:$B$29,0))="",Settings!$B$9,INDEX(Employees!$F$5:$F$29,MATCH($A135,Employees!$B$5:$B$29,0))),Settings!$B$9)))</f>
        <v/>
      </c>
      <c r="I135" s="10" t="n"/>
      <c r="J135" s="15">
        <f>IF($C135="","",IF($D135="",$C135,$D135))</f>
        <v/>
      </c>
    </row>
    <row r="136">
      <c r="A136" s="10" t="n"/>
      <c r="B136" s="10" t="n"/>
      <c r="C136" s="12" t="n"/>
      <c r="D136" s="12" t="n"/>
      <c r="E136" s="10" t="n"/>
      <c r="F136" s="11" t="n"/>
      <c r="G136" s="20">
        <f>IF(OR($A136="",$C136=""),"",NETWORKDAYS($C136,$J136,Holidays!$A$5:$A$40))</f>
        <v/>
      </c>
      <c r="H136" s="20">
        <f>IF(G136="","",IF($F136&lt;&gt;"",$F136,G136*IFERROR(IF(INDEX(Employees!$F$5:$F$29,MATCH($A136,Employees!$B$5:$B$29,0))="",Settings!$B$9,INDEX(Employees!$F$5:$F$29,MATCH($A136,Employees!$B$5:$B$29,0))),Settings!$B$9)))</f>
        <v/>
      </c>
      <c r="I136" s="10" t="n"/>
      <c r="J136" s="15">
        <f>IF($C136="","",IF($D136="",$C136,$D136))</f>
        <v/>
      </c>
    </row>
    <row r="137">
      <c r="A137" s="10" t="n"/>
      <c r="B137" s="10" t="n"/>
      <c r="C137" s="12" t="n"/>
      <c r="D137" s="12" t="n"/>
      <c r="E137" s="10" t="n"/>
      <c r="F137" s="11" t="n"/>
      <c r="G137" s="20">
        <f>IF(OR($A137="",$C137=""),"",NETWORKDAYS($C137,$J137,Holidays!$A$5:$A$40))</f>
        <v/>
      </c>
      <c r="H137" s="20">
        <f>IF(G137="","",IF($F137&lt;&gt;"",$F137,G137*IFERROR(IF(INDEX(Employees!$F$5:$F$29,MATCH($A137,Employees!$B$5:$B$29,0))="",Settings!$B$9,INDEX(Employees!$F$5:$F$29,MATCH($A137,Employees!$B$5:$B$29,0))),Settings!$B$9)))</f>
        <v/>
      </c>
      <c r="I137" s="10" t="n"/>
      <c r="J137" s="15">
        <f>IF($C137="","",IF($D137="",$C137,$D137))</f>
        <v/>
      </c>
    </row>
    <row r="138">
      <c r="A138" s="10" t="n"/>
      <c r="B138" s="10" t="n"/>
      <c r="C138" s="12" t="n"/>
      <c r="D138" s="12" t="n"/>
      <c r="E138" s="10" t="n"/>
      <c r="F138" s="11" t="n"/>
      <c r="G138" s="20">
        <f>IF(OR($A138="",$C138=""),"",NETWORKDAYS($C138,$J138,Holidays!$A$5:$A$40))</f>
        <v/>
      </c>
      <c r="H138" s="20">
        <f>IF(G138="","",IF($F138&lt;&gt;"",$F138,G138*IFERROR(IF(INDEX(Employees!$F$5:$F$29,MATCH($A138,Employees!$B$5:$B$29,0))="",Settings!$B$9,INDEX(Employees!$F$5:$F$29,MATCH($A138,Employees!$B$5:$B$29,0))),Settings!$B$9)))</f>
        <v/>
      </c>
      <c r="I138" s="10" t="n"/>
      <c r="J138" s="15">
        <f>IF($C138="","",IF($D138="",$C138,$D138))</f>
        <v/>
      </c>
    </row>
    <row r="139">
      <c r="A139" s="10" t="n"/>
      <c r="B139" s="10" t="n"/>
      <c r="C139" s="12" t="n"/>
      <c r="D139" s="12" t="n"/>
      <c r="E139" s="10" t="n"/>
      <c r="F139" s="11" t="n"/>
      <c r="G139" s="20">
        <f>IF(OR($A139="",$C139=""),"",NETWORKDAYS($C139,$J139,Holidays!$A$5:$A$40))</f>
        <v/>
      </c>
      <c r="H139" s="20">
        <f>IF(G139="","",IF($F139&lt;&gt;"",$F139,G139*IFERROR(IF(INDEX(Employees!$F$5:$F$29,MATCH($A139,Employees!$B$5:$B$29,0))="",Settings!$B$9,INDEX(Employees!$F$5:$F$29,MATCH($A139,Employees!$B$5:$B$29,0))),Settings!$B$9)))</f>
        <v/>
      </c>
      <c r="I139" s="10" t="n"/>
      <c r="J139" s="15">
        <f>IF($C139="","",IF($D139="",$C139,$D139))</f>
        <v/>
      </c>
    </row>
    <row r="140">
      <c r="A140" s="10" t="n"/>
      <c r="B140" s="10" t="n"/>
      <c r="C140" s="12" t="n"/>
      <c r="D140" s="12" t="n"/>
      <c r="E140" s="10" t="n"/>
      <c r="F140" s="11" t="n"/>
      <c r="G140" s="20">
        <f>IF(OR($A140="",$C140=""),"",NETWORKDAYS($C140,$J140,Holidays!$A$5:$A$40))</f>
        <v/>
      </c>
      <c r="H140" s="20">
        <f>IF(G140="","",IF($F140&lt;&gt;"",$F140,G140*IFERROR(IF(INDEX(Employees!$F$5:$F$29,MATCH($A140,Employees!$B$5:$B$29,0))="",Settings!$B$9,INDEX(Employees!$F$5:$F$29,MATCH($A140,Employees!$B$5:$B$29,0))),Settings!$B$9)))</f>
        <v/>
      </c>
      <c r="I140" s="10" t="n"/>
      <c r="J140" s="15">
        <f>IF($C140="","",IF($D140="",$C140,$D140))</f>
        <v/>
      </c>
    </row>
    <row r="141">
      <c r="A141" s="10" t="n"/>
      <c r="B141" s="10" t="n"/>
      <c r="C141" s="12" t="n"/>
      <c r="D141" s="12" t="n"/>
      <c r="E141" s="10" t="n"/>
      <c r="F141" s="11" t="n"/>
      <c r="G141" s="20">
        <f>IF(OR($A141="",$C141=""),"",NETWORKDAYS($C141,$J141,Holidays!$A$5:$A$40))</f>
        <v/>
      </c>
      <c r="H141" s="20">
        <f>IF(G141="","",IF($F141&lt;&gt;"",$F141,G141*IFERROR(IF(INDEX(Employees!$F$5:$F$29,MATCH($A141,Employees!$B$5:$B$29,0))="",Settings!$B$9,INDEX(Employees!$F$5:$F$29,MATCH($A141,Employees!$B$5:$B$29,0))),Settings!$B$9)))</f>
        <v/>
      </c>
      <c r="I141" s="10" t="n"/>
      <c r="J141" s="15">
        <f>IF($C141="","",IF($D141="",$C141,$D141))</f>
        <v/>
      </c>
    </row>
    <row r="142">
      <c r="A142" s="10" t="n"/>
      <c r="B142" s="10" t="n"/>
      <c r="C142" s="12" t="n"/>
      <c r="D142" s="12" t="n"/>
      <c r="E142" s="10" t="n"/>
      <c r="F142" s="11" t="n"/>
      <c r="G142" s="20">
        <f>IF(OR($A142="",$C142=""),"",NETWORKDAYS($C142,$J142,Holidays!$A$5:$A$40))</f>
        <v/>
      </c>
      <c r="H142" s="20">
        <f>IF(G142="","",IF($F142&lt;&gt;"",$F142,G142*IFERROR(IF(INDEX(Employees!$F$5:$F$29,MATCH($A142,Employees!$B$5:$B$29,0))="",Settings!$B$9,INDEX(Employees!$F$5:$F$29,MATCH($A142,Employees!$B$5:$B$29,0))),Settings!$B$9)))</f>
        <v/>
      </c>
      <c r="I142" s="10" t="n"/>
      <c r="J142" s="15">
        <f>IF($C142="","",IF($D142="",$C142,$D142))</f>
        <v/>
      </c>
    </row>
    <row r="143">
      <c r="A143" s="10" t="n"/>
      <c r="B143" s="10" t="n"/>
      <c r="C143" s="12" t="n"/>
      <c r="D143" s="12" t="n"/>
      <c r="E143" s="10" t="n"/>
      <c r="F143" s="11" t="n"/>
      <c r="G143" s="20">
        <f>IF(OR($A143="",$C143=""),"",NETWORKDAYS($C143,$J143,Holidays!$A$5:$A$40))</f>
        <v/>
      </c>
      <c r="H143" s="20">
        <f>IF(G143="","",IF($F143&lt;&gt;"",$F143,G143*IFERROR(IF(INDEX(Employees!$F$5:$F$29,MATCH($A143,Employees!$B$5:$B$29,0))="",Settings!$B$9,INDEX(Employees!$F$5:$F$29,MATCH($A143,Employees!$B$5:$B$29,0))),Settings!$B$9)))</f>
        <v/>
      </c>
      <c r="I143" s="10" t="n"/>
      <c r="J143" s="15">
        <f>IF($C143="","",IF($D143="",$C143,$D143))</f>
        <v/>
      </c>
    </row>
    <row r="144">
      <c r="A144" s="10" t="n"/>
      <c r="B144" s="10" t="n"/>
      <c r="C144" s="12" t="n"/>
      <c r="D144" s="12" t="n"/>
      <c r="E144" s="10" t="n"/>
      <c r="F144" s="11" t="n"/>
      <c r="G144" s="20">
        <f>IF(OR($A144="",$C144=""),"",NETWORKDAYS($C144,$J144,Holidays!$A$5:$A$40))</f>
        <v/>
      </c>
      <c r="H144" s="20">
        <f>IF(G144="","",IF($F144&lt;&gt;"",$F144,G144*IFERROR(IF(INDEX(Employees!$F$5:$F$29,MATCH($A144,Employees!$B$5:$B$29,0))="",Settings!$B$9,INDEX(Employees!$F$5:$F$29,MATCH($A144,Employees!$B$5:$B$29,0))),Settings!$B$9)))</f>
        <v/>
      </c>
      <c r="I144" s="10" t="n"/>
      <c r="J144" s="15">
        <f>IF($C144="","",IF($D144="",$C144,$D144))</f>
        <v/>
      </c>
    </row>
    <row r="145">
      <c r="A145" s="10" t="n"/>
      <c r="B145" s="10" t="n"/>
      <c r="C145" s="12" t="n"/>
      <c r="D145" s="12" t="n"/>
      <c r="E145" s="10" t="n"/>
      <c r="F145" s="11" t="n"/>
      <c r="G145" s="20">
        <f>IF(OR($A145="",$C145=""),"",NETWORKDAYS($C145,$J145,Holidays!$A$5:$A$40))</f>
        <v/>
      </c>
      <c r="H145" s="20">
        <f>IF(G145="","",IF($F145&lt;&gt;"",$F145,G145*IFERROR(IF(INDEX(Employees!$F$5:$F$29,MATCH($A145,Employees!$B$5:$B$29,0))="",Settings!$B$9,INDEX(Employees!$F$5:$F$29,MATCH($A145,Employees!$B$5:$B$29,0))),Settings!$B$9)))</f>
        <v/>
      </c>
      <c r="I145" s="10" t="n"/>
      <c r="J145" s="15">
        <f>IF($C145="","",IF($D145="",$C145,$D145))</f>
        <v/>
      </c>
    </row>
    <row r="146">
      <c r="A146" s="10" t="n"/>
      <c r="B146" s="10" t="n"/>
      <c r="C146" s="12" t="n"/>
      <c r="D146" s="12" t="n"/>
      <c r="E146" s="10" t="n"/>
      <c r="F146" s="11" t="n"/>
      <c r="G146" s="20">
        <f>IF(OR($A146="",$C146=""),"",NETWORKDAYS($C146,$J146,Holidays!$A$5:$A$40))</f>
        <v/>
      </c>
      <c r="H146" s="20">
        <f>IF(G146="","",IF($F146&lt;&gt;"",$F146,G146*IFERROR(IF(INDEX(Employees!$F$5:$F$29,MATCH($A146,Employees!$B$5:$B$29,0))="",Settings!$B$9,INDEX(Employees!$F$5:$F$29,MATCH($A146,Employees!$B$5:$B$29,0))),Settings!$B$9)))</f>
        <v/>
      </c>
      <c r="I146" s="10" t="n"/>
      <c r="J146" s="15">
        <f>IF($C146="","",IF($D146="",$C146,$D146))</f>
        <v/>
      </c>
    </row>
    <row r="147">
      <c r="A147" s="10" t="n"/>
      <c r="B147" s="10" t="n"/>
      <c r="C147" s="12" t="n"/>
      <c r="D147" s="12" t="n"/>
      <c r="E147" s="10" t="n"/>
      <c r="F147" s="11" t="n"/>
      <c r="G147" s="20">
        <f>IF(OR($A147="",$C147=""),"",NETWORKDAYS($C147,$J147,Holidays!$A$5:$A$40))</f>
        <v/>
      </c>
      <c r="H147" s="20">
        <f>IF(G147="","",IF($F147&lt;&gt;"",$F147,G147*IFERROR(IF(INDEX(Employees!$F$5:$F$29,MATCH($A147,Employees!$B$5:$B$29,0))="",Settings!$B$9,INDEX(Employees!$F$5:$F$29,MATCH($A147,Employees!$B$5:$B$29,0))),Settings!$B$9)))</f>
        <v/>
      </c>
      <c r="I147" s="10" t="n"/>
      <c r="J147" s="15">
        <f>IF($C147="","",IF($D147="",$C147,$D147))</f>
        <v/>
      </c>
    </row>
    <row r="148">
      <c r="A148" s="10" t="n"/>
      <c r="B148" s="10" t="n"/>
      <c r="C148" s="12" t="n"/>
      <c r="D148" s="12" t="n"/>
      <c r="E148" s="10" t="n"/>
      <c r="F148" s="11" t="n"/>
      <c r="G148" s="20">
        <f>IF(OR($A148="",$C148=""),"",NETWORKDAYS($C148,$J148,Holidays!$A$5:$A$40))</f>
        <v/>
      </c>
      <c r="H148" s="20">
        <f>IF(G148="","",IF($F148&lt;&gt;"",$F148,G148*IFERROR(IF(INDEX(Employees!$F$5:$F$29,MATCH($A148,Employees!$B$5:$B$29,0))="",Settings!$B$9,INDEX(Employees!$F$5:$F$29,MATCH($A148,Employees!$B$5:$B$29,0))),Settings!$B$9)))</f>
        <v/>
      </c>
      <c r="I148" s="10" t="n"/>
      <c r="J148" s="15">
        <f>IF($C148="","",IF($D148="",$C148,$D148))</f>
        <v/>
      </c>
    </row>
    <row r="149">
      <c r="A149" s="10" t="n"/>
      <c r="B149" s="10" t="n"/>
      <c r="C149" s="12" t="n"/>
      <c r="D149" s="12" t="n"/>
      <c r="E149" s="10" t="n"/>
      <c r="F149" s="11" t="n"/>
      <c r="G149" s="20">
        <f>IF(OR($A149="",$C149=""),"",NETWORKDAYS($C149,$J149,Holidays!$A$5:$A$40))</f>
        <v/>
      </c>
      <c r="H149" s="20">
        <f>IF(G149="","",IF($F149&lt;&gt;"",$F149,G149*IFERROR(IF(INDEX(Employees!$F$5:$F$29,MATCH($A149,Employees!$B$5:$B$29,0))="",Settings!$B$9,INDEX(Employees!$F$5:$F$29,MATCH($A149,Employees!$B$5:$B$29,0))),Settings!$B$9)))</f>
        <v/>
      </c>
      <c r="I149" s="10" t="n"/>
      <c r="J149" s="15">
        <f>IF($C149="","",IF($D149="",$C149,$D149))</f>
        <v/>
      </c>
    </row>
    <row r="150">
      <c r="A150" s="10" t="n"/>
      <c r="B150" s="10" t="n"/>
      <c r="C150" s="12" t="n"/>
      <c r="D150" s="12" t="n"/>
      <c r="E150" s="10" t="n"/>
      <c r="F150" s="11" t="n"/>
      <c r="G150" s="20">
        <f>IF(OR($A150="",$C150=""),"",NETWORKDAYS($C150,$J150,Holidays!$A$5:$A$40))</f>
        <v/>
      </c>
      <c r="H150" s="20">
        <f>IF(G150="","",IF($F150&lt;&gt;"",$F150,G150*IFERROR(IF(INDEX(Employees!$F$5:$F$29,MATCH($A150,Employees!$B$5:$B$29,0))="",Settings!$B$9,INDEX(Employees!$F$5:$F$29,MATCH($A150,Employees!$B$5:$B$29,0))),Settings!$B$9)))</f>
        <v/>
      </c>
      <c r="I150" s="10" t="n"/>
      <c r="J150" s="15">
        <f>IF($C150="","",IF($D150="",$C150,$D150))</f>
        <v/>
      </c>
    </row>
    <row r="151">
      <c r="A151" s="10" t="n"/>
      <c r="B151" s="10" t="n"/>
      <c r="C151" s="12" t="n"/>
      <c r="D151" s="12" t="n"/>
      <c r="E151" s="10" t="n"/>
      <c r="F151" s="11" t="n"/>
      <c r="G151" s="20">
        <f>IF(OR($A151="",$C151=""),"",NETWORKDAYS($C151,$J151,Holidays!$A$5:$A$40))</f>
        <v/>
      </c>
      <c r="H151" s="20">
        <f>IF(G151="","",IF($F151&lt;&gt;"",$F151,G151*IFERROR(IF(INDEX(Employees!$F$5:$F$29,MATCH($A151,Employees!$B$5:$B$29,0))="",Settings!$B$9,INDEX(Employees!$F$5:$F$29,MATCH($A151,Employees!$B$5:$B$29,0))),Settings!$B$9)))</f>
        <v/>
      </c>
      <c r="I151" s="10" t="n"/>
      <c r="J151" s="15">
        <f>IF($C151="","",IF($D151="",$C151,$D151))</f>
        <v/>
      </c>
    </row>
    <row r="152">
      <c r="A152" s="10" t="n"/>
      <c r="B152" s="10" t="n"/>
      <c r="C152" s="12" t="n"/>
      <c r="D152" s="12" t="n"/>
      <c r="E152" s="10" t="n"/>
      <c r="F152" s="11" t="n"/>
      <c r="G152" s="20">
        <f>IF(OR($A152="",$C152=""),"",NETWORKDAYS($C152,$J152,Holidays!$A$5:$A$40))</f>
        <v/>
      </c>
      <c r="H152" s="20">
        <f>IF(G152="","",IF($F152&lt;&gt;"",$F152,G152*IFERROR(IF(INDEX(Employees!$F$5:$F$29,MATCH($A152,Employees!$B$5:$B$29,0))="",Settings!$B$9,INDEX(Employees!$F$5:$F$29,MATCH($A152,Employees!$B$5:$B$29,0))),Settings!$B$9)))</f>
        <v/>
      </c>
      <c r="I152" s="10" t="n"/>
      <c r="J152" s="15">
        <f>IF($C152="","",IF($D152="",$C152,$D152))</f>
        <v/>
      </c>
    </row>
    <row r="153">
      <c r="A153" s="10" t="n"/>
      <c r="B153" s="10" t="n"/>
      <c r="C153" s="12" t="n"/>
      <c r="D153" s="12" t="n"/>
      <c r="E153" s="10" t="n"/>
      <c r="F153" s="11" t="n"/>
      <c r="G153" s="20">
        <f>IF(OR($A153="",$C153=""),"",NETWORKDAYS($C153,$J153,Holidays!$A$5:$A$40))</f>
        <v/>
      </c>
      <c r="H153" s="20">
        <f>IF(G153="","",IF($F153&lt;&gt;"",$F153,G153*IFERROR(IF(INDEX(Employees!$F$5:$F$29,MATCH($A153,Employees!$B$5:$B$29,0))="",Settings!$B$9,INDEX(Employees!$F$5:$F$29,MATCH($A153,Employees!$B$5:$B$29,0))),Settings!$B$9)))</f>
        <v/>
      </c>
      <c r="I153" s="10" t="n"/>
      <c r="J153" s="15">
        <f>IF($C153="","",IF($D153="",$C153,$D153))</f>
        <v/>
      </c>
    </row>
    <row r="154">
      <c r="A154" s="10" t="n"/>
      <c r="B154" s="10" t="n"/>
      <c r="C154" s="12" t="n"/>
      <c r="D154" s="12" t="n"/>
      <c r="E154" s="10" t="n"/>
      <c r="F154" s="11" t="n"/>
      <c r="G154" s="20">
        <f>IF(OR($A154="",$C154=""),"",NETWORKDAYS($C154,$J154,Holidays!$A$5:$A$40))</f>
        <v/>
      </c>
      <c r="H154" s="20">
        <f>IF(G154="","",IF($F154&lt;&gt;"",$F154,G154*IFERROR(IF(INDEX(Employees!$F$5:$F$29,MATCH($A154,Employees!$B$5:$B$29,0))="",Settings!$B$9,INDEX(Employees!$F$5:$F$29,MATCH($A154,Employees!$B$5:$B$29,0))),Settings!$B$9)))</f>
        <v/>
      </c>
      <c r="I154" s="10" t="n"/>
      <c r="J154" s="15">
        <f>IF($C154="","",IF($D154="",$C154,$D154))</f>
        <v/>
      </c>
    </row>
    <row r="155">
      <c r="A155" s="10" t="n"/>
      <c r="B155" s="10" t="n"/>
      <c r="C155" s="12" t="n"/>
      <c r="D155" s="12" t="n"/>
      <c r="E155" s="10" t="n"/>
      <c r="F155" s="11" t="n"/>
      <c r="G155" s="20">
        <f>IF(OR($A155="",$C155=""),"",NETWORKDAYS($C155,$J155,Holidays!$A$5:$A$40))</f>
        <v/>
      </c>
      <c r="H155" s="20">
        <f>IF(G155="","",IF($F155&lt;&gt;"",$F155,G155*IFERROR(IF(INDEX(Employees!$F$5:$F$29,MATCH($A155,Employees!$B$5:$B$29,0))="",Settings!$B$9,INDEX(Employees!$F$5:$F$29,MATCH($A155,Employees!$B$5:$B$29,0))),Settings!$B$9)))</f>
        <v/>
      </c>
      <c r="I155" s="10" t="n"/>
      <c r="J155" s="15">
        <f>IF($C155="","",IF($D155="",$C155,$D155))</f>
        <v/>
      </c>
    </row>
    <row r="156">
      <c r="A156" s="10" t="n"/>
      <c r="B156" s="10" t="n"/>
      <c r="C156" s="12" t="n"/>
      <c r="D156" s="12" t="n"/>
      <c r="E156" s="10" t="n"/>
      <c r="F156" s="11" t="n"/>
      <c r="G156" s="20">
        <f>IF(OR($A156="",$C156=""),"",NETWORKDAYS($C156,$J156,Holidays!$A$5:$A$40))</f>
        <v/>
      </c>
      <c r="H156" s="20">
        <f>IF(G156="","",IF($F156&lt;&gt;"",$F156,G156*IFERROR(IF(INDEX(Employees!$F$5:$F$29,MATCH($A156,Employees!$B$5:$B$29,0))="",Settings!$B$9,INDEX(Employees!$F$5:$F$29,MATCH($A156,Employees!$B$5:$B$29,0))),Settings!$B$9)))</f>
        <v/>
      </c>
      <c r="I156" s="10" t="n"/>
      <c r="J156" s="15">
        <f>IF($C156="","",IF($D156="",$C156,$D156))</f>
        <v/>
      </c>
    </row>
    <row r="157">
      <c r="A157" s="10" t="n"/>
      <c r="B157" s="10" t="n"/>
      <c r="C157" s="12" t="n"/>
      <c r="D157" s="12" t="n"/>
      <c r="E157" s="10" t="n"/>
      <c r="F157" s="11" t="n"/>
      <c r="G157" s="20">
        <f>IF(OR($A157="",$C157=""),"",NETWORKDAYS($C157,$J157,Holidays!$A$5:$A$40))</f>
        <v/>
      </c>
      <c r="H157" s="20">
        <f>IF(G157="","",IF($F157&lt;&gt;"",$F157,G157*IFERROR(IF(INDEX(Employees!$F$5:$F$29,MATCH($A157,Employees!$B$5:$B$29,0))="",Settings!$B$9,INDEX(Employees!$F$5:$F$29,MATCH($A157,Employees!$B$5:$B$29,0))),Settings!$B$9)))</f>
        <v/>
      </c>
      <c r="I157" s="10" t="n"/>
      <c r="J157" s="15">
        <f>IF($C157="","",IF($D157="",$C157,$D157))</f>
        <v/>
      </c>
    </row>
    <row r="158">
      <c r="A158" s="10" t="n"/>
      <c r="B158" s="10" t="n"/>
      <c r="C158" s="12" t="n"/>
      <c r="D158" s="12" t="n"/>
      <c r="E158" s="10" t="n"/>
      <c r="F158" s="11" t="n"/>
      <c r="G158" s="20">
        <f>IF(OR($A158="",$C158=""),"",NETWORKDAYS($C158,$J158,Holidays!$A$5:$A$40))</f>
        <v/>
      </c>
      <c r="H158" s="20">
        <f>IF(G158="","",IF($F158&lt;&gt;"",$F158,G158*IFERROR(IF(INDEX(Employees!$F$5:$F$29,MATCH($A158,Employees!$B$5:$B$29,0))="",Settings!$B$9,INDEX(Employees!$F$5:$F$29,MATCH($A158,Employees!$B$5:$B$29,0))),Settings!$B$9)))</f>
        <v/>
      </c>
      <c r="I158" s="10" t="n"/>
      <c r="J158" s="15">
        <f>IF($C158="","",IF($D158="",$C158,$D158))</f>
        <v/>
      </c>
    </row>
    <row r="159">
      <c r="A159" s="10" t="n"/>
      <c r="B159" s="10" t="n"/>
      <c r="C159" s="12" t="n"/>
      <c r="D159" s="12" t="n"/>
      <c r="E159" s="10" t="n"/>
      <c r="F159" s="11" t="n"/>
      <c r="G159" s="20">
        <f>IF(OR($A159="",$C159=""),"",NETWORKDAYS($C159,$J159,Holidays!$A$5:$A$40))</f>
        <v/>
      </c>
      <c r="H159" s="20">
        <f>IF(G159="","",IF($F159&lt;&gt;"",$F159,G159*IFERROR(IF(INDEX(Employees!$F$5:$F$29,MATCH($A159,Employees!$B$5:$B$29,0))="",Settings!$B$9,INDEX(Employees!$F$5:$F$29,MATCH($A159,Employees!$B$5:$B$29,0))),Settings!$B$9)))</f>
        <v/>
      </c>
      <c r="I159" s="10" t="n"/>
      <c r="J159" s="15">
        <f>IF($C159="","",IF($D159="",$C159,$D159))</f>
        <v/>
      </c>
    </row>
    <row r="160">
      <c r="A160" s="10" t="n"/>
      <c r="B160" s="10" t="n"/>
      <c r="C160" s="12" t="n"/>
      <c r="D160" s="12" t="n"/>
      <c r="E160" s="10" t="n"/>
      <c r="F160" s="11" t="n"/>
      <c r="G160" s="20">
        <f>IF(OR($A160="",$C160=""),"",NETWORKDAYS($C160,$J160,Holidays!$A$5:$A$40))</f>
        <v/>
      </c>
      <c r="H160" s="20">
        <f>IF(G160="","",IF($F160&lt;&gt;"",$F160,G160*IFERROR(IF(INDEX(Employees!$F$5:$F$29,MATCH($A160,Employees!$B$5:$B$29,0))="",Settings!$B$9,INDEX(Employees!$F$5:$F$29,MATCH($A160,Employees!$B$5:$B$29,0))),Settings!$B$9)))</f>
        <v/>
      </c>
      <c r="I160" s="10" t="n"/>
      <c r="J160" s="15">
        <f>IF($C160="","",IF($D160="",$C160,$D160))</f>
        <v/>
      </c>
    </row>
    <row r="161">
      <c r="A161" s="10" t="n"/>
      <c r="B161" s="10" t="n"/>
      <c r="C161" s="12" t="n"/>
      <c r="D161" s="12" t="n"/>
      <c r="E161" s="10" t="n"/>
      <c r="F161" s="11" t="n"/>
      <c r="G161" s="20">
        <f>IF(OR($A161="",$C161=""),"",NETWORKDAYS($C161,$J161,Holidays!$A$5:$A$40))</f>
        <v/>
      </c>
      <c r="H161" s="20">
        <f>IF(G161="","",IF($F161&lt;&gt;"",$F161,G161*IFERROR(IF(INDEX(Employees!$F$5:$F$29,MATCH($A161,Employees!$B$5:$B$29,0))="",Settings!$B$9,INDEX(Employees!$F$5:$F$29,MATCH($A161,Employees!$B$5:$B$29,0))),Settings!$B$9)))</f>
        <v/>
      </c>
      <c r="I161" s="10" t="n"/>
      <c r="J161" s="15">
        <f>IF($C161="","",IF($D161="",$C161,$D161))</f>
        <v/>
      </c>
    </row>
    <row r="162">
      <c r="A162" s="10" t="n"/>
      <c r="B162" s="10" t="n"/>
      <c r="C162" s="12" t="n"/>
      <c r="D162" s="12" t="n"/>
      <c r="E162" s="10" t="n"/>
      <c r="F162" s="11" t="n"/>
      <c r="G162" s="20">
        <f>IF(OR($A162="",$C162=""),"",NETWORKDAYS($C162,$J162,Holidays!$A$5:$A$40))</f>
        <v/>
      </c>
      <c r="H162" s="20">
        <f>IF(G162="","",IF($F162&lt;&gt;"",$F162,G162*IFERROR(IF(INDEX(Employees!$F$5:$F$29,MATCH($A162,Employees!$B$5:$B$29,0))="",Settings!$B$9,INDEX(Employees!$F$5:$F$29,MATCH($A162,Employees!$B$5:$B$29,0))),Settings!$B$9)))</f>
        <v/>
      </c>
      <c r="I162" s="10" t="n"/>
      <c r="J162" s="15">
        <f>IF($C162="","",IF($D162="",$C162,$D162))</f>
        <v/>
      </c>
    </row>
    <row r="163">
      <c r="A163" s="10" t="n"/>
      <c r="B163" s="10" t="n"/>
      <c r="C163" s="12" t="n"/>
      <c r="D163" s="12" t="n"/>
      <c r="E163" s="10" t="n"/>
      <c r="F163" s="11" t="n"/>
      <c r="G163" s="20">
        <f>IF(OR($A163="",$C163=""),"",NETWORKDAYS($C163,$J163,Holidays!$A$5:$A$40))</f>
        <v/>
      </c>
      <c r="H163" s="20">
        <f>IF(G163="","",IF($F163&lt;&gt;"",$F163,G163*IFERROR(IF(INDEX(Employees!$F$5:$F$29,MATCH($A163,Employees!$B$5:$B$29,0))="",Settings!$B$9,INDEX(Employees!$F$5:$F$29,MATCH($A163,Employees!$B$5:$B$29,0))),Settings!$B$9)))</f>
        <v/>
      </c>
      <c r="I163" s="10" t="n"/>
      <c r="J163" s="15">
        <f>IF($C163="","",IF($D163="",$C163,$D163))</f>
        <v/>
      </c>
    </row>
    <row r="164">
      <c r="A164" s="10" t="n"/>
      <c r="B164" s="10" t="n"/>
      <c r="C164" s="12" t="n"/>
      <c r="D164" s="12" t="n"/>
      <c r="E164" s="10" t="n"/>
      <c r="F164" s="11" t="n"/>
      <c r="G164" s="20">
        <f>IF(OR($A164="",$C164=""),"",NETWORKDAYS($C164,$J164,Holidays!$A$5:$A$40))</f>
        <v/>
      </c>
      <c r="H164" s="20">
        <f>IF(G164="","",IF($F164&lt;&gt;"",$F164,G164*IFERROR(IF(INDEX(Employees!$F$5:$F$29,MATCH($A164,Employees!$B$5:$B$29,0))="",Settings!$B$9,INDEX(Employees!$F$5:$F$29,MATCH($A164,Employees!$B$5:$B$29,0))),Settings!$B$9)))</f>
        <v/>
      </c>
      <c r="I164" s="10" t="n"/>
      <c r="J164" s="15">
        <f>IF($C164="","",IF($D164="",$C164,$D164))</f>
        <v/>
      </c>
    </row>
    <row r="165">
      <c r="A165" s="10" t="n"/>
      <c r="B165" s="10" t="n"/>
      <c r="C165" s="12" t="n"/>
      <c r="D165" s="12" t="n"/>
      <c r="E165" s="10" t="n"/>
      <c r="F165" s="11" t="n"/>
      <c r="G165" s="20">
        <f>IF(OR($A165="",$C165=""),"",NETWORKDAYS($C165,$J165,Holidays!$A$5:$A$40))</f>
        <v/>
      </c>
      <c r="H165" s="20">
        <f>IF(G165="","",IF($F165&lt;&gt;"",$F165,G165*IFERROR(IF(INDEX(Employees!$F$5:$F$29,MATCH($A165,Employees!$B$5:$B$29,0))="",Settings!$B$9,INDEX(Employees!$F$5:$F$29,MATCH($A165,Employees!$B$5:$B$29,0))),Settings!$B$9)))</f>
        <v/>
      </c>
      <c r="I165" s="10" t="n"/>
      <c r="J165" s="15">
        <f>IF($C165="","",IF($D165="",$C165,$D165))</f>
        <v/>
      </c>
    </row>
    <row r="166">
      <c r="A166" s="10" t="n"/>
      <c r="B166" s="10" t="n"/>
      <c r="C166" s="12" t="n"/>
      <c r="D166" s="12" t="n"/>
      <c r="E166" s="10" t="n"/>
      <c r="F166" s="11" t="n"/>
      <c r="G166" s="20">
        <f>IF(OR($A166="",$C166=""),"",NETWORKDAYS($C166,$J166,Holidays!$A$5:$A$40))</f>
        <v/>
      </c>
      <c r="H166" s="20">
        <f>IF(G166="","",IF($F166&lt;&gt;"",$F166,G166*IFERROR(IF(INDEX(Employees!$F$5:$F$29,MATCH($A166,Employees!$B$5:$B$29,0))="",Settings!$B$9,INDEX(Employees!$F$5:$F$29,MATCH($A166,Employees!$B$5:$B$29,0))),Settings!$B$9)))</f>
        <v/>
      </c>
      <c r="I166" s="10" t="n"/>
      <c r="J166" s="15">
        <f>IF($C166="","",IF($D166="",$C166,$D166))</f>
        <v/>
      </c>
    </row>
    <row r="167">
      <c r="A167" s="10" t="n"/>
      <c r="B167" s="10" t="n"/>
      <c r="C167" s="12" t="n"/>
      <c r="D167" s="12" t="n"/>
      <c r="E167" s="10" t="n"/>
      <c r="F167" s="11" t="n"/>
      <c r="G167" s="20">
        <f>IF(OR($A167="",$C167=""),"",NETWORKDAYS($C167,$J167,Holidays!$A$5:$A$40))</f>
        <v/>
      </c>
      <c r="H167" s="20">
        <f>IF(G167="","",IF($F167&lt;&gt;"",$F167,G167*IFERROR(IF(INDEX(Employees!$F$5:$F$29,MATCH($A167,Employees!$B$5:$B$29,0))="",Settings!$B$9,INDEX(Employees!$F$5:$F$29,MATCH($A167,Employees!$B$5:$B$29,0))),Settings!$B$9)))</f>
        <v/>
      </c>
      <c r="I167" s="10" t="n"/>
      <c r="J167" s="15">
        <f>IF($C167="","",IF($D167="",$C167,$D167))</f>
        <v/>
      </c>
    </row>
    <row r="168">
      <c r="A168" s="10" t="n"/>
      <c r="B168" s="10" t="n"/>
      <c r="C168" s="12" t="n"/>
      <c r="D168" s="12" t="n"/>
      <c r="E168" s="10" t="n"/>
      <c r="F168" s="11" t="n"/>
      <c r="G168" s="20">
        <f>IF(OR($A168="",$C168=""),"",NETWORKDAYS($C168,$J168,Holidays!$A$5:$A$40))</f>
        <v/>
      </c>
      <c r="H168" s="20">
        <f>IF(G168="","",IF($F168&lt;&gt;"",$F168,G168*IFERROR(IF(INDEX(Employees!$F$5:$F$29,MATCH($A168,Employees!$B$5:$B$29,0))="",Settings!$B$9,INDEX(Employees!$F$5:$F$29,MATCH($A168,Employees!$B$5:$B$29,0))),Settings!$B$9)))</f>
        <v/>
      </c>
      <c r="I168" s="10" t="n"/>
      <c r="J168" s="15">
        <f>IF($C168="","",IF($D168="",$C168,$D168))</f>
        <v/>
      </c>
    </row>
    <row r="169">
      <c r="A169" s="10" t="n"/>
      <c r="B169" s="10" t="n"/>
      <c r="C169" s="12" t="n"/>
      <c r="D169" s="12" t="n"/>
      <c r="E169" s="10" t="n"/>
      <c r="F169" s="11" t="n"/>
      <c r="G169" s="20">
        <f>IF(OR($A169="",$C169=""),"",NETWORKDAYS($C169,$J169,Holidays!$A$5:$A$40))</f>
        <v/>
      </c>
      <c r="H169" s="20">
        <f>IF(G169="","",IF($F169&lt;&gt;"",$F169,G169*IFERROR(IF(INDEX(Employees!$F$5:$F$29,MATCH($A169,Employees!$B$5:$B$29,0))="",Settings!$B$9,INDEX(Employees!$F$5:$F$29,MATCH($A169,Employees!$B$5:$B$29,0))),Settings!$B$9)))</f>
        <v/>
      </c>
      <c r="I169" s="10" t="n"/>
      <c r="J169" s="15">
        <f>IF($C169="","",IF($D169="",$C169,$D169))</f>
        <v/>
      </c>
    </row>
    <row r="170">
      <c r="A170" s="10" t="n"/>
      <c r="B170" s="10" t="n"/>
      <c r="C170" s="12" t="n"/>
      <c r="D170" s="12" t="n"/>
      <c r="E170" s="10" t="n"/>
      <c r="F170" s="11" t="n"/>
      <c r="G170" s="20">
        <f>IF(OR($A170="",$C170=""),"",NETWORKDAYS($C170,$J170,Holidays!$A$5:$A$40))</f>
        <v/>
      </c>
      <c r="H170" s="20">
        <f>IF(G170="","",IF($F170&lt;&gt;"",$F170,G170*IFERROR(IF(INDEX(Employees!$F$5:$F$29,MATCH($A170,Employees!$B$5:$B$29,0))="",Settings!$B$9,INDEX(Employees!$F$5:$F$29,MATCH($A170,Employees!$B$5:$B$29,0))),Settings!$B$9)))</f>
        <v/>
      </c>
      <c r="I170" s="10" t="n"/>
      <c r="J170" s="15">
        <f>IF($C170="","",IF($D170="",$C170,$D170))</f>
        <v/>
      </c>
    </row>
    <row r="171">
      <c r="A171" s="10" t="n"/>
      <c r="B171" s="10" t="n"/>
      <c r="C171" s="12" t="n"/>
      <c r="D171" s="12" t="n"/>
      <c r="E171" s="10" t="n"/>
      <c r="F171" s="11" t="n"/>
      <c r="G171" s="20">
        <f>IF(OR($A171="",$C171=""),"",NETWORKDAYS($C171,$J171,Holidays!$A$5:$A$40))</f>
        <v/>
      </c>
      <c r="H171" s="20">
        <f>IF(G171="","",IF($F171&lt;&gt;"",$F171,G171*IFERROR(IF(INDEX(Employees!$F$5:$F$29,MATCH($A171,Employees!$B$5:$B$29,0))="",Settings!$B$9,INDEX(Employees!$F$5:$F$29,MATCH($A171,Employees!$B$5:$B$29,0))),Settings!$B$9)))</f>
        <v/>
      </c>
      <c r="I171" s="10" t="n"/>
      <c r="J171" s="15">
        <f>IF($C171="","",IF($D171="",$C171,$D171))</f>
        <v/>
      </c>
    </row>
    <row r="172">
      <c r="A172" s="10" t="n"/>
      <c r="B172" s="10" t="n"/>
      <c r="C172" s="12" t="n"/>
      <c r="D172" s="12" t="n"/>
      <c r="E172" s="10" t="n"/>
      <c r="F172" s="11" t="n"/>
      <c r="G172" s="20">
        <f>IF(OR($A172="",$C172=""),"",NETWORKDAYS($C172,$J172,Holidays!$A$5:$A$40))</f>
        <v/>
      </c>
      <c r="H172" s="20">
        <f>IF(G172="","",IF($F172&lt;&gt;"",$F172,G172*IFERROR(IF(INDEX(Employees!$F$5:$F$29,MATCH($A172,Employees!$B$5:$B$29,0))="",Settings!$B$9,INDEX(Employees!$F$5:$F$29,MATCH($A172,Employees!$B$5:$B$29,0))),Settings!$B$9)))</f>
        <v/>
      </c>
      <c r="I172" s="10" t="n"/>
      <c r="J172" s="15">
        <f>IF($C172="","",IF($D172="",$C172,$D172))</f>
        <v/>
      </c>
    </row>
    <row r="173">
      <c r="A173" s="10" t="n"/>
      <c r="B173" s="10" t="n"/>
      <c r="C173" s="12" t="n"/>
      <c r="D173" s="12" t="n"/>
      <c r="E173" s="10" t="n"/>
      <c r="F173" s="11" t="n"/>
      <c r="G173" s="20">
        <f>IF(OR($A173="",$C173=""),"",NETWORKDAYS($C173,$J173,Holidays!$A$5:$A$40))</f>
        <v/>
      </c>
      <c r="H173" s="20">
        <f>IF(G173="","",IF($F173&lt;&gt;"",$F173,G173*IFERROR(IF(INDEX(Employees!$F$5:$F$29,MATCH($A173,Employees!$B$5:$B$29,0))="",Settings!$B$9,INDEX(Employees!$F$5:$F$29,MATCH($A173,Employees!$B$5:$B$29,0))),Settings!$B$9)))</f>
        <v/>
      </c>
      <c r="I173" s="10" t="n"/>
      <c r="J173" s="15">
        <f>IF($C173="","",IF($D173="",$C173,$D173))</f>
        <v/>
      </c>
    </row>
    <row r="174">
      <c r="A174" s="10" t="n"/>
      <c r="B174" s="10" t="n"/>
      <c r="C174" s="12" t="n"/>
      <c r="D174" s="12" t="n"/>
      <c r="E174" s="10" t="n"/>
      <c r="F174" s="11" t="n"/>
      <c r="G174" s="20">
        <f>IF(OR($A174="",$C174=""),"",NETWORKDAYS($C174,$J174,Holidays!$A$5:$A$40))</f>
        <v/>
      </c>
      <c r="H174" s="20">
        <f>IF(G174="","",IF($F174&lt;&gt;"",$F174,G174*IFERROR(IF(INDEX(Employees!$F$5:$F$29,MATCH($A174,Employees!$B$5:$B$29,0))="",Settings!$B$9,INDEX(Employees!$F$5:$F$29,MATCH($A174,Employees!$B$5:$B$29,0))),Settings!$B$9)))</f>
        <v/>
      </c>
      <c r="I174" s="10" t="n"/>
      <c r="J174" s="15">
        <f>IF($C174="","",IF($D174="",$C174,$D174))</f>
        <v/>
      </c>
    </row>
    <row r="175">
      <c r="A175" s="10" t="n"/>
      <c r="B175" s="10" t="n"/>
      <c r="C175" s="12" t="n"/>
      <c r="D175" s="12" t="n"/>
      <c r="E175" s="10" t="n"/>
      <c r="F175" s="11" t="n"/>
      <c r="G175" s="20">
        <f>IF(OR($A175="",$C175=""),"",NETWORKDAYS($C175,$J175,Holidays!$A$5:$A$40))</f>
        <v/>
      </c>
      <c r="H175" s="20">
        <f>IF(G175="","",IF($F175&lt;&gt;"",$F175,G175*IFERROR(IF(INDEX(Employees!$F$5:$F$29,MATCH($A175,Employees!$B$5:$B$29,0))="",Settings!$B$9,INDEX(Employees!$F$5:$F$29,MATCH($A175,Employees!$B$5:$B$29,0))),Settings!$B$9)))</f>
        <v/>
      </c>
      <c r="I175" s="10" t="n"/>
      <c r="J175" s="15">
        <f>IF($C175="","",IF($D175="",$C175,$D175))</f>
        <v/>
      </c>
    </row>
    <row r="176">
      <c r="A176" s="10" t="n"/>
      <c r="B176" s="10" t="n"/>
      <c r="C176" s="12" t="n"/>
      <c r="D176" s="12" t="n"/>
      <c r="E176" s="10" t="n"/>
      <c r="F176" s="11" t="n"/>
      <c r="G176" s="20">
        <f>IF(OR($A176="",$C176=""),"",NETWORKDAYS($C176,$J176,Holidays!$A$5:$A$40))</f>
        <v/>
      </c>
      <c r="H176" s="20">
        <f>IF(G176="","",IF($F176&lt;&gt;"",$F176,G176*IFERROR(IF(INDEX(Employees!$F$5:$F$29,MATCH($A176,Employees!$B$5:$B$29,0))="",Settings!$B$9,INDEX(Employees!$F$5:$F$29,MATCH($A176,Employees!$B$5:$B$29,0))),Settings!$B$9)))</f>
        <v/>
      </c>
      <c r="I176" s="10" t="n"/>
      <c r="J176" s="15">
        <f>IF($C176="","",IF($D176="",$C176,$D176))</f>
        <v/>
      </c>
    </row>
    <row r="177">
      <c r="A177" s="10" t="n"/>
      <c r="B177" s="10" t="n"/>
      <c r="C177" s="12" t="n"/>
      <c r="D177" s="12" t="n"/>
      <c r="E177" s="10" t="n"/>
      <c r="F177" s="11" t="n"/>
      <c r="G177" s="20">
        <f>IF(OR($A177="",$C177=""),"",NETWORKDAYS($C177,$J177,Holidays!$A$5:$A$40))</f>
        <v/>
      </c>
      <c r="H177" s="20">
        <f>IF(G177="","",IF($F177&lt;&gt;"",$F177,G177*IFERROR(IF(INDEX(Employees!$F$5:$F$29,MATCH($A177,Employees!$B$5:$B$29,0))="",Settings!$B$9,INDEX(Employees!$F$5:$F$29,MATCH($A177,Employees!$B$5:$B$29,0))),Settings!$B$9)))</f>
        <v/>
      </c>
      <c r="I177" s="10" t="n"/>
      <c r="J177" s="15">
        <f>IF($C177="","",IF($D177="",$C177,$D177))</f>
        <v/>
      </c>
    </row>
    <row r="178">
      <c r="A178" s="10" t="n"/>
      <c r="B178" s="10" t="n"/>
      <c r="C178" s="12" t="n"/>
      <c r="D178" s="12" t="n"/>
      <c r="E178" s="10" t="n"/>
      <c r="F178" s="11" t="n"/>
      <c r="G178" s="20">
        <f>IF(OR($A178="",$C178=""),"",NETWORKDAYS($C178,$J178,Holidays!$A$5:$A$40))</f>
        <v/>
      </c>
      <c r="H178" s="20">
        <f>IF(G178="","",IF($F178&lt;&gt;"",$F178,G178*IFERROR(IF(INDEX(Employees!$F$5:$F$29,MATCH($A178,Employees!$B$5:$B$29,0))="",Settings!$B$9,INDEX(Employees!$F$5:$F$29,MATCH($A178,Employees!$B$5:$B$29,0))),Settings!$B$9)))</f>
        <v/>
      </c>
      <c r="I178" s="10" t="n"/>
      <c r="J178" s="15">
        <f>IF($C178="","",IF($D178="",$C178,$D178))</f>
        <v/>
      </c>
    </row>
    <row r="179">
      <c r="A179" s="10" t="n"/>
      <c r="B179" s="10" t="n"/>
      <c r="C179" s="12" t="n"/>
      <c r="D179" s="12" t="n"/>
      <c r="E179" s="10" t="n"/>
      <c r="F179" s="11" t="n"/>
      <c r="G179" s="20">
        <f>IF(OR($A179="",$C179=""),"",NETWORKDAYS($C179,$J179,Holidays!$A$5:$A$40))</f>
        <v/>
      </c>
      <c r="H179" s="20">
        <f>IF(G179="","",IF($F179&lt;&gt;"",$F179,G179*IFERROR(IF(INDEX(Employees!$F$5:$F$29,MATCH($A179,Employees!$B$5:$B$29,0))="",Settings!$B$9,INDEX(Employees!$F$5:$F$29,MATCH($A179,Employees!$B$5:$B$29,0))),Settings!$B$9)))</f>
        <v/>
      </c>
      <c r="I179" s="10" t="n"/>
      <c r="J179" s="15">
        <f>IF($C179="","",IF($D179="",$C179,$D179))</f>
        <v/>
      </c>
    </row>
    <row r="180">
      <c r="A180" s="10" t="n"/>
      <c r="B180" s="10" t="n"/>
      <c r="C180" s="12" t="n"/>
      <c r="D180" s="12" t="n"/>
      <c r="E180" s="10" t="n"/>
      <c r="F180" s="11" t="n"/>
      <c r="G180" s="20">
        <f>IF(OR($A180="",$C180=""),"",NETWORKDAYS($C180,$J180,Holidays!$A$5:$A$40))</f>
        <v/>
      </c>
      <c r="H180" s="20">
        <f>IF(G180="","",IF($F180&lt;&gt;"",$F180,G180*IFERROR(IF(INDEX(Employees!$F$5:$F$29,MATCH($A180,Employees!$B$5:$B$29,0))="",Settings!$B$9,INDEX(Employees!$F$5:$F$29,MATCH($A180,Employees!$B$5:$B$29,0))),Settings!$B$9)))</f>
        <v/>
      </c>
      <c r="I180" s="10" t="n"/>
      <c r="J180" s="15">
        <f>IF($C180="","",IF($D180="",$C180,$D180))</f>
        <v/>
      </c>
    </row>
    <row r="181">
      <c r="A181" s="10" t="n"/>
      <c r="B181" s="10" t="n"/>
      <c r="C181" s="12" t="n"/>
      <c r="D181" s="12" t="n"/>
      <c r="E181" s="10" t="n"/>
      <c r="F181" s="11" t="n"/>
      <c r="G181" s="20">
        <f>IF(OR($A181="",$C181=""),"",NETWORKDAYS($C181,$J181,Holidays!$A$5:$A$40))</f>
        <v/>
      </c>
      <c r="H181" s="20">
        <f>IF(G181="","",IF($F181&lt;&gt;"",$F181,G181*IFERROR(IF(INDEX(Employees!$F$5:$F$29,MATCH($A181,Employees!$B$5:$B$29,0))="",Settings!$B$9,INDEX(Employees!$F$5:$F$29,MATCH($A181,Employees!$B$5:$B$29,0))),Settings!$B$9)))</f>
        <v/>
      </c>
      <c r="I181" s="10" t="n"/>
      <c r="J181" s="15">
        <f>IF($C181="","",IF($D181="",$C181,$D181))</f>
        <v/>
      </c>
    </row>
    <row r="182">
      <c r="A182" s="10" t="n"/>
      <c r="B182" s="10" t="n"/>
      <c r="C182" s="12" t="n"/>
      <c r="D182" s="12" t="n"/>
      <c r="E182" s="10" t="n"/>
      <c r="F182" s="11" t="n"/>
      <c r="G182" s="20">
        <f>IF(OR($A182="",$C182=""),"",NETWORKDAYS($C182,$J182,Holidays!$A$5:$A$40))</f>
        <v/>
      </c>
      <c r="H182" s="20">
        <f>IF(G182="","",IF($F182&lt;&gt;"",$F182,G182*IFERROR(IF(INDEX(Employees!$F$5:$F$29,MATCH($A182,Employees!$B$5:$B$29,0))="",Settings!$B$9,INDEX(Employees!$F$5:$F$29,MATCH($A182,Employees!$B$5:$B$29,0))),Settings!$B$9)))</f>
        <v/>
      </c>
      <c r="I182" s="10" t="n"/>
      <c r="J182" s="15">
        <f>IF($C182="","",IF($D182="",$C182,$D182))</f>
        <v/>
      </c>
    </row>
    <row r="183">
      <c r="A183" s="10" t="n"/>
      <c r="B183" s="10" t="n"/>
      <c r="C183" s="12" t="n"/>
      <c r="D183" s="12" t="n"/>
      <c r="E183" s="10" t="n"/>
      <c r="F183" s="11" t="n"/>
      <c r="G183" s="20">
        <f>IF(OR($A183="",$C183=""),"",NETWORKDAYS($C183,$J183,Holidays!$A$5:$A$40))</f>
        <v/>
      </c>
      <c r="H183" s="20">
        <f>IF(G183="","",IF($F183&lt;&gt;"",$F183,G183*IFERROR(IF(INDEX(Employees!$F$5:$F$29,MATCH($A183,Employees!$B$5:$B$29,0))="",Settings!$B$9,INDEX(Employees!$F$5:$F$29,MATCH($A183,Employees!$B$5:$B$29,0))),Settings!$B$9)))</f>
        <v/>
      </c>
      <c r="I183" s="10" t="n"/>
      <c r="J183" s="15">
        <f>IF($C183="","",IF($D183="",$C183,$D183))</f>
        <v/>
      </c>
    </row>
    <row r="184">
      <c r="A184" s="10" t="n"/>
      <c r="B184" s="10" t="n"/>
      <c r="C184" s="12" t="n"/>
      <c r="D184" s="12" t="n"/>
      <c r="E184" s="10" t="n"/>
      <c r="F184" s="11" t="n"/>
      <c r="G184" s="20">
        <f>IF(OR($A184="",$C184=""),"",NETWORKDAYS($C184,$J184,Holidays!$A$5:$A$40))</f>
        <v/>
      </c>
      <c r="H184" s="20">
        <f>IF(G184="","",IF($F184&lt;&gt;"",$F184,G184*IFERROR(IF(INDEX(Employees!$F$5:$F$29,MATCH($A184,Employees!$B$5:$B$29,0))="",Settings!$B$9,INDEX(Employees!$F$5:$F$29,MATCH($A184,Employees!$B$5:$B$29,0))),Settings!$B$9)))</f>
        <v/>
      </c>
      <c r="I184" s="10" t="n"/>
      <c r="J184" s="15">
        <f>IF($C184="","",IF($D184="",$C184,$D184))</f>
        <v/>
      </c>
    </row>
    <row r="185">
      <c r="A185" s="10" t="n"/>
      <c r="B185" s="10" t="n"/>
      <c r="C185" s="12" t="n"/>
      <c r="D185" s="12" t="n"/>
      <c r="E185" s="10" t="n"/>
      <c r="F185" s="11" t="n"/>
      <c r="G185" s="20">
        <f>IF(OR($A185="",$C185=""),"",NETWORKDAYS($C185,$J185,Holidays!$A$5:$A$40))</f>
        <v/>
      </c>
      <c r="H185" s="20">
        <f>IF(G185="","",IF($F185&lt;&gt;"",$F185,G185*IFERROR(IF(INDEX(Employees!$F$5:$F$29,MATCH($A185,Employees!$B$5:$B$29,0))="",Settings!$B$9,INDEX(Employees!$F$5:$F$29,MATCH($A185,Employees!$B$5:$B$29,0))),Settings!$B$9)))</f>
        <v/>
      </c>
      <c r="I185" s="10" t="n"/>
      <c r="J185" s="15">
        <f>IF($C185="","",IF($D185="",$C185,$D185))</f>
        <v/>
      </c>
    </row>
    <row r="186">
      <c r="A186" s="10" t="n"/>
      <c r="B186" s="10" t="n"/>
      <c r="C186" s="12" t="n"/>
      <c r="D186" s="12" t="n"/>
      <c r="E186" s="10" t="n"/>
      <c r="F186" s="11" t="n"/>
      <c r="G186" s="20">
        <f>IF(OR($A186="",$C186=""),"",NETWORKDAYS($C186,$J186,Holidays!$A$5:$A$40))</f>
        <v/>
      </c>
      <c r="H186" s="20">
        <f>IF(G186="","",IF($F186&lt;&gt;"",$F186,G186*IFERROR(IF(INDEX(Employees!$F$5:$F$29,MATCH($A186,Employees!$B$5:$B$29,0))="",Settings!$B$9,INDEX(Employees!$F$5:$F$29,MATCH($A186,Employees!$B$5:$B$29,0))),Settings!$B$9)))</f>
        <v/>
      </c>
      <c r="I186" s="10" t="n"/>
      <c r="J186" s="15">
        <f>IF($C186="","",IF($D186="",$C186,$D186))</f>
        <v/>
      </c>
    </row>
    <row r="187">
      <c r="A187" s="10" t="n"/>
      <c r="B187" s="10" t="n"/>
      <c r="C187" s="12" t="n"/>
      <c r="D187" s="12" t="n"/>
      <c r="E187" s="10" t="n"/>
      <c r="F187" s="11" t="n"/>
      <c r="G187" s="20">
        <f>IF(OR($A187="",$C187=""),"",NETWORKDAYS($C187,$J187,Holidays!$A$5:$A$40))</f>
        <v/>
      </c>
      <c r="H187" s="20">
        <f>IF(G187="","",IF($F187&lt;&gt;"",$F187,G187*IFERROR(IF(INDEX(Employees!$F$5:$F$29,MATCH($A187,Employees!$B$5:$B$29,0))="",Settings!$B$9,INDEX(Employees!$F$5:$F$29,MATCH($A187,Employees!$B$5:$B$29,0))),Settings!$B$9)))</f>
        <v/>
      </c>
      <c r="I187" s="10" t="n"/>
      <c r="J187" s="15">
        <f>IF($C187="","",IF($D187="",$C187,$D187))</f>
        <v/>
      </c>
    </row>
    <row r="188">
      <c r="A188" s="10" t="n"/>
      <c r="B188" s="10" t="n"/>
      <c r="C188" s="12" t="n"/>
      <c r="D188" s="12" t="n"/>
      <c r="E188" s="10" t="n"/>
      <c r="F188" s="11" t="n"/>
      <c r="G188" s="20">
        <f>IF(OR($A188="",$C188=""),"",NETWORKDAYS($C188,$J188,Holidays!$A$5:$A$40))</f>
        <v/>
      </c>
      <c r="H188" s="20">
        <f>IF(G188="","",IF($F188&lt;&gt;"",$F188,G188*IFERROR(IF(INDEX(Employees!$F$5:$F$29,MATCH($A188,Employees!$B$5:$B$29,0))="",Settings!$B$9,INDEX(Employees!$F$5:$F$29,MATCH($A188,Employees!$B$5:$B$29,0))),Settings!$B$9)))</f>
        <v/>
      </c>
      <c r="I188" s="10" t="n"/>
      <c r="J188" s="15">
        <f>IF($C188="","",IF($D188="",$C188,$D188))</f>
        <v/>
      </c>
    </row>
    <row r="189">
      <c r="A189" s="10" t="n"/>
      <c r="B189" s="10" t="n"/>
      <c r="C189" s="12" t="n"/>
      <c r="D189" s="12" t="n"/>
      <c r="E189" s="10" t="n"/>
      <c r="F189" s="11" t="n"/>
      <c r="G189" s="20">
        <f>IF(OR($A189="",$C189=""),"",NETWORKDAYS($C189,$J189,Holidays!$A$5:$A$40))</f>
        <v/>
      </c>
      <c r="H189" s="20">
        <f>IF(G189="","",IF($F189&lt;&gt;"",$F189,G189*IFERROR(IF(INDEX(Employees!$F$5:$F$29,MATCH($A189,Employees!$B$5:$B$29,0))="",Settings!$B$9,INDEX(Employees!$F$5:$F$29,MATCH($A189,Employees!$B$5:$B$29,0))),Settings!$B$9)))</f>
        <v/>
      </c>
      <c r="I189" s="10" t="n"/>
      <c r="J189" s="15">
        <f>IF($C189="","",IF($D189="",$C189,$D189))</f>
        <v/>
      </c>
    </row>
    <row r="190">
      <c r="A190" s="10" t="n"/>
      <c r="B190" s="10" t="n"/>
      <c r="C190" s="12" t="n"/>
      <c r="D190" s="12" t="n"/>
      <c r="E190" s="10" t="n"/>
      <c r="F190" s="11" t="n"/>
      <c r="G190" s="20">
        <f>IF(OR($A190="",$C190=""),"",NETWORKDAYS($C190,$J190,Holidays!$A$5:$A$40))</f>
        <v/>
      </c>
      <c r="H190" s="20">
        <f>IF(G190="","",IF($F190&lt;&gt;"",$F190,G190*IFERROR(IF(INDEX(Employees!$F$5:$F$29,MATCH($A190,Employees!$B$5:$B$29,0))="",Settings!$B$9,INDEX(Employees!$F$5:$F$29,MATCH($A190,Employees!$B$5:$B$29,0))),Settings!$B$9)))</f>
        <v/>
      </c>
      <c r="I190" s="10" t="n"/>
      <c r="J190" s="15">
        <f>IF($C190="","",IF($D190="",$C190,$D190))</f>
        <v/>
      </c>
    </row>
    <row r="191">
      <c r="A191" s="10" t="n"/>
      <c r="B191" s="10" t="n"/>
      <c r="C191" s="12" t="n"/>
      <c r="D191" s="12" t="n"/>
      <c r="E191" s="10" t="n"/>
      <c r="F191" s="11" t="n"/>
      <c r="G191" s="20">
        <f>IF(OR($A191="",$C191=""),"",NETWORKDAYS($C191,$J191,Holidays!$A$5:$A$40))</f>
        <v/>
      </c>
      <c r="H191" s="20">
        <f>IF(G191="","",IF($F191&lt;&gt;"",$F191,G191*IFERROR(IF(INDEX(Employees!$F$5:$F$29,MATCH($A191,Employees!$B$5:$B$29,0))="",Settings!$B$9,INDEX(Employees!$F$5:$F$29,MATCH($A191,Employees!$B$5:$B$29,0))),Settings!$B$9)))</f>
        <v/>
      </c>
      <c r="I191" s="10" t="n"/>
      <c r="J191" s="15">
        <f>IF($C191="","",IF($D191="",$C191,$D191))</f>
        <v/>
      </c>
    </row>
    <row r="192">
      <c r="A192" s="10" t="n"/>
      <c r="B192" s="10" t="n"/>
      <c r="C192" s="12" t="n"/>
      <c r="D192" s="12" t="n"/>
      <c r="E192" s="10" t="n"/>
      <c r="F192" s="11" t="n"/>
      <c r="G192" s="20">
        <f>IF(OR($A192="",$C192=""),"",NETWORKDAYS($C192,$J192,Holidays!$A$5:$A$40))</f>
        <v/>
      </c>
      <c r="H192" s="20">
        <f>IF(G192="","",IF($F192&lt;&gt;"",$F192,G192*IFERROR(IF(INDEX(Employees!$F$5:$F$29,MATCH($A192,Employees!$B$5:$B$29,0))="",Settings!$B$9,INDEX(Employees!$F$5:$F$29,MATCH($A192,Employees!$B$5:$B$29,0))),Settings!$B$9)))</f>
        <v/>
      </c>
      <c r="I192" s="10" t="n"/>
      <c r="J192" s="15">
        <f>IF($C192="","",IF($D192="",$C192,$D192))</f>
        <v/>
      </c>
    </row>
    <row r="193">
      <c r="A193" s="10" t="n"/>
      <c r="B193" s="10" t="n"/>
      <c r="C193" s="12" t="n"/>
      <c r="D193" s="12" t="n"/>
      <c r="E193" s="10" t="n"/>
      <c r="F193" s="11" t="n"/>
      <c r="G193" s="20">
        <f>IF(OR($A193="",$C193=""),"",NETWORKDAYS($C193,$J193,Holidays!$A$5:$A$40))</f>
        <v/>
      </c>
      <c r="H193" s="20">
        <f>IF(G193="","",IF($F193&lt;&gt;"",$F193,G193*IFERROR(IF(INDEX(Employees!$F$5:$F$29,MATCH($A193,Employees!$B$5:$B$29,0))="",Settings!$B$9,INDEX(Employees!$F$5:$F$29,MATCH($A193,Employees!$B$5:$B$29,0))),Settings!$B$9)))</f>
        <v/>
      </c>
      <c r="I193" s="10" t="n"/>
      <c r="J193" s="15">
        <f>IF($C193="","",IF($D193="",$C193,$D193))</f>
        <v/>
      </c>
    </row>
    <row r="194">
      <c r="A194" s="10" t="n"/>
      <c r="B194" s="10" t="n"/>
      <c r="C194" s="12" t="n"/>
      <c r="D194" s="12" t="n"/>
      <c r="E194" s="10" t="n"/>
      <c r="F194" s="11" t="n"/>
      <c r="G194" s="20">
        <f>IF(OR($A194="",$C194=""),"",NETWORKDAYS($C194,$J194,Holidays!$A$5:$A$40))</f>
        <v/>
      </c>
      <c r="H194" s="20">
        <f>IF(G194="","",IF($F194&lt;&gt;"",$F194,G194*IFERROR(IF(INDEX(Employees!$F$5:$F$29,MATCH($A194,Employees!$B$5:$B$29,0))="",Settings!$B$9,INDEX(Employees!$F$5:$F$29,MATCH($A194,Employees!$B$5:$B$29,0))),Settings!$B$9)))</f>
        <v/>
      </c>
      <c r="I194" s="10" t="n"/>
      <c r="J194" s="15">
        <f>IF($C194="","",IF($D194="",$C194,$D194))</f>
        <v/>
      </c>
    </row>
    <row r="195">
      <c r="A195" s="10" t="n"/>
      <c r="B195" s="10" t="n"/>
      <c r="C195" s="12" t="n"/>
      <c r="D195" s="12" t="n"/>
      <c r="E195" s="10" t="n"/>
      <c r="F195" s="11" t="n"/>
      <c r="G195" s="20">
        <f>IF(OR($A195="",$C195=""),"",NETWORKDAYS($C195,$J195,Holidays!$A$5:$A$40))</f>
        <v/>
      </c>
      <c r="H195" s="20">
        <f>IF(G195="","",IF($F195&lt;&gt;"",$F195,G195*IFERROR(IF(INDEX(Employees!$F$5:$F$29,MATCH($A195,Employees!$B$5:$B$29,0))="",Settings!$B$9,INDEX(Employees!$F$5:$F$29,MATCH($A195,Employees!$B$5:$B$29,0))),Settings!$B$9)))</f>
        <v/>
      </c>
      <c r="I195" s="10" t="n"/>
      <c r="J195" s="15">
        <f>IF($C195="","",IF($D195="",$C195,$D195))</f>
        <v/>
      </c>
    </row>
    <row r="196">
      <c r="A196" s="10" t="n"/>
      <c r="B196" s="10" t="n"/>
      <c r="C196" s="12" t="n"/>
      <c r="D196" s="12" t="n"/>
      <c r="E196" s="10" t="n"/>
      <c r="F196" s="11" t="n"/>
      <c r="G196" s="20">
        <f>IF(OR($A196="",$C196=""),"",NETWORKDAYS($C196,$J196,Holidays!$A$5:$A$40))</f>
        <v/>
      </c>
      <c r="H196" s="20">
        <f>IF(G196="","",IF($F196&lt;&gt;"",$F196,G196*IFERROR(IF(INDEX(Employees!$F$5:$F$29,MATCH($A196,Employees!$B$5:$B$29,0))="",Settings!$B$9,INDEX(Employees!$F$5:$F$29,MATCH($A196,Employees!$B$5:$B$29,0))),Settings!$B$9)))</f>
        <v/>
      </c>
      <c r="I196" s="10" t="n"/>
      <c r="J196" s="15">
        <f>IF($C196="","",IF($D196="",$C196,$D196))</f>
        <v/>
      </c>
    </row>
    <row r="197">
      <c r="A197" s="10" t="n"/>
      <c r="B197" s="10" t="n"/>
      <c r="C197" s="12" t="n"/>
      <c r="D197" s="12" t="n"/>
      <c r="E197" s="10" t="n"/>
      <c r="F197" s="11" t="n"/>
      <c r="G197" s="20">
        <f>IF(OR($A197="",$C197=""),"",NETWORKDAYS($C197,$J197,Holidays!$A$5:$A$40))</f>
        <v/>
      </c>
      <c r="H197" s="20">
        <f>IF(G197="","",IF($F197&lt;&gt;"",$F197,G197*IFERROR(IF(INDEX(Employees!$F$5:$F$29,MATCH($A197,Employees!$B$5:$B$29,0))="",Settings!$B$9,INDEX(Employees!$F$5:$F$29,MATCH($A197,Employees!$B$5:$B$29,0))),Settings!$B$9)))</f>
        <v/>
      </c>
      <c r="I197" s="10" t="n"/>
      <c r="J197" s="15">
        <f>IF($C197="","",IF($D197="",$C197,$D197))</f>
        <v/>
      </c>
    </row>
    <row r="198">
      <c r="A198" s="10" t="n"/>
      <c r="B198" s="10" t="n"/>
      <c r="C198" s="12" t="n"/>
      <c r="D198" s="12" t="n"/>
      <c r="E198" s="10" t="n"/>
      <c r="F198" s="11" t="n"/>
      <c r="G198" s="20">
        <f>IF(OR($A198="",$C198=""),"",NETWORKDAYS($C198,$J198,Holidays!$A$5:$A$40))</f>
        <v/>
      </c>
      <c r="H198" s="20">
        <f>IF(G198="","",IF($F198&lt;&gt;"",$F198,G198*IFERROR(IF(INDEX(Employees!$F$5:$F$29,MATCH($A198,Employees!$B$5:$B$29,0))="",Settings!$B$9,INDEX(Employees!$F$5:$F$29,MATCH($A198,Employees!$B$5:$B$29,0))),Settings!$B$9)))</f>
        <v/>
      </c>
      <c r="I198" s="10" t="n"/>
      <c r="J198" s="15">
        <f>IF($C198="","",IF($D198="",$C198,$D198))</f>
        <v/>
      </c>
    </row>
    <row r="199">
      <c r="A199" s="10" t="n"/>
      <c r="B199" s="10" t="n"/>
      <c r="C199" s="12" t="n"/>
      <c r="D199" s="12" t="n"/>
      <c r="E199" s="10" t="n"/>
      <c r="F199" s="11" t="n"/>
      <c r="G199" s="20">
        <f>IF(OR($A199="",$C199=""),"",NETWORKDAYS($C199,$J199,Holidays!$A$5:$A$40))</f>
        <v/>
      </c>
      <c r="H199" s="20">
        <f>IF(G199="","",IF($F199&lt;&gt;"",$F199,G199*IFERROR(IF(INDEX(Employees!$F$5:$F$29,MATCH($A199,Employees!$B$5:$B$29,0))="",Settings!$B$9,INDEX(Employees!$F$5:$F$29,MATCH($A199,Employees!$B$5:$B$29,0))),Settings!$B$9)))</f>
        <v/>
      </c>
      <c r="I199" s="10" t="n"/>
      <c r="J199" s="15">
        <f>IF($C199="","",IF($D199="",$C199,$D199))</f>
        <v/>
      </c>
    </row>
    <row r="200">
      <c r="A200" s="10" t="n"/>
      <c r="B200" s="10" t="n"/>
      <c r="C200" s="12" t="n"/>
      <c r="D200" s="12" t="n"/>
      <c r="E200" s="10" t="n"/>
      <c r="F200" s="11" t="n"/>
      <c r="G200" s="20">
        <f>IF(OR($A200="",$C200=""),"",NETWORKDAYS($C200,$J200,Holidays!$A$5:$A$40))</f>
        <v/>
      </c>
      <c r="H200" s="20">
        <f>IF(G200="","",IF($F200&lt;&gt;"",$F200,G200*IFERROR(IF(INDEX(Employees!$F$5:$F$29,MATCH($A200,Employees!$B$5:$B$29,0))="",Settings!$B$9,INDEX(Employees!$F$5:$F$29,MATCH($A200,Employees!$B$5:$B$29,0))),Settings!$B$9)))</f>
        <v/>
      </c>
      <c r="I200" s="10" t="n"/>
      <c r="J200" s="15">
        <f>IF($C200="","",IF($D200="",$C200,$D200))</f>
        <v/>
      </c>
    </row>
    <row r="201">
      <c r="A201" s="10" t="n"/>
      <c r="B201" s="10" t="n"/>
      <c r="C201" s="12" t="n"/>
      <c r="D201" s="12" t="n"/>
      <c r="E201" s="10" t="n"/>
      <c r="F201" s="11" t="n"/>
      <c r="G201" s="20">
        <f>IF(OR($A201="",$C201=""),"",NETWORKDAYS($C201,$J201,Holidays!$A$5:$A$40))</f>
        <v/>
      </c>
      <c r="H201" s="20">
        <f>IF(G201="","",IF($F201&lt;&gt;"",$F201,G201*IFERROR(IF(INDEX(Employees!$F$5:$F$29,MATCH($A201,Employees!$B$5:$B$29,0))="",Settings!$B$9,INDEX(Employees!$F$5:$F$29,MATCH($A201,Employees!$B$5:$B$29,0))),Settings!$B$9)))</f>
        <v/>
      </c>
      <c r="I201" s="10" t="n"/>
      <c r="J201" s="15">
        <f>IF($C201="","",IF($D201="",$C201,$D201))</f>
        <v/>
      </c>
    </row>
    <row r="202">
      <c r="A202" s="10" t="n"/>
      <c r="B202" s="10" t="n"/>
      <c r="C202" s="12" t="n"/>
      <c r="D202" s="12" t="n"/>
      <c r="E202" s="10" t="n"/>
      <c r="F202" s="11" t="n"/>
      <c r="G202" s="20">
        <f>IF(OR($A202="",$C202=""),"",NETWORKDAYS($C202,$J202,Holidays!$A$5:$A$40))</f>
        <v/>
      </c>
      <c r="H202" s="20">
        <f>IF(G202="","",IF($F202&lt;&gt;"",$F202,G202*IFERROR(IF(INDEX(Employees!$F$5:$F$29,MATCH($A202,Employees!$B$5:$B$29,0))="",Settings!$B$9,INDEX(Employees!$F$5:$F$29,MATCH($A202,Employees!$B$5:$B$29,0))),Settings!$B$9)))</f>
        <v/>
      </c>
      <c r="I202" s="10" t="n"/>
      <c r="J202" s="15">
        <f>IF($C202="","",IF($D202="",$C202,$D202))</f>
        <v/>
      </c>
    </row>
    <row r="203">
      <c r="A203" s="10" t="n"/>
      <c r="B203" s="10" t="n"/>
      <c r="C203" s="12" t="n"/>
      <c r="D203" s="12" t="n"/>
      <c r="E203" s="10" t="n"/>
      <c r="F203" s="11" t="n"/>
      <c r="G203" s="20">
        <f>IF(OR($A203="",$C203=""),"",NETWORKDAYS($C203,$J203,Holidays!$A$5:$A$40))</f>
        <v/>
      </c>
      <c r="H203" s="20">
        <f>IF(G203="","",IF($F203&lt;&gt;"",$F203,G203*IFERROR(IF(INDEX(Employees!$F$5:$F$29,MATCH($A203,Employees!$B$5:$B$29,0))="",Settings!$B$9,INDEX(Employees!$F$5:$F$29,MATCH($A203,Employees!$B$5:$B$29,0))),Settings!$B$9)))</f>
        <v/>
      </c>
      <c r="I203" s="10" t="n"/>
      <c r="J203" s="15">
        <f>IF($C203="","",IF($D203="",$C203,$D203))</f>
        <v/>
      </c>
    </row>
    <row r="204">
      <c r="A204" s="10" t="n"/>
      <c r="B204" s="10" t="n"/>
      <c r="C204" s="12" t="n"/>
      <c r="D204" s="12" t="n"/>
      <c r="E204" s="10" t="n"/>
      <c r="F204" s="11" t="n"/>
      <c r="G204" s="20">
        <f>IF(OR($A204="",$C204=""),"",NETWORKDAYS($C204,$J204,Holidays!$A$5:$A$40))</f>
        <v/>
      </c>
      <c r="H204" s="20">
        <f>IF(G204="","",IF($F204&lt;&gt;"",$F204,G204*IFERROR(IF(INDEX(Employees!$F$5:$F$29,MATCH($A204,Employees!$B$5:$B$29,0))="",Settings!$B$9,INDEX(Employees!$F$5:$F$29,MATCH($A204,Employees!$B$5:$B$29,0))),Settings!$B$9)))</f>
        <v/>
      </c>
      <c r="I204" s="10" t="n"/>
      <c r="J204" s="15">
        <f>IF($C204="","",IF($D204="",$C204,$D204))</f>
        <v/>
      </c>
    </row>
    <row r="205">
      <c r="A205" s="10" t="n"/>
      <c r="B205" s="10" t="n"/>
      <c r="C205" s="12" t="n"/>
      <c r="D205" s="12" t="n"/>
      <c r="E205" s="10" t="n"/>
      <c r="F205" s="11" t="n"/>
      <c r="G205" s="20">
        <f>IF(OR($A205="",$C205=""),"",NETWORKDAYS($C205,$J205,Holidays!$A$5:$A$40))</f>
        <v/>
      </c>
      <c r="H205" s="20">
        <f>IF(G205="","",IF($F205&lt;&gt;"",$F205,G205*IFERROR(IF(INDEX(Employees!$F$5:$F$29,MATCH($A205,Employees!$B$5:$B$29,0))="",Settings!$B$9,INDEX(Employees!$F$5:$F$29,MATCH($A205,Employees!$B$5:$B$29,0))),Settings!$B$9)))</f>
        <v/>
      </c>
      <c r="I205" s="10" t="n"/>
      <c r="J205" s="15">
        <f>IF($C205="","",IF($D205="",$C205,$D205))</f>
        <v/>
      </c>
    </row>
    <row r="206">
      <c r="A206" s="10" t="n"/>
      <c r="B206" s="10" t="n"/>
      <c r="C206" s="12" t="n"/>
      <c r="D206" s="12" t="n"/>
      <c r="E206" s="10" t="n"/>
      <c r="F206" s="11" t="n"/>
      <c r="G206" s="20">
        <f>IF(OR($A206="",$C206=""),"",NETWORKDAYS($C206,$J206,Holidays!$A$5:$A$40))</f>
        <v/>
      </c>
      <c r="H206" s="20">
        <f>IF(G206="","",IF($F206&lt;&gt;"",$F206,G206*IFERROR(IF(INDEX(Employees!$F$5:$F$29,MATCH($A206,Employees!$B$5:$B$29,0))="",Settings!$B$9,INDEX(Employees!$F$5:$F$29,MATCH($A206,Employees!$B$5:$B$29,0))),Settings!$B$9)))</f>
        <v/>
      </c>
      <c r="I206" s="10" t="n"/>
      <c r="J206" s="15">
        <f>IF($C206="","",IF($D206="",$C206,$D206))</f>
        <v/>
      </c>
    </row>
    <row r="207">
      <c r="A207" s="10" t="n"/>
      <c r="B207" s="10" t="n"/>
      <c r="C207" s="12" t="n"/>
      <c r="D207" s="12" t="n"/>
      <c r="E207" s="10" t="n"/>
      <c r="F207" s="11" t="n"/>
      <c r="G207" s="20">
        <f>IF(OR($A207="",$C207=""),"",NETWORKDAYS($C207,$J207,Holidays!$A$5:$A$40))</f>
        <v/>
      </c>
      <c r="H207" s="20">
        <f>IF(G207="","",IF($F207&lt;&gt;"",$F207,G207*IFERROR(IF(INDEX(Employees!$F$5:$F$29,MATCH($A207,Employees!$B$5:$B$29,0))="",Settings!$B$9,INDEX(Employees!$F$5:$F$29,MATCH($A207,Employees!$B$5:$B$29,0))),Settings!$B$9)))</f>
        <v/>
      </c>
      <c r="I207" s="10" t="n"/>
      <c r="J207" s="15">
        <f>IF($C207="","",IF($D207="",$C207,$D207))</f>
        <v/>
      </c>
    </row>
    <row r="208">
      <c r="A208" s="10" t="n"/>
      <c r="B208" s="10" t="n"/>
      <c r="C208" s="12" t="n"/>
      <c r="D208" s="12" t="n"/>
      <c r="E208" s="10" t="n"/>
      <c r="F208" s="11" t="n"/>
      <c r="G208" s="20">
        <f>IF(OR($A208="",$C208=""),"",NETWORKDAYS($C208,$J208,Holidays!$A$5:$A$40))</f>
        <v/>
      </c>
      <c r="H208" s="20">
        <f>IF(G208="","",IF($F208&lt;&gt;"",$F208,G208*IFERROR(IF(INDEX(Employees!$F$5:$F$29,MATCH($A208,Employees!$B$5:$B$29,0))="",Settings!$B$9,INDEX(Employees!$F$5:$F$29,MATCH($A208,Employees!$B$5:$B$29,0))),Settings!$B$9)))</f>
        <v/>
      </c>
      <c r="I208" s="10" t="n"/>
      <c r="J208" s="15">
        <f>IF($C208="","",IF($D208="",$C208,$D208))</f>
        <v/>
      </c>
    </row>
    <row r="209">
      <c r="A209" s="10" t="n"/>
      <c r="B209" s="10" t="n"/>
      <c r="C209" s="12" t="n"/>
      <c r="D209" s="12" t="n"/>
      <c r="E209" s="10" t="n"/>
      <c r="F209" s="11" t="n"/>
      <c r="G209" s="20">
        <f>IF(OR($A209="",$C209=""),"",NETWORKDAYS($C209,$J209,Holidays!$A$5:$A$40))</f>
        <v/>
      </c>
      <c r="H209" s="20">
        <f>IF(G209="","",IF($F209&lt;&gt;"",$F209,G209*IFERROR(IF(INDEX(Employees!$F$5:$F$29,MATCH($A209,Employees!$B$5:$B$29,0))="",Settings!$B$9,INDEX(Employees!$F$5:$F$29,MATCH($A209,Employees!$B$5:$B$29,0))),Settings!$B$9)))</f>
        <v/>
      </c>
      <c r="I209" s="10" t="n"/>
      <c r="J209" s="15">
        <f>IF($C209="","",IF($D209="",$C209,$D209))</f>
        <v/>
      </c>
    </row>
    <row r="210">
      <c r="A210" s="10" t="n"/>
      <c r="B210" s="10" t="n"/>
      <c r="C210" s="12" t="n"/>
      <c r="D210" s="12" t="n"/>
      <c r="E210" s="10" t="n"/>
      <c r="F210" s="11" t="n"/>
      <c r="G210" s="20">
        <f>IF(OR($A210="",$C210=""),"",NETWORKDAYS($C210,$J210,Holidays!$A$5:$A$40))</f>
        <v/>
      </c>
      <c r="H210" s="20">
        <f>IF(G210="","",IF($F210&lt;&gt;"",$F210,G210*IFERROR(IF(INDEX(Employees!$F$5:$F$29,MATCH($A210,Employees!$B$5:$B$29,0))="",Settings!$B$9,INDEX(Employees!$F$5:$F$29,MATCH($A210,Employees!$B$5:$B$29,0))),Settings!$B$9)))</f>
        <v/>
      </c>
      <c r="I210" s="10" t="n"/>
      <c r="J210" s="15">
        <f>IF($C210="","",IF($D210="",$C210,$D210))</f>
        <v/>
      </c>
    </row>
    <row r="211">
      <c r="A211" s="10" t="n"/>
      <c r="B211" s="10" t="n"/>
      <c r="C211" s="12" t="n"/>
      <c r="D211" s="12" t="n"/>
      <c r="E211" s="10" t="n"/>
      <c r="F211" s="11" t="n"/>
      <c r="G211" s="20">
        <f>IF(OR($A211="",$C211=""),"",NETWORKDAYS($C211,$J211,Holidays!$A$5:$A$40))</f>
        <v/>
      </c>
      <c r="H211" s="20">
        <f>IF(G211="","",IF($F211&lt;&gt;"",$F211,G211*IFERROR(IF(INDEX(Employees!$F$5:$F$29,MATCH($A211,Employees!$B$5:$B$29,0))="",Settings!$B$9,INDEX(Employees!$F$5:$F$29,MATCH($A211,Employees!$B$5:$B$29,0))),Settings!$B$9)))</f>
        <v/>
      </c>
      <c r="I211" s="10" t="n"/>
      <c r="J211" s="15">
        <f>IF($C211="","",IF($D211="",$C211,$D211))</f>
        <v/>
      </c>
    </row>
    <row r="212">
      <c r="A212" s="10" t="n"/>
      <c r="B212" s="10" t="n"/>
      <c r="C212" s="12" t="n"/>
      <c r="D212" s="12" t="n"/>
      <c r="E212" s="10" t="n"/>
      <c r="F212" s="11" t="n"/>
      <c r="G212" s="20">
        <f>IF(OR($A212="",$C212=""),"",NETWORKDAYS($C212,$J212,Holidays!$A$5:$A$40))</f>
        <v/>
      </c>
      <c r="H212" s="20">
        <f>IF(G212="","",IF($F212&lt;&gt;"",$F212,G212*IFERROR(IF(INDEX(Employees!$F$5:$F$29,MATCH($A212,Employees!$B$5:$B$29,0))="",Settings!$B$9,INDEX(Employees!$F$5:$F$29,MATCH($A212,Employees!$B$5:$B$29,0))),Settings!$B$9)))</f>
        <v/>
      </c>
      <c r="I212" s="10" t="n"/>
      <c r="J212" s="15">
        <f>IF($C212="","",IF($D212="",$C212,$D212))</f>
        <v/>
      </c>
    </row>
    <row r="213">
      <c r="A213" s="10" t="n"/>
      <c r="B213" s="10" t="n"/>
      <c r="C213" s="12" t="n"/>
      <c r="D213" s="12" t="n"/>
      <c r="E213" s="10" t="n"/>
      <c r="F213" s="11" t="n"/>
      <c r="G213" s="20">
        <f>IF(OR($A213="",$C213=""),"",NETWORKDAYS($C213,$J213,Holidays!$A$5:$A$40))</f>
        <v/>
      </c>
      <c r="H213" s="20">
        <f>IF(G213="","",IF($F213&lt;&gt;"",$F213,G213*IFERROR(IF(INDEX(Employees!$F$5:$F$29,MATCH($A213,Employees!$B$5:$B$29,0))="",Settings!$B$9,INDEX(Employees!$F$5:$F$29,MATCH($A213,Employees!$B$5:$B$29,0))),Settings!$B$9)))</f>
        <v/>
      </c>
      <c r="I213" s="10" t="n"/>
      <c r="J213" s="15">
        <f>IF($C213="","",IF($D213="",$C213,$D213))</f>
        <v/>
      </c>
    </row>
    <row r="214">
      <c r="A214" s="10" t="n"/>
      <c r="B214" s="10" t="n"/>
      <c r="C214" s="12" t="n"/>
      <c r="D214" s="12" t="n"/>
      <c r="E214" s="10" t="n"/>
      <c r="F214" s="11" t="n"/>
      <c r="G214" s="20">
        <f>IF(OR($A214="",$C214=""),"",NETWORKDAYS($C214,$J214,Holidays!$A$5:$A$40))</f>
        <v/>
      </c>
      <c r="H214" s="20">
        <f>IF(G214="","",IF($F214&lt;&gt;"",$F214,G214*IFERROR(IF(INDEX(Employees!$F$5:$F$29,MATCH($A214,Employees!$B$5:$B$29,0))="",Settings!$B$9,INDEX(Employees!$F$5:$F$29,MATCH($A214,Employees!$B$5:$B$29,0))),Settings!$B$9)))</f>
        <v/>
      </c>
      <c r="I214" s="10" t="n"/>
      <c r="J214" s="15">
        <f>IF($C214="","",IF($D214="",$C214,$D214))</f>
        <v/>
      </c>
    </row>
    <row r="215">
      <c r="A215" s="10" t="n"/>
      <c r="B215" s="10" t="n"/>
      <c r="C215" s="12" t="n"/>
      <c r="D215" s="12" t="n"/>
      <c r="E215" s="10" t="n"/>
      <c r="F215" s="11" t="n"/>
      <c r="G215" s="20">
        <f>IF(OR($A215="",$C215=""),"",NETWORKDAYS($C215,$J215,Holidays!$A$5:$A$40))</f>
        <v/>
      </c>
      <c r="H215" s="20">
        <f>IF(G215="","",IF($F215&lt;&gt;"",$F215,G215*IFERROR(IF(INDEX(Employees!$F$5:$F$29,MATCH($A215,Employees!$B$5:$B$29,0))="",Settings!$B$9,INDEX(Employees!$F$5:$F$29,MATCH($A215,Employees!$B$5:$B$29,0))),Settings!$B$9)))</f>
        <v/>
      </c>
      <c r="I215" s="10" t="n"/>
      <c r="J215" s="15">
        <f>IF($C215="","",IF($D215="",$C215,$D215))</f>
        <v/>
      </c>
    </row>
    <row r="216">
      <c r="A216" s="10" t="n"/>
      <c r="B216" s="10" t="n"/>
      <c r="C216" s="12" t="n"/>
      <c r="D216" s="12" t="n"/>
      <c r="E216" s="10" t="n"/>
      <c r="F216" s="11" t="n"/>
      <c r="G216" s="20">
        <f>IF(OR($A216="",$C216=""),"",NETWORKDAYS($C216,$J216,Holidays!$A$5:$A$40))</f>
        <v/>
      </c>
      <c r="H216" s="20">
        <f>IF(G216="","",IF($F216&lt;&gt;"",$F216,G216*IFERROR(IF(INDEX(Employees!$F$5:$F$29,MATCH($A216,Employees!$B$5:$B$29,0))="",Settings!$B$9,INDEX(Employees!$F$5:$F$29,MATCH($A216,Employees!$B$5:$B$29,0))),Settings!$B$9)))</f>
        <v/>
      </c>
      <c r="I216" s="10" t="n"/>
      <c r="J216" s="15">
        <f>IF($C216="","",IF($D216="",$C216,$D216))</f>
        <v/>
      </c>
    </row>
    <row r="217">
      <c r="A217" s="10" t="n"/>
      <c r="B217" s="10" t="n"/>
      <c r="C217" s="12" t="n"/>
      <c r="D217" s="12" t="n"/>
      <c r="E217" s="10" t="n"/>
      <c r="F217" s="11" t="n"/>
      <c r="G217" s="20">
        <f>IF(OR($A217="",$C217=""),"",NETWORKDAYS($C217,$J217,Holidays!$A$5:$A$40))</f>
        <v/>
      </c>
      <c r="H217" s="20">
        <f>IF(G217="","",IF($F217&lt;&gt;"",$F217,G217*IFERROR(IF(INDEX(Employees!$F$5:$F$29,MATCH($A217,Employees!$B$5:$B$29,0))="",Settings!$B$9,INDEX(Employees!$F$5:$F$29,MATCH($A217,Employees!$B$5:$B$29,0))),Settings!$B$9)))</f>
        <v/>
      </c>
      <c r="I217" s="10" t="n"/>
      <c r="J217" s="15">
        <f>IF($C217="","",IF($D217="",$C217,$D217))</f>
        <v/>
      </c>
    </row>
    <row r="218">
      <c r="A218" s="10" t="n"/>
      <c r="B218" s="10" t="n"/>
      <c r="C218" s="12" t="n"/>
      <c r="D218" s="12" t="n"/>
      <c r="E218" s="10" t="n"/>
      <c r="F218" s="11" t="n"/>
      <c r="G218" s="20">
        <f>IF(OR($A218="",$C218=""),"",NETWORKDAYS($C218,$J218,Holidays!$A$5:$A$40))</f>
        <v/>
      </c>
      <c r="H218" s="20">
        <f>IF(G218="","",IF($F218&lt;&gt;"",$F218,G218*IFERROR(IF(INDEX(Employees!$F$5:$F$29,MATCH($A218,Employees!$B$5:$B$29,0))="",Settings!$B$9,INDEX(Employees!$F$5:$F$29,MATCH($A218,Employees!$B$5:$B$29,0))),Settings!$B$9)))</f>
        <v/>
      </c>
      <c r="I218" s="10" t="n"/>
      <c r="J218" s="15">
        <f>IF($C218="","",IF($D218="",$C218,$D218))</f>
        <v/>
      </c>
    </row>
    <row r="219">
      <c r="A219" s="10" t="n"/>
      <c r="B219" s="10" t="n"/>
      <c r="C219" s="12" t="n"/>
      <c r="D219" s="12" t="n"/>
      <c r="E219" s="10" t="n"/>
      <c r="F219" s="11" t="n"/>
      <c r="G219" s="20">
        <f>IF(OR($A219="",$C219=""),"",NETWORKDAYS($C219,$J219,Holidays!$A$5:$A$40))</f>
        <v/>
      </c>
      <c r="H219" s="20">
        <f>IF(G219="","",IF($F219&lt;&gt;"",$F219,G219*IFERROR(IF(INDEX(Employees!$F$5:$F$29,MATCH($A219,Employees!$B$5:$B$29,0))="",Settings!$B$9,INDEX(Employees!$F$5:$F$29,MATCH($A219,Employees!$B$5:$B$29,0))),Settings!$B$9)))</f>
        <v/>
      </c>
      <c r="I219" s="10" t="n"/>
      <c r="J219" s="15">
        <f>IF($C219="","",IF($D219="",$C219,$D219))</f>
        <v/>
      </c>
    </row>
    <row r="220">
      <c r="A220" s="10" t="n"/>
      <c r="B220" s="10" t="n"/>
      <c r="C220" s="12" t="n"/>
      <c r="D220" s="12" t="n"/>
      <c r="E220" s="10" t="n"/>
      <c r="F220" s="11" t="n"/>
      <c r="G220" s="20">
        <f>IF(OR($A220="",$C220=""),"",NETWORKDAYS($C220,$J220,Holidays!$A$5:$A$40))</f>
        <v/>
      </c>
      <c r="H220" s="20">
        <f>IF(G220="","",IF($F220&lt;&gt;"",$F220,G220*IFERROR(IF(INDEX(Employees!$F$5:$F$29,MATCH($A220,Employees!$B$5:$B$29,0))="",Settings!$B$9,INDEX(Employees!$F$5:$F$29,MATCH($A220,Employees!$B$5:$B$29,0))),Settings!$B$9)))</f>
        <v/>
      </c>
      <c r="I220" s="10" t="n"/>
      <c r="J220" s="15">
        <f>IF($C220="","",IF($D220="",$C220,$D220))</f>
        <v/>
      </c>
    </row>
    <row r="221">
      <c r="A221" s="10" t="n"/>
      <c r="B221" s="10" t="n"/>
      <c r="C221" s="12" t="n"/>
      <c r="D221" s="12" t="n"/>
      <c r="E221" s="10" t="n"/>
      <c r="F221" s="11" t="n"/>
      <c r="G221" s="20">
        <f>IF(OR($A221="",$C221=""),"",NETWORKDAYS($C221,$J221,Holidays!$A$5:$A$40))</f>
        <v/>
      </c>
      <c r="H221" s="20">
        <f>IF(G221="","",IF($F221&lt;&gt;"",$F221,G221*IFERROR(IF(INDEX(Employees!$F$5:$F$29,MATCH($A221,Employees!$B$5:$B$29,0))="",Settings!$B$9,INDEX(Employees!$F$5:$F$29,MATCH($A221,Employees!$B$5:$B$29,0))),Settings!$B$9)))</f>
        <v/>
      </c>
      <c r="I221" s="10" t="n"/>
      <c r="J221" s="15">
        <f>IF($C221="","",IF($D221="",$C221,$D221))</f>
        <v/>
      </c>
    </row>
    <row r="222">
      <c r="A222" s="10" t="n"/>
      <c r="B222" s="10" t="n"/>
      <c r="C222" s="12" t="n"/>
      <c r="D222" s="12" t="n"/>
      <c r="E222" s="10" t="n"/>
      <c r="F222" s="11" t="n"/>
      <c r="G222" s="20">
        <f>IF(OR($A222="",$C222=""),"",NETWORKDAYS($C222,$J222,Holidays!$A$5:$A$40))</f>
        <v/>
      </c>
      <c r="H222" s="20">
        <f>IF(G222="","",IF($F222&lt;&gt;"",$F222,G222*IFERROR(IF(INDEX(Employees!$F$5:$F$29,MATCH($A222,Employees!$B$5:$B$29,0))="",Settings!$B$9,INDEX(Employees!$F$5:$F$29,MATCH($A222,Employees!$B$5:$B$29,0))),Settings!$B$9)))</f>
        <v/>
      </c>
      <c r="I222" s="10" t="n"/>
      <c r="J222" s="15">
        <f>IF($C222="","",IF($D222="",$C222,$D222))</f>
        <v/>
      </c>
    </row>
    <row r="223">
      <c r="A223" s="10" t="n"/>
      <c r="B223" s="10" t="n"/>
      <c r="C223" s="12" t="n"/>
      <c r="D223" s="12" t="n"/>
      <c r="E223" s="10" t="n"/>
      <c r="F223" s="11" t="n"/>
      <c r="G223" s="20">
        <f>IF(OR($A223="",$C223=""),"",NETWORKDAYS($C223,$J223,Holidays!$A$5:$A$40))</f>
        <v/>
      </c>
      <c r="H223" s="20">
        <f>IF(G223="","",IF($F223&lt;&gt;"",$F223,G223*IFERROR(IF(INDEX(Employees!$F$5:$F$29,MATCH($A223,Employees!$B$5:$B$29,0))="",Settings!$B$9,INDEX(Employees!$F$5:$F$29,MATCH($A223,Employees!$B$5:$B$29,0))),Settings!$B$9)))</f>
        <v/>
      </c>
      <c r="I223" s="10" t="n"/>
      <c r="J223" s="15">
        <f>IF($C223="","",IF($D223="",$C223,$D223))</f>
        <v/>
      </c>
    </row>
    <row r="224">
      <c r="A224" s="10" t="n"/>
      <c r="B224" s="10" t="n"/>
      <c r="C224" s="12" t="n"/>
      <c r="D224" s="12" t="n"/>
      <c r="E224" s="10" t="n"/>
      <c r="F224" s="11" t="n"/>
      <c r="G224" s="20">
        <f>IF(OR($A224="",$C224=""),"",NETWORKDAYS($C224,$J224,Holidays!$A$5:$A$40))</f>
        <v/>
      </c>
      <c r="H224" s="20">
        <f>IF(G224="","",IF($F224&lt;&gt;"",$F224,G224*IFERROR(IF(INDEX(Employees!$F$5:$F$29,MATCH($A224,Employees!$B$5:$B$29,0))="",Settings!$B$9,INDEX(Employees!$F$5:$F$29,MATCH($A224,Employees!$B$5:$B$29,0))),Settings!$B$9)))</f>
        <v/>
      </c>
      <c r="I224" s="10" t="n"/>
      <c r="J224" s="15">
        <f>IF($C224="","",IF($D224="",$C224,$D224))</f>
        <v/>
      </c>
    </row>
    <row r="225">
      <c r="A225" s="10" t="n"/>
      <c r="B225" s="10" t="n"/>
      <c r="C225" s="12" t="n"/>
      <c r="D225" s="12" t="n"/>
      <c r="E225" s="10" t="n"/>
      <c r="F225" s="11" t="n"/>
      <c r="G225" s="20">
        <f>IF(OR($A225="",$C225=""),"",NETWORKDAYS($C225,$J225,Holidays!$A$5:$A$40))</f>
        <v/>
      </c>
      <c r="H225" s="20">
        <f>IF(G225="","",IF($F225&lt;&gt;"",$F225,G225*IFERROR(IF(INDEX(Employees!$F$5:$F$29,MATCH($A225,Employees!$B$5:$B$29,0))="",Settings!$B$9,INDEX(Employees!$F$5:$F$29,MATCH($A225,Employees!$B$5:$B$29,0))),Settings!$B$9)))</f>
        <v/>
      </c>
      <c r="I225" s="10" t="n"/>
      <c r="J225" s="15">
        <f>IF($C225="","",IF($D225="",$C225,$D225))</f>
        <v/>
      </c>
    </row>
    <row r="226">
      <c r="A226" s="10" t="n"/>
      <c r="B226" s="10" t="n"/>
      <c r="C226" s="12" t="n"/>
      <c r="D226" s="12" t="n"/>
      <c r="E226" s="10" t="n"/>
      <c r="F226" s="11" t="n"/>
      <c r="G226" s="20">
        <f>IF(OR($A226="",$C226=""),"",NETWORKDAYS($C226,$J226,Holidays!$A$5:$A$40))</f>
        <v/>
      </c>
      <c r="H226" s="20">
        <f>IF(G226="","",IF($F226&lt;&gt;"",$F226,G226*IFERROR(IF(INDEX(Employees!$F$5:$F$29,MATCH($A226,Employees!$B$5:$B$29,0))="",Settings!$B$9,INDEX(Employees!$F$5:$F$29,MATCH($A226,Employees!$B$5:$B$29,0))),Settings!$B$9)))</f>
        <v/>
      </c>
      <c r="I226" s="10" t="n"/>
      <c r="J226" s="15">
        <f>IF($C226="","",IF($D226="",$C226,$D226))</f>
        <v/>
      </c>
    </row>
    <row r="227">
      <c r="A227" s="10" t="n"/>
      <c r="B227" s="10" t="n"/>
      <c r="C227" s="12" t="n"/>
      <c r="D227" s="12" t="n"/>
      <c r="E227" s="10" t="n"/>
      <c r="F227" s="11" t="n"/>
      <c r="G227" s="20">
        <f>IF(OR($A227="",$C227=""),"",NETWORKDAYS($C227,$J227,Holidays!$A$5:$A$40))</f>
        <v/>
      </c>
      <c r="H227" s="20">
        <f>IF(G227="","",IF($F227&lt;&gt;"",$F227,G227*IFERROR(IF(INDEX(Employees!$F$5:$F$29,MATCH($A227,Employees!$B$5:$B$29,0))="",Settings!$B$9,INDEX(Employees!$F$5:$F$29,MATCH($A227,Employees!$B$5:$B$29,0))),Settings!$B$9)))</f>
        <v/>
      </c>
      <c r="I227" s="10" t="n"/>
      <c r="J227" s="15">
        <f>IF($C227="","",IF($D227="",$C227,$D227))</f>
        <v/>
      </c>
    </row>
    <row r="228">
      <c r="A228" s="10" t="n"/>
      <c r="B228" s="10" t="n"/>
      <c r="C228" s="12" t="n"/>
      <c r="D228" s="12" t="n"/>
      <c r="E228" s="10" t="n"/>
      <c r="F228" s="11" t="n"/>
      <c r="G228" s="20">
        <f>IF(OR($A228="",$C228=""),"",NETWORKDAYS($C228,$J228,Holidays!$A$5:$A$40))</f>
        <v/>
      </c>
      <c r="H228" s="20">
        <f>IF(G228="","",IF($F228&lt;&gt;"",$F228,G228*IFERROR(IF(INDEX(Employees!$F$5:$F$29,MATCH($A228,Employees!$B$5:$B$29,0))="",Settings!$B$9,INDEX(Employees!$F$5:$F$29,MATCH($A228,Employees!$B$5:$B$29,0))),Settings!$B$9)))</f>
        <v/>
      </c>
      <c r="I228" s="10" t="n"/>
      <c r="J228" s="15">
        <f>IF($C228="","",IF($D228="",$C228,$D228))</f>
        <v/>
      </c>
    </row>
    <row r="229">
      <c r="A229" s="10" t="n"/>
      <c r="B229" s="10" t="n"/>
      <c r="C229" s="12" t="n"/>
      <c r="D229" s="12" t="n"/>
      <c r="E229" s="10" t="n"/>
      <c r="F229" s="11" t="n"/>
      <c r="G229" s="20">
        <f>IF(OR($A229="",$C229=""),"",NETWORKDAYS($C229,$J229,Holidays!$A$5:$A$40))</f>
        <v/>
      </c>
      <c r="H229" s="20">
        <f>IF(G229="","",IF($F229&lt;&gt;"",$F229,G229*IFERROR(IF(INDEX(Employees!$F$5:$F$29,MATCH($A229,Employees!$B$5:$B$29,0))="",Settings!$B$9,INDEX(Employees!$F$5:$F$29,MATCH($A229,Employees!$B$5:$B$29,0))),Settings!$B$9)))</f>
        <v/>
      </c>
      <c r="I229" s="10" t="n"/>
      <c r="J229" s="15">
        <f>IF($C229="","",IF($D229="",$C229,$D229))</f>
        <v/>
      </c>
    </row>
    <row r="230">
      <c r="A230" s="10" t="n"/>
      <c r="B230" s="10" t="n"/>
      <c r="C230" s="12" t="n"/>
      <c r="D230" s="12" t="n"/>
      <c r="E230" s="10" t="n"/>
      <c r="F230" s="11" t="n"/>
      <c r="G230" s="20">
        <f>IF(OR($A230="",$C230=""),"",NETWORKDAYS($C230,$J230,Holidays!$A$5:$A$40))</f>
        <v/>
      </c>
      <c r="H230" s="20">
        <f>IF(G230="","",IF($F230&lt;&gt;"",$F230,G230*IFERROR(IF(INDEX(Employees!$F$5:$F$29,MATCH($A230,Employees!$B$5:$B$29,0))="",Settings!$B$9,INDEX(Employees!$F$5:$F$29,MATCH($A230,Employees!$B$5:$B$29,0))),Settings!$B$9)))</f>
        <v/>
      </c>
      <c r="I230" s="10" t="n"/>
      <c r="J230" s="15">
        <f>IF($C230="","",IF($D230="",$C230,$D230))</f>
        <v/>
      </c>
    </row>
    <row r="231">
      <c r="A231" s="10" t="n"/>
      <c r="B231" s="10" t="n"/>
      <c r="C231" s="12" t="n"/>
      <c r="D231" s="12" t="n"/>
      <c r="E231" s="10" t="n"/>
      <c r="F231" s="11" t="n"/>
      <c r="G231" s="20">
        <f>IF(OR($A231="",$C231=""),"",NETWORKDAYS($C231,$J231,Holidays!$A$5:$A$40))</f>
        <v/>
      </c>
      <c r="H231" s="20">
        <f>IF(G231="","",IF($F231&lt;&gt;"",$F231,G231*IFERROR(IF(INDEX(Employees!$F$5:$F$29,MATCH($A231,Employees!$B$5:$B$29,0))="",Settings!$B$9,INDEX(Employees!$F$5:$F$29,MATCH($A231,Employees!$B$5:$B$29,0))),Settings!$B$9)))</f>
        <v/>
      </c>
      <c r="I231" s="10" t="n"/>
      <c r="J231" s="15">
        <f>IF($C231="","",IF($D231="",$C231,$D231))</f>
        <v/>
      </c>
    </row>
    <row r="232">
      <c r="A232" s="10" t="n"/>
      <c r="B232" s="10" t="n"/>
      <c r="C232" s="12" t="n"/>
      <c r="D232" s="12" t="n"/>
      <c r="E232" s="10" t="n"/>
      <c r="F232" s="11" t="n"/>
      <c r="G232" s="20">
        <f>IF(OR($A232="",$C232=""),"",NETWORKDAYS($C232,$J232,Holidays!$A$5:$A$40))</f>
        <v/>
      </c>
      <c r="H232" s="20">
        <f>IF(G232="","",IF($F232&lt;&gt;"",$F232,G232*IFERROR(IF(INDEX(Employees!$F$5:$F$29,MATCH($A232,Employees!$B$5:$B$29,0))="",Settings!$B$9,INDEX(Employees!$F$5:$F$29,MATCH($A232,Employees!$B$5:$B$29,0))),Settings!$B$9)))</f>
        <v/>
      </c>
      <c r="I232" s="10" t="n"/>
      <c r="J232" s="15">
        <f>IF($C232="","",IF($D232="",$C232,$D232))</f>
        <v/>
      </c>
    </row>
    <row r="233">
      <c r="A233" s="10" t="n"/>
      <c r="B233" s="10" t="n"/>
      <c r="C233" s="12" t="n"/>
      <c r="D233" s="12" t="n"/>
      <c r="E233" s="10" t="n"/>
      <c r="F233" s="11" t="n"/>
      <c r="G233" s="20">
        <f>IF(OR($A233="",$C233=""),"",NETWORKDAYS($C233,$J233,Holidays!$A$5:$A$40))</f>
        <v/>
      </c>
      <c r="H233" s="20">
        <f>IF(G233="","",IF($F233&lt;&gt;"",$F233,G233*IFERROR(IF(INDEX(Employees!$F$5:$F$29,MATCH($A233,Employees!$B$5:$B$29,0))="",Settings!$B$9,INDEX(Employees!$F$5:$F$29,MATCH($A233,Employees!$B$5:$B$29,0))),Settings!$B$9)))</f>
        <v/>
      </c>
      <c r="I233" s="10" t="n"/>
      <c r="J233" s="15">
        <f>IF($C233="","",IF($D233="",$C233,$D233))</f>
        <v/>
      </c>
    </row>
    <row r="234">
      <c r="A234" s="10" t="n"/>
      <c r="B234" s="10" t="n"/>
      <c r="C234" s="12" t="n"/>
      <c r="D234" s="12" t="n"/>
      <c r="E234" s="10" t="n"/>
      <c r="F234" s="11" t="n"/>
      <c r="G234" s="20">
        <f>IF(OR($A234="",$C234=""),"",NETWORKDAYS($C234,$J234,Holidays!$A$5:$A$40))</f>
        <v/>
      </c>
      <c r="H234" s="20">
        <f>IF(G234="","",IF($F234&lt;&gt;"",$F234,G234*IFERROR(IF(INDEX(Employees!$F$5:$F$29,MATCH($A234,Employees!$B$5:$B$29,0))="",Settings!$B$9,INDEX(Employees!$F$5:$F$29,MATCH($A234,Employees!$B$5:$B$29,0))),Settings!$B$9)))</f>
        <v/>
      </c>
      <c r="I234" s="10" t="n"/>
      <c r="J234" s="15">
        <f>IF($C234="","",IF($D234="",$C234,$D234))</f>
        <v/>
      </c>
    </row>
    <row r="235">
      <c r="A235" s="10" t="n"/>
      <c r="B235" s="10" t="n"/>
      <c r="C235" s="12" t="n"/>
      <c r="D235" s="12" t="n"/>
      <c r="E235" s="10" t="n"/>
      <c r="F235" s="11" t="n"/>
      <c r="G235" s="20">
        <f>IF(OR($A235="",$C235=""),"",NETWORKDAYS($C235,$J235,Holidays!$A$5:$A$40))</f>
        <v/>
      </c>
      <c r="H235" s="20">
        <f>IF(G235="","",IF($F235&lt;&gt;"",$F235,G235*IFERROR(IF(INDEX(Employees!$F$5:$F$29,MATCH($A235,Employees!$B$5:$B$29,0))="",Settings!$B$9,INDEX(Employees!$F$5:$F$29,MATCH($A235,Employees!$B$5:$B$29,0))),Settings!$B$9)))</f>
        <v/>
      </c>
      <c r="I235" s="10" t="n"/>
      <c r="J235" s="15">
        <f>IF($C235="","",IF($D235="",$C235,$D235))</f>
        <v/>
      </c>
    </row>
    <row r="236">
      <c r="A236" s="10" t="n"/>
      <c r="B236" s="10" t="n"/>
      <c r="C236" s="12" t="n"/>
      <c r="D236" s="12" t="n"/>
      <c r="E236" s="10" t="n"/>
      <c r="F236" s="11" t="n"/>
      <c r="G236" s="20">
        <f>IF(OR($A236="",$C236=""),"",NETWORKDAYS($C236,$J236,Holidays!$A$5:$A$40))</f>
        <v/>
      </c>
      <c r="H236" s="20">
        <f>IF(G236="","",IF($F236&lt;&gt;"",$F236,G236*IFERROR(IF(INDEX(Employees!$F$5:$F$29,MATCH($A236,Employees!$B$5:$B$29,0))="",Settings!$B$9,INDEX(Employees!$F$5:$F$29,MATCH($A236,Employees!$B$5:$B$29,0))),Settings!$B$9)))</f>
        <v/>
      </c>
      <c r="I236" s="10" t="n"/>
      <c r="J236" s="15">
        <f>IF($C236="","",IF($D236="",$C236,$D236))</f>
        <v/>
      </c>
    </row>
    <row r="237">
      <c r="A237" s="10" t="n"/>
      <c r="B237" s="10" t="n"/>
      <c r="C237" s="12" t="n"/>
      <c r="D237" s="12" t="n"/>
      <c r="E237" s="10" t="n"/>
      <c r="F237" s="11" t="n"/>
      <c r="G237" s="20">
        <f>IF(OR($A237="",$C237=""),"",NETWORKDAYS($C237,$J237,Holidays!$A$5:$A$40))</f>
        <v/>
      </c>
      <c r="H237" s="20">
        <f>IF(G237="","",IF($F237&lt;&gt;"",$F237,G237*IFERROR(IF(INDEX(Employees!$F$5:$F$29,MATCH($A237,Employees!$B$5:$B$29,0))="",Settings!$B$9,INDEX(Employees!$F$5:$F$29,MATCH($A237,Employees!$B$5:$B$29,0))),Settings!$B$9)))</f>
        <v/>
      </c>
      <c r="I237" s="10" t="n"/>
      <c r="J237" s="15">
        <f>IF($C237="","",IF($D237="",$C237,$D237))</f>
        <v/>
      </c>
    </row>
    <row r="238">
      <c r="A238" s="10" t="n"/>
      <c r="B238" s="10" t="n"/>
      <c r="C238" s="12" t="n"/>
      <c r="D238" s="12" t="n"/>
      <c r="E238" s="10" t="n"/>
      <c r="F238" s="11" t="n"/>
      <c r="G238" s="20">
        <f>IF(OR($A238="",$C238=""),"",NETWORKDAYS($C238,$J238,Holidays!$A$5:$A$40))</f>
        <v/>
      </c>
      <c r="H238" s="20">
        <f>IF(G238="","",IF($F238&lt;&gt;"",$F238,G238*IFERROR(IF(INDEX(Employees!$F$5:$F$29,MATCH($A238,Employees!$B$5:$B$29,0))="",Settings!$B$9,INDEX(Employees!$F$5:$F$29,MATCH($A238,Employees!$B$5:$B$29,0))),Settings!$B$9)))</f>
        <v/>
      </c>
      <c r="I238" s="10" t="n"/>
      <c r="J238" s="15">
        <f>IF($C238="","",IF($D238="",$C238,$D238))</f>
        <v/>
      </c>
    </row>
    <row r="239">
      <c r="A239" s="10" t="n"/>
      <c r="B239" s="10" t="n"/>
      <c r="C239" s="12" t="n"/>
      <c r="D239" s="12" t="n"/>
      <c r="E239" s="10" t="n"/>
      <c r="F239" s="11" t="n"/>
      <c r="G239" s="20">
        <f>IF(OR($A239="",$C239=""),"",NETWORKDAYS($C239,$J239,Holidays!$A$5:$A$40))</f>
        <v/>
      </c>
      <c r="H239" s="20">
        <f>IF(G239="","",IF($F239&lt;&gt;"",$F239,G239*IFERROR(IF(INDEX(Employees!$F$5:$F$29,MATCH($A239,Employees!$B$5:$B$29,0))="",Settings!$B$9,INDEX(Employees!$F$5:$F$29,MATCH($A239,Employees!$B$5:$B$29,0))),Settings!$B$9)))</f>
        <v/>
      </c>
      <c r="I239" s="10" t="n"/>
      <c r="J239" s="15">
        <f>IF($C239="","",IF($D239="",$C239,$D239))</f>
        <v/>
      </c>
    </row>
    <row r="240">
      <c r="A240" s="10" t="n"/>
      <c r="B240" s="10" t="n"/>
      <c r="C240" s="12" t="n"/>
      <c r="D240" s="12" t="n"/>
      <c r="E240" s="10" t="n"/>
      <c r="F240" s="11" t="n"/>
      <c r="G240" s="20">
        <f>IF(OR($A240="",$C240=""),"",NETWORKDAYS($C240,$J240,Holidays!$A$5:$A$40))</f>
        <v/>
      </c>
      <c r="H240" s="20">
        <f>IF(G240="","",IF($F240&lt;&gt;"",$F240,G240*IFERROR(IF(INDEX(Employees!$F$5:$F$29,MATCH($A240,Employees!$B$5:$B$29,0))="",Settings!$B$9,INDEX(Employees!$F$5:$F$29,MATCH($A240,Employees!$B$5:$B$29,0))),Settings!$B$9)))</f>
        <v/>
      </c>
      <c r="I240" s="10" t="n"/>
      <c r="J240" s="15">
        <f>IF($C240="","",IF($D240="",$C240,$D240))</f>
        <v/>
      </c>
    </row>
    <row r="241">
      <c r="A241" s="10" t="n"/>
      <c r="B241" s="10" t="n"/>
      <c r="C241" s="12" t="n"/>
      <c r="D241" s="12" t="n"/>
      <c r="E241" s="10" t="n"/>
      <c r="F241" s="11" t="n"/>
      <c r="G241" s="20">
        <f>IF(OR($A241="",$C241=""),"",NETWORKDAYS($C241,$J241,Holidays!$A$5:$A$40))</f>
        <v/>
      </c>
      <c r="H241" s="20">
        <f>IF(G241="","",IF($F241&lt;&gt;"",$F241,G241*IFERROR(IF(INDEX(Employees!$F$5:$F$29,MATCH($A241,Employees!$B$5:$B$29,0))="",Settings!$B$9,INDEX(Employees!$F$5:$F$29,MATCH($A241,Employees!$B$5:$B$29,0))),Settings!$B$9)))</f>
        <v/>
      </c>
      <c r="I241" s="10" t="n"/>
      <c r="J241" s="15">
        <f>IF($C241="","",IF($D241="",$C241,$D241))</f>
        <v/>
      </c>
    </row>
    <row r="242">
      <c r="A242" s="10" t="n"/>
      <c r="B242" s="10" t="n"/>
      <c r="C242" s="12" t="n"/>
      <c r="D242" s="12" t="n"/>
      <c r="E242" s="10" t="n"/>
      <c r="F242" s="11" t="n"/>
      <c r="G242" s="20">
        <f>IF(OR($A242="",$C242=""),"",NETWORKDAYS($C242,$J242,Holidays!$A$5:$A$40))</f>
        <v/>
      </c>
      <c r="H242" s="20">
        <f>IF(G242="","",IF($F242&lt;&gt;"",$F242,G242*IFERROR(IF(INDEX(Employees!$F$5:$F$29,MATCH($A242,Employees!$B$5:$B$29,0))="",Settings!$B$9,INDEX(Employees!$F$5:$F$29,MATCH($A242,Employees!$B$5:$B$29,0))),Settings!$B$9)))</f>
        <v/>
      </c>
      <c r="I242" s="10" t="n"/>
      <c r="J242" s="15">
        <f>IF($C242="","",IF($D242="",$C242,$D242))</f>
        <v/>
      </c>
    </row>
    <row r="243">
      <c r="A243" s="10" t="n"/>
      <c r="B243" s="10" t="n"/>
      <c r="C243" s="12" t="n"/>
      <c r="D243" s="12" t="n"/>
      <c r="E243" s="10" t="n"/>
      <c r="F243" s="11" t="n"/>
      <c r="G243" s="20">
        <f>IF(OR($A243="",$C243=""),"",NETWORKDAYS($C243,$J243,Holidays!$A$5:$A$40))</f>
        <v/>
      </c>
      <c r="H243" s="20">
        <f>IF(G243="","",IF($F243&lt;&gt;"",$F243,G243*IFERROR(IF(INDEX(Employees!$F$5:$F$29,MATCH($A243,Employees!$B$5:$B$29,0))="",Settings!$B$9,INDEX(Employees!$F$5:$F$29,MATCH($A243,Employees!$B$5:$B$29,0))),Settings!$B$9)))</f>
        <v/>
      </c>
      <c r="I243" s="10" t="n"/>
      <c r="J243" s="15">
        <f>IF($C243="","",IF($D243="",$C243,$D243))</f>
        <v/>
      </c>
    </row>
    <row r="244">
      <c r="A244" s="10" t="n"/>
      <c r="B244" s="10" t="n"/>
      <c r="C244" s="12" t="n"/>
      <c r="D244" s="12" t="n"/>
      <c r="E244" s="10" t="n"/>
      <c r="F244" s="11" t="n"/>
      <c r="G244" s="20">
        <f>IF(OR($A244="",$C244=""),"",NETWORKDAYS($C244,$J244,Holidays!$A$5:$A$40))</f>
        <v/>
      </c>
      <c r="H244" s="20">
        <f>IF(G244="","",IF($F244&lt;&gt;"",$F244,G244*IFERROR(IF(INDEX(Employees!$F$5:$F$29,MATCH($A244,Employees!$B$5:$B$29,0))="",Settings!$B$9,INDEX(Employees!$F$5:$F$29,MATCH($A244,Employees!$B$5:$B$29,0))),Settings!$B$9)))</f>
        <v/>
      </c>
      <c r="I244" s="10" t="n"/>
      <c r="J244" s="15">
        <f>IF($C244="","",IF($D244="",$C244,$D244))</f>
        <v/>
      </c>
    </row>
    <row r="245">
      <c r="A245" s="10" t="n"/>
      <c r="B245" s="10" t="n"/>
      <c r="C245" s="12" t="n"/>
      <c r="D245" s="12" t="n"/>
      <c r="E245" s="10" t="n"/>
      <c r="F245" s="11" t="n"/>
      <c r="G245" s="20">
        <f>IF(OR($A245="",$C245=""),"",NETWORKDAYS($C245,$J245,Holidays!$A$5:$A$40))</f>
        <v/>
      </c>
      <c r="H245" s="20">
        <f>IF(G245="","",IF($F245&lt;&gt;"",$F245,G245*IFERROR(IF(INDEX(Employees!$F$5:$F$29,MATCH($A245,Employees!$B$5:$B$29,0))="",Settings!$B$9,INDEX(Employees!$F$5:$F$29,MATCH($A245,Employees!$B$5:$B$29,0))),Settings!$B$9)))</f>
        <v/>
      </c>
      <c r="I245" s="10" t="n"/>
      <c r="J245" s="15">
        <f>IF($C245="","",IF($D245="",$C245,$D245))</f>
        <v/>
      </c>
    </row>
    <row r="246">
      <c r="A246" s="10" t="n"/>
      <c r="B246" s="10" t="n"/>
      <c r="C246" s="12" t="n"/>
      <c r="D246" s="12" t="n"/>
      <c r="E246" s="10" t="n"/>
      <c r="F246" s="11" t="n"/>
      <c r="G246" s="20">
        <f>IF(OR($A246="",$C246=""),"",NETWORKDAYS($C246,$J246,Holidays!$A$5:$A$40))</f>
        <v/>
      </c>
      <c r="H246" s="20">
        <f>IF(G246="","",IF($F246&lt;&gt;"",$F246,G246*IFERROR(IF(INDEX(Employees!$F$5:$F$29,MATCH($A246,Employees!$B$5:$B$29,0))="",Settings!$B$9,INDEX(Employees!$F$5:$F$29,MATCH($A246,Employees!$B$5:$B$29,0))),Settings!$B$9)))</f>
        <v/>
      </c>
      <c r="I246" s="10" t="n"/>
      <c r="J246" s="15">
        <f>IF($C246="","",IF($D246="",$C246,$D246))</f>
        <v/>
      </c>
    </row>
    <row r="247">
      <c r="A247" s="10" t="n"/>
      <c r="B247" s="10" t="n"/>
      <c r="C247" s="12" t="n"/>
      <c r="D247" s="12" t="n"/>
      <c r="E247" s="10" t="n"/>
      <c r="F247" s="11" t="n"/>
      <c r="G247" s="20">
        <f>IF(OR($A247="",$C247=""),"",NETWORKDAYS($C247,$J247,Holidays!$A$5:$A$40))</f>
        <v/>
      </c>
      <c r="H247" s="20">
        <f>IF(G247="","",IF($F247&lt;&gt;"",$F247,G247*IFERROR(IF(INDEX(Employees!$F$5:$F$29,MATCH($A247,Employees!$B$5:$B$29,0))="",Settings!$B$9,INDEX(Employees!$F$5:$F$29,MATCH($A247,Employees!$B$5:$B$29,0))),Settings!$B$9)))</f>
        <v/>
      </c>
      <c r="I247" s="10" t="n"/>
      <c r="J247" s="15">
        <f>IF($C247="","",IF($D247="",$C247,$D247))</f>
        <v/>
      </c>
    </row>
    <row r="248">
      <c r="A248" s="10" t="n"/>
      <c r="B248" s="10" t="n"/>
      <c r="C248" s="12" t="n"/>
      <c r="D248" s="12" t="n"/>
      <c r="E248" s="10" t="n"/>
      <c r="F248" s="11" t="n"/>
      <c r="G248" s="20">
        <f>IF(OR($A248="",$C248=""),"",NETWORKDAYS($C248,$J248,Holidays!$A$5:$A$40))</f>
        <v/>
      </c>
      <c r="H248" s="20">
        <f>IF(G248="","",IF($F248&lt;&gt;"",$F248,G248*IFERROR(IF(INDEX(Employees!$F$5:$F$29,MATCH($A248,Employees!$B$5:$B$29,0))="",Settings!$B$9,INDEX(Employees!$F$5:$F$29,MATCH($A248,Employees!$B$5:$B$29,0))),Settings!$B$9)))</f>
        <v/>
      </c>
      <c r="I248" s="10" t="n"/>
      <c r="J248" s="15">
        <f>IF($C248="","",IF($D248="",$C248,$D248))</f>
        <v/>
      </c>
    </row>
    <row r="249">
      <c r="A249" s="10" t="n"/>
      <c r="B249" s="10" t="n"/>
      <c r="C249" s="12" t="n"/>
      <c r="D249" s="12" t="n"/>
      <c r="E249" s="10" t="n"/>
      <c r="F249" s="11" t="n"/>
      <c r="G249" s="20">
        <f>IF(OR($A249="",$C249=""),"",NETWORKDAYS($C249,$J249,Holidays!$A$5:$A$40))</f>
        <v/>
      </c>
      <c r="H249" s="20">
        <f>IF(G249="","",IF($F249&lt;&gt;"",$F249,G249*IFERROR(IF(INDEX(Employees!$F$5:$F$29,MATCH($A249,Employees!$B$5:$B$29,0))="",Settings!$B$9,INDEX(Employees!$F$5:$F$29,MATCH($A249,Employees!$B$5:$B$29,0))),Settings!$B$9)))</f>
        <v/>
      </c>
      <c r="I249" s="10" t="n"/>
      <c r="J249" s="15">
        <f>IF($C249="","",IF($D249="",$C249,$D249))</f>
        <v/>
      </c>
    </row>
    <row r="250">
      <c r="A250" s="10" t="n"/>
      <c r="B250" s="10" t="n"/>
      <c r="C250" s="12" t="n"/>
      <c r="D250" s="12" t="n"/>
      <c r="E250" s="10" t="n"/>
      <c r="F250" s="11" t="n"/>
      <c r="G250" s="20">
        <f>IF(OR($A250="",$C250=""),"",NETWORKDAYS($C250,$J250,Holidays!$A$5:$A$40))</f>
        <v/>
      </c>
      <c r="H250" s="20">
        <f>IF(G250="","",IF($F250&lt;&gt;"",$F250,G250*IFERROR(IF(INDEX(Employees!$F$5:$F$29,MATCH($A250,Employees!$B$5:$B$29,0))="",Settings!$B$9,INDEX(Employees!$F$5:$F$29,MATCH($A250,Employees!$B$5:$B$29,0))),Settings!$B$9)))</f>
        <v/>
      </c>
      <c r="I250" s="10" t="n"/>
      <c r="J250" s="15">
        <f>IF($C250="","",IF($D250="",$C250,$D250))</f>
        <v/>
      </c>
    </row>
    <row r="251">
      <c r="A251" s="10" t="n"/>
      <c r="B251" s="10" t="n"/>
      <c r="C251" s="12" t="n"/>
      <c r="D251" s="12" t="n"/>
      <c r="E251" s="10" t="n"/>
      <c r="F251" s="11" t="n"/>
      <c r="G251" s="20">
        <f>IF(OR($A251="",$C251=""),"",NETWORKDAYS($C251,$J251,Holidays!$A$5:$A$40))</f>
        <v/>
      </c>
      <c r="H251" s="20">
        <f>IF(G251="","",IF($F251&lt;&gt;"",$F251,G251*IFERROR(IF(INDEX(Employees!$F$5:$F$29,MATCH($A251,Employees!$B$5:$B$29,0))="",Settings!$B$9,INDEX(Employees!$F$5:$F$29,MATCH($A251,Employees!$B$5:$B$29,0))),Settings!$B$9)))</f>
        <v/>
      </c>
      <c r="I251" s="10" t="n"/>
      <c r="J251" s="15">
        <f>IF($C251="","",IF($D251="",$C251,$D251))</f>
        <v/>
      </c>
    </row>
    <row r="252">
      <c r="A252" s="10" t="n"/>
      <c r="B252" s="10" t="n"/>
      <c r="C252" s="12" t="n"/>
      <c r="D252" s="12" t="n"/>
      <c r="E252" s="10" t="n"/>
      <c r="F252" s="11" t="n"/>
      <c r="G252" s="20">
        <f>IF(OR($A252="",$C252=""),"",NETWORKDAYS($C252,$J252,Holidays!$A$5:$A$40))</f>
        <v/>
      </c>
      <c r="H252" s="20">
        <f>IF(G252="","",IF($F252&lt;&gt;"",$F252,G252*IFERROR(IF(INDEX(Employees!$F$5:$F$29,MATCH($A252,Employees!$B$5:$B$29,0))="",Settings!$B$9,INDEX(Employees!$F$5:$F$29,MATCH($A252,Employees!$B$5:$B$29,0))),Settings!$B$9)))</f>
        <v/>
      </c>
      <c r="I252" s="10" t="n"/>
      <c r="J252" s="15">
        <f>IF($C252="","",IF($D252="",$C252,$D252))</f>
        <v/>
      </c>
    </row>
    <row r="253">
      <c r="A253" s="10" t="n"/>
      <c r="B253" s="10" t="n"/>
      <c r="C253" s="12" t="n"/>
      <c r="D253" s="12" t="n"/>
      <c r="E253" s="10" t="n"/>
      <c r="F253" s="11" t="n"/>
      <c r="G253" s="20">
        <f>IF(OR($A253="",$C253=""),"",NETWORKDAYS($C253,$J253,Holidays!$A$5:$A$40))</f>
        <v/>
      </c>
      <c r="H253" s="20">
        <f>IF(G253="","",IF($F253&lt;&gt;"",$F253,G253*IFERROR(IF(INDEX(Employees!$F$5:$F$29,MATCH($A253,Employees!$B$5:$B$29,0))="",Settings!$B$9,INDEX(Employees!$F$5:$F$29,MATCH($A253,Employees!$B$5:$B$29,0))),Settings!$B$9)))</f>
        <v/>
      </c>
      <c r="I253" s="10" t="n"/>
      <c r="J253" s="15">
        <f>IF($C253="","",IF($D253="",$C253,$D253))</f>
        <v/>
      </c>
    </row>
    <row r="254">
      <c r="A254" s="10" t="n"/>
      <c r="B254" s="10" t="n"/>
      <c r="C254" s="12" t="n"/>
      <c r="D254" s="12" t="n"/>
      <c r="E254" s="10" t="n"/>
      <c r="F254" s="11" t="n"/>
      <c r="G254" s="20">
        <f>IF(OR($A254="",$C254=""),"",NETWORKDAYS($C254,$J254,Holidays!$A$5:$A$40))</f>
        <v/>
      </c>
      <c r="H254" s="20">
        <f>IF(G254="","",IF($F254&lt;&gt;"",$F254,G254*IFERROR(IF(INDEX(Employees!$F$5:$F$29,MATCH($A254,Employees!$B$5:$B$29,0))="",Settings!$B$9,INDEX(Employees!$F$5:$F$29,MATCH($A254,Employees!$B$5:$B$29,0))),Settings!$B$9)))</f>
        <v/>
      </c>
      <c r="I254" s="10" t="n"/>
      <c r="J254" s="15">
        <f>IF($C254="","",IF($D254="",$C254,$D254))</f>
        <v/>
      </c>
    </row>
    <row r="255">
      <c r="A255" s="10" t="n"/>
      <c r="B255" s="10" t="n"/>
      <c r="C255" s="12" t="n"/>
      <c r="D255" s="12" t="n"/>
      <c r="E255" s="10" t="n"/>
      <c r="F255" s="11" t="n"/>
      <c r="G255" s="20">
        <f>IF(OR($A255="",$C255=""),"",NETWORKDAYS($C255,$J255,Holidays!$A$5:$A$40))</f>
        <v/>
      </c>
      <c r="H255" s="20">
        <f>IF(G255="","",IF($F255&lt;&gt;"",$F255,G255*IFERROR(IF(INDEX(Employees!$F$5:$F$29,MATCH($A255,Employees!$B$5:$B$29,0))="",Settings!$B$9,INDEX(Employees!$F$5:$F$29,MATCH($A255,Employees!$B$5:$B$29,0))),Settings!$B$9)))</f>
        <v/>
      </c>
      <c r="I255" s="10" t="n"/>
      <c r="J255" s="15">
        <f>IF($C255="","",IF($D255="",$C255,$D255))</f>
        <v/>
      </c>
    </row>
    <row r="256">
      <c r="A256" s="10" t="n"/>
      <c r="B256" s="10" t="n"/>
      <c r="C256" s="12" t="n"/>
      <c r="D256" s="12" t="n"/>
      <c r="E256" s="10" t="n"/>
      <c r="F256" s="11" t="n"/>
      <c r="G256" s="20">
        <f>IF(OR($A256="",$C256=""),"",NETWORKDAYS($C256,$J256,Holidays!$A$5:$A$40))</f>
        <v/>
      </c>
      <c r="H256" s="20">
        <f>IF(G256="","",IF($F256&lt;&gt;"",$F256,G256*IFERROR(IF(INDEX(Employees!$F$5:$F$29,MATCH($A256,Employees!$B$5:$B$29,0))="",Settings!$B$9,INDEX(Employees!$F$5:$F$29,MATCH($A256,Employees!$B$5:$B$29,0))),Settings!$B$9)))</f>
        <v/>
      </c>
      <c r="I256" s="10" t="n"/>
      <c r="J256" s="15">
        <f>IF($C256="","",IF($D256="",$C256,$D256))</f>
        <v/>
      </c>
    </row>
    <row r="257">
      <c r="A257" s="10" t="n"/>
      <c r="B257" s="10" t="n"/>
      <c r="C257" s="12" t="n"/>
      <c r="D257" s="12" t="n"/>
      <c r="E257" s="10" t="n"/>
      <c r="F257" s="11" t="n"/>
      <c r="G257" s="20">
        <f>IF(OR($A257="",$C257=""),"",NETWORKDAYS($C257,$J257,Holidays!$A$5:$A$40))</f>
        <v/>
      </c>
      <c r="H257" s="20">
        <f>IF(G257="","",IF($F257&lt;&gt;"",$F257,G257*IFERROR(IF(INDEX(Employees!$F$5:$F$29,MATCH($A257,Employees!$B$5:$B$29,0))="",Settings!$B$9,INDEX(Employees!$F$5:$F$29,MATCH($A257,Employees!$B$5:$B$29,0))),Settings!$B$9)))</f>
        <v/>
      </c>
      <c r="I257" s="10" t="n"/>
      <c r="J257" s="15">
        <f>IF($C257="","",IF($D257="",$C257,$D257))</f>
        <v/>
      </c>
    </row>
    <row r="258">
      <c r="A258" s="10" t="n"/>
      <c r="B258" s="10" t="n"/>
      <c r="C258" s="12" t="n"/>
      <c r="D258" s="12" t="n"/>
      <c r="E258" s="10" t="n"/>
      <c r="F258" s="11" t="n"/>
      <c r="G258" s="20">
        <f>IF(OR($A258="",$C258=""),"",NETWORKDAYS($C258,$J258,Holidays!$A$5:$A$40))</f>
        <v/>
      </c>
      <c r="H258" s="20">
        <f>IF(G258="","",IF($F258&lt;&gt;"",$F258,G258*IFERROR(IF(INDEX(Employees!$F$5:$F$29,MATCH($A258,Employees!$B$5:$B$29,0))="",Settings!$B$9,INDEX(Employees!$F$5:$F$29,MATCH($A258,Employees!$B$5:$B$29,0))),Settings!$B$9)))</f>
        <v/>
      </c>
      <c r="I258" s="10" t="n"/>
      <c r="J258" s="15">
        <f>IF($C258="","",IF($D258="",$C258,$D258))</f>
        <v/>
      </c>
    </row>
    <row r="259">
      <c r="A259" s="10" t="n"/>
      <c r="B259" s="10" t="n"/>
      <c r="C259" s="12" t="n"/>
      <c r="D259" s="12" t="n"/>
      <c r="E259" s="10" t="n"/>
      <c r="F259" s="11" t="n"/>
      <c r="G259" s="20">
        <f>IF(OR($A259="",$C259=""),"",NETWORKDAYS($C259,$J259,Holidays!$A$5:$A$40))</f>
        <v/>
      </c>
      <c r="H259" s="20">
        <f>IF(G259="","",IF($F259&lt;&gt;"",$F259,G259*IFERROR(IF(INDEX(Employees!$F$5:$F$29,MATCH($A259,Employees!$B$5:$B$29,0))="",Settings!$B$9,INDEX(Employees!$F$5:$F$29,MATCH($A259,Employees!$B$5:$B$29,0))),Settings!$B$9)))</f>
        <v/>
      </c>
      <c r="I259" s="10" t="n"/>
      <c r="J259" s="15">
        <f>IF($C259="","",IF($D259="",$C259,$D259))</f>
        <v/>
      </c>
    </row>
    <row r="260">
      <c r="A260" s="10" t="n"/>
      <c r="B260" s="10" t="n"/>
      <c r="C260" s="12" t="n"/>
      <c r="D260" s="12" t="n"/>
      <c r="E260" s="10" t="n"/>
      <c r="F260" s="11" t="n"/>
      <c r="G260" s="20">
        <f>IF(OR($A260="",$C260=""),"",NETWORKDAYS($C260,$J260,Holidays!$A$5:$A$40))</f>
        <v/>
      </c>
      <c r="H260" s="20">
        <f>IF(G260="","",IF($F260&lt;&gt;"",$F260,G260*IFERROR(IF(INDEX(Employees!$F$5:$F$29,MATCH($A260,Employees!$B$5:$B$29,0))="",Settings!$B$9,INDEX(Employees!$F$5:$F$29,MATCH($A260,Employees!$B$5:$B$29,0))),Settings!$B$9)))</f>
        <v/>
      </c>
      <c r="I260" s="10" t="n"/>
      <c r="J260" s="15">
        <f>IF($C260="","",IF($D260="",$C260,$D260))</f>
        <v/>
      </c>
    </row>
    <row r="261">
      <c r="A261" s="10" t="n"/>
      <c r="B261" s="10" t="n"/>
      <c r="C261" s="12" t="n"/>
      <c r="D261" s="12" t="n"/>
      <c r="E261" s="10" t="n"/>
      <c r="F261" s="11" t="n"/>
      <c r="G261" s="20">
        <f>IF(OR($A261="",$C261=""),"",NETWORKDAYS($C261,$J261,Holidays!$A$5:$A$40))</f>
        <v/>
      </c>
      <c r="H261" s="20">
        <f>IF(G261="","",IF($F261&lt;&gt;"",$F261,G261*IFERROR(IF(INDEX(Employees!$F$5:$F$29,MATCH($A261,Employees!$B$5:$B$29,0))="",Settings!$B$9,INDEX(Employees!$F$5:$F$29,MATCH($A261,Employees!$B$5:$B$29,0))),Settings!$B$9)))</f>
        <v/>
      </c>
      <c r="I261" s="10" t="n"/>
      <c r="J261" s="15">
        <f>IF($C261="","",IF($D261="",$C261,$D261))</f>
        <v/>
      </c>
    </row>
    <row r="262">
      <c r="A262" s="10" t="n"/>
      <c r="B262" s="10" t="n"/>
      <c r="C262" s="12" t="n"/>
      <c r="D262" s="12" t="n"/>
      <c r="E262" s="10" t="n"/>
      <c r="F262" s="11" t="n"/>
      <c r="G262" s="20">
        <f>IF(OR($A262="",$C262=""),"",NETWORKDAYS($C262,$J262,Holidays!$A$5:$A$40))</f>
        <v/>
      </c>
      <c r="H262" s="20">
        <f>IF(G262="","",IF($F262&lt;&gt;"",$F262,G262*IFERROR(IF(INDEX(Employees!$F$5:$F$29,MATCH($A262,Employees!$B$5:$B$29,0))="",Settings!$B$9,INDEX(Employees!$F$5:$F$29,MATCH($A262,Employees!$B$5:$B$29,0))),Settings!$B$9)))</f>
        <v/>
      </c>
      <c r="I262" s="10" t="n"/>
      <c r="J262" s="15">
        <f>IF($C262="","",IF($D262="",$C262,$D262))</f>
        <v/>
      </c>
    </row>
    <row r="263">
      <c r="A263" s="10" t="n"/>
      <c r="B263" s="10" t="n"/>
      <c r="C263" s="12" t="n"/>
      <c r="D263" s="12" t="n"/>
      <c r="E263" s="10" t="n"/>
      <c r="F263" s="11" t="n"/>
      <c r="G263" s="20">
        <f>IF(OR($A263="",$C263=""),"",NETWORKDAYS($C263,$J263,Holidays!$A$5:$A$40))</f>
        <v/>
      </c>
      <c r="H263" s="20">
        <f>IF(G263="","",IF($F263&lt;&gt;"",$F263,G263*IFERROR(IF(INDEX(Employees!$F$5:$F$29,MATCH($A263,Employees!$B$5:$B$29,0))="",Settings!$B$9,INDEX(Employees!$F$5:$F$29,MATCH($A263,Employees!$B$5:$B$29,0))),Settings!$B$9)))</f>
        <v/>
      </c>
      <c r="I263" s="10" t="n"/>
      <c r="J263" s="15">
        <f>IF($C263="","",IF($D263="",$C263,$D263))</f>
        <v/>
      </c>
    </row>
    <row r="264">
      <c r="A264" s="10" t="n"/>
      <c r="B264" s="10" t="n"/>
      <c r="C264" s="12" t="n"/>
      <c r="D264" s="12" t="n"/>
      <c r="E264" s="10" t="n"/>
      <c r="F264" s="11" t="n"/>
      <c r="G264" s="20">
        <f>IF(OR($A264="",$C264=""),"",NETWORKDAYS($C264,$J264,Holidays!$A$5:$A$40))</f>
        <v/>
      </c>
      <c r="H264" s="20">
        <f>IF(G264="","",IF($F264&lt;&gt;"",$F264,G264*IFERROR(IF(INDEX(Employees!$F$5:$F$29,MATCH($A264,Employees!$B$5:$B$29,0))="",Settings!$B$9,INDEX(Employees!$F$5:$F$29,MATCH($A264,Employees!$B$5:$B$29,0))),Settings!$B$9)))</f>
        <v/>
      </c>
      <c r="I264" s="10" t="n"/>
      <c r="J264" s="15">
        <f>IF($C264="","",IF($D264="",$C264,$D264))</f>
        <v/>
      </c>
    </row>
    <row r="265">
      <c r="A265" s="10" t="n"/>
      <c r="B265" s="10" t="n"/>
      <c r="C265" s="12" t="n"/>
      <c r="D265" s="12" t="n"/>
      <c r="E265" s="10" t="n"/>
      <c r="F265" s="11" t="n"/>
      <c r="G265" s="20">
        <f>IF(OR($A265="",$C265=""),"",NETWORKDAYS($C265,$J265,Holidays!$A$5:$A$40))</f>
        <v/>
      </c>
      <c r="H265" s="20">
        <f>IF(G265="","",IF($F265&lt;&gt;"",$F265,G265*IFERROR(IF(INDEX(Employees!$F$5:$F$29,MATCH($A265,Employees!$B$5:$B$29,0))="",Settings!$B$9,INDEX(Employees!$F$5:$F$29,MATCH($A265,Employees!$B$5:$B$29,0))),Settings!$B$9)))</f>
        <v/>
      </c>
      <c r="I265" s="10" t="n"/>
      <c r="J265" s="15">
        <f>IF($C265="","",IF($D265="",$C265,$D265))</f>
        <v/>
      </c>
    </row>
    <row r="266">
      <c r="A266" s="10" t="n"/>
      <c r="B266" s="10" t="n"/>
      <c r="C266" s="12" t="n"/>
      <c r="D266" s="12" t="n"/>
      <c r="E266" s="10" t="n"/>
      <c r="F266" s="11" t="n"/>
      <c r="G266" s="20">
        <f>IF(OR($A266="",$C266=""),"",NETWORKDAYS($C266,$J266,Holidays!$A$5:$A$40))</f>
        <v/>
      </c>
      <c r="H266" s="20">
        <f>IF(G266="","",IF($F266&lt;&gt;"",$F266,G266*IFERROR(IF(INDEX(Employees!$F$5:$F$29,MATCH($A266,Employees!$B$5:$B$29,0))="",Settings!$B$9,INDEX(Employees!$F$5:$F$29,MATCH($A266,Employees!$B$5:$B$29,0))),Settings!$B$9)))</f>
        <v/>
      </c>
      <c r="I266" s="10" t="n"/>
      <c r="J266" s="15">
        <f>IF($C266="","",IF($D266="",$C266,$D266))</f>
        <v/>
      </c>
    </row>
    <row r="267">
      <c r="A267" s="10" t="n"/>
      <c r="B267" s="10" t="n"/>
      <c r="C267" s="12" t="n"/>
      <c r="D267" s="12" t="n"/>
      <c r="E267" s="10" t="n"/>
      <c r="F267" s="11" t="n"/>
      <c r="G267" s="20">
        <f>IF(OR($A267="",$C267=""),"",NETWORKDAYS($C267,$J267,Holidays!$A$5:$A$40))</f>
        <v/>
      </c>
      <c r="H267" s="20">
        <f>IF(G267="","",IF($F267&lt;&gt;"",$F267,G267*IFERROR(IF(INDEX(Employees!$F$5:$F$29,MATCH($A267,Employees!$B$5:$B$29,0))="",Settings!$B$9,INDEX(Employees!$F$5:$F$29,MATCH($A267,Employees!$B$5:$B$29,0))),Settings!$B$9)))</f>
        <v/>
      </c>
      <c r="I267" s="10" t="n"/>
      <c r="J267" s="15">
        <f>IF($C267="","",IF($D267="",$C267,$D267))</f>
        <v/>
      </c>
    </row>
    <row r="268">
      <c r="A268" s="10" t="n"/>
      <c r="B268" s="10" t="n"/>
      <c r="C268" s="12" t="n"/>
      <c r="D268" s="12" t="n"/>
      <c r="E268" s="10" t="n"/>
      <c r="F268" s="11" t="n"/>
      <c r="G268" s="20">
        <f>IF(OR($A268="",$C268=""),"",NETWORKDAYS($C268,$J268,Holidays!$A$5:$A$40))</f>
        <v/>
      </c>
      <c r="H268" s="20">
        <f>IF(G268="","",IF($F268&lt;&gt;"",$F268,G268*IFERROR(IF(INDEX(Employees!$F$5:$F$29,MATCH($A268,Employees!$B$5:$B$29,0))="",Settings!$B$9,INDEX(Employees!$F$5:$F$29,MATCH($A268,Employees!$B$5:$B$29,0))),Settings!$B$9)))</f>
        <v/>
      </c>
      <c r="I268" s="10" t="n"/>
      <c r="J268" s="15">
        <f>IF($C268="","",IF($D268="",$C268,$D268))</f>
        <v/>
      </c>
    </row>
    <row r="269">
      <c r="A269" s="10" t="n"/>
      <c r="B269" s="10" t="n"/>
      <c r="C269" s="12" t="n"/>
      <c r="D269" s="12" t="n"/>
      <c r="E269" s="10" t="n"/>
      <c r="F269" s="11" t="n"/>
      <c r="G269" s="20">
        <f>IF(OR($A269="",$C269=""),"",NETWORKDAYS($C269,$J269,Holidays!$A$5:$A$40))</f>
        <v/>
      </c>
      <c r="H269" s="20">
        <f>IF(G269="","",IF($F269&lt;&gt;"",$F269,G269*IFERROR(IF(INDEX(Employees!$F$5:$F$29,MATCH($A269,Employees!$B$5:$B$29,0))="",Settings!$B$9,INDEX(Employees!$F$5:$F$29,MATCH($A269,Employees!$B$5:$B$29,0))),Settings!$B$9)))</f>
        <v/>
      </c>
      <c r="I269" s="10" t="n"/>
      <c r="J269" s="15">
        <f>IF($C269="","",IF($D269="",$C269,$D269))</f>
        <v/>
      </c>
    </row>
    <row r="270">
      <c r="A270" s="10" t="n"/>
      <c r="B270" s="10" t="n"/>
      <c r="C270" s="12" t="n"/>
      <c r="D270" s="12" t="n"/>
      <c r="E270" s="10" t="n"/>
      <c r="F270" s="11" t="n"/>
      <c r="G270" s="20">
        <f>IF(OR($A270="",$C270=""),"",NETWORKDAYS($C270,$J270,Holidays!$A$5:$A$40))</f>
        <v/>
      </c>
      <c r="H270" s="20">
        <f>IF(G270="","",IF($F270&lt;&gt;"",$F270,G270*IFERROR(IF(INDEX(Employees!$F$5:$F$29,MATCH($A270,Employees!$B$5:$B$29,0))="",Settings!$B$9,INDEX(Employees!$F$5:$F$29,MATCH($A270,Employees!$B$5:$B$29,0))),Settings!$B$9)))</f>
        <v/>
      </c>
      <c r="I270" s="10" t="n"/>
      <c r="J270" s="15">
        <f>IF($C270="","",IF($D270="",$C270,$D270))</f>
        <v/>
      </c>
    </row>
    <row r="271">
      <c r="A271" s="10" t="n"/>
      <c r="B271" s="10" t="n"/>
      <c r="C271" s="12" t="n"/>
      <c r="D271" s="12" t="n"/>
      <c r="E271" s="10" t="n"/>
      <c r="F271" s="11" t="n"/>
      <c r="G271" s="20">
        <f>IF(OR($A271="",$C271=""),"",NETWORKDAYS($C271,$J271,Holidays!$A$5:$A$40))</f>
        <v/>
      </c>
      <c r="H271" s="20">
        <f>IF(G271="","",IF($F271&lt;&gt;"",$F271,G271*IFERROR(IF(INDEX(Employees!$F$5:$F$29,MATCH($A271,Employees!$B$5:$B$29,0))="",Settings!$B$9,INDEX(Employees!$F$5:$F$29,MATCH($A271,Employees!$B$5:$B$29,0))),Settings!$B$9)))</f>
        <v/>
      </c>
      <c r="I271" s="10" t="n"/>
      <c r="J271" s="15">
        <f>IF($C271="","",IF($D271="",$C271,$D271))</f>
        <v/>
      </c>
    </row>
    <row r="272">
      <c r="A272" s="10" t="n"/>
      <c r="B272" s="10" t="n"/>
      <c r="C272" s="12" t="n"/>
      <c r="D272" s="12" t="n"/>
      <c r="E272" s="10" t="n"/>
      <c r="F272" s="11" t="n"/>
      <c r="G272" s="20">
        <f>IF(OR($A272="",$C272=""),"",NETWORKDAYS($C272,$J272,Holidays!$A$5:$A$40))</f>
        <v/>
      </c>
      <c r="H272" s="20">
        <f>IF(G272="","",IF($F272&lt;&gt;"",$F272,G272*IFERROR(IF(INDEX(Employees!$F$5:$F$29,MATCH($A272,Employees!$B$5:$B$29,0))="",Settings!$B$9,INDEX(Employees!$F$5:$F$29,MATCH($A272,Employees!$B$5:$B$29,0))),Settings!$B$9)))</f>
        <v/>
      </c>
      <c r="I272" s="10" t="n"/>
      <c r="J272" s="15">
        <f>IF($C272="","",IF($D272="",$C272,$D272))</f>
        <v/>
      </c>
    </row>
    <row r="273">
      <c r="A273" s="10" t="n"/>
      <c r="B273" s="10" t="n"/>
      <c r="C273" s="12" t="n"/>
      <c r="D273" s="12" t="n"/>
      <c r="E273" s="10" t="n"/>
      <c r="F273" s="11" t="n"/>
      <c r="G273" s="20">
        <f>IF(OR($A273="",$C273=""),"",NETWORKDAYS($C273,$J273,Holidays!$A$5:$A$40))</f>
        <v/>
      </c>
      <c r="H273" s="20">
        <f>IF(G273="","",IF($F273&lt;&gt;"",$F273,G273*IFERROR(IF(INDEX(Employees!$F$5:$F$29,MATCH($A273,Employees!$B$5:$B$29,0))="",Settings!$B$9,INDEX(Employees!$F$5:$F$29,MATCH($A273,Employees!$B$5:$B$29,0))),Settings!$B$9)))</f>
        <v/>
      </c>
      <c r="I273" s="10" t="n"/>
      <c r="J273" s="15">
        <f>IF($C273="","",IF($D273="",$C273,$D273))</f>
        <v/>
      </c>
    </row>
    <row r="274">
      <c r="A274" s="10" t="n"/>
      <c r="B274" s="10" t="n"/>
      <c r="C274" s="12" t="n"/>
      <c r="D274" s="12" t="n"/>
      <c r="E274" s="10" t="n"/>
      <c r="F274" s="11" t="n"/>
      <c r="G274" s="20">
        <f>IF(OR($A274="",$C274=""),"",NETWORKDAYS($C274,$J274,Holidays!$A$5:$A$40))</f>
        <v/>
      </c>
      <c r="H274" s="20">
        <f>IF(G274="","",IF($F274&lt;&gt;"",$F274,G274*IFERROR(IF(INDEX(Employees!$F$5:$F$29,MATCH($A274,Employees!$B$5:$B$29,0))="",Settings!$B$9,INDEX(Employees!$F$5:$F$29,MATCH($A274,Employees!$B$5:$B$29,0))),Settings!$B$9)))</f>
        <v/>
      </c>
      <c r="I274" s="10" t="n"/>
      <c r="J274" s="15">
        <f>IF($C274="","",IF($D274="",$C274,$D274))</f>
        <v/>
      </c>
    </row>
    <row r="275">
      <c r="A275" s="10" t="n"/>
      <c r="B275" s="10" t="n"/>
      <c r="C275" s="12" t="n"/>
      <c r="D275" s="12" t="n"/>
      <c r="E275" s="10" t="n"/>
      <c r="F275" s="11" t="n"/>
      <c r="G275" s="20">
        <f>IF(OR($A275="",$C275=""),"",NETWORKDAYS($C275,$J275,Holidays!$A$5:$A$40))</f>
        <v/>
      </c>
      <c r="H275" s="20">
        <f>IF(G275="","",IF($F275&lt;&gt;"",$F275,G275*IFERROR(IF(INDEX(Employees!$F$5:$F$29,MATCH($A275,Employees!$B$5:$B$29,0))="",Settings!$B$9,INDEX(Employees!$F$5:$F$29,MATCH($A275,Employees!$B$5:$B$29,0))),Settings!$B$9)))</f>
        <v/>
      </c>
      <c r="I275" s="10" t="n"/>
      <c r="J275" s="15">
        <f>IF($C275="","",IF($D275="",$C275,$D275))</f>
        <v/>
      </c>
    </row>
    <row r="276">
      <c r="A276" s="10" t="n"/>
      <c r="B276" s="10" t="n"/>
      <c r="C276" s="12" t="n"/>
      <c r="D276" s="12" t="n"/>
      <c r="E276" s="10" t="n"/>
      <c r="F276" s="11" t="n"/>
      <c r="G276" s="20">
        <f>IF(OR($A276="",$C276=""),"",NETWORKDAYS($C276,$J276,Holidays!$A$5:$A$40))</f>
        <v/>
      </c>
      <c r="H276" s="20">
        <f>IF(G276="","",IF($F276&lt;&gt;"",$F276,G276*IFERROR(IF(INDEX(Employees!$F$5:$F$29,MATCH($A276,Employees!$B$5:$B$29,0))="",Settings!$B$9,INDEX(Employees!$F$5:$F$29,MATCH($A276,Employees!$B$5:$B$29,0))),Settings!$B$9)))</f>
        <v/>
      </c>
      <c r="I276" s="10" t="n"/>
      <c r="J276" s="15">
        <f>IF($C276="","",IF($D276="",$C276,$D276))</f>
        <v/>
      </c>
    </row>
    <row r="277">
      <c r="A277" s="10" t="n"/>
      <c r="B277" s="10" t="n"/>
      <c r="C277" s="12" t="n"/>
      <c r="D277" s="12" t="n"/>
      <c r="E277" s="10" t="n"/>
      <c r="F277" s="11" t="n"/>
      <c r="G277" s="20">
        <f>IF(OR($A277="",$C277=""),"",NETWORKDAYS($C277,$J277,Holidays!$A$5:$A$40))</f>
        <v/>
      </c>
      <c r="H277" s="20">
        <f>IF(G277="","",IF($F277&lt;&gt;"",$F277,G277*IFERROR(IF(INDEX(Employees!$F$5:$F$29,MATCH($A277,Employees!$B$5:$B$29,0))="",Settings!$B$9,INDEX(Employees!$F$5:$F$29,MATCH($A277,Employees!$B$5:$B$29,0))),Settings!$B$9)))</f>
        <v/>
      </c>
      <c r="I277" s="10" t="n"/>
      <c r="J277" s="15">
        <f>IF($C277="","",IF($D277="",$C277,$D277))</f>
        <v/>
      </c>
    </row>
    <row r="278">
      <c r="A278" s="10" t="n"/>
      <c r="B278" s="10" t="n"/>
      <c r="C278" s="12" t="n"/>
      <c r="D278" s="12" t="n"/>
      <c r="E278" s="10" t="n"/>
      <c r="F278" s="11" t="n"/>
      <c r="G278" s="20">
        <f>IF(OR($A278="",$C278=""),"",NETWORKDAYS($C278,$J278,Holidays!$A$5:$A$40))</f>
        <v/>
      </c>
      <c r="H278" s="20">
        <f>IF(G278="","",IF($F278&lt;&gt;"",$F278,G278*IFERROR(IF(INDEX(Employees!$F$5:$F$29,MATCH($A278,Employees!$B$5:$B$29,0))="",Settings!$B$9,INDEX(Employees!$F$5:$F$29,MATCH($A278,Employees!$B$5:$B$29,0))),Settings!$B$9)))</f>
        <v/>
      </c>
      <c r="I278" s="10" t="n"/>
      <c r="J278" s="15">
        <f>IF($C278="","",IF($D278="",$C278,$D278))</f>
        <v/>
      </c>
    </row>
    <row r="279">
      <c r="A279" s="10" t="n"/>
      <c r="B279" s="10" t="n"/>
      <c r="C279" s="12" t="n"/>
      <c r="D279" s="12" t="n"/>
      <c r="E279" s="10" t="n"/>
      <c r="F279" s="11" t="n"/>
      <c r="G279" s="20">
        <f>IF(OR($A279="",$C279=""),"",NETWORKDAYS($C279,$J279,Holidays!$A$5:$A$40))</f>
        <v/>
      </c>
      <c r="H279" s="20">
        <f>IF(G279="","",IF($F279&lt;&gt;"",$F279,G279*IFERROR(IF(INDEX(Employees!$F$5:$F$29,MATCH($A279,Employees!$B$5:$B$29,0))="",Settings!$B$9,INDEX(Employees!$F$5:$F$29,MATCH($A279,Employees!$B$5:$B$29,0))),Settings!$B$9)))</f>
        <v/>
      </c>
      <c r="I279" s="10" t="n"/>
      <c r="J279" s="15">
        <f>IF($C279="","",IF($D279="",$C279,$D279))</f>
        <v/>
      </c>
    </row>
    <row r="280">
      <c r="A280" s="10" t="n"/>
      <c r="B280" s="10" t="n"/>
      <c r="C280" s="12" t="n"/>
      <c r="D280" s="12" t="n"/>
      <c r="E280" s="10" t="n"/>
      <c r="F280" s="11" t="n"/>
      <c r="G280" s="20">
        <f>IF(OR($A280="",$C280=""),"",NETWORKDAYS($C280,$J280,Holidays!$A$5:$A$40))</f>
        <v/>
      </c>
      <c r="H280" s="20">
        <f>IF(G280="","",IF($F280&lt;&gt;"",$F280,G280*IFERROR(IF(INDEX(Employees!$F$5:$F$29,MATCH($A280,Employees!$B$5:$B$29,0))="",Settings!$B$9,INDEX(Employees!$F$5:$F$29,MATCH($A280,Employees!$B$5:$B$29,0))),Settings!$B$9)))</f>
        <v/>
      </c>
      <c r="I280" s="10" t="n"/>
      <c r="J280" s="15">
        <f>IF($C280="","",IF($D280="",$C280,$D280))</f>
        <v/>
      </c>
    </row>
    <row r="281">
      <c r="A281" s="10" t="n"/>
      <c r="B281" s="10" t="n"/>
      <c r="C281" s="12" t="n"/>
      <c r="D281" s="12" t="n"/>
      <c r="E281" s="10" t="n"/>
      <c r="F281" s="11" t="n"/>
      <c r="G281" s="20">
        <f>IF(OR($A281="",$C281=""),"",NETWORKDAYS($C281,$J281,Holidays!$A$5:$A$40))</f>
        <v/>
      </c>
      <c r="H281" s="20">
        <f>IF(G281="","",IF($F281&lt;&gt;"",$F281,G281*IFERROR(IF(INDEX(Employees!$F$5:$F$29,MATCH($A281,Employees!$B$5:$B$29,0))="",Settings!$B$9,INDEX(Employees!$F$5:$F$29,MATCH($A281,Employees!$B$5:$B$29,0))),Settings!$B$9)))</f>
        <v/>
      </c>
      <c r="I281" s="10" t="n"/>
      <c r="J281" s="15">
        <f>IF($C281="","",IF($D281="",$C281,$D281))</f>
        <v/>
      </c>
    </row>
    <row r="282">
      <c r="A282" s="10" t="n"/>
      <c r="B282" s="10" t="n"/>
      <c r="C282" s="12" t="n"/>
      <c r="D282" s="12" t="n"/>
      <c r="E282" s="10" t="n"/>
      <c r="F282" s="11" t="n"/>
      <c r="G282" s="20">
        <f>IF(OR($A282="",$C282=""),"",NETWORKDAYS($C282,$J282,Holidays!$A$5:$A$40))</f>
        <v/>
      </c>
      <c r="H282" s="20">
        <f>IF(G282="","",IF($F282&lt;&gt;"",$F282,G282*IFERROR(IF(INDEX(Employees!$F$5:$F$29,MATCH($A282,Employees!$B$5:$B$29,0))="",Settings!$B$9,INDEX(Employees!$F$5:$F$29,MATCH($A282,Employees!$B$5:$B$29,0))),Settings!$B$9)))</f>
        <v/>
      </c>
      <c r="I282" s="10" t="n"/>
      <c r="J282" s="15">
        <f>IF($C282="","",IF($D282="",$C282,$D282))</f>
        <v/>
      </c>
    </row>
    <row r="283">
      <c r="A283" s="10" t="n"/>
      <c r="B283" s="10" t="n"/>
      <c r="C283" s="12" t="n"/>
      <c r="D283" s="12" t="n"/>
      <c r="E283" s="10" t="n"/>
      <c r="F283" s="11" t="n"/>
      <c r="G283" s="20">
        <f>IF(OR($A283="",$C283=""),"",NETWORKDAYS($C283,$J283,Holidays!$A$5:$A$40))</f>
        <v/>
      </c>
      <c r="H283" s="20">
        <f>IF(G283="","",IF($F283&lt;&gt;"",$F283,G283*IFERROR(IF(INDEX(Employees!$F$5:$F$29,MATCH($A283,Employees!$B$5:$B$29,0))="",Settings!$B$9,INDEX(Employees!$F$5:$F$29,MATCH($A283,Employees!$B$5:$B$29,0))),Settings!$B$9)))</f>
        <v/>
      </c>
      <c r="I283" s="10" t="n"/>
      <c r="J283" s="15">
        <f>IF($C283="","",IF($D283="",$C283,$D283))</f>
        <v/>
      </c>
    </row>
    <row r="284">
      <c r="A284" s="10" t="n"/>
      <c r="B284" s="10" t="n"/>
      <c r="C284" s="12" t="n"/>
      <c r="D284" s="12" t="n"/>
      <c r="E284" s="10" t="n"/>
      <c r="F284" s="11" t="n"/>
      <c r="G284" s="20">
        <f>IF(OR($A284="",$C284=""),"",NETWORKDAYS($C284,$J284,Holidays!$A$5:$A$40))</f>
        <v/>
      </c>
      <c r="H284" s="20">
        <f>IF(G284="","",IF($F284&lt;&gt;"",$F284,G284*IFERROR(IF(INDEX(Employees!$F$5:$F$29,MATCH($A284,Employees!$B$5:$B$29,0))="",Settings!$B$9,INDEX(Employees!$F$5:$F$29,MATCH($A284,Employees!$B$5:$B$29,0))),Settings!$B$9)))</f>
        <v/>
      </c>
      <c r="I284" s="10" t="n"/>
      <c r="J284" s="15">
        <f>IF($C284="","",IF($D284="",$C284,$D284))</f>
        <v/>
      </c>
    </row>
    <row r="285">
      <c r="A285" s="10" t="n"/>
      <c r="B285" s="10" t="n"/>
      <c r="C285" s="12" t="n"/>
      <c r="D285" s="12" t="n"/>
      <c r="E285" s="10" t="n"/>
      <c r="F285" s="11" t="n"/>
      <c r="G285" s="20">
        <f>IF(OR($A285="",$C285=""),"",NETWORKDAYS($C285,$J285,Holidays!$A$5:$A$40))</f>
        <v/>
      </c>
      <c r="H285" s="20">
        <f>IF(G285="","",IF($F285&lt;&gt;"",$F285,G285*IFERROR(IF(INDEX(Employees!$F$5:$F$29,MATCH($A285,Employees!$B$5:$B$29,0))="",Settings!$B$9,INDEX(Employees!$F$5:$F$29,MATCH($A285,Employees!$B$5:$B$29,0))),Settings!$B$9)))</f>
        <v/>
      </c>
      <c r="I285" s="10" t="n"/>
      <c r="J285" s="15">
        <f>IF($C285="","",IF($D285="",$C285,$D285))</f>
        <v/>
      </c>
    </row>
    <row r="286">
      <c r="A286" s="10" t="n"/>
      <c r="B286" s="10" t="n"/>
      <c r="C286" s="12" t="n"/>
      <c r="D286" s="12" t="n"/>
      <c r="E286" s="10" t="n"/>
      <c r="F286" s="11" t="n"/>
      <c r="G286" s="20">
        <f>IF(OR($A286="",$C286=""),"",NETWORKDAYS($C286,$J286,Holidays!$A$5:$A$40))</f>
        <v/>
      </c>
      <c r="H286" s="20">
        <f>IF(G286="","",IF($F286&lt;&gt;"",$F286,G286*IFERROR(IF(INDEX(Employees!$F$5:$F$29,MATCH($A286,Employees!$B$5:$B$29,0))="",Settings!$B$9,INDEX(Employees!$F$5:$F$29,MATCH($A286,Employees!$B$5:$B$29,0))),Settings!$B$9)))</f>
        <v/>
      </c>
      <c r="I286" s="10" t="n"/>
      <c r="J286" s="15">
        <f>IF($C286="","",IF($D286="",$C286,$D286))</f>
        <v/>
      </c>
    </row>
    <row r="287">
      <c r="A287" s="10" t="n"/>
      <c r="B287" s="10" t="n"/>
      <c r="C287" s="12" t="n"/>
      <c r="D287" s="12" t="n"/>
      <c r="E287" s="10" t="n"/>
      <c r="F287" s="11" t="n"/>
      <c r="G287" s="20">
        <f>IF(OR($A287="",$C287=""),"",NETWORKDAYS($C287,$J287,Holidays!$A$5:$A$40))</f>
        <v/>
      </c>
      <c r="H287" s="20">
        <f>IF(G287="","",IF($F287&lt;&gt;"",$F287,G287*IFERROR(IF(INDEX(Employees!$F$5:$F$29,MATCH($A287,Employees!$B$5:$B$29,0))="",Settings!$B$9,INDEX(Employees!$F$5:$F$29,MATCH($A287,Employees!$B$5:$B$29,0))),Settings!$B$9)))</f>
        <v/>
      </c>
      <c r="I287" s="10" t="n"/>
      <c r="J287" s="15">
        <f>IF($C287="","",IF($D287="",$C287,$D287))</f>
        <v/>
      </c>
    </row>
    <row r="288">
      <c r="A288" s="10" t="n"/>
      <c r="B288" s="10" t="n"/>
      <c r="C288" s="12" t="n"/>
      <c r="D288" s="12" t="n"/>
      <c r="E288" s="10" t="n"/>
      <c r="F288" s="11" t="n"/>
      <c r="G288" s="20">
        <f>IF(OR($A288="",$C288=""),"",NETWORKDAYS($C288,$J288,Holidays!$A$5:$A$40))</f>
        <v/>
      </c>
      <c r="H288" s="20">
        <f>IF(G288="","",IF($F288&lt;&gt;"",$F288,G288*IFERROR(IF(INDEX(Employees!$F$5:$F$29,MATCH($A288,Employees!$B$5:$B$29,0))="",Settings!$B$9,INDEX(Employees!$F$5:$F$29,MATCH($A288,Employees!$B$5:$B$29,0))),Settings!$B$9)))</f>
        <v/>
      </c>
      <c r="I288" s="10" t="n"/>
      <c r="J288" s="15">
        <f>IF($C288="","",IF($D288="",$C288,$D288))</f>
        <v/>
      </c>
    </row>
    <row r="289">
      <c r="A289" s="10" t="n"/>
      <c r="B289" s="10" t="n"/>
      <c r="C289" s="12" t="n"/>
      <c r="D289" s="12" t="n"/>
      <c r="E289" s="10" t="n"/>
      <c r="F289" s="11" t="n"/>
      <c r="G289" s="20">
        <f>IF(OR($A289="",$C289=""),"",NETWORKDAYS($C289,$J289,Holidays!$A$5:$A$40))</f>
        <v/>
      </c>
      <c r="H289" s="20">
        <f>IF(G289="","",IF($F289&lt;&gt;"",$F289,G289*IFERROR(IF(INDEX(Employees!$F$5:$F$29,MATCH($A289,Employees!$B$5:$B$29,0))="",Settings!$B$9,INDEX(Employees!$F$5:$F$29,MATCH($A289,Employees!$B$5:$B$29,0))),Settings!$B$9)))</f>
        <v/>
      </c>
      <c r="I289" s="10" t="n"/>
      <c r="J289" s="15">
        <f>IF($C289="","",IF($D289="",$C289,$D289))</f>
        <v/>
      </c>
    </row>
    <row r="290">
      <c r="A290" s="10" t="n"/>
      <c r="B290" s="10" t="n"/>
      <c r="C290" s="12" t="n"/>
      <c r="D290" s="12" t="n"/>
      <c r="E290" s="10" t="n"/>
      <c r="F290" s="11" t="n"/>
      <c r="G290" s="20">
        <f>IF(OR($A290="",$C290=""),"",NETWORKDAYS($C290,$J290,Holidays!$A$5:$A$40))</f>
        <v/>
      </c>
      <c r="H290" s="20">
        <f>IF(G290="","",IF($F290&lt;&gt;"",$F290,G290*IFERROR(IF(INDEX(Employees!$F$5:$F$29,MATCH($A290,Employees!$B$5:$B$29,0))="",Settings!$B$9,INDEX(Employees!$F$5:$F$29,MATCH($A290,Employees!$B$5:$B$29,0))),Settings!$B$9)))</f>
        <v/>
      </c>
      <c r="I290" s="10" t="n"/>
      <c r="J290" s="15">
        <f>IF($C290="","",IF($D290="",$C290,$D290))</f>
        <v/>
      </c>
    </row>
    <row r="291">
      <c r="A291" s="10" t="n"/>
      <c r="B291" s="10" t="n"/>
      <c r="C291" s="12" t="n"/>
      <c r="D291" s="12" t="n"/>
      <c r="E291" s="10" t="n"/>
      <c r="F291" s="11" t="n"/>
      <c r="G291" s="20">
        <f>IF(OR($A291="",$C291=""),"",NETWORKDAYS($C291,$J291,Holidays!$A$5:$A$40))</f>
        <v/>
      </c>
      <c r="H291" s="20">
        <f>IF(G291="","",IF($F291&lt;&gt;"",$F291,G291*IFERROR(IF(INDEX(Employees!$F$5:$F$29,MATCH($A291,Employees!$B$5:$B$29,0))="",Settings!$B$9,INDEX(Employees!$F$5:$F$29,MATCH($A291,Employees!$B$5:$B$29,0))),Settings!$B$9)))</f>
        <v/>
      </c>
      <c r="I291" s="10" t="n"/>
      <c r="J291" s="15">
        <f>IF($C291="","",IF($D291="",$C291,$D291))</f>
        <v/>
      </c>
    </row>
    <row r="292">
      <c r="A292" s="10" t="n"/>
      <c r="B292" s="10" t="n"/>
      <c r="C292" s="12" t="n"/>
      <c r="D292" s="12" t="n"/>
      <c r="E292" s="10" t="n"/>
      <c r="F292" s="11" t="n"/>
      <c r="G292" s="20">
        <f>IF(OR($A292="",$C292=""),"",NETWORKDAYS($C292,$J292,Holidays!$A$5:$A$40))</f>
        <v/>
      </c>
      <c r="H292" s="20">
        <f>IF(G292="","",IF($F292&lt;&gt;"",$F292,G292*IFERROR(IF(INDEX(Employees!$F$5:$F$29,MATCH($A292,Employees!$B$5:$B$29,0))="",Settings!$B$9,INDEX(Employees!$F$5:$F$29,MATCH($A292,Employees!$B$5:$B$29,0))),Settings!$B$9)))</f>
        <v/>
      </c>
      <c r="I292" s="10" t="n"/>
      <c r="J292" s="15">
        <f>IF($C292="","",IF($D292="",$C292,$D292))</f>
        <v/>
      </c>
    </row>
    <row r="293">
      <c r="A293" s="10" t="n"/>
      <c r="B293" s="10" t="n"/>
      <c r="C293" s="12" t="n"/>
      <c r="D293" s="12" t="n"/>
      <c r="E293" s="10" t="n"/>
      <c r="F293" s="11" t="n"/>
      <c r="G293" s="20">
        <f>IF(OR($A293="",$C293=""),"",NETWORKDAYS($C293,$J293,Holidays!$A$5:$A$40))</f>
        <v/>
      </c>
      <c r="H293" s="20">
        <f>IF(G293="","",IF($F293&lt;&gt;"",$F293,G293*IFERROR(IF(INDEX(Employees!$F$5:$F$29,MATCH($A293,Employees!$B$5:$B$29,0))="",Settings!$B$9,INDEX(Employees!$F$5:$F$29,MATCH($A293,Employees!$B$5:$B$29,0))),Settings!$B$9)))</f>
        <v/>
      </c>
      <c r="I293" s="10" t="n"/>
      <c r="J293" s="15">
        <f>IF($C293="","",IF($D293="",$C293,$D293))</f>
        <v/>
      </c>
    </row>
    <row r="294">
      <c r="A294" s="10" t="n"/>
      <c r="B294" s="10" t="n"/>
      <c r="C294" s="12" t="n"/>
      <c r="D294" s="12" t="n"/>
      <c r="E294" s="10" t="n"/>
      <c r="F294" s="11" t="n"/>
      <c r="G294" s="20">
        <f>IF(OR($A294="",$C294=""),"",NETWORKDAYS($C294,$J294,Holidays!$A$5:$A$40))</f>
        <v/>
      </c>
      <c r="H294" s="20">
        <f>IF(G294="","",IF($F294&lt;&gt;"",$F294,G294*IFERROR(IF(INDEX(Employees!$F$5:$F$29,MATCH($A294,Employees!$B$5:$B$29,0))="",Settings!$B$9,INDEX(Employees!$F$5:$F$29,MATCH($A294,Employees!$B$5:$B$29,0))),Settings!$B$9)))</f>
        <v/>
      </c>
      <c r="I294" s="10" t="n"/>
      <c r="J294" s="15">
        <f>IF($C294="","",IF($D294="",$C294,$D294))</f>
        <v/>
      </c>
    </row>
    <row r="295">
      <c r="A295" s="10" t="n"/>
      <c r="B295" s="10" t="n"/>
      <c r="C295" s="12" t="n"/>
      <c r="D295" s="12" t="n"/>
      <c r="E295" s="10" t="n"/>
      <c r="F295" s="11" t="n"/>
      <c r="G295" s="20">
        <f>IF(OR($A295="",$C295=""),"",NETWORKDAYS($C295,$J295,Holidays!$A$5:$A$40))</f>
        <v/>
      </c>
      <c r="H295" s="20">
        <f>IF(G295="","",IF($F295&lt;&gt;"",$F295,G295*IFERROR(IF(INDEX(Employees!$F$5:$F$29,MATCH($A295,Employees!$B$5:$B$29,0))="",Settings!$B$9,INDEX(Employees!$F$5:$F$29,MATCH($A295,Employees!$B$5:$B$29,0))),Settings!$B$9)))</f>
        <v/>
      </c>
      <c r="I295" s="10" t="n"/>
      <c r="J295" s="15">
        <f>IF($C295="","",IF($D295="",$C295,$D295))</f>
        <v/>
      </c>
    </row>
    <row r="296">
      <c r="A296" s="10" t="n"/>
      <c r="B296" s="10" t="n"/>
      <c r="C296" s="12" t="n"/>
      <c r="D296" s="12" t="n"/>
      <c r="E296" s="10" t="n"/>
      <c r="F296" s="11" t="n"/>
      <c r="G296" s="20">
        <f>IF(OR($A296="",$C296=""),"",NETWORKDAYS($C296,$J296,Holidays!$A$5:$A$40))</f>
        <v/>
      </c>
      <c r="H296" s="20">
        <f>IF(G296="","",IF($F296&lt;&gt;"",$F296,G296*IFERROR(IF(INDEX(Employees!$F$5:$F$29,MATCH($A296,Employees!$B$5:$B$29,0))="",Settings!$B$9,INDEX(Employees!$F$5:$F$29,MATCH($A296,Employees!$B$5:$B$29,0))),Settings!$B$9)))</f>
        <v/>
      </c>
      <c r="I296" s="10" t="n"/>
      <c r="J296" s="15">
        <f>IF($C296="","",IF($D296="",$C296,$D296))</f>
        <v/>
      </c>
    </row>
    <row r="297">
      <c r="A297" s="10" t="n"/>
      <c r="B297" s="10" t="n"/>
      <c r="C297" s="12" t="n"/>
      <c r="D297" s="12" t="n"/>
      <c r="E297" s="10" t="n"/>
      <c r="F297" s="11" t="n"/>
      <c r="G297" s="20">
        <f>IF(OR($A297="",$C297=""),"",NETWORKDAYS($C297,$J297,Holidays!$A$5:$A$40))</f>
        <v/>
      </c>
      <c r="H297" s="20">
        <f>IF(G297="","",IF($F297&lt;&gt;"",$F297,G297*IFERROR(IF(INDEX(Employees!$F$5:$F$29,MATCH($A297,Employees!$B$5:$B$29,0))="",Settings!$B$9,INDEX(Employees!$F$5:$F$29,MATCH($A297,Employees!$B$5:$B$29,0))),Settings!$B$9)))</f>
        <v/>
      </c>
      <c r="I297" s="10" t="n"/>
      <c r="J297" s="15">
        <f>IF($C297="","",IF($D297="",$C297,$D297))</f>
        <v/>
      </c>
    </row>
    <row r="298">
      <c r="A298" s="10" t="n"/>
      <c r="B298" s="10" t="n"/>
      <c r="C298" s="12" t="n"/>
      <c r="D298" s="12" t="n"/>
      <c r="E298" s="10" t="n"/>
      <c r="F298" s="11" t="n"/>
      <c r="G298" s="20">
        <f>IF(OR($A298="",$C298=""),"",NETWORKDAYS($C298,$J298,Holidays!$A$5:$A$40))</f>
        <v/>
      </c>
      <c r="H298" s="20">
        <f>IF(G298="","",IF($F298&lt;&gt;"",$F298,G298*IFERROR(IF(INDEX(Employees!$F$5:$F$29,MATCH($A298,Employees!$B$5:$B$29,0))="",Settings!$B$9,INDEX(Employees!$F$5:$F$29,MATCH($A298,Employees!$B$5:$B$29,0))),Settings!$B$9)))</f>
        <v/>
      </c>
      <c r="I298" s="10" t="n"/>
      <c r="J298" s="15">
        <f>IF($C298="","",IF($D298="",$C298,$D298))</f>
        <v/>
      </c>
    </row>
    <row r="299">
      <c r="A299" s="10" t="n"/>
      <c r="B299" s="10" t="n"/>
      <c r="C299" s="12" t="n"/>
      <c r="D299" s="12" t="n"/>
      <c r="E299" s="10" t="n"/>
      <c r="F299" s="11" t="n"/>
      <c r="G299" s="20">
        <f>IF(OR($A299="",$C299=""),"",NETWORKDAYS($C299,$J299,Holidays!$A$5:$A$40))</f>
        <v/>
      </c>
      <c r="H299" s="20">
        <f>IF(G299="","",IF($F299&lt;&gt;"",$F299,G299*IFERROR(IF(INDEX(Employees!$F$5:$F$29,MATCH($A299,Employees!$B$5:$B$29,0))="",Settings!$B$9,INDEX(Employees!$F$5:$F$29,MATCH($A299,Employees!$B$5:$B$29,0))),Settings!$B$9)))</f>
        <v/>
      </c>
      <c r="I299" s="10" t="n"/>
      <c r="J299" s="15">
        <f>IF($C299="","",IF($D299="",$C299,$D299))</f>
        <v/>
      </c>
    </row>
    <row r="300">
      <c r="A300" s="10" t="n"/>
      <c r="B300" s="10" t="n"/>
      <c r="C300" s="12" t="n"/>
      <c r="D300" s="12" t="n"/>
      <c r="E300" s="10" t="n"/>
      <c r="F300" s="11" t="n"/>
      <c r="G300" s="20">
        <f>IF(OR($A300="",$C300=""),"",NETWORKDAYS($C300,$J300,Holidays!$A$5:$A$40))</f>
        <v/>
      </c>
      <c r="H300" s="20">
        <f>IF(G300="","",IF($F300&lt;&gt;"",$F300,G300*IFERROR(IF(INDEX(Employees!$F$5:$F$29,MATCH($A300,Employees!$B$5:$B$29,0))="",Settings!$B$9,INDEX(Employees!$F$5:$F$29,MATCH($A300,Employees!$B$5:$B$29,0))),Settings!$B$9)))</f>
        <v/>
      </c>
      <c r="I300" s="10" t="n"/>
      <c r="J300" s="15">
        <f>IF($C300="","",IF($D300="",$C300,$D300))</f>
        <v/>
      </c>
    </row>
    <row r="301">
      <c r="A301" s="10" t="n"/>
      <c r="B301" s="10" t="n"/>
      <c r="C301" s="12" t="n"/>
      <c r="D301" s="12" t="n"/>
      <c r="E301" s="10" t="n"/>
      <c r="F301" s="11" t="n"/>
      <c r="G301" s="20">
        <f>IF(OR($A301="",$C301=""),"",NETWORKDAYS($C301,$J301,Holidays!$A$5:$A$40))</f>
        <v/>
      </c>
      <c r="H301" s="20">
        <f>IF(G301="","",IF($F301&lt;&gt;"",$F301,G301*IFERROR(IF(INDEX(Employees!$F$5:$F$29,MATCH($A301,Employees!$B$5:$B$29,0))="",Settings!$B$9,INDEX(Employees!$F$5:$F$29,MATCH($A301,Employees!$B$5:$B$29,0))),Settings!$B$9)))</f>
        <v/>
      </c>
      <c r="I301" s="10" t="n"/>
      <c r="J301" s="15">
        <f>IF($C301="","",IF($D301="",$C301,$D301))</f>
        <v/>
      </c>
    </row>
    <row r="302">
      <c r="A302" s="10" t="n"/>
      <c r="B302" s="10" t="n"/>
      <c r="C302" s="12" t="n"/>
      <c r="D302" s="12" t="n"/>
      <c r="E302" s="10" t="n"/>
      <c r="F302" s="11" t="n"/>
      <c r="G302" s="20">
        <f>IF(OR($A302="",$C302=""),"",NETWORKDAYS($C302,$J302,Holidays!$A$5:$A$40))</f>
        <v/>
      </c>
      <c r="H302" s="20">
        <f>IF(G302="","",IF($F302&lt;&gt;"",$F302,G302*IFERROR(IF(INDEX(Employees!$F$5:$F$29,MATCH($A302,Employees!$B$5:$B$29,0))="",Settings!$B$9,INDEX(Employees!$F$5:$F$29,MATCH($A302,Employees!$B$5:$B$29,0))),Settings!$B$9)))</f>
        <v/>
      </c>
      <c r="I302" s="10" t="n"/>
      <c r="J302" s="15">
        <f>IF($C302="","",IF($D302="",$C302,$D302))</f>
        <v/>
      </c>
    </row>
    <row r="303">
      <c r="A303" s="10" t="n"/>
      <c r="B303" s="10" t="n"/>
      <c r="C303" s="12" t="n"/>
      <c r="D303" s="12" t="n"/>
      <c r="E303" s="10" t="n"/>
      <c r="F303" s="11" t="n"/>
      <c r="G303" s="20">
        <f>IF(OR($A303="",$C303=""),"",NETWORKDAYS($C303,$J303,Holidays!$A$5:$A$40))</f>
        <v/>
      </c>
      <c r="H303" s="20">
        <f>IF(G303="","",IF($F303&lt;&gt;"",$F303,G303*IFERROR(IF(INDEX(Employees!$F$5:$F$29,MATCH($A303,Employees!$B$5:$B$29,0))="",Settings!$B$9,INDEX(Employees!$F$5:$F$29,MATCH($A303,Employees!$B$5:$B$29,0))),Settings!$B$9)))</f>
        <v/>
      </c>
      <c r="I303" s="10" t="n"/>
      <c r="J303" s="15">
        <f>IF($C303="","",IF($D303="",$C303,$D303))</f>
        <v/>
      </c>
    </row>
    <row r="304">
      <c r="A304" s="10" t="n"/>
      <c r="B304" s="10" t="n"/>
      <c r="C304" s="12" t="n"/>
      <c r="D304" s="12" t="n"/>
      <c r="E304" s="10" t="n"/>
      <c r="F304" s="11" t="n"/>
      <c r="G304" s="20">
        <f>IF(OR($A304="",$C304=""),"",NETWORKDAYS($C304,$J304,Holidays!$A$5:$A$40))</f>
        <v/>
      </c>
      <c r="H304" s="20">
        <f>IF(G304="","",IF($F304&lt;&gt;"",$F304,G304*IFERROR(IF(INDEX(Employees!$F$5:$F$29,MATCH($A304,Employees!$B$5:$B$29,0))="",Settings!$B$9,INDEX(Employees!$F$5:$F$29,MATCH($A304,Employees!$B$5:$B$29,0))),Settings!$B$9)))</f>
        <v/>
      </c>
      <c r="I304" s="10" t="n"/>
      <c r="J304" s="15">
        <f>IF($C304="","",IF($D304="",$C304,$D304))</f>
        <v/>
      </c>
    </row>
    <row r="305">
      <c r="A305" s="10" t="n"/>
      <c r="B305" s="10" t="n"/>
      <c r="C305" s="12" t="n"/>
      <c r="D305" s="12" t="n"/>
      <c r="E305" s="10" t="n"/>
      <c r="F305" s="11" t="n"/>
      <c r="G305" s="20">
        <f>IF(OR($A305="",$C305=""),"",NETWORKDAYS($C305,$J305,Holidays!$A$5:$A$40))</f>
        <v/>
      </c>
      <c r="H305" s="20">
        <f>IF(G305="","",IF($F305&lt;&gt;"",$F305,G305*IFERROR(IF(INDEX(Employees!$F$5:$F$29,MATCH($A305,Employees!$B$5:$B$29,0))="",Settings!$B$9,INDEX(Employees!$F$5:$F$29,MATCH($A305,Employees!$B$5:$B$29,0))),Settings!$B$9)))</f>
        <v/>
      </c>
      <c r="I305" s="10" t="n"/>
      <c r="J305" s="15">
        <f>IF($C305="","",IF($D305="",$C305,$D305))</f>
        <v/>
      </c>
    </row>
    <row r="306">
      <c r="A306" s="10" t="n"/>
      <c r="B306" s="10" t="n"/>
      <c r="C306" s="12" t="n"/>
      <c r="D306" s="12" t="n"/>
      <c r="E306" s="10" t="n"/>
      <c r="F306" s="11" t="n"/>
      <c r="G306" s="20">
        <f>IF(OR($A306="",$C306=""),"",NETWORKDAYS($C306,$J306,Holidays!$A$5:$A$40))</f>
        <v/>
      </c>
      <c r="H306" s="20">
        <f>IF(G306="","",IF($F306&lt;&gt;"",$F306,G306*IFERROR(IF(INDEX(Employees!$F$5:$F$29,MATCH($A306,Employees!$B$5:$B$29,0))="",Settings!$B$9,INDEX(Employees!$F$5:$F$29,MATCH($A306,Employees!$B$5:$B$29,0))),Settings!$B$9)))</f>
        <v/>
      </c>
      <c r="I306" s="10" t="n"/>
      <c r="J306" s="15">
        <f>IF($C306="","",IF($D306="",$C306,$D306))</f>
        <v/>
      </c>
    </row>
    <row r="307">
      <c r="A307" s="10" t="n"/>
      <c r="B307" s="10" t="n"/>
      <c r="C307" s="12" t="n"/>
      <c r="D307" s="12" t="n"/>
      <c r="E307" s="10" t="n"/>
      <c r="F307" s="11" t="n"/>
      <c r="G307" s="20">
        <f>IF(OR($A307="",$C307=""),"",NETWORKDAYS($C307,$J307,Holidays!$A$5:$A$40))</f>
        <v/>
      </c>
      <c r="H307" s="20">
        <f>IF(G307="","",IF($F307&lt;&gt;"",$F307,G307*IFERROR(IF(INDEX(Employees!$F$5:$F$29,MATCH($A307,Employees!$B$5:$B$29,0))="",Settings!$B$9,INDEX(Employees!$F$5:$F$29,MATCH($A307,Employees!$B$5:$B$29,0))),Settings!$B$9)))</f>
        <v/>
      </c>
      <c r="I307" s="10" t="n"/>
      <c r="J307" s="15">
        <f>IF($C307="","",IF($D307="",$C307,$D307))</f>
        <v/>
      </c>
    </row>
    <row r="308">
      <c r="A308" s="10" t="n"/>
      <c r="B308" s="10" t="n"/>
      <c r="C308" s="12" t="n"/>
      <c r="D308" s="12" t="n"/>
      <c r="E308" s="10" t="n"/>
      <c r="F308" s="11" t="n"/>
      <c r="G308" s="20">
        <f>IF(OR($A308="",$C308=""),"",NETWORKDAYS($C308,$J308,Holidays!$A$5:$A$40))</f>
        <v/>
      </c>
      <c r="H308" s="20">
        <f>IF(G308="","",IF($F308&lt;&gt;"",$F308,G308*IFERROR(IF(INDEX(Employees!$F$5:$F$29,MATCH($A308,Employees!$B$5:$B$29,0))="",Settings!$B$9,INDEX(Employees!$F$5:$F$29,MATCH($A308,Employees!$B$5:$B$29,0))),Settings!$B$9)))</f>
        <v/>
      </c>
      <c r="I308" s="10" t="n"/>
      <c r="J308" s="15">
        <f>IF($C308="","",IF($D308="",$C308,$D308))</f>
        <v/>
      </c>
    </row>
    <row r="309">
      <c r="A309" s="10" t="n"/>
      <c r="B309" s="10" t="n"/>
      <c r="C309" s="12" t="n"/>
      <c r="D309" s="12" t="n"/>
      <c r="E309" s="10" t="n"/>
      <c r="F309" s="11" t="n"/>
      <c r="G309" s="20">
        <f>IF(OR($A309="",$C309=""),"",NETWORKDAYS($C309,$J309,Holidays!$A$5:$A$40))</f>
        <v/>
      </c>
      <c r="H309" s="20">
        <f>IF(G309="","",IF($F309&lt;&gt;"",$F309,G309*IFERROR(IF(INDEX(Employees!$F$5:$F$29,MATCH($A309,Employees!$B$5:$B$29,0))="",Settings!$B$9,INDEX(Employees!$F$5:$F$29,MATCH($A309,Employees!$B$5:$B$29,0))),Settings!$B$9)))</f>
        <v/>
      </c>
      <c r="I309" s="10" t="n"/>
      <c r="J309" s="15">
        <f>IF($C309="","",IF($D309="",$C309,$D309))</f>
        <v/>
      </c>
    </row>
    <row r="310">
      <c r="A310" s="10" t="n"/>
      <c r="B310" s="10" t="n"/>
      <c r="C310" s="12" t="n"/>
      <c r="D310" s="12" t="n"/>
      <c r="E310" s="10" t="n"/>
      <c r="F310" s="11" t="n"/>
      <c r="G310" s="20">
        <f>IF(OR($A310="",$C310=""),"",NETWORKDAYS($C310,$J310,Holidays!$A$5:$A$40))</f>
        <v/>
      </c>
      <c r="H310" s="20">
        <f>IF(G310="","",IF($F310&lt;&gt;"",$F310,G310*IFERROR(IF(INDEX(Employees!$F$5:$F$29,MATCH($A310,Employees!$B$5:$B$29,0))="",Settings!$B$9,INDEX(Employees!$F$5:$F$29,MATCH($A310,Employees!$B$5:$B$29,0))),Settings!$B$9)))</f>
        <v/>
      </c>
      <c r="I310" s="10" t="n"/>
      <c r="J310" s="15">
        <f>IF($C310="","",IF($D310="",$C310,$D310))</f>
        <v/>
      </c>
    </row>
    <row r="311">
      <c r="A311" s="10" t="n"/>
      <c r="B311" s="10" t="n"/>
      <c r="C311" s="12" t="n"/>
      <c r="D311" s="12" t="n"/>
      <c r="E311" s="10" t="n"/>
      <c r="F311" s="11" t="n"/>
      <c r="G311" s="20">
        <f>IF(OR($A311="",$C311=""),"",NETWORKDAYS($C311,$J311,Holidays!$A$5:$A$40))</f>
        <v/>
      </c>
      <c r="H311" s="20">
        <f>IF(G311="","",IF($F311&lt;&gt;"",$F311,G311*IFERROR(IF(INDEX(Employees!$F$5:$F$29,MATCH($A311,Employees!$B$5:$B$29,0))="",Settings!$B$9,INDEX(Employees!$F$5:$F$29,MATCH($A311,Employees!$B$5:$B$29,0))),Settings!$B$9)))</f>
        <v/>
      </c>
      <c r="I311" s="10" t="n"/>
      <c r="J311" s="15">
        <f>IF($C311="","",IF($D311="",$C311,$D311))</f>
        <v/>
      </c>
    </row>
    <row r="312">
      <c r="A312" s="10" t="n"/>
      <c r="B312" s="10" t="n"/>
      <c r="C312" s="12" t="n"/>
      <c r="D312" s="12" t="n"/>
      <c r="E312" s="10" t="n"/>
      <c r="F312" s="11" t="n"/>
      <c r="G312" s="20">
        <f>IF(OR($A312="",$C312=""),"",NETWORKDAYS($C312,$J312,Holidays!$A$5:$A$40))</f>
        <v/>
      </c>
      <c r="H312" s="20">
        <f>IF(G312="","",IF($F312&lt;&gt;"",$F312,G312*IFERROR(IF(INDEX(Employees!$F$5:$F$29,MATCH($A312,Employees!$B$5:$B$29,0))="",Settings!$B$9,INDEX(Employees!$F$5:$F$29,MATCH($A312,Employees!$B$5:$B$29,0))),Settings!$B$9)))</f>
        <v/>
      </c>
      <c r="I312" s="10" t="n"/>
      <c r="J312" s="15">
        <f>IF($C312="","",IF($D312="",$C312,$D312))</f>
        <v/>
      </c>
    </row>
    <row r="313">
      <c r="A313" s="10" t="n"/>
      <c r="B313" s="10" t="n"/>
      <c r="C313" s="12" t="n"/>
      <c r="D313" s="12" t="n"/>
      <c r="E313" s="10" t="n"/>
      <c r="F313" s="11" t="n"/>
      <c r="G313" s="20">
        <f>IF(OR($A313="",$C313=""),"",NETWORKDAYS($C313,$J313,Holidays!$A$5:$A$40))</f>
        <v/>
      </c>
      <c r="H313" s="20">
        <f>IF(G313="","",IF($F313&lt;&gt;"",$F313,G313*IFERROR(IF(INDEX(Employees!$F$5:$F$29,MATCH($A313,Employees!$B$5:$B$29,0))="",Settings!$B$9,INDEX(Employees!$F$5:$F$29,MATCH($A313,Employees!$B$5:$B$29,0))),Settings!$B$9)))</f>
        <v/>
      </c>
      <c r="I313" s="10" t="n"/>
      <c r="J313" s="15">
        <f>IF($C313="","",IF($D313="",$C313,$D313))</f>
        <v/>
      </c>
    </row>
    <row r="314">
      <c r="A314" s="10" t="n"/>
      <c r="B314" s="10" t="n"/>
      <c r="C314" s="12" t="n"/>
      <c r="D314" s="12" t="n"/>
      <c r="E314" s="10" t="n"/>
      <c r="F314" s="11" t="n"/>
      <c r="G314" s="20">
        <f>IF(OR($A314="",$C314=""),"",NETWORKDAYS($C314,$J314,Holidays!$A$5:$A$40))</f>
        <v/>
      </c>
      <c r="H314" s="20">
        <f>IF(G314="","",IF($F314&lt;&gt;"",$F314,G314*IFERROR(IF(INDEX(Employees!$F$5:$F$29,MATCH($A314,Employees!$B$5:$B$29,0))="",Settings!$B$9,INDEX(Employees!$F$5:$F$29,MATCH($A314,Employees!$B$5:$B$29,0))),Settings!$B$9)))</f>
        <v/>
      </c>
      <c r="I314" s="10" t="n"/>
      <c r="J314" s="15">
        <f>IF($C314="","",IF($D314="",$C314,$D314))</f>
        <v/>
      </c>
    </row>
    <row r="315">
      <c r="A315" s="10" t="n"/>
      <c r="B315" s="10" t="n"/>
      <c r="C315" s="12" t="n"/>
      <c r="D315" s="12" t="n"/>
      <c r="E315" s="10" t="n"/>
      <c r="F315" s="11" t="n"/>
      <c r="G315" s="20">
        <f>IF(OR($A315="",$C315=""),"",NETWORKDAYS($C315,$J315,Holidays!$A$5:$A$40))</f>
        <v/>
      </c>
      <c r="H315" s="20">
        <f>IF(G315="","",IF($F315&lt;&gt;"",$F315,G315*IFERROR(IF(INDEX(Employees!$F$5:$F$29,MATCH($A315,Employees!$B$5:$B$29,0))="",Settings!$B$9,INDEX(Employees!$F$5:$F$29,MATCH($A315,Employees!$B$5:$B$29,0))),Settings!$B$9)))</f>
        <v/>
      </c>
      <c r="I315" s="10" t="n"/>
      <c r="J315" s="15">
        <f>IF($C315="","",IF($D315="",$C315,$D315))</f>
        <v/>
      </c>
    </row>
    <row r="316">
      <c r="A316" s="10" t="n"/>
      <c r="B316" s="10" t="n"/>
      <c r="C316" s="12" t="n"/>
      <c r="D316" s="12" t="n"/>
      <c r="E316" s="10" t="n"/>
      <c r="F316" s="11" t="n"/>
      <c r="G316" s="20">
        <f>IF(OR($A316="",$C316=""),"",NETWORKDAYS($C316,$J316,Holidays!$A$5:$A$40))</f>
        <v/>
      </c>
      <c r="H316" s="20">
        <f>IF(G316="","",IF($F316&lt;&gt;"",$F316,G316*IFERROR(IF(INDEX(Employees!$F$5:$F$29,MATCH($A316,Employees!$B$5:$B$29,0))="",Settings!$B$9,INDEX(Employees!$F$5:$F$29,MATCH($A316,Employees!$B$5:$B$29,0))),Settings!$B$9)))</f>
        <v/>
      </c>
      <c r="I316" s="10" t="n"/>
      <c r="J316" s="15">
        <f>IF($C316="","",IF($D316="",$C316,$D316))</f>
        <v/>
      </c>
    </row>
    <row r="317">
      <c r="A317" s="10" t="n"/>
      <c r="B317" s="10" t="n"/>
      <c r="C317" s="12" t="n"/>
      <c r="D317" s="12" t="n"/>
      <c r="E317" s="10" t="n"/>
      <c r="F317" s="11" t="n"/>
      <c r="G317" s="20">
        <f>IF(OR($A317="",$C317=""),"",NETWORKDAYS($C317,$J317,Holidays!$A$5:$A$40))</f>
        <v/>
      </c>
      <c r="H317" s="20">
        <f>IF(G317="","",IF($F317&lt;&gt;"",$F317,G317*IFERROR(IF(INDEX(Employees!$F$5:$F$29,MATCH($A317,Employees!$B$5:$B$29,0))="",Settings!$B$9,INDEX(Employees!$F$5:$F$29,MATCH($A317,Employees!$B$5:$B$29,0))),Settings!$B$9)))</f>
        <v/>
      </c>
      <c r="I317" s="10" t="n"/>
      <c r="J317" s="15">
        <f>IF($C317="","",IF($D317="",$C317,$D317))</f>
        <v/>
      </c>
    </row>
    <row r="318">
      <c r="A318" s="10" t="n"/>
      <c r="B318" s="10" t="n"/>
      <c r="C318" s="12" t="n"/>
      <c r="D318" s="12" t="n"/>
      <c r="E318" s="10" t="n"/>
      <c r="F318" s="11" t="n"/>
      <c r="G318" s="20">
        <f>IF(OR($A318="",$C318=""),"",NETWORKDAYS($C318,$J318,Holidays!$A$5:$A$40))</f>
        <v/>
      </c>
      <c r="H318" s="20">
        <f>IF(G318="","",IF($F318&lt;&gt;"",$F318,G318*IFERROR(IF(INDEX(Employees!$F$5:$F$29,MATCH($A318,Employees!$B$5:$B$29,0))="",Settings!$B$9,INDEX(Employees!$F$5:$F$29,MATCH($A318,Employees!$B$5:$B$29,0))),Settings!$B$9)))</f>
        <v/>
      </c>
      <c r="I318" s="10" t="n"/>
      <c r="J318" s="15">
        <f>IF($C318="","",IF($D318="",$C318,$D318))</f>
        <v/>
      </c>
    </row>
    <row r="319">
      <c r="A319" s="10" t="n"/>
      <c r="B319" s="10" t="n"/>
      <c r="C319" s="12" t="n"/>
      <c r="D319" s="12" t="n"/>
      <c r="E319" s="10" t="n"/>
      <c r="F319" s="11" t="n"/>
      <c r="G319" s="20">
        <f>IF(OR($A319="",$C319=""),"",NETWORKDAYS($C319,$J319,Holidays!$A$5:$A$40))</f>
        <v/>
      </c>
      <c r="H319" s="20">
        <f>IF(G319="","",IF($F319&lt;&gt;"",$F319,G319*IFERROR(IF(INDEX(Employees!$F$5:$F$29,MATCH($A319,Employees!$B$5:$B$29,0))="",Settings!$B$9,INDEX(Employees!$F$5:$F$29,MATCH($A319,Employees!$B$5:$B$29,0))),Settings!$B$9)))</f>
        <v/>
      </c>
      <c r="I319" s="10" t="n"/>
      <c r="J319" s="15">
        <f>IF($C319="","",IF($D319="",$C319,$D319))</f>
        <v/>
      </c>
    </row>
    <row r="320">
      <c r="A320" s="10" t="n"/>
      <c r="B320" s="10" t="n"/>
      <c r="C320" s="12" t="n"/>
      <c r="D320" s="12" t="n"/>
      <c r="E320" s="10" t="n"/>
      <c r="F320" s="11" t="n"/>
      <c r="G320" s="20">
        <f>IF(OR($A320="",$C320=""),"",NETWORKDAYS($C320,$J320,Holidays!$A$5:$A$40))</f>
        <v/>
      </c>
      <c r="H320" s="20">
        <f>IF(G320="","",IF($F320&lt;&gt;"",$F320,G320*IFERROR(IF(INDEX(Employees!$F$5:$F$29,MATCH($A320,Employees!$B$5:$B$29,0))="",Settings!$B$9,INDEX(Employees!$F$5:$F$29,MATCH($A320,Employees!$B$5:$B$29,0))),Settings!$B$9)))</f>
        <v/>
      </c>
      <c r="I320" s="10" t="n"/>
      <c r="J320" s="15">
        <f>IF($C320="","",IF($D320="",$C320,$D320))</f>
        <v/>
      </c>
    </row>
    <row r="321">
      <c r="A321" s="10" t="n"/>
      <c r="B321" s="10" t="n"/>
      <c r="C321" s="12" t="n"/>
      <c r="D321" s="12" t="n"/>
      <c r="E321" s="10" t="n"/>
      <c r="F321" s="11" t="n"/>
      <c r="G321" s="20">
        <f>IF(OR($A321="",$C321=""),"",NETWORKDAYS($C321,$J321,Holidays!$A$5:$A$40))</f>
        <v/>
      </c>
      <c r="H321" s="20">
        <f>IF(G321="","",IF($F321&lt;&gt;"",$F321,G321*IFERROR(IF(INDEX(Employees!$F$5:$F$29,MATCH($A321,Employees!$B$5:$B$29,0))="",Settings!$B$9,INDEX(Employees!$F$5:$F$29,MATCH($A321,Employees!$B$5:$B$29,0))),Settings!$B$9)))</f>
        <v/>
      </c>
      <c r="I321" s="10" t="n"/>
      <c r="J321" s="15">
        <f>IF($C321="","",IF($D321="",$C321,$D321))</f>
        <v/>
      </c>
    </row>
    <row r="322">
      <c r="A322" s="10" t="n"/>
      <c r="B322" s="10" t="n"/>
      <c r="C322" s="12" t="n"/>
      <c r="D322" s="12" t="n"/>
      <c r="E322" s="10" t="n"/>
      <c r="F322" s="11" t="n"/>
      <c r="G322" s="20">
        <f>IF(OR($A322="",$C322=""),"",NETWORKDAYS($C322,$J322,Holidays!$A$5:$A$40))</f>
        <v/>
      </c>
      <c r="H322" s="20">
        <f>IF(G322="","",IF($F322&lt;&gt;"",$F322,G322*IFERROR(IF(INDEX(Employees!$F$5:$F$29,MATCH($A322,Employees!$B$5:$B$29,0))="",Settings!$B$9,INDEX(Employees!$F$5:$F$29,MATCH($A322,Employees!$B$5:$B$29,0))),Settings!$B$9)))</f>
        <v/>
      </c>
      <c r="I322" s="10" t="n"/>
      <c r="J322" s="15">
        <f>IF($C322="","",IF($D322="",$C322,$D322))</f>
        <v/>
      </c>
    </row>
    <row r="323">
      <c r="A323" s="10" t="n"/>
      <c r="B323" s="10" t="n"/>
      <c r="C323" s="12" t="n"/>
      <c r="D323" s="12" t="n"/>
      <c r="E323" s="10" t="n"/>
      <c r="F323" s="11" t="n"/>
      <c r="G323" s="20">
        <f>IF(OR($A323="",$C323=""),"",NETWORKDAYS($C323,$J323,Holidays!$A$5:$A$40))</f>
        <v/>
      </c>
      <c r="H323" s="20">
        <f>IF(G323="","",IF($F323&lt;&gt;"",$F323,G323*IFERROR(IF(INDEX(Employees!$F$5:$F$29,MATCH($A323,Employees!$B$5:$B$29,0))="",Settings!$B$9,INDEX(Employees!$F$5:$F$29,MATCH($A323,Employees!$B$5:$B$29,0))),Settings!$B$9)))</f>
        <v/>
      </c>
      <c r="I323" s="10" t="n"/>
      <c r="J323" s="15">
        <f>IF($C323="","",IF($D323="",$C323,$D323))</f>
        <v/>
      </c>
    </row>
    <row r="324">
      <c r="A324" s="10" t="n"/>
      <c r="B324" s="10" t="n"/>
      <c r="C324" s="12" t="n"/>
      <c r="D324" s="12" t="n"/>
      <c r="E324" s="10" t="n"/>
      <c r="F324" s="11" t="n"/>
      <c r="G324" s="20">
        <f>IF(OR($A324="",$C324=""),"",NETWORKDAYS($C324,$J324,Holidays!$A$5:$A$40))</f>
        <v/>
      </c>
      <c r="H324" s="20">
        <f>IF(G324="","",IF($F324&lt;&gt;"",$F324,G324*IFERROR(IF(INDEX(Employees!$F$5:$F$29,MATCH($A324,Employees!$B$5:$B$29,0))="",Settings!$B$9,INDEX(Employees!$F$5:$F$29,MATCH($A324,Employees!$B$5:$B$29,0))),Settings!$B$9)))</f>
        <v/>
      </c>
      <c r="I324" s="10" t="n"/>
      <c r="J324" s="15">
        <f>IF($C324="","",IF($D324="",$C324,$D324))</f>
        <v/>
      </c>
    </row>
    <row r="325">
      <c r="A325" s="10" t="n"/>
      <c r="B325" s="10" t="n"/>
      <c r="C325" s="12" t="n"/>
      <c r="D325" s="12" t="n"/>
      <c r="E325" s="10" t="n"/>
      <c r="F325" s="11" t="n"/>
      <c r="G325" s="20">
        <f>IF(OR($A325="",$C325=""),"",NETWORKDAYS($C325,$J325,Holidays!$A$5:$A$40))</f>
        <v/>
      </c>
      <c r="H325" s="20">
        <f>IF(G325="","",IF($F325&lt;&gt;"",$F325,G325*IFERROR(IF(INDEX(Employees!$F$5:$F$29,MATCH($A325,Employees!$B$5:$B$29,0))="",Settings!$B$9,INDEX(Employees!$F$5:$F$29,MATCH($A325,Employees!$B$5:$B$29,0))),Settings!$B$9)))</f>
        <v/>
      </c>
      <c r="I325" s="10" t="n"/>
      <c r="J325" s="15">
        <f>IF($C325="","",IF($D325="",$C325,$D325))</f>
        <v/>
      </c>
    </row>
    <row r="326">
      <c r="A326" s="10" t="n"/>
      <c r="B326" s="10" t="n"/>
      <c r="C326" s="12" t="n"/>
      <c r="D326" s="12" t="n"/>
      <c r="E326" s="10" t="n"/>
      <c r="F326" s="11" t="n"/>
      <c r="G326" s="20">
        <f>IF(OR($A326="",$C326=""),"",NETWORKDAYS($C326,$J326,Holidays!$A$5:$A$40))</f>
        <v/>
      </c>
      <c r="H326" s="20">
        <f>IF(G326="","",IF($F326&lt;&gt;"",$F326,G326*IFERROR(IF(INDEX(Employees!$F$5:$F$29,MATCH($A326,Employees!$B$5:$B$29,0))="",Settings!$B$9,INDEX(Employees!$F$5:$F$29,MATCH($A326,Employees!$B$5:$B$29,0))),Settings!$B$9)))</f>
        <v/>
      </c>
      <c r="I326" s="10" t="n"/>
      <c r="J326" s="15">
        <f>IF($C326="","",IF($D326="",$C326,$D326))</f>
        <v/>
      </c>
    </row>
    <row r="327">
      <c r="A327" s="10" t="n"/>
      <c r="B327" s="10" t="n"/>
      <c r="C327" s="12" t="n"/>
      <c r="D327" s="12" t="n"/>
      <c r="E327" s="10" t="n"/>
      <c r="F327" s="11" t="n"/>
      <c r="G327" s="20">
        <f>IF(OR($A327="",$C327=""),"",NETWORKDAYS($C327,$J327,Holidays!$A$5:$A$40))</f>
        <v/>
      </c>
      <c r="H327" s="20">
        <f>IF(G327="","",IF($F327&lt;&gt;"",$F327,G327*IFERROR(IF(INDEX(Employees!$F$5:$F$29,MATCH($A327,Employees!$B$5:$B$29,0))="",Settings!$B$9,INDEX(Employees!$F$5:$F$29,MATCH($A327,Employees!$B$5:$B$29,0))),Settings!$B$9)))</f>
        <v/>
      </c>
      <c r="I327" s="10" t="n"/>
      <c r="J327" s="15">
        <f>IF($C327="","",IF($D327="",$C327,$D327))</f>
        <v/>
      </c>
    </row>
    <row r="328">
      <c r="A328" s="10" t="n"/>
      <c r="B328" s="10" t="n"/>
      <c r="C328" s="12" t="n"/>
      <c r="D328" s="12" t="n"/>
      <c r="E328" s="10" t="n"/>
      <c r="F328" s="11" t="n"/>
      <c r="G328" s="20">
        <f>IF(OR($A328="",$C328=""),"",NETWORKDAYS($C328,$J328,Holidays!$A$5:$A$40))</f>
        <v/>
      </c>
      <c r="H328" s="20">
        <f>IF(G328="","",IF($F328&lt;&gt;"",$F328,G328*IFERROR(IF(INDEX(Employees!$F$5:$F$29,MATCH($A328,Employees!$B$5:$B$29,0))="",Settings!$B$9,INDEX(Employees!$F$5:$F$29,MATCH($A328,Employees!$B$5:$B$29,0))),Settings!$B$9)))</f>
        <v/>
      </c>
      <c r="I328" s="10" t="n"/>
      <c r="J328" s="15">
        <f>IF($C328="","",IF($D328="",$C328,$D328))</f>
        <v/>
      </c>
    </row>
    <row r="329">
      <c r="A329" s="10" t="n"/>
      <c r="B329" s="10" t="n"/>
      <c r="C329" s="12" t="n"/>
      <c r="D329" s="12" t="n"/>
      <c r="E329" s="10" t="n"/>
      <c r="F329" s="11" t="n"/>
      <c r="G329" s="20">
        <f>IF(OR($A329="",$C329=""),"",NETWORKDAYS($C329,$J329,Holidays!$A$5:$A$40))</f>
        <v/>
      </c>
      <c r="H329" s="20">
        <f>IF(G329="","",IF($F329&lt;&gt;"",$F329,G329*IFERROR(IF(INDEX(Employees!$F$5:$F$29,MATCH($A329,Employees!$B$5:$B$29,0))="",Settings!$B$9,INDEX(Employees!$F$5:$F$29,MATCH($A329,Employees!$B$5:$B$29,0))),Settings!$B$9)))</f>
        <v/>
      </c>
      <c r="I329" s="10" t="n"/>
      <c r="J329" s="15">
        <f>IF($C329="","",IF($D329="",$C329,$D329))</f>
        <v/>
      </c>
    </row>
    <row r="330">
      <c r="A330" s="10" t="n"/>
      <c r="B330" s="10" t="n"/>
      <c r="C330" s="12" t="n"/>
      <c r="D330" s="12" t="n"/>
      <c r="E330" s="10" t="n"/>
      <c r="F330" s="11" t="n"/>
      <c r="G330" s="20">
        <f>IF(OR($A330="",$C330=""),"",NETWORKDAYS($C330,$J330,Holidays!$A$5:$A$40))</f>
        <v/>
      </c>
      <c r="H330" s="20">
        <f>IF(G330="","",IF($F330&lt;&gt;"",$F330,G330*IFERROR(IF(INDEX(Employees!$F$5:$F$29,MATCH($A330,Employees!$B$5:$B$29,0))="",Settings!$B$9,INDEX(Employees!$F$5:$F$29,MATCH($A330,Employees!$B$5:$B$29,0))),Settings!$B$9)))</f>
        <v/>
      </c>
      <c r="I330" s="10" t="n"/>
      <c r="J330" s="15">
        <f>IF($C330="","",IF($D330="",$C330,$D330))</f>
        <v/>
      </c>
    </row>
    <row r="331">
      <c r="A331" s="10" t="n"/>
      <c r="B331" s="10" t="n"/>
      <c r="C331" s="12" t="n"/>
      <c r="D331" s="12" t="n"/>
      <c r="E331" s="10" t="n"/>
      <c r="F331" s="11" t="n"/>
      <c r="G331" s="20">
        <f>IF(OR($A331="",$C331=""),"",NETWORKDAYS($C331,$J331,Holidays!$A$5:$A$40))</f>
        <v/>
      </c>
      <c r="H331" s="20">
        <f>IF(G331="","",IF($F331&lt;&gt;"",$F331,G331*IFERROR(IF(INDEX(Employees!$F$5:$F$29,MATCH($A331,Employees!$B$5:$B$29,0))="",Settings!$B$9,INDEX(Employees!$F$5:$F$29,MATCH($A331,Employees!$B$5:$B$29,0))),Settings!$B$9)))</f>
        <v/>
      </c>
      <c r="I331" s="10" t="n"/>
      <c r="J331" s="15">
        <f>IF($C331="","",IF($D331="",$C331,$D331))</f>
        <v/>
      </c>
    </row>
    <row r="332">
      <c r="A332" s="10" t="n"/>
      <c r="B332" s="10" t="n"/>
      <c r="C332" s="12" t="n"/>
      <c r="D332" s="12" t="n"/>
      <c r="E332" s="10" t="n"/>
      <c r="F332" s="11" t="n"/>
      <c r="G332" s="20">
        <f>IF(OR($A332="",$C332=""),"",NETWORKDAYS($C332,$J332,Holidays!$A$5:$A$40))</f>
        <v/>
      </c>
      <c r="H332" s="20">
        <f>IF(G332="","",IF($F332&lt;&gt;"",$F332,G332*IFERROR(IF(INDEX(Employees!$F$5:$F$29,MATCH($A332,Employees!$B$5:$B$29,0))="",Settings!$B$9,INDEX(Employees!$F$5:$F$29,MATCH($A332,Employees!$B$5:$B$29,0))),Settings!$B$9)))</f>
        <v/>
      </c>
      <c r="I332" s="10" t="n"/>
      <c r="J332" s="15">
        <f>IF($C332="","",IF($D332="",$C332,$D332))</f>
        <v/>
      </c>
    </row>
    <row r="333">
      <c r="A333" s="10" t="n"/>
      <c r="B333" s="10" t="n"/>
      <c r="C333" s="12" t="n"/>
      <c r="D333" s="12" t="n"/>
      <c r="E333" s="10" t="n"/>
      <c r="F333" s="11" t="n"/>
      <c r="G333" s="20">
        <f>IF(OR($A333="",$C333=""),"",NETWORKDAYS($C333,$J333,Holidays!$A$5:$A$40))</f>
        <v/>
      </c>
      <c r="H333" s="20">
        <f>IF(G333="","",IF($F333&lt;&gt;"",$F333,G333*IFERROR(IF(INDEX(Employees!$F$5:$F$29,MATCH($A333,Employees!$B$5:$B$29,0))="",Settings!$B$9,INDEX(Employees!$F$5:$F$29,MATCH($A333,Employees!$B$5:$B$29,0))),Settings!$B$9)))</f>
        <v/>
      </c>
      <c r="I333" s="10" t="n"/>
      <c r="J333" s="15">
        <f>IF($C333="","",IF($D333="",$C333,$D333))</f>
        <v/>
      </c>
    </row>
    <row r="334">
      <c r="A334" s="10" t="n"/>
      <c r="B334" s="10" t="n"/>
      <c r="C334" s="12" t="n"/>
      <c r="D334" s="12" t="n"/>
      <c r="E334" s="10" t="n"/>
      <c r="F334" s="11" t="n"/>
      <c r="G334" s="20">
        <f>IF(OR($A334="",$C334=""),"",NETWORKDAYS($C334,$J334,Holidays!$A$5:$A$40))</f>
        <v/>
      </c>
      <c r="H334" s="20">
        <f>IF(G334="","",IF($F334&lt;&gt;"",$F334,G334*IFERROR(IF(INDEX(Employees!$F$5:$F$29,MATCH($A334,Employees!$B$5:$B$29,0))="",Settings!$B$9,INDEX(Employees!$F$5:$F$29,MATCH($A334,Employees!$B$5:$B$29,0))),Settings!$B$9)))</f>
        <v/>
      </c>
      <c r="I334" s="10" t="n"/>
      <c r="J334" s="15">
        <f>IF($C334="","",IF($D334="",$C334,$D334))</f>
        <v/>
      </c>
    </row>
    <row r="335">
      <c r="A335" s="10" t="n"/>
      <c r="B335" s="10" t="n"/>
      <c r="C335" s="12" t="n"/>
      <c r="D335" s="12" t="n"/>
      <c r="E335" s="10" t="n"/>
      <c r="F335" s="11" t="n"/>
      <c r="G335" s="20">
        <f>IF(OR($A335="",$C335=""),"",NETWORKDAYS($C335,$J335,Holidays!$A$5:$A$40))</f>
        <v/>
      </c>
      <c r="H335" s="20">
        <f>IF(G335="","",IF($F335&lt;&gt;"",$F335,G335*IFERROR(IF(INDEX(Employees!$F$5:$F$29,MATCH($A335,Employees!$B$5:$B$29,0))="",Settings!$B$9,INDEX(Employees!$F$5:$F$29,MATCH($A335,Employees!$B$5:$B$29,0))),Settings!$B$9)))</f>
        <v/>
      </c>
      <c r="I335" s="10" t="n"/>
      <c r="J335" s="15">
        <f>IF($C335="","",IF($D335="",$C335,$D335))</f>
        <v/>
      </c>
    </row>
    <row r="336">
      <c r="A336" s="10" t="n"/>
      <c r="B336" s="10" t="n"/>
      <c r="C336" s="12" t="n"/>
      <c r="D336" s="12" t="n"/>
      <c r="E336" s="10" t="n"/>
      <c r="F336" s="11" t="n"/>
      <c r="G336" s="20">
        <f>IF(OR($A336="",$C336=""),"",NETWORKDAYS($C336,$J336,Holidays!$A$5:$A$40))</f>
        <v/>
      </c>
      <c r="H336" s="20">
        <f>IF(G336="","",IF($F336&lt;&gt;"",$F336,G336*IFERROR(IF(INDEX(Employees!$F$5:$F$29,MATCH($A336,Employees!$B$5:$B$29,0))="",Settings!$B$9,INDEX(Employees!$F$5:$F$29,MATCH($A336,Employees!$B$5:$B$29,0))),Settings!$B$9)))</f>
        <v/>
      </c>
      <c r="I336" s="10" t="n"/>
      <c r="J336" s="15">
        <f>IF($C336="","",IF($D336="",$C336,$D336))</f>
        <v/>
      </c>
    </row>
    <row r="337">
      <c r="A337" s="10" t="n"/>
      <c r="B337" s="10" t="n"/>
      <c r="C337" s="12" t="n"/>
      <c r="D337" s="12" t="n"/>
      <c r="E337" s="10" t="n"/>
      <c r="F337" s="11" t="n"/>
      <c r="G337" s="20">
        <f>IF(OR($A337="",$C337=""),"",NETWORKDAYS($C337,$J337,Holidays!$A$5:$A$40))</f>
        <v/>
      </c>
      <c r="H337" s="20">
        <f>IF(G337="","",IF($F337&lt;&gt;"",$F337,G337*IFERROR(IF(INDEX(Employees!$F$5:$F$29,MATCH($A337,Employees!$B$5:$B$29,0))="",Settings!$B$9,INDEX(Employees!$F$5:$F$29,MATCH($A337,Employees!$B$5:$B$29,0))),Settings!$B$9)))</f>
        <v/>
      </c>
      <c r="I337" s="10" t="n"/>
      <c r="J337" s="15">
        <f>IF($C337="","",IF($D337="",$C337,$D337))</f>
        <v/>
      </c>
    </row>
    <row r="338">
      <c r="A338" s="10" t="n"/>
      <c r="B338" s="10" t="n"/>
      <c r="C338" s="12" t="n"/>
      <c r="D338" s="12" t="n"/>
      <c r="E338" s="10" t="n"/>
      <c r="F338" s="11" t="n"/>
      <c r="G338" s="20">
        <f>IF(OR($A338="",$C338=""),"",NETWORKDAYS($C338,$J338,Holidays!$A$5:$A$40))</f>
        <v/>
      </c>
      <c r="H338" s="20">
        <f>IF(G338="","",IF($F338&lt;&gt;"",$F338,G338*IFERROR(IF(INDEX(Employees!$F$5:$F$29,MATCH($A338,Employees!$B$5:$B$29,0))="",Settings!$B$9,INDEX(Employees!$F$5:$F$29,MATCH($A338,Employees!$B$5:$B$29,0))),Settings!$B$9)))</f>
        <v/>
      </c>
      <c r="I338" s="10" t="n"/>
      <c r="J338" s="15">
        <f>IF($C338="","",IF($D338="",$C338,$D338))</f>
        <v/>
      </c>
    </row>
    <row r="339">
      <c r="A339" s="10" t="n"/>
      <c r="B339" s="10" t="n"/>
      <c r="C339" s="12" t="n"/>
      <c r="D339" s="12" t="n"/>
      <c r="E339" s="10" t="n"/>
      <c r="F339" s="11" t="n"/>
      <c r="G339" s="20">
        <f>IF(OR($A339="",$C339=""),"",NETWORKDAYS($C339,$J339,Holidays!$A$5:$A$40))</f>
        <v/>
      </c>
      <c r="H339" s="20">
        <f>IF(G339="","",IF($F339&lt;&gt;"",$F339,G339*IFERROR(IF(INDEX(Employees!$F$5:$F$29,MATCH($A339,Employees!$B$5:$B$29,0))="",Settings!$B$9,INDEX(Employees!$F$5:$F$29,MATCH($A339,Employees!$B$5:$B$29,0))),Settings!$B$9)))</f>
        <v/>
      </c>
      <c r="I339" s="10" t="n"/>
      <c r="J339" s="15">
        <f>IF($C339="","",IF($D339="",$C339,$D339))</f>
        <v/>
      </c>
    </row>
    <row r="340">
      <c r="A340" s="10" t="n"/>
      <c r="B340" s="10" t="n"/>
      <c r="C340" s="12" t="n"/>
      <c r="D340" s="12" t="n"/>
      <c r="E340" s="10" t="n"/>
      <c r="F340" s="11" t="n"/>
      <c r="G340" s="20">
        <f>IF(OR($A340="",$C340=""),"",NETWORKDAYS($C340,$J340,Holidays!$A$5:$A$40))</f>
        <v/>
      </c>
      <c r="H340" s="20">
        <f>IF(G340="","",IF($F340&lt;&gt;"",$F340,G340*IFERROR(IF(INDEX(Employees!$F$5:$F$29,MATCH($A340,Employees!$B$5:$B$29,0))="",Settings!$B$9,INDEX(Employees!$F$5:$F$29,MATCH($A340,Employees!$B$5:$B$29,0))),Settings!$B$9)))</f>
        <v/>
      </c>
      <c r="I340" s="10" t="n"/>
      <c r="J340" s="15">
        <f>IF($C340="","",IF($D340="",$C340,$D340))</f>
        <v/>
      </c>
    </row>
    <row r="341">
      <c r="A341" s="10" t="n"/>
      <c r="B341" s="10" t="n"/>
      <c r="C341" s="12" t="n"/>
      <c r="D341" s="12" t="n"/>
      <c r="E341" s="10" t="n"/>
      <c r="F341" s="11" t="n"/>
      <c r="G341" s="20">
        <f>IF(OR($A341="",$C341=""),"",NETWORKDAYS($C341,$J341,Holidays!$A$5:$A$40))</f>
        <v/>
      </c>
      <c r="H341" s="20">
        <f>IF(G341="","",IF($F341&lt;&gt;"",$F341,G341*IFERROR(IF(INDEX(Employees!$F$5:$F$29,MATCH($A341,Employees!$B$5:$B$29,0))="",Settings!$B$9,INDEX(Employees!$F$5:$F$29,MATCH($A341,Employees!$B$5:$B$29,0))),Settings!$B$9)))</f>
        <v/>
      </c>
      <c r="I341" s="10" t="n"/>
      <c r="J341" s="15">
        <f>IF($C341="","",IF($D341="",$C341,$D341))</f>
        <v/>
      </c>
    </row>
    <row r="342">
      <c r="A342" s="10" t="n"/>
      <c r="B342" s="10" t="n"/>
      <c r="C342" s="12" t="n"/>
      <c r="D342" s="12" t="n"/>
      <c r="E342" s="10" t="n"/>
      <c r="F342" s="11" t="n"/>
      <c r="G342" s="20">
        <f>IF(OR($A342="",$C342=""),"",NETWORKDAYS($C342,$J342,Holidays!$A$5:$A$40))</f>
        <v/>
      </c>
      <c r="H342" s="20">
        <f>IF(G342="","",IF($F342&lt;&gt;"",$F342,G342*IFERROR(IF(INDEX(Employees!$F$5:$F$29,MATCH($A342,Employees!$B$5:$B$29,0))="",Settings!$B$9,INDEX(Employees!$F$5:$F$29,MATCH($A342,Employees!$B$5:$B$29,0))),Settings!$B$9)))</f>
        <v/>
      </c>
      <c r="I342" s="10" t="n"/>
      <c r="J342" s="15">
        <f>IF($C342="","",IF($D342="",$C342,$D342))</f>
        <v/>
      </c>
    </row>
    <row r="343">
      <c r="A343" s="10" t="n"/>
      <c r="B343" s="10" t="n"/>
      <c r="C343" s="12" t="n"/>
      <c r="D343" s="12" t="n"/>
      <c r="E343" s="10" t="n"/>
      <c r="F343" s="11" t="n"/>
      <c r="G343" s="20">
        <f>IF(OR($A343="",$C343=""),"",NETWORKDAYS($C343,$J343,Holidays!$A$5:$A$40))</f>
        <v/>
      </c>
      <c r="H343" s="20">
        <f>IF(G343="","",IF($F343&lt;&gt;"",$F343,G343*IFERROR(IF(INDEX(Employees!$F$5:$F$29,MATCH($A343,Employees!$B$5:$B$29,0))="",Settings!$B$9,INDEX(Employees!$F$5:$F$29,MATCH($A343,Employees!$B$5:$B$29,0))),Settings!$B$9)))</f>
        <v/>
      </c>
      <c r="I343" s="10" t="n"/>
      <c r="J343" s="15">
        <f>IF($C343="","",IF($D343="",$C343,$D343))</f>
        <v/>
      </c>
    </row>
    <row r="344">
      <c r="A344" s="10" t="n"/>
      <c r="B344" s="10" t="n"/>
      <c r="C344" s="12" t="n"/>
      <c r="D344" s="12" t="n"/>
      <c r="E344" s="10" t="n"/>
      <c r="F344" s="11" t="n"/>
      <c r="G344" s="20">
        <f>IF(OR($A344="",$C344=""),"",NETWORKDAYS($C344,$J344,Holidays!$A$5:$A$40))</f>
        <v/>
      </c>
      <c r="H344" s="20">
        <f>IF(G344="","",IF($F344&lt;&gt;"",$F344,G344*IFERROR(IF(INDEX(Employees!$F$5:$F$29,MATCH($A344,Employees!$B$5:$B$29,0))="",Settings!$B$9,INDEX(Employees!$F$5:$F$29,MATCH($A344,Employees!$B$5:$B$29,0))),Settings!$B$9)))</f>
        <v/>
      </c>
      <c r="I344" s="10" t="n"/>
      <c r="J344" s="15">
        <f>IF($C344="","",IF($D344="",$C344,$D344))</f>
        <v/>
      </c>
    </row>
    <row r="345">
      <c r="A345" s="10" t="n"/>
      <c r="B345" s="10" t="n"/>
      <c r="C345" s="12" t="n"/>
      <c r="D345" s="12" t="n"/>
      <c r="E345" s="10" t="n"/>
      <c r="F345" s="11" t="n"/>
      <c r="G345" s="20">
        <f>IF(OR($A345="",$C345=""),"",NETWORKDAYS($C345,$J345,Holidays!$A$5:$A$40))</f>
        <v/>
      </c>
      <c r="H345" s="20">
        <f>IF(G345="","",IF($F345&lt;&gt;"",$F345,G345*IFERROR(IF(INDEX(Employees!$F$5:$F$29,MATCH($A345,Employees!$B$5:$B$29,0))="",Settings!$B$9,INDEX(Employees!$F$5:$F$29,MATCH($A345,Employees!$B$5:$B$29,0))),Settings!$B$9)))</f>
        <v/>
      </c>
      <c r="I345" s="10" t="n"/>
      <c r="J345" s="15">
        <f>IF($C345="","",IF($D345="",$C345,$D345))</f>
        <v/>
      </c>
    </row>
    <row r="346">
      <c r="A346" s="10" t="n"/>
      <c r="B346" s="10" t="n"/>
      <c r="C346" s="12" t="n"/>
      <c r="D346" s="12" t="n"/>
      <c r="E346" s="10" t="n"/>
      <c r="F346" s="11" t="n"/>
      <c r="G346" s="20">
        <f>IF(OR($A346="",$C346=""),"",NETWORKDAYS($C346,$J346,Holidays!$A$5:$A$40))</f>
        <v/>
      </c>
      <c r="H346" s="20">
        <f>IF(G346="","",IF($F346&lt;&gt;"",$F346,G346*IFERROR(IF(INDEX(Employees!$F$5:$F$29,MATCH($A346,Employees!$B$5:$B$29,0))="",Settings!$B$9,INDEX(Employees!$F$5:$F$29,MATCH($A346,Employees!$B$5:$B$29,0))),Settings!$B$9)))</f>
        <v/>
      </c>
      <c r="I346" s="10" t="n"/>
      <c r="J346" s="15">
        <f>IF($C346="","",IF($D346="",$C346,$D346))</f>
        <v/>
      </c>
    </row>
    <row r="347">
      <c r="A347" s="10" t="n"/>
      <c r="B347" s="10" t="n"/>
      <c r="C347" s="12" t="n"/>
      <c r="D347" s="12" t="n"/>
      <c r="E347" s="10" t="n"/>
      <c r="F347" s="11" t="n"/>
      <c r="G347" s="20">
        <f>IF(OR($A347="",$C347=""),"",NETWORKDAYS($C347,$J347,Holidays!$A$5:$A$40))</f>
        <v/>
      </c>
      <c r="H347" s="20">
        <f>IF(G347="","",IF($F347&lt;&gt;"",$F347,G347*IFERROR(IF(INDEX(Employees!$F$5:$F$29,MATCH($A347,Employees!$B$5:$B$29,0))="",Settings!$B$9,INDEX(Employees!$F$5:$F$29,MATCH($A347,Employees!$B$5:$B$29,0))),Settings!$B$9)))</f>
        <v/>
      </c>
      <c r="I347" s="10" t="n"/>
      <c r="J347" s="15">
        <f>IF($C347="","",IF($D347="",$C347,$D347))</f>
        <v/>
      </c>
    </row>
    <row r="348">
      <c r="A348" s="10" t="n"/>
      <c r="B348" s="10" t="n"/>
      <c r="C348" s="12" t="n"/>
      <c r="D348" s="12" t="n"/>
      <c r="E348" s="10" t="n"/>
      <c r="F348" s="11" t="n"/>
      <c r="G348" s="20">
        <f>IF(OR($A348="",$C348=""),"",NETWORKDAYS($C348,$J348,Holidays!$A$5:$A$40))</f>
        <v/>
      </c>
      <c r="H348" s="20">
        <f>IF(G348="","",IF($F348&lt;&gt;"",$F348,G348*IFERROR(IF(INDEX(Employees!$F$5:$F$29,MATCH($A348,Employees!$B$5:$B$29,0))="",Settings!$B$9,INDEX(Employees!$F$5:$F$29,MATCH($A348,Employees!$B$5:$B$29,0))),Settings!$B$9)))</f>
        <v/>
      </c>
      <c r="I348" s="10" t="n"/>
      <c r="J348" s="15">
        <f>IF($C348="","",IF($D348="",$C348,$D348))</f>
        <v/>
      </c>
    </row>
    <row r="349">
      <c r="A349" s="10" t="n"/>
      <c r="B349" s="10" t="n"/>
      <c r="C349" s="12" t="n"/>
      <c r="D349" s="12" t="n"/>
      <c r="E349" s="10" t="n"/>
      <c r="F349" s="11" t="n"/>
      <c r="G349" s="20">
        <f>IF(OR($A349="",$C349=""),"",NETWORKDAYS($C349,$J349,Holidays!$A$5:$A$40))</f>
        <v/>
      </c>
      <c r="H349" s="20">
        <f>IF(G349="","",IF($F349&lt;&gt;"",$F349,G349*IFERROR(IF(INDEX(Employees!$F$5:$F$29,MATCH($A349,Employees!$B$5:$B$29,0))="",Settings!$B$9,INDEX(Employees!$F$5:$F$29,MATCH($A349,Employees!$B$5:$B$29,0))),Settings!$B$9)))</f>
        <v/>
      </c>
      <c r="I349" s="10" t="n"/>
      <c r="J349" s="15">
        <f>IF($C349="","",IF($D349="",$C349,$D349))</f>
        <v/>
      </c>
    </row>
    <row r="350">
      <c r="A350" s="10" t="n"/>
      <c r="B350" s="10" t="n"/>
      <c r="C350" s="12" t="n"/>
      <c r="D350" s="12" t="n"/>
      <c r="E350" s="10" t="n"/>
      <c r="F350" s="11" t="n"/>
      <c r="G350" s="20">
        <f>IF(OR($A350="",$C350=""),"",NETWORKDAYS($C350,$J350,Holidays!$A$5:$A$40))</f>
        <v/>
      </c>
      <c r="H350" s="20">
        <f>IF(G350="","",IF($F350&lt;&gt;"",$F350,G350*IFERROR(IF(INDEX(Employees!$F$5:$F$29,MATCH($A350,Employees!$B$5:$B$29,0))="",Settings!$B$9,INDEX(Employees!$F$5:$F$29,MATCH($A350,Employees!$B$5:$B$29,0))),Settings!$B$9)))</f>
        <v/>
      </c>
      <c r="I350" s="10" t="n"/>
      <c r="J350" s="15">
        <f>IF($C350="","",IF($D350="",$C350,$D350))</f>
        <v/>
      </c>
    </row>
    <row r="351">
      <c r="A351" s="10" t="n"/>
      <c r="B351" s="10" t="n"/>
      <c r="C351" s="12" t="n"/>
      <c r="D351" s="12" t="n"/>
      <c r="E351" s="10" t="n"/>
      <c r="F351" s="11" t="n"/>
      <c r="G351" s="20">
        <f>IF(OR($A351="",$C351=""),"",NETWORKDAYS($C351,$J351,Holidays!$A$5:$A$40))</f>
        <v/>
      </c>
      <c r="H351" s="20">
        <f>IF(G351="","",IF($F351&lt;&gt;"",$F351,G351*IFERROR(IF(INDEX(Employees!$F$5:$F$29,MATCH($A351,Employees!$B$5:$B$29,0))="",Settings!$B$9,INDEX(Employees!$F$5:$F$29,MATCH($A351,Employees!$B$5:$B$29,0))),Settings!$B$9)))</f>
        <v/>
      </c>
      <c r="I351" s="10" t="n"/>
      <c r="J351" s="15">
        <f>IF($C351="","",IF($D351="",$C351,$D351))</f>
        <v/>
      </c>
    </row>
    <row r="352">
      <c r="A352" s="10" t="n"/>
      <c r="B352" s="10" t="n"/>
      <c r="C352" s="12" t="n"/>
      <c r="D352" s="12" t="n"/>
      <c r="E352" s="10" t="n"/>
      <c r="F352" s="11" t="n"/>
      <c r="G352" s="20">
        <f>IF(OR($A352="",$C352=""),"",NETWORKDAYS($C352,$J352,Holidays!$A$5:$A$40))</f>
        <v/>
      </c>
      <c r="H352" s="20">
        <f>IF(G352="","",IF($F352&lt;&gt;"",$F352,G352*IFERROR(IF(INDEX(Employees!$F$5:$F$29,MATCH($A352,Employees!$B$5:$B$29,0))="",Settings!$B$9,INDEX(Employees!$F$5:$F$29,MATCH($A352,Employees!$B$5:$B$29,0))),Settings!$B$9)))</f>
        <v/>
      </c>
      <c r="I352" s="10" t="n"/>
      <c r="J352" s="15">
        <f>IF($C352="","",IF($D352="",$C352,$D352))</f>
        <v/>
      </c>
    </row>
    <row r="353">
      <c r="A353" s="10" t="n"/>
      <c r="B353" s="10" t="n"/>
      <c r="C353" s="12" t="n"/>
      <c r="D353" s="12" t="n"/>
      <c r="E353" s="10" t="n"/>
      <c r="F353" s="11" t="n"/>
      <c r="G353" s="20">
        <f>IF(OR($A353="",$C353=""),"",NETWORKDAYS($C353,$J353,Holidays!$A$5:$A$40))</f>
        <v/>
      </c>
      <c r="H353" s="20">
        <f>IF(G353="","",IF($F353&lt;&gt;"",$F353,G353*IFERROR(IF(INDEX(Employees!$F$5:$F$29,MATCH($A353,Employees!$B$5:$B$29,0))="",Settings!$B$9,INDEX(Employees!$F$5:$F$29,MATCH($A353,Employees!$B$5:$B$29,0))),Settings!$B$9)))</f>
        <v/>
      </c>
      <c r="I353" s="10" t="n"/>
      <c r="J353" s="15">
        <f>IF($C353="","",IF($D353="",$C353,$D353))</f>
        <v/>
      </c>
    </row>
    <row r="354">
      <c r="A354" s="10" t="n"/>
      <c r="B354" s="10" t="n"/>
      <c r="C354" s="12" t="n"/>
      <c r="D354" s="12" t="n"/>
      <c r="E354" s="10" t="n"/>
      <c r="F354" s="11" t="n"/>
      <c r="G354" s="20">
        <f>IF(OR($A354="",$C354=""),"",NETWORKDAYS($C354,$J354,Holidays!$A$5:$A$40))</f>
        <v/>
      </c>
      <c r="H354" s="20">
        <f>IF(G354="","",IF($F354&lt;&gt;"",$F354,G354*IFERROR(IF(INDEX(Employees!$F$5:$F$29,MATCH($A354,Employees!$B$5:$B$29,0))="",Settings!$B$9,INDEX(Employees!$F$5:$F$29,MATCH($A354,Employees!$B$5:$B$29,0))),Settings!$B$9)))</f>
        <v/>
      </c>
      <c r="I354" s="10" t="n"/>
      <c r="J354" s="15">
        <f>IF($C354="","",IF($D354="",$C354,$D354))</f>
        <v/>
      </c>
    </row>
    <row r="355">
      <c r="A355" s="10" t="n"/>
      <c r="B355" s="10" t="n"/>
      <c r="C355" s="12" t="n"/>
      <c r="D355" s="12" t="n"/>
      <c r="E355" s="10" t="n"/>
      <c r="F355" s="11" t="n"/>
      <c r="G355" s="20">
        <f>IF(OR($A355="",$C355=""),"",NETWORKDAYS($C355,$J355,Holidays!$A$5:$A$40))</f>
        <v/>
      </c>
      <c r="H355" s="20">
        <f>IF(G355="","",IF($F355&lt;&gt;"",$F355,G355*IFERROR(IF(INDEX(Employees!$F$5:$F$29,MATCH($A355,Employees!$B$5:$B$29,0))="",Settings!$B$9,INDEX(Employees!$F$5:$F$29,MATCH($A355,Employees!$B$5:$B$29,0))),Settings!$B$9)))</f>
        <v/>
      </c>
      <c r="I355" s="10" t="n"/>
      <c r="J355" s="15">
        <f>IF($C355="","",IF($D355="",$C355,$D355))</f>
        <v/>
      </c>
    </row>
    <row r="356">
      <c r="A356" s="10" t="n"/>
      <c r="B356" s="10" t="n"/>
      <c r="C356" s="12" t="n"/>
      <c r="D356" s="12" t="n"/>
      <c r="E356" s="10" t="n"/>
      <c r="F356" s="11" t="n"/>
      <c r="G356" s="20">
        <f>IF(OR($A356="",$C356=""),"",NETWORKDAYS($C356,$J356,Holidays!$A$5:$A$40))</f>
        <v/>
      </c>
      <c r="H356" s="20">
        <f>IF(G356="","",IF($F356&lt;&gt;"",$F356,G356*IFERROR(IF(INDEX(Employees!$F$5:$F$29,MATCH($A356,Employees!$B$5:$B$29,0))="",Settings!$B$9,INDEX(Employees!$F$5:$F$29,MATCH($A356,Employees!$B$5:$B$29,0))),Settings!$B$9)))</f>
        <v/>
      </c>
      <c r="I356" s="10" t="n"/>
      <c r="J356" s="15">
        <f>IF($C356="","",IF($D356="",$C356,$D356))</f>
        <v/>
      </c>
    </row>
    <row r="357">
      <c r="A357" s="10" t="n"/>
      <c r="B357" s="10" t="n"/>
      <c r="C357" s="12" t="n"/>
      <c r="D357" s="12" t="n"/>
      <c r="E357" s="10" t="n"/>
      <c r="F357" s="11" t="n"/>
      <c r="G357" s="20">
        <f>IF(OR($A357="",$C357=""),"",NETWORKDAYS($C357,$J357,Holidays!$A$5:$A$40))</f>
        <v/>
      </c>
      <c r="H357" s="20">
        <f>IF(G357="","",IF($F357&lt;&gt;"",$F357,G357*IFERROR(IF(INDEX(Employees!$F$5:$F$29,MATCH($A357,Employees!$B$5:$B$29,0))="",Settings!$B$9,INDEX(Employees!$F$5:$F$29,MATCH($A357,Employees!$B$5:$B$29,0))),Settings!$B$9)))</f>
        <v/>
      </c>
      <c r="I357" s="10" t="n"/>
      <c r="J357" s="15">
        <f>IF($C357="","",IF($D357="",$C357,$D357))</f>
        <v/>
      </c>
    </row>
    <row r="358">
      <c r="A358" s="10" t="n"/>
      <c r="B358" s="10" t="n"/>
      <c r="C358" s="12" t="n"/>
      <c r="D358" s="12" t="n"/>
      <c r="E358" s="10" t="n"/>
      <c r="F358" s="11" t="n"/>
      <c r="G358" s="20">
        <f>IF(OR($A358="",$C358=""),"",NETWORKDAYS($C358,$J358,Holidays!$A$5:$A$40))</f>
        <v/>
      </c>
      <c r="H358" s="20">
        <f>IF(G358="","",IF($F358&lt;&gt;"",$F358,G358*IFERROR(IF(INDEX(Employees!$F$5:$F$29,MATCH($A358,Employees!$B$5:$B$29,0))="",Settings!$B$9,INDEX(Employees!$F$5:$F$29,MATCH($A358,Employees!$B$5:$B$29,0))),Settings!$B$9)))</f>
        <v/>
      </c>
      <c r="I358" s="10" t="n"/>
      <c r="J358" s="15">
        <f>IF($C358="","",IF($D358="",$C358,$D358))</f>
        <v/>
      </c>
    </row>
    <row r="359">
      <c r="A359" s="10" t="n"/>
      <c r="B359" s="10" t="n"/>
      <c r="C359" s="12" t="n"/>
      <c r="D359" s="12" t="n"/>
      <c r="E359" s="10" t="n"/>
      <c r="F359" s="11" t="n"/>
      <c r="G359" s="20">
        <f>IF(OR($A359="",$C359=""),"",NETWORKDAYS($C359,$J359,Holidays!$A$5:$A$40))</f>
        <v/>
      </c>
      <c r="H359" s="20">
        <f>IF(G359="","",IF($F359&lt;&gt;"",$F359,G359*IFERROR(IF(INDEX(Employees!$F$5:$F$29,MATCH($A359,Employees!$B$5:$B$29,0))="",Settings!$B$9,INDEX(Employees!$F$5:$F$29,MATCH($A359,Employees!$B$5:$B$29,0))),Settings!$B$9)))</f>
        <v/>
      </c>
      <c r="I359" s="10" t="n"/>
      <c r="J359" s="15">
        <f>IF($C359="","",IF($D359="",$C359,$D359))</f>
        <v/>
      </c>
    </row>
    <row r="360">
      <c r="A360" s="10" t="n"/>
      <c r="B360" s="10" t="n"/>
      <c r="C360" s="12" t="n"/>
      <c r="D360" s="12" t="n"/>
      <c r="E360" s="10" t="n"/>
      <c r="F360" s="11" t="n"/>
      <c r="G360" s="20">
        <f>IF(OR($A360="",$C360=""),"",NETWORKDAYS($C360,$J360,Holidays!$A$5:$A$40))</f>
        <v/>
      </c>
      <c r="H360" s="20">
        <f>IF(G360="","",IF($F360&lt;&gt;"",$F360,G360*IFERROR(IF(INDEX(Employees!$F$5:$F$29,MATCH($A360,Employees!$B$5:$B$29,0))="",Settings!$B$9,INDEX(Employees!$F$5:$F$29,MATCH($A360,Employees!$B$5:$B$29,0))),Settings!$B$9)))</f>
        <v/>
      </c>
      <c r="I360" s="10" t="n"/>
      <c r="J360" s="15">
        <f>IF($C360="","",IF($D360="",$C360,$D360))</f>
        <v/>
      </c>
    </row>
    <row r="361">
      <c r="A361" s="10" t="n"/>
      <c r="B361" s="10" t="n"/>
      <c r="C361" s="12" t="n"/>
      <c r="D361" s="12" t="n"/>
      <c r="E361" s="10" t="n"/>
      <c r="F361" s="11" t="n"/>
      <c r="G361" s="20">
        <f>IF(OR($A361="",$C361=""),"",NETWORKDAYS($C361,$J361,Holidays!$A$5:$A$40))</f>
        <v/>
      </c>
      <c r="H361" s="20">
        <f>IF(G361="","",IF($F361&lt;&gt;"",$F361,G361*IFERROR(IF(INDEX(Employees!$F$5:$F$29,MATCH($A361,Employees!$B$5:$B$29,0))="",Settings!$B$9,INDEX(Employees!$F$5:$F$29,MATCH($A361,Employees!$B$5:$B$29,0))),Settings!$B$9)))</f>
        <v/>
      </c>
      <c r="I361" s="10" t="n"/>
      <c r="J361" s="15">
        <f>IF($C361="","",IF($D361="",$C361,$D361))</f>
        <v/>
      </c>
    </row>
    <row r="362">
      <c r="A362" s="10" t="n"/>
      <c r="B362" s="10" t="n"/>
      <c r="C362" s="12" t="n"/>
      <c r="D362" s="12" t="n"/>
      <c r="E362" s="10" t="n"/>
      <c r="F362" s="11" t="n"/>
      <c r="G362" s="20">
        <f>IF(OR($A362="",$C362=""),"",NETWORKDAYS($C362,$J362,Holidays!$A$5:$A$40))</f>
        <v/>
      </c>
      <c r="H362" s="20">
        <f>IF(G362="","",IF($F362&lt;&gt;"",$F362,G362*IFERROR(IF(INDEX(Employees!$F$5:$F$29,MATCH($A362,Employees!$B$5:$B$29,0))="",Settings!$B$9,INDEX(Employees!$F$5:$F$29,MATCH($A362,Employees!$B$5:$B$29,0))),Settings!$B$9)))</f>
        <v/>
      </c>
      <c r="I362" s="10" t="n"/>
      <c r="J362" s="15">
        <f>IF($C362="","",IF($D362="",$C362,$D362))</f>
        <v/>
      </c>
    </row>
    <row r="363">
      <c r="A363" s="10" t="n"/>
      <c r="B363" s="10" t="n"/>
      <c r="C363" s="12" t="n"/>
      <c r="D363" s="12" t="n"/>
      <c r="E363" s="10" t="n"/>
      <c r="F363" s="11" t="n"/>
      <c r="G363" s="20">
        <f>IF(OR($A363="",$C363=""),"",NETWORKDAYS($C363,$J363,Holidays!$A$5:$A$40))</f>
        <v/>
      </c>
      <c r="H363" s="20">
        <f>IF(G363="","",IF($F363&lt;&gt;"",$F363,G363*IFERROR(IF(INDEX(Employees!$F$5:$F$29,MATCH($A363,Employees!$B$5:$B$29,0))="",Settings!$B$9,INDEX(Employees!$F$5:$F$29,MATCH($A363,Employees!$B$5:$B$29,0))),Settings!$B$9)))</f>
        <v/>
      </c>
      <c r="I363" s="10" t="n"/>
      <c r="J363" s="15">
        <f>IF($C363="","",IF($D363="",$C363,$D363))</f>
        <v/>
      </c>
    </row>
    <row r="364">
      <c r="A364" s="10" t="n"/>
      <c r="B364" s="10" t="n"/>
      <c r="C364" s="12" t="n"/>
      <c r="D364" s="12" t="n"/>
      <c r="E364" s="10" t="n"/>
      <c r="F364" s="11" t="n"/>
      <c r="G364" s="20">
        <f>IF(OR($A364="",$C364=""),"",NETWORKDAYS($C364,$J364,Holidays!$A$5:$A$40))</f>
        <v/>
      </c>
      <c r="H364" s="20">
        <f>IF(G364="","",IF($F364&lt;&gt;"",$F364,G364*IFERROR(IF(INDEX(Employees!$F$5:$F$29,MATCH($A364,Employees!$B$5:$B$29,0))="",Settings!$B$9,INDEX(Employees!$F$5:$F$29,MATCH($A364,Employees!$B$5:$B$29,0))),Settings!$B$9)))</f>
        <v/>
      </c>
      <c r="I364" s="10" t="n"/>
      <c r="J364" s="15">
        <f>IF($C364="","",IF($D364="",$C364,$D364))</f>
        <v/>
      </c>
    </row>
    <row r="365">
      <c r="A365" s="10" t="n"/>
      <c r="B365" s="10" t="n"/>
      <c r="C365" s="12" t="n"/>
      <c r="D365" s="12" t="n"/>
      <c r="E365" s="10" t="n"/>
      <c r="F365" s="11" t="n"/>
      <c r="G365" s="20">
        <f>IF(OR($A365="",$C365=""),"",NETWORKDAYS($C365,$J365,Holidays!$A$5:$A$40))</f>
        <v/>
      </c>
      <c r="H365" s="20">
        <f>IF(G365="","",IF($F365&lt;&gt;"",$F365,G365*IFERROR(IF(INDEX(Employees!$F$5:$F$29,MATCH($A365,Employees!$B$5:$B$29,0))="",Settings!$B$9,INDEX(Employees!$F$5:$F$29,MATCH($A365,Employees!$B$5:$B$29,0))),Settings!$B$9)))</f>
        <v/>
      </c>
      <c r="I365" s="10" t="n"/>
      <c r="J365" s="15">
        <f>IF($C365="","",IF($D365="",$C365,$D365))</f>
        <v/>
      </c>
    </row>
    <row r="366">
      <c r="A366" s="10" t="n"/>
      <c r="B366" s="10" t="n"/>
      <c r="C366" s="12" t="n"/>
      <c r="D366" s="12" t="n"/>
      <c r="E366" s="10" t="n"/>
      <c r="F366" s="11" t="n"/>
      <c r="G366" s="20">
        <f>IF(OR($A366="",$C366=""),"",NETWORKDAYS($C366,$J366,Holidays!$A$5:$A$40))</f>
        <v/>
      </c>
      <c r="H366" s="20">
        <f>IF(G366="","",IF($F366&lt;&gt;"",$F366,G366*IFERROR(IF(INDEX(Employees!$F$5:$F$29,MATCH($A366,Employees!$B$5:$B$29,0))="",Settings!$B$9,INDEX(Employees!$F$5:$F$29,MATCH($A366,Employees!$B$5:$B$29,0))),Settings!$B$9)))</f>
        <v/>
      </c>
      <c r="I366" s="10" t="n"/>
      <c r="J366" s="15">
        <f>IF($C366="","",IF($D366="",$C366,$D366))</f>
        <v/>
      </c>
    </row>
    <row r="367">
      <c r="A367" s="10" t="n"/>
      <c r="B367" s="10" t="n"/>
      <c r="C367" s="12" t="n"/>
      <c r="D367" s="12" t="n"/>
      <c r="E367" s="10" t="n"/>
      <c r="F367" s="11" t="n"/>
      <c r="G367" s="20">
        <f>IF(OR($A367="",$C367=""),"",NETWORKDAYS($C367,$J367,Holidays!$A$5:$A$40))</f>
        <v/>
      </c>
      <c r="H367" s="20">
        <f>IF(G367="","",IF($F367&lt;&gt;"",$F367,G367*IFERROR(IF(INDEX(Employees!$F$5:$F$29,MATCH($A367,Employees!$B$5:$B$29,0))="",Settings!$B$9,INDEX(Employees!$F$5:$F$29,MATCH($A367,Employees!$B$5:$B$29,0))),Settings!$B$9)))</f>
        <v/>
      </c>
      <c r="I367" s="10" t="n"/>
      <c r="J367" s="15">
        <f>IF($C367="","",IF($D367="",$C367,$D367))</f>
        <v/>
      </c>
    </row>
    <row r="368">
      <c r="A368" s="10" t="n"/>
      <c r="B368" s="10" t="n"/>
      <c r="C368" s="12" t="n"/>
      <c r="D368" s="12" t="n"/>
      <c r="E368" s="10" t="n"/>
      <c r="F368" s="11" t="n"/>
      <c r="G368" s="20">
        <f>IF(OR($A368="",$C368=""),"",NETWORKDAYS($C368,$J368,Holidays!$A$5:$A$40))</f>
        <v/>
      </c>
      <c r="H368" s="20">
        <f>IF(G368="","",IF($F368&lt;&gt;"",$F368,G368*IFERROR(IF(INDEX(Employees!$F$5:$F$29,MATCH($A368,Employees!$B$5:$B$29,0))="",Settings!$B$9,INDEX(Employees!$F$5:$F$29,MATCH($A368,Employees!$B$5:$B$29,0))),Settings!$B$9)))</f>
        <v/>
      </c>
      <c r="I368" s="10" t="n"/>
      <c r="J368" s="15">
        <f>IF($C368="","",IF($D368="",$C368,$D368))</f>
        <v/>
      </c>
    </row>
    <row r="369">
      <c r="A369" s="10" t="n"/>
      <c r="B369" s="10" t="n"/>
      <c r="C369" s="12" t="n"/>
      <c r="D369" s="12" t="n"/>
      <c r="E369" s="10" t="n"/>
      <c r="F369" s="11" t="n"/>
      <c r="G369" s="20">
        <f>IF(OR($A369="",$C369=""),"",NETWORKDAYS($C369,$J369,Holidays!$A$5:$A$40))</f>
        <v/>
      </c>
      <c r="H369" s="20">
        <f>IF(G369="","",IF($F369&lt;&gt;"",$F369,G369*IFERROR(IF(INDEX(Employees!$F$5:$F$29,MATCH($A369,Employees!$B$5:$B$29,0))="",Settings!$B$9,INDEX(Employees!$F$5:$F$29,MATCH($A369,Employees!$B$5:$B$29,0))),Settings!$B$9)))</f>
        <v/>
      </c>
      <c r="I369" s="10" t="n"/>
      <c r="J369" s="15">
        <f>IF($C369="","",IF($D369="",$C369,$D369))</f>
        <v/>
      </c>
    </row>
    <row r="370">
      <c r="A370" s="10" t="n"/>
      <c r="B370" s="10" t="n"/>
      <c r="C370" s="12" t="n"/>
      <c r="D370" s="12" t="n"/>
      <c r="E370" s="10" t="n"/>
      <c r="F370" s="11" t="n"/>
      <c r="G370" s="20">
        <f>IF(OR($A370="",$C370=""),"",NETWORKDAYS($C370,$J370,Holidays!$A$5:$A$40))</f>
        <v/>
      </c>
      <c r="H370" s="20">
        <f>IF(G370="","",IF($F370&lt;&gt;"",$F370,G370*IFERROR(IF(INDEX(Employees!$F$5:$F$29,MATCH($A370,Employees!$B$5:$B$29,0))="",Settings!$B$9,INDEX(Employees!$F$5:$F$29,MATCH($A370,Employees!$B$5:$B$29,0))),Settings!$B$9)))</f>
        <v/>
      </c>
      <c r="I370" s="10" t="n"/>
      <c r="J370" s="15">
        <f>IF($C370="","",IF($D370="",$C370,$D370))</f>
        <v/>
      </c>
    </row>
    <row r="371">
      <c r="A371" s="10" t="n"/>
      <c r="B371" s="10" t="n"/>
      <c r="C371" s="12" t="n"/>
      <c r="D371" s="12" t="n"/>
      <c r="E371" s="10" t="n"/>
      <c r="F371" s="11" t="n"/>
      <c r="G371" s="20">
        <f>IF(OR($A371="",$C371=""),"",NETWORKDAYS($C371,$J371,Holidays!$A$5:$A$40))</f>
        <v/>
      </c>
      <c r="H371" s="20">
        <f>IF(G371="","",IF($F371&lt;&gt;"",$F371,G371*IFERROR(IF(INDEX(Employees!$F$5:$F$29,MATCH($A371,Employees!$B$5:$B$29,0))="",Settings!$B$9,INDEX(Employees!$F$5:$F$29,MATCH($A371,Employees!$B$5:$B$29,0))),Settings!$B$9)))</f>
        <v/>
      </c>
      <c r="I371" s="10" t="n"/>
      <c r="J371" s="15">
        <f>IF($C371="","",IF($D371="",$C371,$D371))</f>
        <v/>
      </c>
    </row>
    <row r="372">
      <c r="A372" s="10" t="n"/>
      <c r="B372" s="10" t="n"/>
      <c r="C372" s="12" t="n"/>
      <c r="D372" s="12" t="n"/>
      <c r="E372" s="10" t="n"/>
      <c r="F372" s="11" t="n"/>
      <c r="G372" s="20">
        <f>IF(OR($A372="",$C372=""),"",NETWORKDAYS($C372,$J372,Holidays!$A$5:$A$40))</f>
        <v/>
      </c>
      <c r="H372" s="20">
        <f>IF(G372="","",IF($F372&lt;&gt;"",$F372,G372*IFERROR(IF(INDEX(Employees!$F$5:$F$29,MATCH($A372,Employees!$B$5:$B$29,0))="",Settings!$B$9,INDEX(Employees!$F$5:$F$29,MATCH($A372,Employees!$B$5:$B$29,0))),Settings!$B$9)))</f>
        <v/>
      </c>
      <c r="I372" s="10" t="n"/>
      <c r="J372" s="15">
        <f>IF($C372="","",IF($D372="",$C372,$D372))</f>
        <v/>
      </c>
    </row>
    <row r="373">
      <c r="A373" s="10" t="n"/>
      <c r="B373" s="10" t="n"/>
      <c r="C373" s="12" t="n"/>
      <c r="D373" s="12" t="n"/>
      <c r="E373" s="10" t="n"/>
      <c r="F373" s="11" t="n"/>
      <c r="G373" s="20">
        <f>IF(OR($A373="",$C373=""),"",NETWORKDAYS($C373,$J373,Holidays!$A$5:$A$40))</f>
        <v/>
      </c>
      <c r="H373" s="20">
        <f>IF(G373="","",IF($F373&lt;&gt;"",$F373,G373*IFERROR(IF(INDEX(Employees!$F$5:$F$29,MATCH($A373,Employees!$B$5:$B$29,0))="",Settings!$B$9,INDEX(Employees!$F$5:$F$29,MATCH($A373,Employees!$B$5:$B$29,0))),Settings!$B$9)))</f>
        <v/>
      </c>
      <c r="I373" s="10" t="n"/>
      <c r="J373" s="15">
        <f>IF($C373="","",IF($D373="",$C373,$D373))</f>
        <v/>
      </c>
    </row>
    <row r="374">
      <c r="A374" s="10" t="n"/>
      <c r="B374" s="10" t="n"/>
      <c r="C374" s="12" t="n"/>
      <c r="D374" s="12" t="n"/>
      <c r="E374" s="10" t="n"/>
      <c r="F374" s="11" t="n"/>
      <c r="G374" s="20">
        <f>IF(OR($A374="",$C374=""),"",NETWORKDAYS($C374,$J374,Holidays!$A$5:$A$40))</f>
        <v/>
      </c>
      <c r="H374" s="20">
        <f>IF(G374="","",IF($F374&lt;&gt;"",$F374,G374*IFERROR(IF(INDEX(Employees!$F$5:$F$29,MATCH($A374,Employees!$B$5:$B$29,0))="",Settings!$B$9,INDEX(Employees!$F$5:$F$29,MATCH($A374,Employees!$B$5:$B$29,0))),Settings!$B$9)))</f>
        <v/>
      </c>
      <c r="I374" s="10" t="n"/>
      <c r="J374" s="15">
        <f>IF($C374="","",IF($D374="",$C374,$D374))</f>
        <v/>
      </c>
    </row>
    <row r="375">
      <c r="A375" s="10" t="n"/>
      <c r="B375" s="10" t="n"/>
      <c r="C375" s="12" t="n"/>
      <c r="D375" s="12" t="n"/>
      <c r="E375" s="10" t="n"/>
      <c r="F375" s="11" t="n"/>
      <c r="G375" s="20">
        <f>IF(OR($A375="",$C375=""),"",NETWORKDAYS($C375,$J375,Holidays!$A$5:$A$40))</f>
        <v/>
      </c>
      <c r="H375" s="20">
        <f>IF(G375="","",IF($F375&lt;&gt;"",$F375,G375*IFERROR(IF(INDEX(Employees!$F$5:$F$29,MATCH($A375,Employees!$B$5:$B$29,0))="",Settings!$B$9,INDEX(Employees!$F$5:$F$29,MATCH($A375,Employees!$B$5:$B$29,0))),Settings!$B$9)))</f>
        <v/>
      </c>
      <c r="I375" s="10" t="n"/>
      <c r="J375" s="15">
        <f>IF($C375="","",IF($D375="",$C375,$D375))</f>
        <v/>
      </c>
    </row>
    <row r="376">
      <c r="A376" s="10" t="n"/>
      <c r="B376" s="10" t="n"/>
      <c r="C376" s="12" t="n"/>
      <c r="D376" s="12" t="n"/>
      <c r="E376" s="10" t="n"/>
      <c r="F376" s="11" t="n"/>
      <c r="G376" s="20">
        <f>IF(OR($A376="",$C376=""),"",NETWORKDAYS($C376,$J376,Holidays!$A$5:$A$40))</f>
        <v/>
      </c>
      <c r="H376" s="20">
        <f>IF(G376="","",IF($F376&lt;&gt;"",$F376,G376*IFERROR(IF(INDEX(Employees!$F$5:$F$29,MATCH($A376,Employees!$B$5:$B$29,0))="",Settings!$B$9,INDEX(Employees!$F$5:$F$29,MATCH($A376,Employees!$B$5:$B$29,0))),Settings!$B$9)))</f>
        <v/>
      </c>
      <c r="I376" s="10" t="n"/>
      <c r="J376" s="15">
        <f>IF($C376="","",IF($D376="",$C376,$D376))</f>
        <v/>
      </c>
    </row>
    <row r="377">
      <c r="A377" s="10" t="n"/>
      <c r="B377" s="10" t="n"/>
      <c r="C377" s="12" t="n"/>
      <c r="D377" s="12" t="n"/>
      <c r="E377" s="10" t="n"/>
      <c r="F377" s="11" t="n"/>
      <c r="G377" s="20">
        <f>IF(OR($A377="",$C377=""),"",NETWORKDAYS($C377,$J377,Holidays!$A$5:$A$40))</f>
        <v/>
      </c>
      <c r="H377" s="20">
        <f>IF(G377="","",IF($F377&lt;&gt;"",$F377,G377*IFERROR(IF(INDEX(Employees!$F$5:$F$29,MATCH($A377,Employees!$B$5:$B$29,0))="",Settings!$B$9,INDEX(Employees!$F$5:$F$29,MATCH($A377,Employees!$B$5:$B$29,0))),Settings!$B$9)))</f>
        <v/>
      </c>
      <c r="I377" s="10" t="n"/>
      <c r="J377" s="15">
        <f>IF($C377="","",IF($D377="",$C377,$D377))</f>
        <v/>
      </c>
    </row>
    <row r="378">
      <c r="A378" s="10" t="n"/>
      <c r="B378" s="10" t="n"/>
      <c r="C378" s="12" t="n"/>
      <c r="D378" s="12" t="n"/>
      <c r="E378" s="10" t="n"/>
      <c r="F378" s="11" t="n"/>
      <c r="G378" s="20">
        <f>IF(OR($A378="",$C378=""),"",NETWORKDAYS($C378,$J378,Holidays!$A$5:$A$40))</f>
        <v/>
      </c>
      <c r="H378" s="20">
        <f>IF(G378="","",IF($F378&lt;&gt;"",$F378,G378*IFERROR(IF(INDEX(Employees!$F$5:$F$29,MATCH($A378,Employees!$B$5:$B$29,0))="",Settings!$B$9,INDEX(Employees!$F$5:$F$29,MATCH($A378,Employees!$B$5:$B$29,0))),Settings!$B$9)))</f>
        <v/>
      </c>
      <c r="I378" s="10" t="n"/>
      <c r="J378" s="15">
        <f>IF($C378="","",IF($D378="",$C378,$D378))</f>
        <v/>
      </c>
    </row>
    <row r="379">
      <c r="A379" s="10" t="n"/>
      <c r="B379" s="10" t="n"/>
      <c r="C379" s="12" t="n"/>
      <c r="D379" s="12" t="n"/>
      <c r="E379" s="10" t="n"/>
      <c r="F379" s="11" t="n"/>
      <c r="G379" s="20">
        <f>IF(OR($A379="",$C379=""),"",NETWORKDAYS($C379,$J379,Holidays!$A$5:$A$40))</f>
        <v/>
      </c>
      <c r="H379" s="20">
        <f>IF(G379="","",IF($F379&lt;&gt;"",$F379,G379*IFERROR(IF(INDEX(Employees!$F$5:$F$29,MATCH($A379,Employees!$B$5:$B$29,0))="",Settings!$B$9,INDEX(Employees!$F$5:$F$29,MATCH($A379,Employees!$B$5:$B$29,0))),Settings!$B$9)))</f>
        <v/>
      </c>
      <c r="I379" s="10" t="n"/>
      <c r="J379" s="15">
        <f>IF($C379="","",IF($D379="",$C379,$D379))</f>
        <v/>
      </c>
    </row>
    <row r="380">
      <c r="A380" s="10" t="n"/>
      <c r="B380" s="10" t="n"/>
      <c r="C380" s="12" t="n"/>
      <c r="D380" s="12" t="n"/>
      <c r="E380" s="10" t="n"/>
      <c r="F380" s="11" t="n"/>
      <c r="G380" s="20">
        <f>IF(OR($A380="",$C380=""),"",NETWORKDAYS($C380,$J380,Holidays!$A$5:$A$40))</f>
        <v/>
      </c>
      <c r="H380" s="20">
        <f>IF(G380="","",IF($F380&lt;&gt;"",$F380,G380*IFERROR(IF(INDEX(Employees!$F$5:$F$29,MATCH($A380,Employees!$B$5:$B$29,0))="",Settings!$B$9,INDEX(Employees!$F$5:$F$29,MATCH($A380,Employees!$B$5:$B$29,0))),Settings!$B$9)))</f>
        <v/>
      </c>
      <c r="I380" s="10" t="n"/>
      <c r="J380" s="15">
        <f>IF($C380="","",IF($D380="",$C380,$D380))</f>
        <v/>
      </c>
    </row>
    <row r="381">
      <c r="A381" s="10" t="n"/>
      <c r="B381" s="10" t="n"/>
      <c r="C381" s="12" t="n"/>
      <c r="D381" s="12" t="n"/>
      <c r="E381" s="10" t="n"/>
      <c r="F381" s="11" t="n"/>
      <c r="G381" s="20">
        <f>IF(OR($A381="",$C381=""),"",NETWORKDAYS($C381,$J381,Holidays!$A$5:$A$40))</f>
        <v/>
      </c>
      <c r="H381" s="20">
        <f>IF(G381="","",IF($F381&lt;&gt;"",$F381,G381*IFERROR(IF(INDEX(Employees!$F$5:$F$29,MATCH($A381,Employees!$B$5:$B$29,0))="",Settings!$B$9,INDEX(Employees!$F$5:$F$29,MATCH($A381,Employees!$B$5:$B$29,0))),Settings!$B$9)))</f>
        <v/>
      </c>
      <c r="I381" s="10" t="n"/>
      <c r="J381" s="15">
        <f>IF($C381="","",IF($D381="",$C381,$D381))</f>
        <v/>
      </c>
    </row>
    <row r="382">
      <c r="A382" s="10" t="n"/>
      <c r="B382" s="10" t="n"/>
      <c r="C382" s="12" t="n"/>
      <c r="D382" s="12" t="n"/>
      <c r="E382" s="10" t="n"/>
      <c r="F382" s="11" t="n"/>
      <c r="G382" s="20">
        <f>IF(OR($A382="",$C382=""),"",NETWORKDAYS($C382,$J382,Holidays!$A$5:$A$40))</f>
        <v/>
      </c>
      <c r="H382" s="20">
        <f>IF(G382="","",IF($F382&lt;&gt;"",$F382,G382*IFERROR(IF(INDEX(Employees!$F$5:$F$29,MATCH($A382,Employees!$B$5:$B$29,0))="",Settings!$B$9,INDEX(Employees!$F$5:$F$29,MATCH($A382,Employees!$B$5:$B$29,0))),Settings!$B$9)))</f>
        <v/>
      </c>
      <c r="I382" s="10" t="n"/>
      <c r="J382" s="15">
        <f>IF($C382="","",IF($D382="",$C382,$D382))</f>
        <v/>
      </c>
    </row>
    <row r="383">
      <c r="A383" s="10" t="n"/>
      <c r="B383" s="10" t="n"/>
      <c r="C383" s="12" t="n"/>
      <c r="D383" s="12" t="n"/>
      <c r="E383" s="10" t="n"/>
      <c r="F383" s="11" t="n"/>
      <c r="G383" s="20">
        <f>IF(OR($A383="",$C383=""),"",NETWORKDAYS($C383,$J383,Holidays!$A$5:$A$40))</f>
        <v/>
      </c>
      <c r="H383" s="20">
        <f>IF(G383="","",IF($F383&lt;&gt;"",$F383,G383*IFERROR(IF(INDEX(Employees!$F$5:$F$29,MATCH($A383,Employees!$B$5:$B$29,0))="",Settings!$B$9,INDEX(Employees!$F$5:$F$29,MATCH($A383,Employees!$B$5:$B$29,0))),Settings!$B$9)))</f>
        <v/>
      </c>
      <c r="I383" s="10" t="n"/>
      <c r="J383" s="15">
        <f>IF($C383="","",IF($D383="",$C383,$D383))</f>
        <v/>
      </c>
    </row>
    <row r="384">
      <c r="A384" s="10" t="n"/>
      <c r="B384" s="10" t="n"/>
      <c r="C384" s="12" t="n"/>
      <c r="D384" s="12" t="n"/>
      <c r="E384" s="10" t="n"/>
      <c r="F384" s="11" t="n"/>
      <c r="G384" s="20">
        <f>IF(OR($A384="",$C384=""),"",NETWORKDAYS($C384,$J384,Holidays!$A$5:$A$40))</f>
        <v/>
      </c>
      <c r="H384" s="20">
        <f>IF(G384="","",IF($F384&lt;&gt;"",$F384,G384*IFERROR(IF(INDEX(Employees!$F$5:$F$29,MATCH($A384,Employees!$B$5:$B$29,0))="",Settings!$B$9,INDEX(Employees!$F$5:$F$29,MATCH($A384,Employees!$B$5:$B$29,0))),Settings!$B$9)))</f>
        <v/>
      </c>
      <c r="I384" s="10" t="n"/>
      <c r="J384" s="15">
        <f>IF($C384="","",IF($D384="",$C384,$D384))</f>
        <v/>
      </c>
    </row>
    <row r="385">
      <c r="A385" s="10" t="n"/>
      <c r="B385" s="10" t="n"/>
      <c r="C385" s="12" t="n"/>
      <c r="D385" s="12" t="n"/>
      <c r="E385" s="10" t="n"/>
      <c r="F385" s="11" t="n"/>
      <c r="G385" s="20">
        <f>IF(OR($A385="",$C385=""),"",NETWORKDAYS($C385,$J385,Holidays!$A$5:$A$40))</f>
        <v/>
      </c>
      <c r="H385" s="20">
        <f>IF(G385="","",IF($F385&lt;&gt;"",$F385,G385*IFERROR(IF(INDEX(Employees!$F$5:$F$29,MATCH($A385,Employees!$B$5:$B$29,0))="",Settings!$B$9,INDEX(Employees!$F$5:$F$29,MATCH($A385,Employees!$B$5:$B$29,0))),Settings!$B$9)))</f>
        <v/>
      </c>
      <c r="I385" s="10" t="n"/>
      <c r="J385" s="15">
        <f>IF($C385="","",IF($D385="",$C385,$D385))</f>
        <v/>
      </c>
    </row>
    <row r="386">
      <c r="A386" s="10" t="n"/>
      <c r="B386" s="10" t="n"/>
      <c r="C386" s="12" t="n"/>
      <c r="D386" s="12" t="n"/>
      <c r="E386" s="10" t="n"/>
      <c r="F386" s="11" t="n"/>
      <c r="G386" s="20">
        <f>IF(OR($A386="",$C386=""),"",NETWORKDAYS($C386,$J386,Holidays!$A$5:$A$40))</f>
        <v/>
      </c>
      <c r="H386" s="20">
        <f>IF(G386="","",IF($F386&lt;&gt;"",$F386,G386*IFERROR(IF(INDEX(Employees!$F$5:$F$29,MATCH($A386,Employees!$B$5:$B$29,0))="",Settings!$B$9,INDEX(Employees!$F$5:$F$29,MATCH($A386,Employees!$B$5:$B$29,0))),Settings!$B$9)))</f>
        <v/>
      </c>
      <c r="I386" s="10" t="n"/>
      <c r="J386" s="15">
        <f>IF($C386="","",IF($D386="",$C386,$D386))</f>
        <v/>
      </c>
    </row>
    <row r="387">
      <c r="A387" s="10" t="n"/>
      <c r="B387" s="10" t="n"/>
      <c r="C387" s="12" t="n"/>
      <c r="D387" s="12" t="n"/>
      <c r="E387" s="10" t="n"/>
      <c r="F387" s="11" t="n"/>
      <c r="G387" s="20">
        <f>IF(OR($A387="",$C387=""),"",NETWORKDAYS($C387,$J387,Holidays!$A$5:$A$40))</f>
        <v/>
      </c>
      <c r="H387" s="20">
        <f>IF(G387="","",IF($F387&lt;&gt;"",$F387,G387*IFERROR(IF(INDEX(Employees!$F$5:$F$29,MATCH($A387,Employees!$B$5:$B$29,0))="",Settings!$B$9,INDEX(Employees!$F$5:$F$29,MATCH($A387,Employees!$B$5:$B$29,0))),Settings!$B$9)))</f>
        <v/>
      </c>
      <c r="I387" s="10" t="n"/>
      <c r="J387" s="15">
        <f>IF($C387="","",IF($D387="",$C387,$D387))</f>
        <v/>
      </c>
    </row>
    <row r="388">
      <c r="A388" s="10" t="n"/>
      <c r="B388" s="10" t="n"/>
      <c r="C388" s="12" t="n"/>
      <c r="D388" s="12" t="n"/>
      <c r="E388" s="10" t="n"/>
      <c r="F388" s="11" t="n"/>
      <c r="G388" s="20">
        <f>IF(OR($A388="",$C388=""),"",NETWORKDAYS($C388,$J388,Holidays!$A$5:$A$40))</f>
        <v/>
      </c>
      <c r="H388" s="20">
        <f>IF(G388="","",IF($F388&lt;&gt;"",$F388,G388*IFERROR(IF(INDEX(Employees!$F$5:$F$29,MATCH($A388,Employees!$B$5:$B$29,0))="",Settings!$B$9,INDEX(Employees!$F$5:$F$29,MATCH($A388,Employees!$B$5:$B$29,0))),Settings!$B$9)))</f>
        <v/>
      </c>
      <c r="I388" s="10" t="n"/>
      <c r="J388" s="15">
        <f>IF($C388="","",IF($D388="",$C388,$D388))</f>
        <v/>
      </c>
    </row>
    <row r="389">
      <c r="A389" s="10" t="n"/>
      <c r="B389" s="10" t="n"/>
      <c r="C389" s="12" t="n"/>
      <c r="D389" s="12" t="n"/>
      <c r="E389" s="10" t="n"/>
      <c r="F389" s="11" t="n"/>
      <c r="G389" s="20">
        <f>IF(OR($A389="",$C389=""),"",NETWORKDAYS($C389,$J389,Holidays!$A$5:$A$40))</f>
        <v/>
      </c>
      <c r="H389" s="20">
        <f>IF(G389="","",IF($F389&lt;&gt;"",$F389,G389*IFERROR(IF(INDEX(Employees!$F$5:$F$29,MATCH($A389,Employees!$B$5:$B$29,0))="",Settings!$B$9,INDEX(Employees!$F$5:$F$29,MATCH($A389,Employees!$B$5:$B$29,0))),Settings!$B$9)))</f>
        <v/>
      </c>
      <c r="I389" s="10" t="n"/>
      <c r="J389" s="15">
        <f>IF($C389="","",IF($D389="",$C389,$D389))</f>
        <v/>
      </c>
    </row>
    <row r="390">
      <c r="A390" s="10" t="n"/>
      <c r="B390" s="10" t="n"/>
      <c r="C390" s="12" t="n"/>
      <c r="D390" s="12" t="n"/>
      <c r="E390" s="10" t="n"/>
      <c r="F390" s="11" t="n"/>
      <c r="G390" s="20">
        <f>IF(OR($A390="",$C390=""),"",NETWORKDAYS($C390,$J390,Holidays!$A$5:$A$40))</f>
        <v/>
      </c>
      <c r="H390" s="20">
        <f>IF(G390="","",IF($F390&lt;&gt;"",$F390,G390*IFERROR(IF(INDEX(Employees!$F$5:$F$29,MATCH($A390,Employees!$B$5:$B$29,0))="",Settings!$B$9,INDEX(Employees!$F$5:$F$29,MATCH($A390,Employees!$B$5:$B$29,0))),Settings!$B$9)))</f>
        <v/>
      </c>
      <c r="I390" s="10" t="n"/>
      <c r="J390" s="15">
        <f>IF($C390="","",IF($D390="",$C390,$D390))</f>
        <v/>
      </c>
    </row>
    <row r="391">
      <c r="A391" s="10" t="n"/>
      <c r="B391" s="10" t="n"/>
      <c r="C391" s="12" t="n"/>
      <c r="D391" s="12" t="n"/>
      <c r="E391" s="10" t="n"/>
      <c r="F391" s="11" t="n"/>
      <c r="G391" s="20">
        <f>IF(OR($A391="",$C391=""),"",NETWORKDAYS($C391,$J391,Holidays!$A$5:$A$40))</f>
        <v/>
      </c>
      <c r="H391" s="20">
        <f>IF(G391="","",IF($F391&lt;&gt;"",$F391,G391*IFERROR(IF(INDEX(Employees!$F$5:$F$29,MATCH($A391,Employees!$B$5:$B$29,0))="",Settings!$B$9,INDEX(Employees!$F$5:$F$29,MATCH($A391,Employees!$B$5:$B$29,0))),Settings!$B$9)))</f>
        <v/>
      </c>
      <c r="I391" s="10" t="n"/>
      <c r="J391" s="15">
        <f>IF($C391="","",IF($D391="",$C391,$D391))</f>
        <v/>
      </c>
    </row>
    <row r="392">
      <c r="A392" s="10" t="n"/>
      <c r="B392" s="10" t="n"/>
      <c r="C392" s="12" t="n"/>
      <c r="D392" s="12" t="n"/>
      <c r="E392" s="10" t="n"/>
      <c r="F392" s="11" t="n"/>
      <c r="G392" s="20">
        <f>IF(OR($A392="",$C392=""),"",NETWORKDAYS($C392,$J392,Holidays!$A$5:$A$40))</f>
        <v/>
      </c>
      <c r="H392" s="20">
        <f>IF(G392="","",IF($F392&lt;&gt;"",$F392,G392*IFERROR(IF(INDEX(Employees!$F$5:$F$29,MATCH($A392,Employees!$B$5:$B$29,0))="",Settings!$B$9,INDEX(Employees!$F$5:$F$29,MATCH($A392,Employees!$B$5:$B$29,0))),Settings!$B$9)))</f>
        <v/>
      </c>
      <c r="I392" s="10" t="n"/>
      <c r="J392" s="15">
        <f>IF($C392="","",IF($D392="",$C392,$D392))</f>
        <v/>
      </c>
    </row>
    <row r="393">
      <c r="A393" s="10" t="n"/>
      <c r="B393" s="10" t="n"/>
      <c r="C393" s="12" t="n"/>
      <c r="D393" s="12" t="n"/>
      <c r="E393" s="10" t="n"/>
      <c r="F393" s="11" t="n"/>
      <c r="G393" s="20">
        <f>IF(OR($A393="",$C393=""),"",NETWORKDAYS($C393,$J393,Holidays!$A$5:$A$40))</f>
        <v/>
      </c>
      <c r="H393" s="20">
        <f>IF(G393="","",IF($F393&lt;&gt;"",$F393,G393*IFERROR(IF(INDEX(Employees!$F$5:$F$29,MATCH($A393,Employees!$B$5:$B$29,0))="",Settings!$B$9,INDEX(Employees!$F$5:$F$29,MATCH($A393,Employees!$B$5:$B$29,0))),Settings!$B$9)))</f>
        <v/>
      </c>
      <c r="I393" s="10" t="n"/>
      <c r="J393" s="15">
        <f>IF($C393="","",IF($D393="",$C393,$D393))</f>
        <v/>
      </c>
    </row>
    <row r="394">
      <c r="A394" s="10" t="n"/>
      <c r="B394" s="10" t="n"/>
      <c r="C394" s="12" t="n"/>
      <c r="D394" s="12" t="n"/>
      <c r="E394" s="10" t="n"/>
      <c r="F394" s="11" t="n"/>
      <c r="G394" s="20">
        <f>IF(OR($A394="",$C394=""),"",NETWORKDAYS($C394,$J394,Holidays!$A$5:$A$40))</f>
        <v/>
      </c>
      <c r="H394" s="20">
        <f>IF(G394="","",IF($F394&lt;&gt;"",$F394,G394*IFERROR(IF(INDEX(Employees!$F$5:$F$29,MATCH($A394,Employees!$B$5:$B$29,0))="",Settings!$B$9,INDEX(Employees!$F$5:$F$29,MATCH($A394,Employees!$B$5:$B$29,0))),Settings!$B$9)))</f>
        <v/>
      </c>
      <c r="I394" s="10" t="n"/>
      <c r="J394" s="15">
        <f>IF($C394="","",IF($D394="",$C394,$D394))</f>
        <v/>
      </c>
    </row>
    <row r="395">
      <c r="A395" s="10" t="n"/>
      <c r="B395" s="10" t="n"/>
      <c r="C395" s="12" t="n"/>
      <c r="D395" s="12" t="n"/>
      <c r="E395" s="10" t="n"/>
      <c r="F395" s="11" t="n"/>
      <c r="G395" s="20">
        <f>IF(OR($A395="",$C395=""),"",NETWORKDAYS($C395,$J395,Holidays!$A$5:$A$40))</f>
        <v/>
      </c>
      <c r="H395" s="20">
        <f>IF(G395="","",IF($F395&lt;&gt;"",$F395,G395*IFERROR(IF(INDEX(Employees!$F$5:$F$29,MATCH($A395,Employees!$B$5:$B$29,0))="",Settings!$B$9,INDEX(Employees!$F$5:$F$29,MATCH($A395,Employees!$B$5:$B$29,0))),Settings!$B$9)))</f>
        <v/>
      </c>
      <c r="I395" s="10" t="n"/>
      <c r="J395" s="15">
        <f>IF($C395="","",IF($D395="",$C395,$D395))</f>
        <v/>
      </c>
    </row>
    <row r="396">
      <c r="A396" s="10" t="n"/>
      <c r="B396" s="10" t="n"/>
      <c r="C396" s="12" t="n"/>
      <c r="D396" s="12" t="n"/>
      <c r="E396" s="10" t="n"/>
      <c r="F396" s="11" t="n"/>
      <c r="G396" s="20">
        <f>IF(OR($A396="",$C396=""),"",NETWORKDAYS($C396,$J396,Holidays!$A$5:$A$40))</f>
        <v/>
      </c>
      <c r="H396" s="20">
        <f>IF(G396="","",IF($F396&lt;&gt;"",$F396,G396*IFERROR(IF(INDEX(Employees!$F$5:$F$29,MATCH($A396,Employees!$B$5:$B$29,0))="",Settings!$B$9,INDEX(Employees!$F$5:$F$29,MATCH($A396,Employees!$B$5:$B$29,0))),Settings!$B$9)))</f>
        <v/>
      </c>
      <c r="I396" s="10" t="n"/>
      <c r="J396" s="15">
        <f>IF($C396="","",IF($D396="",$C396,$D396))</f>
        <v/>
      </c>
    </row>
    <row r="397">
      <c r="A397" s="10" t="n"/>
      <c r="B397" s="10" t="n"/>
      <c r="C397" s="12" t="n"/>
      <c r="D397" s="12" t="n"/>
      <c r="E397" s="10" t="n"/>
      <c r="F397" s="11" t="n"/>
      <c r="G397" s="20">
        <f>IF(OR($A397="",$C397=""),"",NETWORKDAYS($C397,$J397,Holidays!$A$5:$A$40))</f>
        <v/>
      </c>
      <c r="H397" s="20">
        <f>IF(G397="","",IF($F397&lt;&gt;"",$F397,G397*IFERROR(IF(INDEX(Employees!$F$5:$F$29,MATCH($A397,Employees!$B$5:$B$29,0))="",Settings!$B$9,INDEX(Employees!$F$5:$F$29,MATCH($A397,Employees!$B$5:$B$29,0))),Settings!$B$9)))</f>
        <v/>
      </c>
      <c r="I397" s="10" t="n"/>
      <c r="J397" s="15">
        <f>IF($C397="","",IF($D397="",$C397,$D397))</f>
        <v/>
      </c>
    </row>
    <row r="398">
      <c r="A398" s="10" t="n"/>
      <c r="B398" s="10" t="n"/>
      <c r="C398" s="12" t="n"/>
      <c r="D398" s="12" t="n"/>
      <c r="E398" s="10" t="n"/>
      <c r="F398" s="11" t="n"/>
      <c r="G398" s="20">
        <f>IF(OR($A398="",$C398=""),"",NETWORKDAYS($C398,$J398,Holidays!$A$5:$A$40))</f>
        <v/>
      </c>
      <c r="H398" s="20">
        <f>IF(G398="","",IF($F398&lt;&gt;"",$F398,G398*IFERROR(IF(INDEX(Employees!$F$5:$F$29,MATCH($A398,Employees!$B$5:$B$29,0))="",Settings!$B$9,INDEX(Employees!$F$5:$F$29,MATCH($A398,Employees!$B$5:$B$29,0))),Settings!$B$9)))</f>
        <v/>
      </c>
      <c r="I398" s="10" t="n"/>
      <c r="J398" s="15">
        <f>IF($C398="","",IF($D398="",$C398,$D398))</f>
        <v/>
      </c>
    </row>
    <row r="399">
      <c r="A399" s="10" t="n"/>
      <c r="B399" s="10" t="n"/>
      <c r="C399" s="12" t="n"/>
      <c r="D399" s="12" t="n"/>
      <c r="E399" s="10" t="n"/>
      <c r="F399" s="11" t="n"/>
      <c r="G399" s="20">
        <f>IF(OR($A399="",$C399=""),"",NETWORKDAYS($C399,$J399,Holidays!$A$5:$A$40))</f>
        <v/>
      </c>
      <c r="H399" s="20">
        <f>IF(G399="","",IF($F399&lt;&gt;"",$F399,G399*IFERROR(IF(INDEX(Employees!$F$5:$F$29,MATCH($A399,Employees!$B$5:$B$29,0))="",Settings!$B$9,INDEX(Employees!$F$5:$F$29,MATCH($A399,Employees!$B$5:$B$29,0))),Settings!$B$9)))</f>
        <v/>
      </c>
      <c r="I399" s="10" t="n"/>
      <c r="J399" s="15">
        <f>IF($C399="","",IF($D399="",$C399,$D399))</f>
        <v/>
      </c>
    </row>
    <row r="400">
      <c r="A400" s="10" t="n"/>
      <c r="B400" s="10" t="n"/>
      <c r="C400" s="12" t="n"/>
      <c r="D400" s="12" t="n"/>
      <c r="E400" s="10" t="n"/>
      <c r="F400" s="11" t="n"/>
      <c r="G400" s="20">
        <f>IF(OR($A400="",$C400=""),"",NETWORKDAYS($C400,$J400,Holidays!$A$5:$A$40))</f>
        <v/>
      </c>
      <c r="H400" s="20">
        <f>IF(G400="","",IF($F400&lt;&gt;"",$F400,G400*IFERROR(IF(INDEX(Employees!$F$5:$F$29,MATCH($A400,Employees!$B$5:$B$29,0))="",Settings!$B$9,INDEX(Employees!$F$5:$F$29,MATCH($A400,Employees!$B$5:$B$29,0))),Settings!$B$9)))</f>
        <v/>
      </c>
      <c r="I400" s="10" t="n"/>
      <c r="J400" s="15">
        <f>IF($C400="","",IF($D400="",$C400,$D400))</f>
        <v/>
      </c>
    </row>
    <row r="401">
      <c r="A401" s="10" t="n"/>
      <c r="B401" s="10" t="n"/>
      <c r="C401" s="12" t="n"/>
      <c r="D401" s="12" t="n"/>
      <c r="E401" s="10" t="n"/>
      <c r="F401" s="11" t="n"/>
      <c r="G401" s="20">
        <f>IF(OR($A401="",$C401=""),"",NETWORKDAYS($C401,$J401,Holidays!$A$5:$A$40))</f>
        <v/>
      </c>
      <c r="H401" s="20">
        <f>IF(G401="","",IF($F401&lt;&gt;"",$F401,G401*IFERROR(IF(INDEX(Employees!$F$5:$F$29,MATCH($A401,Employees!$B$5:$B$29,0))="",Settings!$B$9,INDEX(Employees!$F$5:$F$29,MATCH($A401,Employees!$B$5:$B$29,0))),Settings!$B$9)))</f>
        <v/>
      </c>
      <c r="I401" s="10" t="n"/>
      <c r="J401" s="15">
        <f>IF($C401="","",IF($D401="",$C401,$D401))</f>
        <v/>
      </c>
    </row>
    <row r="402">
      <c r="A402" s="10" t="n"/>
      <c r="B402" s="10" t="n"/>
      <c r="C402" s="12" t="n"/>
      <c r="D402" s="12" t="n"/>
      <c r="E402" s="10" t="n"/>
      <c r="F402" s="11" t="n"/>
      <c r="G402" s="20">
        <f>IF(OR($A402="",$C402=""),"",NETWORKDAYS($C402,$J402,Holidays!$A$5:$A$40))</f>
        <v/>
      </c>
      <c r="H402" s="20">
        <f>IF(G402="","",IF($F402&lt;&gt;"",$F402,G402*IFERROR(IF(INDEX(Employees!$F$5:$F$29,MATCH($A402,Employees!$B$5:$B$29,0))="",Settings!$B$9,INDEX(Employees!$F$5:$F$29,MATCH($A402,Employees!$B$5:$B$29,0))),Settings!$B$9)))</f>
        <v/>
      </c>
      <c r="I402" s="10" t="n"/>
      <c r="J402" s="15">
        <f>IF($C402="","",IF($D402="",$C402,$D402))</f>
        <v/>
      </c>
    </row>
    <row r="403">
      <c r="A403" s="10" t="n"/>
      <c r="B403" s="10" t="n"/>
      <c r="C403" s="12" t="n"/>
      <c r="D403" s="12" t="n"/>
      <c r="E403" s="10" t="n"/>
      <c r="F403" s="11" t="n"/>
      <c r="G403" s="20">
        <f>IF(OR($A403="",$C403=""),"",NETWORKDAYS($C403,$J403,Holidays!$A$5:$A$40))</f>
        <v/>
      </c>
      <c r="H403" s="20">
        <f>IF(G403="","",IF($F403&lt;&gt;"",$F403,G403*IFERROR(IF(INDEX(Employees!$F$5:$F$29,MATCH($A403,Employees!$B$5:$B$29,0))="",Settings!$B$9,INDEX(Employees!$F$5:$F$29,MATCH($A403,Employees!$B$5:$B$29,0))),Settings!$B$9)))</f>
        <v/>
      </c>
      <c r="I403" s="10" t="n"/>
      <c r="J403" s="15">
        <f>IF($C403="","",IF($D403="",$C403,$D403))</f>
        <v/>
      </c>
    </row>
    <row r="404">
      <c r="A404" s="10" t="n"/>
      <c r="B404" s="10" t="n"/>
      <c r="C404" s="12" t="n"/>
      <c r="D404" s="12" t="n"/>
      <c r="E404" s="10" t="n"/>
      <c r="F404" s="11" t="n"/>
      <c r="G404" s="20">
        <f>IF(OR($A404="",$C404=""),"",NETWORKDAYS($C404,$J404,Holidays!$A$5:$A$40))</f>
        <v/>
      </c>
      <c r="H404" s="20">
        <f>IF(G404="","",IF($F404&lt;&gt;"",$F404,G404*IFERROR(IF(INDEX(Employees!$F$5:$F$29,MATCH($A404,Employees!$B$5:$B$29,0))="",Settings!$B$9,INDEX(Employees!$F$5:$F$29,MATCH($A404,Employees!$B$5:$B$29,0))),Settings!$B$9)))</f>
        <v/>
      </c>
      <c r="I404" s="10" t="n"/>
      <c r="J404" s="15">
        <f>IF($C404="","",IF($D404="",$C404,$D404))</f>
        <v/>
      </c>
    </row>
    <row r="405">
      <c r="A405" s="10" t="n"/>
      <c r="B405" s="10" t="n"/>
      <c r="C405" s="12" t="n"/>
      <c r="D405" s="12" t="n"/>
      <c r="E405" s="10" t="n"/>
      <c r="F405" s="11" t="n"/>
      <c r="G405" s="20">
        <f>IF(OR($A405="",$C405=""),"",NETWORKDAYS($C405,$J405,Holidays!$A$5:$A$40))</f>
        <v/>
      </c>
      <c r="H405" s="20">
        <f>IF(G405="","",IF($F405&lt;&gt;"",$F405,G405*IFERROR(IF(INDEX(Employees!$F$5:$F$29,MATCH($A405,Employees!$B$5:$B$29,0))="",Settings!$B$9,INDEX(Employees!$F$5:$F$29,MATCH($A405,Employees!$B$5:$B$29,0))),Settings!$B$9)))</f>
        <v/>
      </c>
      <c r="I405" s="10" t="n"/>
      <c r="J405" s="15">
        <f>IF($C405="","",IF($D405="",$C405,$D405))</f>
        <v/>
      </c>
    </row>
    <row r="406">
      <c r="A406" s="10" t="n"/>
      <c r="B406" s="10" t="n"/>
      <c r="C406" s="12" t="n"/>
      <c r="D406" s="12" t="n"/>
      <c r="E406" s="10" t="n"/>
      <c r="F406" s="11" t="n"/>
      <c r="G406" s="20">
        <f>IF(OR($A406="",$C406=""),"",NETWORKDAYS($C406,$J406,Holidays!$A$5:$A$40))</f>
        <v/>
      </c>
      <c r="H406" s="20">
        <f>IF(G406="","",IF($F406&lt;&gt;"",$F406,G406*IFERROR(IF(INDEX(Employees!$F$5:$F$29,MATCH($A406,Employees!$B$5:$B$29,0))="",Settings!$B$9,INDEX(Employees!$F$5:$F$29,MATCH($A406,Employees!$B$5:$B$29,0))),Settings!$B$9)))</f>
        <v/>
      </c>
      <c r="I406" s="10" t="n"/>
      <c r="J406" s="15">
        <f>IF($C406="","",IF($D406="",$C406,$D406))</f>
        <v/>
      </c>
    </row>
    <row r="407">
      <c r="A407" s="10" t="n"/>
      <c r="B407" s="10" t="n"/>
      <c r="C407" s="12" t="n"/>
      <c r="D407" s="12" t="n"/>
      <c r="E407" s="10" t="n"/>
      <c r="F407" s="11" t="n"/>
      <c r="G407" s="20">
        <f>IF(OR($A407="",$C407=""),"",NETWORKDAYS($C407,$J407,Holidays!$A$5:$A$40))</f>
        <v/>
      </c>
      <c r="H407" s="20">
        <f>IF(G407="","",IF($F407&lt;&gt;"",$F407,G407*IFERROR(IF(INDEX(Employees!$F$5:$F$29,MATCH($A407,Employees!$B$5:$B$29,0))="",Settings!$B$9,INDEX(Employees!$F$5:$F$29,MATCH($A407,Employees!$B$5:$B$29,0))),Settings!$B$9)))</f>
        <v/>
      </c>
      <c r="I407" s="10" t="n"/>
      <c r="J407" s="15">
        <f>IF($C407="","",IF($D407="",$C407,$D407))</f>
        <v/>
      </c>
    </row>
    <row r="408">
      <c r="A408" s="10" t="n"/>
      <c r="B408" s="10" t="n"/>
      <c r="C408" s="12" t="n"/>
      <c r="D408" s="12" t="n"/>
      <c r="E408" s="10" t="n"/>
      <c r="F408" s="11" t="n"/>
      <c r="G408" s="20">
        <f>IF(OR($A408="",$C408=""),"",NETWORKDAYS($C408,$J408,Holidays!$A$5:$A$40))</f>
        <v/>
      </c>
      <c r="H408" s="20">
        <f>IF(G408="","",IF($F408&lt;&gt;"",$F408,G408*IFERROR(IF(INDEX(Employees!$F$5:$F$29,MATCH($A408,Employees!$B$5:$B$29,0))="",Settings!$B$9,INDEX(Employees!$F$5:$F$29,MATCH($A408,Employees!$B$5:$B$29,0))),Settings!$B$9)))</f>
        <v/>
      </c>
      <c r="I408" s="10" t="n"/>
      <c r="J408" s="15">
        <f>IF($C408="","",IF($D408="",$C408,$D408))</f>
        <v/>
      </c>
    </row>
    <row r="409">
      <c r="A409" s="10" t="n"/>
      <c r="B409" s="10" t="n"/>
      <c r="C409" s="12" t="n"/>
      <c r="D409" s="12" t="n"/>
      <c r="E409" s="10" t="n"/>
      <c r="F409" s="11" t="n"/>
      <c r="G409" s="20">
        <f>IF(OR($A409="",$C409=""),"",NETWORKDAYS($C409,$J409,Holidays!$A$5:$A$40))</f>
        <v/>
      </c>
      <c r="H409" s="20">
        <f>IF(G409="","",IF($F409&lt;&gt;"",$F409,G409*IFERROR(IF(INDEX(Employees!$F$5:$F$29,MATCH($A409,Employees!$B$5:$B$29,0))="",Settings!$B$9,INDEX(Employees!$F$5:$F$29,MATCH($A409,Employees!$B$5:$B$29,0))),Settings!$B$9)))</f>
        <v/>
      </c>
      <c r="I409" s="10" t="n"/>
      <c r="J409" s="15">
        <f>IF($C409="","",IF($D409="",$C409,$D409))</f>
        <v/>
      </c>
    </row>
    <row r="410">
      <c r="A410" s="10" t="n"/>
      <c r="B410" s="10" t="n"/>
      <c r="C410" s="12" t="n"/>
      <c r="D410" s="12" t="n"/>
      <c r="E410" s="10" t="n"/>
      <c r="F410" s="11" t="n"/>
      <c r="G410" s="20">
        <f>IF(OR($A410="",$C410=""),"",NETWORKDAYS($C410,$J410,Holidays!$A$5:$A$40))</f>
        <v/>
      </c>
      <c r="H410" s="20">
        <f>IF(G410="","",IF($F410&lt;&gt;"",$F410,G410*IFERROR(IF(INDEX(Employees!$F$5:$F$29,MATCH($A410,Employees!$B$5:$B$29,0))="",Settings!$B$9,INDEX(Employees!$F$5:$F$29,MATCH($A410,Employees!$B$5:$B$29,0))),Settings!$B$9)))</f>
        <v/>
      </c>
      <c r="I410" s="10" t="n"/>
      <c r="J410" s="15">
        <f>IF($C410="","",IF($D410="",$C410,$D410))</f>
        <v/>
      </c>
    </row>
    <row r="411">
      <c r="A411" s="10" t="n"/>
      <c r="B411" s="10" t="n"/>
      <c r="C411" s="12" t="n"/>
      <c r="D411" s="12" t="n"/>
      <c r="E411" s="10" t="n"/>
      <c r="F411" s="11" t="n"/>
      <c r="G411" s="20">
        <f>IF(OR($A411="",$C411=""),"",NETWORKDAYS($C411,$J411,Holidays!$A$5:$A$40))</f>
        <v/>
      </c>
      <c r="H411" s="20">
        <f>IF(G411="","",IF($F411&lt;&gt;"",$F411,G411*IFERROR(IF(INDEX(Employees!$F$5:$F$29,MATCH($A411,Employees!$B$5:$B$29,0))="",Settings!$B$9,INDEX(Employees!$F$5:$F$29,MATCH($A411,Employees!$B$5:$B$29,0))),Settings!$B$9)))</f>
        <v/>
      </c>
      <c r="I411" s="10" t="n"/>
      <c r="J411" s="15">
        <f>IF($C411="","",IF($D411="",$C411,$D411))</f>
        <v/>
      </c>
    </row>
    <row r="412">
      <c r="A412" s="10" t="n"/>
      <c r="B412" s="10" t="n"/>
      <c r="C412" s="12" t="n"/>
      <c r="D412" s="12" t="n"/>
      <c r="E412" s="10" t="n"/>
      <c r="F412" s="11" t="n"/>
      <c r="G412" s="20">
        <f>IF(OR($A412="",$C412=""),"",NETWORKDAYS($C412,$J412,Holidays!$A$5:$A$40))</f>
        <v/>
      </c>
      <c r="H412" s="20">
        <f>IF(G412="","",IF($F412&lt;&gt;"",$F412,G412*IFERROR(IF(INDEX(Employees!$F$5:$F$29,MATCH($A412,Employees!$B$5:$B$29,0))="",Settings!$B$9,INDEX(Employees!$F$5:$F$29,MATCH($A412,Employees!$B$5:$B$29,0))),Settings!$B$9)))</f>
        <v/>
      </c>
      <c r="I412" s="10" t="n"/>
      <c r="J412" s="15">
        <f>IF($C412="","",IF($D412="",$C412,$D412))</f>
        <v/>
      </c>
    </row>
    <row r="413">
      <c r="A413" s="10" t="n"/>
      <c r="B413" s="10" t="n"/>
      <c r="C413" s="12" t="n"/>
      <c r="D413" s="12" t="n"/>
      <c r="E413" s="10" t="n"/>
      <c r="F413" s="11" t="n"/>
      <c r="G413" s="20">
        <f>IF(OR($A413="",$C413=""),"",NETWORKDAYS($C413,$J413,Holidays!$A$5:$A$40))</f>
        <v/>
      </c>
      <c r="H413" s="20">
        <f>IF(G413="","",IF($F413&lt;&gt;"",$F413,G413*IFERROR(IF(INDEX(Employees!$F$5:$F$29,MATCH($A413,Employees!$B$5:$B$29,0))="",Settings!$B$9,INDEX(Employees!$F$5:$F$29,MATCH($A413,Employees!$B$5:$B$29,0))),Settings!$B$9)))</f>
        <v/>
      </c>
      <c r="I413" s="10" t="n"/>
      <c r="J413" s="15">
        <f>IF($C413="","",IF($D413="",$C413,$D413))</f>
        <v/>
      </c>
    </row>
    <row r="414">
      <c r="A414" s="10" t="n"/>
      <c r="B414" s="10" t="n"/>
      <c r="C414" s="12" t="n"/>
      <c r="D414" s="12" t="n"/>
      <c r="E414" s="10" t="n"/>
      <c r="F414" s="11" t="n"/>
      <c r="G414" s="20">
        <f>IF(OR($A414="",$C414=""),"",NETWORKDAYS($C414,$J414,Holidays!$A$5:$A$40))</f>
        <v/>
      </c>
      <c r="H414" s="20">
        <f>IF(G414="","",IF($F414&lt;&gt;"",$F414,G414*IFERROR(IF(INDEX(Employees!$F$5:$F$29,MATCH($A414,Employees!$B$5:$B$29,0))="",Settings!$B$9,INDEX(Employees!$F$5:$F$29,MATCH($A414,Employees!$B$5:$B$29,0))),Settings!$B$9)))</f>
        <v/>
      </c>
      <c r="I414" s="10" t="n"/>
      <c r="J414" s="15">
        <f>IF($C414="","",IF($D414="",$C414,$D414))</f>
        <v/>
      </c>
    </row>
    <row r="415">
      <c r="A415" s="10" t="n"/>
      <c r="B415" s="10" t="n"/>
      <c r="C415" s="12" t="n"/>
      <c r="D415" s="12" t="n"/>
      <c r="E415" s="10" t="n"/>
      <c r="F415" s="11" t="n"/>
      <c r="G415" s="20">
        <f>IF(OR($A415="",$C415=""),"",NETWORKDAYS($C415,$J415,Holidays!$A$5:$A$40))</f>
        <v/>
      </c>
      <c r="H415" s="20">
        <f>IF(G415="","",IF($F415&lt;&gt;"",$F415,G415*IFERROR(IF(INDEX(Employees!$F$5:$F$29,MATCH($A415,Employees!$B$5:$B$29,0))="",Settings!$B$9,INDEX(Employees!$F$5:$F$29,MATCH($A415,Employees!$B$5:$B$29,0))),Settings!$B$9)))</f>
        <v/>
      </c>
      <c r="I415" s="10" t="n"/>
      <c r="J415" s="15">
        <f>IF($C415="","",IF($D415="",$C415,$D415))</f>
        <v/>
      </c>
    </row>
    <row r="416">
      <c r="A416" s="10" t="n"/>
      <c r="B416" s="10" t="n"/>
      <c r="C416" s="12" t="n"/>
      <c r="D416" s="12" t="n"/>
      <c r="E416" s="10" t="n"/>
      <c r="F416" s="11" t="n"/>
      <c r="G416" s="20">
        <f>IF(OR($A416="",$C416=""),"",NETWORKDAYS($C416,$J416,Holidays!$A$5:$A$40))</f>
        <v/>
      </c>
      <c r="H416" s="20">
        <f>IF(G416="","",IF($F416&lt;&gt;"",$F416,G416*IFERROR(IF(INDEX(Employees!$F$5:$F$29,MATCH($A416,Employees!$B$5:$B$29,0))="",Settings!$B$9,INDEX(Employees!$F$5:$F$29,MATCH($A416,Employees!$B$5:$B$29,0))),Settings!$B$9)))</f>
        <v/>
      </c>
      <c r="I416" s="10" t="n"/>
      <c r="J416" s="15">
        <f>IF($C416="","",IF($D416="",$C416,$D416))</f>
        <v/>
      </c>
    </row>
    <row r="417">
      <c r="A417" s="10" t="n"/>
      <c r="B417" s="10" t="n"/>
      <c r="C417" s="12" t="n"/>
      <c r="D417" s="12" t="n"/>
      <c r="E417" s="10" t="n"/>
      <c r="F417" s="11" t="n"/>
      <c r="G417" s="20">
        <f>IF(OR($A417="",$C417=""),"",NETWORKDAYS($C417,$J417,Holidays!$A$5:$A$40))</f>
        <v/>
      </c>
      <c r="H417" s="20">
        <f>IF(G417="","",IF($F417&lt;&gt;"",$F417,G417*IFERROR(IF(INDEX(Employees!$F$5:$F$29,MATCH($A417,Employees!$B$5:$B$29,0))="",Settings!$B$9,INDEX(Employees!$F$5:$F$29,MATCH($A417,Employees!$B$5:$B$29,0))),Settings!$B$9)))</f>
        <v/>
      </c>
      <c r="I417" s="10" t="n"/>
      <c r="J417" s="15">
        <f>IF($C417="","",IF($D417="",$C417,$D417))</f>
        <v/>
      </c>
    </row>
    <row r="418">
      <c r="A418" s="10" t="n"/>
      <c r="B418" s="10" t="n"/>
      <c r="C418" s="12" t="n"/>
      <c r="D418" s="12" t="n"/>
      <c r="E418" s="10" t="n"/>
      <c r="F418" s="11" t="n"/>
      <c r="G418" s="20">
        <f>IF(OR($A418="",$C418=""),"",NETWORKDAYS($C418,$J418,Holidays!$A$5:$A$40))</f>
        <v/>
      </c>
      <c r="H418" s="20">
        <f>IF(G418="","",IF($F418&lt;&gt;"",$F418,G418*IFERROR(IF(INDEX(Employees!$F$5:$F$29,MATCH($A418,Employees!$B$5:$B$29,0))="",Settings!$B$9,INDEX(Employees!$F$5:$F$29,MATCH($A418,Employees!$B$5:$B$29,0))),Settings!$B$9)))</f>
        <v/>
      </c>
      <c r="I418" s="10" t="n"/>
      <c r="J418" s="15">
        <f>IF($C418="","",IF($D418="",$C418,$D418))</f>
        <v/>
      </c>
    </row>
    <row r="419">
      <c r="A419" s="10" t="n"/>
      <c r="B419" s="10" t="n"/>
      <c r="C419" s="12" t="n"/>
      <c r="D419" s="12" t="n"/>
      <c r="E419" s="10" t="n"/>
      <c r="F419" s="11" t="n"/>
      <c r="G419" s="20">
        <f>IF(OR($A419="",$C419=""),"",NETWORKDAYS($C419,$J419,Holidays!$A$5:$A$40))</f>
        <v/>
      </c>
      <c r="H419" s="20">
        <f>IF(G419="","",IF($F419&lt;&gt;"",$F419,G419*IFERROR(IF(INDEX(Employees!$F$5:$F$29,MATCH($A419,Employees!$B$5:$B$29,0))="",Settings!$B$9,INDEX(Employees!$F$5:$F$29,MATCH($A419,Employees!$B$5:$B$29,0))),Settings!$B$9)))</f>
        <v/>
      </c>
      <c r="I419" s="10" t="n"/>
      <c r="J419" s="15">
        <f>IF($C419="","",IF($D419="",$C419,$D419))</f>
        <v/>
      </c>
    </row>
    <row r="420">
      <c r="A420" s="10" t="n"/>
      <c r="B420" s="10" t="n"/>
      <c r="C420" s="12" t="n"/>
      <c r="D420" s="12" t="n"/>
      <c r="E420" s="10" t="n"/>
      <c r="F420" s="11" t="n"/>
      <c r="G420" s="20">
        <f>IF(OR($A420="",$C420=""),"",NETWORKDAYS($C420,$J420,Holidays!$A$5:$A$40))</f>
        <v/>
      </c>
      <c r="H420" s="20">
        <f>IF(G420="","",IF($F420&lt;&gt;"",$F420,G420*IFERROR(IF(INDEX(Employees!$F$5:$F$29,MATCH($A420,Employees!$B$5:$B$29,0))="",Settings!$B$9,INDEX(Employees!$F$5:$F$29,MATCH($A420,Employees!$B$5:$B$29,0))),Settings!$B$9)))</f>
        <v/>
      </c>
      <c r="I420" s="10" t="n"/>
      <c r="J420" s="15">
        <f>IF($C420="","",IF($D420="",$C420,$D420))</f>
        <v/>
      </c>
    </row>
    <row r="421">
      <c r="A421" s="10" t="n"/>
      <c r="B421" s="10" t="n"/>
      <c r="C421" s="12" t="n"/>
      <c r="D421" s="12" t="n"/>
      <c r="E421" s="10" t="n"/>
      <c r="F421" s="11" t="n"/>
      <c r="G421" s="20">
        <f>IF(OR($A421="",$C421=""),"",NETWORKDAYS($C421,$J421,Holidays!$A$5:$A$40))</f>
        <v/>
      </c>
      <c r="H421" s="20">
        <f>IF(G421="","",IF($F421&lt;&gt;"",$F421,G421*IFERROR(IF(INDEX(Employees!$F$5:$F$29,MATCH($A421,Employees!$B$5:$B$29,0))="",Settings!$B$9,INDEX(Employees!$F$5:$F$29,MATCH($A421,Employees!$B$5:$B$29,0))),Settings!$B$9)))</f>
        <v/>
      </c>
      <c r="I421" s="10" t="n"/>
      <c r="J421" s="15">
        <f>IF($C421="","",IF($D421="",$C421,$D421))</f>
        <v/>
      </c>
    </row>
    <row r="422">
      <c r="A422" s="10" t="n"/>
      <c r="B422" s="10" t="n"/>
      <c r="C422" s="12" t="n"/>
      <c r="D422" s="12" t="n"/>
      <c r="E422" s="10" t="n"/>
      <c r="F422" s="11" t="n"/>
      <c r="G422" s="20">
        <f>IF(OR($A422="",$C422=""),"",NETWORKDAYS($C422,$J422,Holidays!$A$5:$A$40))</f>
        <v/>
      </c>
      <c r="H422" s="20">
        <f>IF(G422="","",IF($F422&lt;&gt;"",$F422,G422*IFERROR(IF(INDEX(Employees!$F$5:$F$29,MATCH($A422,Employees!$B$5:$B$29,0))="",Settings!$B$9,INDEX(Employees!$F$5:$F$29,MATCH($A422,Employees!$B$5:$B$29,0))),Settings!$B$9)))</f>
        <v/>
      </c>
      <c r="I422" s="10" t="n"/>
      <c r="J422" s="15">
        <f>IF($C422="","",IF($D422="",$C422,$D422))</f>
        <v/>
      </c>
    </row>
    <row r="423">
      <c r="A423" s="10" t="n"/>
      <c r="B423" s="10" t="n"/>
      <c r="C423" s="12" t="n"/>
      <c r="D423" s="12" t="n"/>
      <c r="E423" s="10" t="n"/>
      <c r="F423" s="11" t="n"/>
      <c r="G423" s="20">
        <f>IF(OR($A423="",$C423=""),"",NETWORKDAYS($C423,$J423,Holidays!$A$5:$A$40))</f>
        <v/>
      </c>
      <c r="H423" s="20">
        <f>IF(G423="","",IF($F423&lt;&gt;"",$F423,G423*IFERROR(IF(INDEX(Employees!$F$5:$F$29,MATCH($A423,Employees!$B$5:$B$29,0))="",Settings!$B$9,INDEX(Employees!$F$5:$F$29,MATCH($A423,Employees!$B$5:$B$29,0))),Settings!$B$9)))</f>
        <v/>
      </c>
      <c r="I423" s="10" t="n"/>
      <c r="J423" s="15">
        <f>IF($C423="","",IF($D423="",$C423,$D423))</f>
        <v/>
      </c>
    </row>
    <row r="424">
      <c r="A424" s="10" t="n"/>
      <c r="B424" s="10" t="n"/>
      <c r="C424" s="12" t="n"/>
      <c r="D424" s="12" t="n"/>
      <c r="E424" s="10" t="n"/>
      <c r="F424" s="11" t="n"/>
      <c r="G424" s="20">
        <f>IF(OR($A424="",$C424=""),"",NETWORKDAYS($C424,$J424,Holidays!$A$5:$A$40))</f>
        <v/>
      </c>
      <c r="H424" s="20">
        <f>IF(G424="","",IF($F424&lt;&gt;"",$F424,G424*IFERROR(IF(INDEX(Employees!$F$5:$F$29,MATCH($A424,Employees!$B$5:$B$29,0))="",Settings!$B$9,INDEX(Employees!$F$5:$F$29,MATCH($A424,Employees!$B$5:$B$29,0))),Settings!$B$9)))</f>
        <v/>
      </c>
      <c r="I424" s="10" t="n"/>
      <c r="J424" s="15">
        <f>IF($C424="","",IF($D424="",$C424,$D424))</f>
        <v/>
      </c>
    </row>
    <row r="425">
      <c r="A425" s="10" t="n"/>
      <c r="B425" s="10" t="n"/>
      <c r="C425" s="12" t="n"/>
      <c r="D425" s="12" t="n"/>
      <c r="E425" s="10" t="n"/>
      <c r="F425" s="11" t="n"/>
      <c r="G425" s="20">
        <f>IF(OR($A425="",$C425=""),"",NETWORKDAYS($C425,$J425,Holidays!$A$5:$A$40))</f>
        <v/>
      </c>
      <c r="H425" s="20">
        <f>IF(G425="","",IF($F425&lt;&gt;"",$F425,G425*IFERROR(IF(INDEX(Employees!$F$5:$F$29,MATCH($A425,Employees!$B$5:$B$29,0))="",Settings!$B$9,INDEX(Employees!$F$5:$F$29,MATCH($A425,Employees!$B$5:$B$29,0))),Settings!$B$9)))</f>
        <v/>
      </c>
      <c r="I425" s="10" t="n"/>
      <c r="J425" s="15">
        <f>IF($C425="","",IF($D425="",$C425,$D425))</f>
        <v/>
      </c>
    </row>
    <row r="426">
      <c r="A426" s="10" t="n"/>
      <c r="B426" s="10" t="n"/>
      <c r="C426" s="12" t="n"/>
      <c r="D426" s="12" t="n"/>
      <c r="E426" s="10" t="n"/>
      <c r="F426" s="11" t="n"/>
      <c r="G426" s="20">
        <f>IF(OR($A426="",$C426=""),"",NETWORKDAYS($C426,$J426,Holidays!$A$5:$A$40))</f>
        <v/>
      </c>
      <c r="H426" s="20">
        <f>IF(G426="","",IF($F426&lt;&gt;"",$F426,G426*IFERROR(IF(INDEX(Employees!$F$5:$F$29,MATCH($A426,Employees!$B$5:$B$29,0))="",Settings!$B$9,INDEX(Employees!$F$5:$F$29,MATCH($A426,Employees!$B$5:$B$29,0))),Settings!$B$9)))</f>
        <v/>
      </c>
      <c r="I426" s="10" t="n"/>
      <c r="J426" s="15">
        <f>IF($C426="","",IF($D426="",$C426,$D426))</f>
        <v/>
      </c>
    </row>
    <row r="427">
      <c r="A427" s="10" t="n"/>
      <c r="B427" s="10" t="n"/>
      <c r="C427" s="12" t="n"/>
      <c r="D427" s="12" t="n"/>
      <c r="E427" s="10" t="n"/>
      <c r="F427" s="11" t="n"/>
      <c r="G427" s="20">
        <f>IF(OR($A427="",$C427=""),"",NETWORKDAYS($C427,$J427,Holidays!$A$5:$A$40))</f>
        <v/>
      </c>
      <c r="H427" s="20">
        <f>IF(G427="","",IF($F427&lt;&gt;"",$F427,G427*IFERROR(IF(INDEX(Employees!$F$5:$F$29,MATCH($A427,Employees!$B$5:$B$29,0))="",Settings!$B$9,INDEX(Employees!$F$5:$F$29,MATCH($A427,Employees!$B$5:$B$29,0))),Settings!$B$9)))</f>
        <v/>
      </c>
      <c r="I427" s="10" t="n"/>
      <c r="J427" s="15">
        <f>IF($C427="","",IF($D427="",$C427,$D427))</f>
        <v/>
      </c>
    </row>
    <row r="428">
      <c r="A428" s="10" t="n"/>
      <c r="B428" s="10" t="n"/>
      <c r="C428" s="12" t="n"/>
      <c r="D428" s="12" t="n"/>
      <c r="E428" s="10" t="n"/>
      <c r="F428" s="11" t="n"/>
      <c r="G428" s="20">
        <f>IF(OR($A428="",$C428=""),"",NETWORKDAYS($C428,$J428,Holidays!$A$5:$A$40))</f>
        <v/>
      </c>
      <c r="H428" s="20">
        <f>IF(G428="","",IF($F428&lt;&gt;"",$F428,G428*IFERROR(IF(INDEX(Employees!$F$5:$F$29,MATCH($A428,Employees!$B$5:$B$29,0))="",Settings!$B$9,INDEX(Employees!$F$5:$F$29,MATCH($A428,Employees!$B$5:$B$29,0))),Settings!$B$9)))</f>
        <v/>
      </c>
      <c r="I428" s="10" t="n"/>
      <c r="J428" s="15">
        <f>IF($C428="","",IF($D428="",$C428,$D428))</f>
        <v/>
      </c>
    </row>
    <row r="429">
      <c r="A429" s="10" t="n"/>
      <c r="B429" s="10" t="n"/>
      <c r="C429" s="12" t="n"/>
      <c r="D429" s="12" t="n"/>
      <c r="E429" s="10" t="n"/>
      <c r="F429" s="11" t="n"/>
      <c r="G429" s="20">
        <f>IF(OR($A429="",$C429=""),"",NETWORKDAYS($C429,$J429,Holidays!$A$5:$A$40))</f>
        <v/>
      </c>
      <c r="H429" s="20">
        <f>IF(G429="","",IF($F429&lt;&gt;"",$F429,G429*IFERROR(IF(INDEX(Employees!$F$5:$F$29,MATCH($A429,Employees!$B$5:$B$29,0))="",Settings!$B$9,INDEX(Employees!$F$5:$F$29,MATCH($A429,Employees!$B$5:$B$29,0))),Settings!$B$9)))</f>
        <v/>
      </c>
      <c r="I429" s="10" t="n"/>
      <c r="J429" s="15">
        <f>IF($C429="","",IF($D429="",$C429,$D429))</f>
        <v/>
      </c>
    </row>
    <row r="430">
      <c r="A430" s="10" t="n"/>
      <c r="B430" s="10" t="n"/>
      <c r="C430" s="12" t="n"/>
      <c r="D430" s="12" t="n"/>
      <c r="E430" s="10" t="n"/>
      <c r="F430" s="11" t="n"/>
      <c r="G430" s="20">
        <f>IF(OR($A430="",$C430=""),"",NETWORKDAYS($C430,$J430,Holidays!$A$5:$A$40))</f>
        <v/>
      </c>
      <c r="H430" s="20">
        <f>IF(G430="","",IF($F430&lt;&gt;"",$F430,G430*IFERROR(IF(INDEX(Employees!$F$5:$F$29,MATCH($A430,Employees!$B$5:$B$29,0))="",Settings!$B$9,INDEX(Employees!$F$5:$F$29,MATCH($A430,Employees!$B$5:$B$29,0))),Settings!$B$9)))</f>
        <v/>
      </c>
      <c r="I430" s="10" t="n"/>
      <c r="J430" s="15">
        <f>IF($C430="","",IF($D430="",$C430,$D430))</f>
        <v/>
      </c>
    </row>
    <row r="431">
      <c r="A431" s="10" t="n"/>
      <c r="B431" s="10" t="n"/>
      <c r="C431" s="12" t="n"/>
      <c r="D431" s="12" t="n"/>
      <c r="E431" s="10" t="n"/>
      <c r="F431" s="11" t="n"/>
      <c r="G431" s="20">
        <f>IF(OR($A431="",$C431=""),"",NETWORKDAYS($C431,$J431,Holidays!$A$5:$A$40))</f>
        <v/>
      </c>
      <c r="H431" s="20">
        <f>IF(G431="","",IF($F431&lt;&gt;"",$F431,G431*IFERROR(IF(INDEX(Employees!$F$5:$F$29,MATCH($A431,Employees!$B$5:$B$29,0))="",Settings!$B$9,INDEX(Employees!$F$5:$F$29,MATCH($A431,Employees!$B$5:$B$29,0))),Settings!$B$9)))</f>
        <v/>
      </c>
      <c r="I431" s="10" t="n"/>
      <c r="J431" s="15">
        <f>IF($C431="","",IF($D431="",$C431,$D431))</f>
        <v/>
      </c>
    </row>
    <row r="432">
      <c r="A432" s="10" t="n"/>
      <c r="B432" s="10" t="n"/>
      <c r="C432" s="12" t="n"/>
      <c r="D432" s="12" t="n"/>
      <c r="E432" s="10" t="n"/>
      <c r="F432" s="11" t="n"/>
      <c r="G432" s="20">
        <f>IF(OR($A432="",$C432=""),"",NETWORKDAYS($C432,$J432,Holidays!$A$5:$A$40))</f>
        <v/>
      </c>
      <c r="H432" s="20">
        <f>IF(G432="","",IF($F432&lt;&gt;"",$F432,G432*IFERROR(IF(INDEX(Employees!$F$5:$F$29,MATCH($A432,Employees!$B$5:$B$29,0))="",Settings!$B$9,INDEX(Employees!$F$5:$F$29,MATCH($A432,Employees!$B$5:$B$29,0))),Settings!$B$9)))</f>
        <v/>
      </c>
      <c r="I432" s="10" t="n"/>
      <c r="J432" s="15">
        <f>IF($C432="","",IF($D432="",$C432,$D432))</f>
        <v/>
      </c>
    </row>
    <row r="433">
      <c r="A433" s="10" t="n"/>
      <c r="B433" s="10" t="n"/>
      <c r="C433" s="12" t="n"/>
      <c r="D433" s="12" t="n"/>
      <c r="E433" s="10" t="n"/>
      <c r="F433" s="11" t="n"/>
      <c r="G433" s="20">
        <f>IF(OR($A433="",$C433=""),"",NETWORKDAYS($C433,$J433,Holidays!$A$5:$A$40))</f>
        <v/>
      </c>
      <c r="H433" s="20">
        <f>IF(G433="","",IF($F433&lt;&gt;"",$F433,G433*IFERROR(IF(INDEX(Employees!$F$5:$F$29,MATCH($A433,Employees!$B$5:$B$29,0))="",Settings!$B$9,INDEX(Employees!$F$5:$F$29,MATCH($A433,Employees!$B$5:$B$29,0))),Settings!$B$9)))</f>
        <v/>
      </c>
      <c r="I433" s="10" t="n"/>
      <c r="J433" s="15">
        <f>IF($C433="","",IF($D433="",$C433,$D433))</f>
        <v/>
      </c>
    </row>
    <row r="434">
      <c r="A434" s="10" t="n"/>
      <c r="B434" s="10" t="n"/>
      <c r="C434" s="12" t="n"/>
      <c r="D434" s="12" t="n"/>
      <c r="E434" s="10" t="n"/>
      <c r="F434" s="11" t="n"/>
      <c r="G434" s="20">
        <f>IF(OR($A434="",$C434=""),"",NETWORKDAYS($C434,$J434,Holidays!$A$5:$A$40))</f>
        <v/>
      </c>
      <c r="H434" s="20">
        <f>IF(G434="","",IF($F434&lt;&gt;"",$F434,G434*IFERROR(IF(INDEX(Employees!$F$5:$F$29,MATCH($A434,Employees!$B$5:$B$29,0))="",Settings!$B$9,INDEX(Employees!$F$5:$F$29,MATCH($A434,Employees!$B$5:$B$29,0))),Settings!$B$9)))</f>
        <v/>
      </c>
      <c r="I434" s="10" t="n"/>
      <c r="J434" s="15">
        <f>IF($C434="","",IF($D434="",$C434,$D434))</f>
        <v/>
      </c>
    </row>
    <row r="435">
      <c r="A435" s="10" t="n"/>
      <c r="B435" s="10" t="n"/>
      <c r="C435" s="12" t="n"/>
      <c r="D435" s="12" t="n"/>
      <c r="E435" s="10" t="n"/>
      <c r="F435" s="11" t="n"/>
      <c r="G435" s="20">
        <f>IF(OR($A435="",$C435=""),"",NETWORKDAYS($C435,$J435,Holidays!$A$5:$A$40))</f>
        <v/>
      </c>
      <c r="H435" s="20">
        <f>IF(G435="","",IF($F435&lt;&gt;"",$F435,G435*IFERROR(IF(INDEX(Employees!$F$5:$F$29,MATCH($A435,Employees!$B$5:$B$29,0))="",Settings!$B$9,INDEX(Employees!$F$5:$F$29,MATCH($A435,Employees!$B$5:$B$29,0))),Settings!$B$9)))</f>
        <v/>
      </c>
      <c r="I435" s="10" t="n"/>
      <c r="J435" s="15">
        <f>IF($C435="","",IF($D435="",$C435,$D435))</f>
        <v/>
      </c>
    </row>
    <row r="436">
      <c r="A436" s="10" t="n"/>
      <c r="B436" s="10" t="n"/>
      <c r="C436" s="12" t="n"/>
      <c r="D436" s="12" t="n"/>
      <c r="E436" s="10" t="n"/>
      <c r="F436" s="11" t="n"/>
      <c r="G436" s="20">
        <f>IF(OR($A436="",$C436=""),"",NETWORKDAYS($C436,$J436,Holidays!$A$5:$A$40))</f>
        <v/>
      </c>
      <c r="H436" s="20">
        <f>IF(G436="","",IF($F436&lt;&gt;"",$F436,G436*IFERROR(IF(INDEX(Employees!$F$5:$F$29,MATCH($A436,Employees!$B$5:$B$29,0))="",Settings!$B$9,INDEX(Employees!$F$5:$F$29,MATCH($A436,Employees!$B$5:$B$29,0))),Settings!$B$9)))</f>
        <v/>
      </c>
      <c r="I436" s="10" t="n"/>
      <c r="J436" s="15">
        <f>IF($C436="","",IF($D436="",$C436,$D436))</f>
        <v/>
      </c>
    </row>
    <row r="437">
      <c r="A437" s="10" t="n"/>
      <c r="B437" s="10" t="n"/>
      <c r="C437" s="12" t="n"/>
      <c r="D437" s="12" t="n"/>
      <c r="E437" s="10" t="n"/>
      <c r="F437" s="11" t="n"/>
      <c r="G437" s="20">
        <f>IF(OR($A437="",$C437=""),"",NETWORKDAYS($C437,$J437,Holidays!$A$5:$A$40))</f>
        <v/>
      </c>
      <c r="H437" s="20">
        <f>IF(G437="","",IF($F437&lt;&gt;"",$F437,G437*IFERROR(IF(INDEX(Employees!$F$5:$F$29,MATCH($A437,Employees!$B$5:$B$29,0))="",Settings!$B$9,INDEX(Employees!$F$5:$F$29,MATCH($A437,Employees!$B$5:$B$29,0))),Settings!$B$9)))</f>
        <v/>
      </c>
      <c r="I437" s="10" t="n"/>
      <c r="J437" s="15">
        <f>IF($C437="","",IF($D437="",$C437,$D437))</f>
        <v/>
      </c>
    </row>
    <row r="438">
      <c r="A438" s="10" t="n"/>
      <c r="B438" s="10" t="n"/>
      <c r="C438" s="12" t="n"/>
      <c r="D438" s="12" t="n"/>
      <c r="E438" s="10" t="n"/>
      <c r="F438" s="11" t="n"/>
      <c r="G438" s="20">
        <f>IF(OR($A438="",$C438=""),"",NETWORKDAYS($C438,$J438,Holidays!$A$5:$A$40))</f>
        <v/>
      </c>
      <c r="H438" s="20">
        <f>IF(G438="","",IF($F438&lt;&gt;"",$F438,G438*IFERROR(IF(INDEX(Employees!$F$5:$F$29,MATCH($A438,Employees!$B$5:$B$29,0))="",Settings!$B$9,INDEX(Employees!$F$5:$F$29,MATCH($A438,Employees!$B$5:$B$29,0))),Settings!$B$9)))</f>
        <v/>
      </c>
      <c r="I438" s="10" t="n"/>
      <c r="J438" s="15">
        <f>IF($C438="","",IF($D438="",$C438,$D438))</f>
        <v/>
      </c>
    </row>
    <row r="439">
      <c r="A439" s="10" t="n"/>
      <c r="B439" s="10" t="n"/>
      <c r="C439" s="12" t="n"/>
      <c r="D439" s="12" t="n"/>
      <c r="E439" s="10" t="n"/>
      <c r="F439" s="11" t="n"/>
      <c r="G439" s="20">
        <f>IF(OR($A439="",$C439=""),"",NETWORKDAYS($C439,$J439,Holidays!$A$5:$A$40))</f>
        <v/>
      </c>
      <c r="H439" s="20">
        <f>IF(G439="","",IF($F439&lt;&gt;"",$F439,G439*IFERROR(IF(INDEX(Employees!$F$5:$F$29,MATCH($A439,Employees!$B$5:$B$29,0))="",Settings!$B$9,INDEX(Employees!$F$5:$F$29,MATCH($A439,Employees!$B$5:$B$29,0))),Settings!$B$9)))</f>
        <v/>
      </c>
      <c r="I439" s="10" t="n"/>
      <c r="J439" s="15">
        <f>IF($C439="","",IF($D439="",$C439,$D439))</f>
        <v/>
      </c>
    </row>
    <row r="440">
      <c r="A440" s="10" t="n"/>
      <c r="B440" s="10" t="n"/>
      <c r="C440" s="12" t="n"/>
      <c r="D440" s="12" t="n"/>
      <c r="E440" s="10" t="n"/>
      <c r="F440" s="11" t="n"/>
      <c r="G440" s="20">
        <f>IF(OR($A440="",$C440=""),"",NETWORKDAYS($C440,$J440,Holidays!$A$5:$A$40))</f>
        <v/>
      </c>
      <c r="H440" s="20">
        <f>IF(G440="","",IF($F440&lt;&gt;"",$F440,G440*IFERROR(IF(INDEX(Employees!$F$5:$F$29,MATCH($A440,Employees!$B$5:$B$29,0))="",Settings!$B$9,INDEX(Employees!$F$5:$F$29,MATCH($A440,Employees!$B$5:$B$29,0))),Settings!$B$9)))</f>
        <v/>
      </c>
      <c r="I440" s="10" t="n"/>
      <c r="J440" s="15">
        <f>IF($C440="","",IF($D440="",$C440,$D440))</f>
        <v/>
      </c>
    </row>
    <row r="441">
      <c r="A441" s="10" t="n"/>
      <c r="B441" s="10" t="n"/>
      <c r="C441" s="12" t="n"/>
      <c r="D441" s="12" t="n"/>
      <c r="E441" s="10" t="n"/>
      <c r="F441" s="11" t="n"/>
      <c r="G441" s="20">
        <f>IF(OR($A441="",$C441=""),"",NETWORKDAYS($C441,$J441,Holidays!$A$5:$A$40))</f>
        <v/>
      </c>
      <c r="H441" s="20">
        <f>IF(G441="","",IF($F441&lt;&gt;"",$F441,G441*IFERROR(IF(INDEX(Employees!$F$5:$F$29,MATCH($A441,Employees!$B$5:$B$29,0))="",Settings!$B$9,INDEX(Employees!$F$5:$F$29,MATCH($A441,Employees!$B$5:$B$29,0))),Settings!$B$9)))</f>
        <v/>
      </c>
      <c r="I441" s="10" t="n"/>
      <c r="J441" s="15">
        <f>IF($C441="","",IF($D441="",$C441,$D441))</f>
        <v/>
      </c>
    </row>
    <row r="442">
      <c r="A442" s="10" t="n"/>
      <c r="B442" s="10" t="n"/>
      <c r="C442" s="12" t="n"/>
      <c r="D442" s="12" t="n"/>
      <c r="E442" s="10" t="n"/>
      <c r="F442" s="11" t="n"/>
      <c r="G442" s="20">
        <f>IF(OR($A442="",$C442=""),"",NETWORKDAYS($C442,$J442,Holidays!$A$5:$A$40))</f>
        <v/>
      </c>
      <c r="H442" s="20">
        <f>IF(G442="","",IF($F442&lt;&gt;"",$F442,G442*IFERROR(IF(INDEX(Employees!$F$5:$F$29,MATCH($A442,Employees!$B$5:$B$29,0))="",Settings!$B$9,INDEX(Employees!$F$5:$F$29,MATCH($A442,Employees!$B$5:$B$29,0))),Settings!$B$9)))</f>
        <v/>
      </c>
      <c r="I442" s="10" t="n"/>
      <c r="J442" s="15">
        <f>IF($C442="","",IF($D442="",$C442,$D442))</f>
        <v/>
      </c>
    </row>
    <row r="443">
      <c r="A443" s="10" t="n"/>
      <c r="B443" s="10" t="n"/>
      <c r="C443" s="12" t="n"/>
      <c r="D443" s="12" t="n"/>
      <c r="E443" s="10" t="n"/>
      <c r="F443" s="11" t="n"/>
      <c r="G443" s="20">
        <f>IF(OR($A443="",$C443=""),"",NETWORKDAYS($C443,$J443,Holidays!$A$5:$A$40))</f>
        <v/>
      </c>
      <c r="H443" s="20">
        <f>IF(G443="","",IF($F443&lt;&gt;"",$F443,G443*IFERROR(IF(INDEX(Employees!$F$5:$F$29,MATCH($A443,Employees!$B$5:$B$29,0))="",Settings!$B$9,INDEX(Employees!$F$5:$F$29,MATCH($A443,Employees!$B$5:$B$29,0))),Settings!$B$9)))</f>
        <v/>
      </c>
      <c r="I443" s="10" t="n"/>
      <c r="J443" s="15">
        <f>IF($C443="","",IF($D443="",$C443,$D443))</f>
        <v/>
      </c>
    </row>
    <row r="444">
      <c r="A444" s="10" t="n"/>
      <c r="B444" s="10" t="n"/>
      <c r="C444" s="12" t="n"/>
      <c r="D444" s="12" t="n"/>
      <c r="E444" s="10" t="n"/>
      <c r="F444" s="11" t="n"/>
      <c r="G444" s="20">
        <f>IF(OR($A444="",$C444=""),"",NETWORKDAYS($C444,$J444,Holidays!$A$5:$A$40))</f>
        <v/>
      </c>
      <c r="H444" s="20">
        <f>IF(G444="","",IF($F444&lt;&gt;"",$F444,G444*IFERROR(IF(INDEX(Employees!$F$5:$F$29,MATCH($A444,Employees!$B$5:$B$29,0))="",Settings!$B$9,INDEX(Employees!$F$5:$F$29,MATCH($A444,Employees!$B$5:$B$29,0))),Settings!$B$9)))</f>
        <v/>
      </c>
      <c r="I444" s="10" t="n"/>
      <c r="J444" s="15">
        <f>IF($C444="","",IF($D444="",$C444,$D444))</f>
        <v/>
      </c>
    </row>
    <row r="445">
      <c r="A445" s="10" t="n"/>
      <c r="B445" s="10" t="n"/>
      <c r="C445" s="12" t="n"/>
      <c r="D445" s="12" t="n"/>
      <c r="E445" s="10" t="n"/>
      <c r="F445" s="11" t="n"/>
      <c r="G445" s="20">
        <f>IF(OR($A445="",$C445=""),"",NETWORKDAYS($C445,$J445,Holidays!$A$5:$A$40))</f>
        <v/>
      </c>
      <c r="H445" s="20">
        <f>IF(G445="","",IF($F445&lt;&gt;"",$F445,G445*IFERROR(IF(INDEX(Employees!$F$5:$F$29,MATCH($A445,Employees!$B$5:$B$29,0))="",Settings!$B$9,INDEX(Employees!$F$5:$F$29,MATCH($A445,Employees!$B$5:$B$29,0))),Settings!$B$9)))</f>
        <v/>
      </c>
      <c r="I445" s="10" t="n"/>
      <c r="J445" s="15">
        <f>IF($C445="","",IF($D445="",$C445,$D445))</f>
        <v/>
      </c>
    </row>
    <row r="446">
      <c r="A446" s="10" t="n"/>
      <c r="B446" s="10" t="n"/>
      <c r="C446" s="12" t="n"/>
      <c r="D446" s="12" t="n"/>
      <c r="E446" s="10" t="n"/>
      <c r="F446" s="11" t="n"/>
      <c r="G446" s="20">
        <f>IF(OR($A446="",$C446=""),"",NETWORKDAYS($C446,$J446,Holidays!$A$5:$A$40))</f>
        <v/>
      </c>
      <c r="H446" s="20">
        <f>IF(G446="","",IF($F446&lt;&gt;"",$F446,G446*IFERROR(IF(INDEX(Employees!$F$5:$F$29,MATCH($A446,Employees!$B$5:$B$29,0))="",Settings!$B$9,INDEX(Employees!$F$5:$F$29,MATCH($A446,Employees!$B$5:$B$29,0))),Settings!$B$9)))</f>
        <v/>
      </c>
      <c r="I446" s="10" t="n"/>
      <c r="J446" s="15">
        <f>IF($C446="","",IF($D446="",$C446,$D446))</f>
        <v/>
      </c>
    </row>
    <row r="447">
      <c r="A447" s="10" t="n"/>
      <c r="B447" s="10" t="n"/>
      <c r="C447" s="12" t="n"/>
      <c r="D447" s="12" t="n"/>
      <c r="E447" s="10" t="n"/>
      <c r="F447" s="11" t="n"/>
      <c r="G447" s="20">
        <f>IF(OR($A447="",$C447=""),"",NETWORKDAYS($C447,$J447,Holidays!$A$5:$A$40))</f>
        <v/>
      </c>
      <c r="H447" s="20">
        <f>IF(G447="","",IF($F447&lt;&gt;"",$F447,G447*IFERROR(IF(INDEX(Employees!$F$5:$F$29,MATCH($A447,Employees!$B$5:$B$29,0))="",Settings!$B$9,INDEX(Employees!$F$5:$F$29,MATCH($A447,Employees!$B$5:$B$29,0))),Settings!$B$9)))</f>
        <v/>
      </c>
      <c r="I447" s="10" t="n"/>
      <c r="J447" s="15">
        <f>IF($C447="","",IF($D447="",$C447,$D447))</f>
        <v/>
      </c>
    </row>
    <row r="448">
      <c r="A448" s="10" t="n"/>
      <c r="B448" s="10" t="n"/>
      <c r="C448" s="12" t="n"/>
      <c r="D448" s="12" t="n"/>
      <c r="E448" s="10" t="n"/>
      <c r="F448" s="11" t="n"/>
      <c r="G448" s="20">
        <f>IF(OR($A448="",$C448=""),"",NETWORKDAYS($C448,$J448,Holidays!$A$5:$A$40))</f>
        <v/>
      </c>
      <c r="H448" s="20">
        <f>IF(G448="","",IF($F448&lt;&gt;"",$F448,G448*IFERROR(IF(INDEX(Employees!$F$5:$F$29,MATCH($A448,Employees!$B$5:$B$29,0))="",Settings!$B$9,INDEX(Employees!$F$5:$F$29,MATCH($A448,Employees!$B$5:$B$29,0))),Settings!$B$9)))</f>
        <v/>
      </c>
      <c r="I448" s="10" t="n"/>
      <c r="J448" s="15">
        <f>IF($C448="","",IF($D448="",$C448,$D448))</f>
        <v/>
      </c>
    </row>
    <row r="449">
      <c r="A449" s="10" t="n"/>
      <c r="B449" s="10" t="n"/>
      <c r="C449" s="12" t="n"/>
      <c r="D449" s="12" t="n"/>
      <c r="E449" s="10" t="n"/>
      <c r="F449" s="11" t="n"/>
      <c r="G449" s="20">
        <f>IF(OR($A449="",$C449=""),"",NETWORKDAYS($C449,$J449,Holidays!$A$5:$A$40))</f>
        <v/>
      </c>
      <c r="H449" s="20">
        <f>IF(G449="","",IF($F449&lt;&gt;"",$F449,G449*IFERROR(IF(INDEX(Employees!$F$5:$F$29,MATCH($A449,Employees!$B$5:$B$29,0))="",Settings!$B$9,INDEX(Employees!$F$5:$F$29,MATCH($A449,Employees!$B$5:$B$29,0))),Settings!$B$9)))</f>
        <v/>
      </c>
      <c r="I449" s="10" t="n"/>
      <c r="J449" s="15">
        <f>IF($C449="","",IF($D449="",$C449,$D449))</f>
        <v/>
      </c>
    </row>
    <row r="450">
      <c r="A450" s="10" t="n"/>
      <c r="B450" s="10" t="n"/>
      <c r="C450" s="12" t="n"/>
      <c r="D450" s="12" t="n"/>
      <c r="E450" s="10" t="n"/>
      <c r="F450" s="11" t="n"/>
      <c r="G450" s="20">
        <f>IF(OR($A450="",$C450=""),"",NETWORKDAYS($C450,$J450,Holidays!$A$5:$A$40))</f>
        <v/>
      </c>
      <c r="H450" s="20">
        <f>IF(G450="","",IF($F450&lt;&gt;"",$F450,G450*IFERROR(IF(INDEX(Employees!$F$5:$F$29,MATCH($A450,Employees!$B$5:$B$29,0))="",Settings!$B$9,INDEX(Employees!$F$5:$F$29,MATCH($A450,Employees!$B$5:$B$29,0))),Settings!$B$9)))</f>
        <v/>
      </c>
      <c r="I450" s="10" t="n"/>
      <c r="J450" s="15">
        <f>IF($C450="","",IF($D450="",$C450,$D450))</f>
        <v/>
      </c>
    </row>
    <row r="451">
      <c r="A451" s="10" t="n"/>
      <c r="B451" s="10" t="n"/>
      <c r="C451" s="12" t="n"/>
      <c r="D451" s="12" t="n"/>
      <c r="E451" s="10" t="n"/>
      <c r="F451" s="11" t="n"/>
      <c r="G451" s="20">
        <f>IF(OR($A451="",$C451=""),"",NETWORKDAYS($C451,$J451,Holidays!$A$5:$A$40))</f>
        <v/>
      </c>
      <c r="H451" s="20">
        <f>IF(G451="","",IF($F451&lt;&gt;"",$F451,G451*IFERROR(IF(INDEX(Employees!$F$5:$F$29,MATCH($A451,Employees!$B$5:$B$29,0))="",Settings!$B$9,INDEX(Employees!$F$5:$F$29,MATCH($A451,Employees!$B$5:$B$29,0))),Settings!$B$9)))</f>
        <v/>
      </c>
      <c r="I451" s="10" t="n"/>
      <c r="J451" s="15">
        <f>IF($C451="","",IF($D451="",$C451,$D451))</f>
        <v/>
      </c>
    </row>
    <row r="452">
      <c r="A452" s="10" t="n"/>
      <c r="B452" s="10" t="n"/>
      <c r="C452" s="12" t="n"/>
      <c r="D452" s="12" t="n"/>
      <c r="E452" s="10" t="n"/>
      <c r="F452" s="11" t="n"/>
      <c r="G452" s="20">
        <f>IF(OR($A452="",$C452=""),"",NETWORKDAYS($C452,$J452,Holidays!$A$5:$A$40))</f>
        <v/>
      </c>
      <c r="H452" s="20">
        <f>IF(G452="","",IF($F452&lt;&gt;"",$F452,G452*IFERROR(IF(INDEX(Employees!$F$5:$F$29,MATCH($A452,Employees!$B$5:$B$29,0))="",Settings!$B$9,INDEX(Employees!$F$5:$F$29,MATCH($A452,Employees!$B$5:$B$29,0))),Settings!$B$9)))</f>
        <v/>
      </c>
      <c r="I452" s="10" t="n"/>
      <c r="J452" s="15">
        <f>IF($C452="","",IF($D452="",$C452,$D452))</f>
        <v/>
      </c>
    </row>
    <row r="453">
      <c r="A453" s="10" t="n"/>
      <c r="B453" s="10" t="n"/>
      <c r="C453" s="12" t="n"/>
      <c r="D453" s="12" t="n"/>
      <c r="E453" s="10" t="n"/>
      <c r="F453" s="11" t="n"/>
      <c r="G453" s="20">
        <f>IF(OR($A453="",$C453=""),"",NETWORKDAYS($C453,$J453,Holidays!$A$5:$A$40))</f>
        <v/>
      </c>
      <c r="H453" s="20">
        <f>IF(G453="","",IF($F453&lt;&gt;"",$F453,G453*IFERROR(IF(INDEX(Employees!$F$5:$F$29,MATCH($A453,Employees!$B$5:$B$29,0))="",Settings!$B$9,INDEX(Employees!$F$5:$F$29,MATCH($A453,Employees!$B$5:$B$29,0))),Settings!$B$9)))</f>
        <v/>
      </c>
      <c r="I453" s="10" t="n"/>
      <c r="J453" s="15">
        <f>IF($C453="","",IF($D453="",$C453,$D453))</f>
        <v/>
      </c>
    </row>
    <row r="454">
      <c r="A454" s="10" t="n"/>
      <c r="B454" s="10" t="n"/>
      <c r="C454" s="12" t="n"/>
      <c r="D454" s="12" t="n"/>
      <c r="E454" s="10" t="n"/>
      <c r="F454" s="11" t="n"/>
      <c r="G454" s="20">
        <f>IF(OR($A454="",$C454=""),"",NETWORKDAYS($C454,$J454,Holidays!$A$5:$A$40))</f>
        <v/>
      </c>
      <c r="H454" s="20">
        <f>IF(G454="","",IF($F454&lt;&gt;"",$F454,G454*IFERROR(IF(INDEX(Employees!$F$5:$F$29,MATCH($A454,Employees!$B$5:$B$29,0))="",Settings!$B$9,INDEX(Employees!$F$5:$F$29,MATCH($A454,Employees!$B$5:$B$29,0))),Settings!$B$9)))</f>
        <v/>
      </c>
      <c r="I454" s="10" t="n"/>
      <c r="J454" s="15">
        <f>IF($C454="","",IF($D454="",$C454,$D454))</f>
        <v/>
      </c>
    </row>
    <row r="455">
      <c r="A455" s="10" t="n"/>
      <c r="B455" s="10" t="n"/>
      <c r="C455" s="12" t="n"/>
      <c r="D455" s="12" t="n"/>
      <c r="E455" s="10" t="n"/>
      <c r="F455" s="11" t="n"/>
      <c r="G455" s="20">
        <f>IF(OR($A455="",$C455=""),"",NETWORKDAYS($C455,$J455,Holidays!$A$5:$A$40))</f>
        <v/>
      </c>
      <c r="H455" s="20">
        <f>IF(G455="","",IF($F455&lt;&gt;"",$F455,G455*IFERROR(IF(INDEX(Employees!$F$5:$F$29,MATCH($A455,Employees!$B$5:$B$29,0))="",Settings!$B$9,INDEX(Employees!$F$5:$F$29,MATCH($A455,Employees!$B$5:$B$29,0))),Settings!$B$9)))</f>
        <v/>
      </c>
      <c r="I455" s="10" t="n"/>
      <c r="J455" s="15">
        <f>IF($C455="","",IF($D455="",$C455,$D455))</f>
        <v/>
      </c>
    </row>
    <row r="456">
      <c r="A456" s="10" t="n"/>
      <c r="B456" s="10" t="n"/>
      <c r="C456" s="12" t="n"/>
      <c r="D456" s="12" t="n"/>
      <c r="E456" s="10" t="n"/>
      <c r="F456" s="11" t="n"/>
      <c r="G456" s="20">
        <f>IF(OR($A456="",$C456=""),"",NETWORKDAYS($C456,$J456,Holidays!$A$5:$A$40))</f>
        <v/>
      </c>
      <c r="H456" s="20">
        <f>IF(G456="","",IF($F456&lt;&gt;"",$F456,G456*IFERROR(IF(INDEX(Employees!$F$5:$F$29,MATCH($A456,Employees!$B$5:$B$29,0))="",Settings!$B$9,INDEX(Employees!$F$5:$F$29,MATCH($A456,Employees!$B$5:$B$29,0))),Settings!$B$9)))</f>
        <v/>
      </c>
      <c r="I456" s="10" t="n"/>
      <c r="J456" s="15">
        <f>IF($C456="","",IF($D456="",$C456,$D456))</f>
        <v/>
      </c>
    </row>
    <row r="457">
      <c r="A457" s="10" t="n"/>
      <c r="B457" s="10" t="n"/>
      <c r="C457" s="12" t="n"/>
      <c r="D457" s="12" t="n"/>
      <c r="E457" s="10" t="n"/>
      <c r="F457" s="11" t="n"/>
      <c r="G457" s="20">
        <f>IF(OR($A457="",$C457=""),"",NETWORKDAYS($C457,$J457,Holidays!$A$5:$A$40))</f>
        <v/>
      </c>
      <c r="H457" s="20">
        <f>IF(G457="","",IF($F457&lt;&gt;"",$F457,G457*IFERROR(IF(INDEX(Employees!$F$5:$F$29,MATCH($A457,Employees!$B$5:$B$29,0))="",Settings!$B$9,INDEX(Employees!$F$5:$F$29,MATCH($A457,Employees!$B$5:$B$29,0))),Settings!$B$9)))</f>
        <v/>
      </c>
      <c r="I457" s="10" t="n"/>
      <c r="J457" s="15">
        <f>IF($C457="","",IF($D457="",$C457,$D457))</f>
        <v/>
      </c>
    </row>
    <row r="458">
      <c r="A458" s="10" t="n"/>
      <c r="B458" s="10" t="n"/>
      <c r="C458" s="12" t="n"/>
      <c r="D458" s="12" t="n"/>
      <c r="E458" s="10" t="n"/>
      <c r="F458" s="11" t="n"/>
      <c r="G458" s="20">
        <f>IF(OR($A458="",$C458=""),"",NETWORKDAYS($C458,$J458,Holidays!$A$5:$A$40))</f>
        <v/>
      </c>
      <c r="H458" s="20">
        <f>IF(G458="","",IF($F458&lt;&gt;"",$F458,G458*IFERROR(IF(INDEX(Employees!$F$5:$F$29,MATCH($A458,Employees!$B$5:$B$29,0))="",Settings!$B$9,INDEX(Employees!$F$5:$F$29,MATCH($A458,Employees!$B$5:$B$29,0))),Settings!$B$9)))</f>
        <v/>
      </c>
      <c r="I458" s="10" t="n"/>
      <c r="J458" s="15">
        <f>IF($C458="","",IF($D458="",$C458,$D458))</f>
        <v/>
      </c>
    </row>
    <row r="459">
      <c r="A459" s="10" t="n"/>
      <c r="B459" s="10" t="n"/>
      <c r="C459" s="12" t="n"/>
      <c r="D459" s="12" t="n"/>
      <c r="E459" s="10" t="n"/>
      <c r="F459" s="11" t="n"/>
      <c r="G459" s="20">
        <f>IF(OR($A459="",$C459=""),"",NETWORKDAYS($C459,$J459,Holidays!$A$5:$A$40))</f>
        <v/>
      </c>
      <c r="H459" s="20">
        <f>IF(G459="","",IF($F459&lt;&gt;"",$F459,G459*IFERROR(IF(INDEX(Employees!$F$5:$F$29,MATCH($A459,Employees!$B$5:$B$29,0))="",Settings!$B$9,INDEX(Employees!$F$5:$F$29,MATCH($A459,Employees!$B$5:$B$29,0))),Settings!$B$9)))</f>
        <v/>
      </c>
      <c r="I459" s="10" t="n"/>
      <c r="J459" s="15">
        <f>IF($C459="","",IF($D459="",$C459,$D459))</f>
        <v/>
      </c>
    </row>
    <row r="460">
      <c r="A460" s="10" t="n"/>
      <c r="B460" s="10" t="n"/>
      <c r="C460" s="12" t="n"/>
      <c r="D460" s="12" t="n"/>
      <c r="E460" s="10" t="n"/>
      <c r="F460" s="11" t="n"/>
      <c r="G460" s="20">
        <f>IF(OR($A460="",$C460=""),"",NETWORKDAYS($C460,$J460,Holidays!$A$5:$A$40))</f>
        <v/>
      </c>
      <c r="H460" s="20">
        <f>IF(G460="","",IF($F460&lt;&gt;"",$F460,G460*IFERROR(IF(INDEX(Employees!$F$5:$F$29,MATCH($A460,Employees!$B$5:$B$29,0))="",Settings!$B$9,INDEX(Employees!$F$5:$F$29,MATCH($A460,Employees!$B$5:$B$29,0))),Settings!$B$9)))</f>
        <v/>
      </c>
      <c r="I460" s="10" t="n"/>
      <c r="J460" s="15">
        <f>IF($C460="","",IF($D460="",$C460,$D460))</f>
        <v/>
      </c>
    </row>
    <row r="461">
      <c r="A461" s="10" t="n"/>
      <c r="B461" s="10" t="n"/>
      <c r="C461" s="12" t="n"/>
      <c r="D461" s="12" t="n"/>
      <c r="E461" s="10" t="n"/>
      <c r="F461" s="11" t="n"/>
      <c r="G461" s="20">
        <f>IF(OR($A461="",$C461=""),"",NETWORKDAYS($C461,$J461,Holidays!$A$5:$A$40))</f>
        <v/>
      </c>
      <c r="H461" s="20">
        <f>IF(G461="","",IF($F461&lt;&gt;"",$F461,G461*IFERROR(IF(INDEX(Employees!$F$5:$F$29,MATCH($A461,Employees!$B$5:$B$29,0))="",Settings!$B$9,INDEX(Employees!$F$5:$F$29,MATCH($A461,Employees!$B$5:$B$29,0))),Settings!$B$9)))</f>
        <v/>
      </c>
      <c r="I461" s="10" t="n"/>
      <c r="J461" s="15">
        <f>IF($C461="","",IF($D461="",$C461,$D461))</f>
        <v/>
      </c>
    </row>
    <row r="462">
      <c r="A462" s="10" t="n"/>
      <c r="B462" s="10" t="n"/>
      <c r="C462" s="12" t="n"/>
      <c r="D462" s="12" t="n"/>
      <c r="E462" s="10" t="n"/>
      <c r="F462" s="11" t="n"/>
      <c r="G462" s="20">
        <f>IF(OR($A462="",$C462=""),"",NETWORKDAYS($C462,$J462,Holidays!$A$5:$A$40))</f>
        <v/>
      </c>
      <c r="H462" s="20">
        <f>IF(G462="","",IF($F462&lt;&gt;"",$F462,G462*IFERROR(IF(INDEX(Employees!$F$5:$F$29,MATCH($A462,Employees!$B$5:$B$29,0))="",Settings!$B$9,INDEX(Employees!$F$5:$F$29,MATCH($A462,Employees!$B$5:$B$29,0))),Settings!$B$9)))</f>
        <v/>
      </c>
      <c r="I462" s="10" t="n"/>
      <c r="J462" s="15">
        <f>IF($C462="","",IF($D462="",$C462,$D462))</f>
        <v/>
      </c>
    </row>
    <row r="463">
      <c r="A463" s="10" t="n"/>
      <c r="B463" s="10" t="n"/>
      <c r="C463" s="12" t="n"/>
      <c r="D463" s="12" t="n"/>
      <c r="E463" s="10" t="n"/>
      <c r="F463" s="11" t="n"/>
      <c r="G463" s="20">
        <f>IF(OR($A463="",$C463=""),"",NETWORKDAYS($C463,$J463,Holidays!$A$5:$A$40))</f>
        <v/>
      </c>
      <c r="H463" s="20">
        <f>IF(G463="","",IF($F463&lt;&gt;"",$F463,G463*IFERROR(IF(INDEX(Employees!$F$5:$F$29,MATCH($A463,Employees!$B$5:$B$29,0))="",Settings!$B$9,INDEX(Employees!$F$5:$F$29,MATCH($A463,Employees!$B$5:$B$29,0))),Settings!$B$9)))</f>
        <v/>
      </c>
      <c r="I463" s="10" t="n"/>
      <c r="J463" s="15">
        <f>IF($C463="","",IF($D463="",$C463,$D463))</f>
        <v/>
      </c>
    </row>
    <row r="464">
      <c r="A464" s="10" t="n"/>
      <c r="B464" s="10" t="n"/>
      <c r="C464" s="12" t="n"/>
      <c r="D464" s="12" t="n"/>
      <c r="E464" s="10" t="n"/>
      <c r="F464" s="11" t="n"/>
      <c r="G464" s="20">
        <f>IF(OR($A464="",$C464=""),"",NETWORKDAYS($C464,$J464,Holidays!$A$5:$A$40))</f>
        <v/>
      </c>
      <c r="H464" s="20">
        <f>IF(G464="","",IF($F464&lt;&gt;"",$F464,G464*IFERROR(IF(INDEX(Employees!$F$5:$F$29,MATCH($A464,Employees!$B$5:$B$29,0))="",Settings!$B$9,INDEX(Employees!$F$5:$F$29,MATCH($A464,Employees!$B$5:$B$29,0))),Settings!$B$9)))</f>
        <v/>
      </c>
      <c r="I464" s="10" t="n"/>
      <c r="J464" s="15">
        <f>IF($C464="","",IF($D464="",$C464,$D464))</f>
        <v/>
      </c>
    </row>
    <row r="465">
      <c r="A465" s="10" t="n"/>
      <c r="B465" s="10" t="n"/>
      <c r="C465" s="12" t="n"/>
      <c r="D465" s="12" t="n"/>
      <c r="E465" s="10" t="n"/>
      <c r="F465" s="11" t="n"/>
      <c r="G465" s="20">
        <f>IF(OR($A465="",$C465=""),"",NETWORKDAYS($C465,$J465,Holidays!$A$5:$A$40))</f>
        <v/>
      </c>
      <c r="H465" s="20">
        <f>IF(G465="","",IF($F465&lt;&gt;"",$F465,G465*IFERROR(IF(INDEX(Employees!$F$5:$F$29,MATCH($A465,Employees!$B$5:$B$29,0))="",Settings!$B$9,INDEX(Employees!$F$5:$F$29,MATCH($A465,Employees!$B$5:$B$29,0))),Settings!$B$9)))</f>
        <v/>
      </c>
      <c r="I465" s="10" t="n"/>
      <c r="J465" s="15">
        <f>IF($C465="","",IF($D465="",$C465,$D465))</f>
        <v/>
      </c>
    </row>
    <row r="466">
      <c r="A466" s="10" t="n"/>
      <c r="B466" s="10" t="n"/>
      <c r="C466" s="12" t="n"/>
      <c r="D466" s="12" t="n"/>
      <c r="E466" s="10" t="n"/>
      <c r="F466" s="11" t="n"/>
      <c r="G466" s="20">
        <f>IF(OR($A466="",$C466=""),"",NETWORKDAYS($C466,$J466,Holidays!$A$5:$A$40))</f>
        <v/>
      </c>
      <c r="H466" s="20">
        <f>IF(G466="","",IF($F466&lt;&gt;"",$F466,G466*IFERROR(IF(INDEX(Employees!$F$5:$F$29,MATCH($A466,Employees!$B$5:$B$29,0))="",Settings!$B$9,INDEX(Employees!$F$5:$F$29,MATCH($A466,Employees!$B$5:$B$29,0))),Settings!$B$9)))</f>
        <v/>
      </c>
      <c r="I466" s="10" t="n"/>
      <c r="J466" s="15">
        <f>IF($C466="","",IF($D466="",$C466,$D466))</f>
        <v/>
      </c>
    </row>
    <row r="467">
      <c r="A467" s="10" t="n"/>
      <c r="B467" s="10" t="n"/>
      <c r="C467" s="12" t="n"/>
      <c r="D467" s="12" t="n"/>
      <c r="E467" s="10" t="n"/>
      <c r="F467" s="11" t="n"/>
      <c r="G467" s="20">
        <f>IF(OR($A467="",$C467=""),"",NETWORKDAYS($C467,$J467,Holidays!$A$5:$A$40))</f>
        <v/>
      </c>
      <c r="H467" s="20">
        <f>IF(G467="","",IF($F467&lt;&gt;"",$F467,G467*IFERROR(IF(INDEX(Employees!$F$5:$F$29,MATCH($A467,Employees!$B$5:$B$29,0))="",Settings!$B$9,INDEX(Employees!$F$5:$F$29,MATCH($A467,Employees!$B$5:$B$29,0))),Settings!$B$9)))</f>
        <v/>
      </c>
      <c r="I467" s="10" t="n"/>
      <c r="J467" s="15">
        <f>IF($C467="","",IF($D467="",$C467,$D467))</f>
        <v/>
      </c>
    </row>
    <row r="468">
      <c r="A468" s="10" t="n"/>
      <c r="B468" s="10" t="n"/>
      <c r="C468" s="12" t="n"/>
      <c r="D468" s="12" t="n"/>
      <c r="E468" s="10" t="n"/>
      <c r="F468" s="11" t="n"/>
      <c r="G468" s="20">
        <f>IF(OR($A468="",$C468=""),"",NETWORKDAYS($C468,$J468,Holidays!$A$5:$A$40))</f>
        <v/>
      </c>
      <c r="H468" s="20">
        <f>IF(G468="","",IF($F468&lt;&gt;"",$F468,G468*IFERROR(IF(INDEX(Employees!$F$5:$F$29,MATCH($A468,Employees!$B$5:$B$29,0))="",Settings!$B$9,INDEX(Employees!$F$5:$F$29,MATCH($A468,Employees!$B$5:$B$29,0))),Settings!$B$9)))</f>
        <v/>
      </c>
      <c r="I468" s="10" t="n"/>
      <c r="J468" s="15">
        <f>IF($C468="","",IF($D468="",$C468,$D468))</f>
        <v/>
      </c>
    </row>
    <row r="469">
      <c r="A469" s="10" t="n"/>
      <c r="B469" s="10" t="n"/>
      <c r="C469" s="12" t="n"/>
      <c r="D469" s="12" t="n"/>
      <c r="E469" s="10" t="n"/>
      <c r="F469" s="11" t="n"/>
      <c r="G469" s="20">
        <f>IF(OR($A469="",$C469=""),"",NETWORKDAYS($C469,$J469,Holidays!$A$5:$A$40))</f>
        <v/>
      </c>
      <c r="H469" s="20">
        <f>IF(G469="","",IF($F469&lt;&gt;"",$F469,G469*IFERROR(IF(INDEX(Employees!$F$5:$F$29,MATCH($A469,Employees!$B$5:$B$29,0))="",Settings!$B$9,INDEX(Employees!$F$5:$F$29,MATCH($A469,Employees!$B$5:$B$29,0))),Settings!$B$9)))</f>
        <v/>
      </c>
      <c r="I469" s="10" t="n"/>
      <c r="J469" s="15">
        <f>IF($C469="","",IF($D469="",$C469,$D469))</f>
        <v/>
      </c>
    </row>
    <row r="470">
      <c r="A470" s="10" t="n"/>
      <c r="B470" s="10" t="n"/>
      <c r="C470" s="12" t="n"/>
      <c r="D470" s="12" t="n"/>
      <c r="E470" s="10" t="n"/>
      <c r="F470" s="11" t="n"/>
      <c r="G470" s="20">
        <f>IF(OR($A470="",$C470=""),"",NETWORKDAYS($C470,$J470,Holidays!$A$5:$A$40))</f>
        <v/>
      </c>
      <c r="H470" s="20">
        <f>IF(G470="","",IF($F470&lt;&gt;"",$F470,G470*IFERROR(IF(INDEX(Employees!$F$5:$F$29,MATCH($A470,Employees!$B$5:$B$29,0))="",Settings!$B$9,INDEX(Employees!$F$5:$F$29,MATCH($A470,Employees!$B$5:$B$29,0))),Settings!$B$9)))</f>
        <v/>
      </c>
      <c r="I470" s="10" t="n"/>
      <c r="J470" s="15">
        <f>IF($C470="","",IF($D470="",$C470,$D470))</f>
        <v/>
      </c>
    </row>
    <row r="471">
      <c r="A471" s="10" t="n"/>
      <c r="B471" s="10" t="n"/>
      <c r="C471" s="12" t="n"/>
      <c r="D471" s="12" t="n"/>
      <c r="E471" s="10" t="n"/>
      <c r="F471" s="11" t="n"/>
      <c r="G471" s="20">
        <f>IF(OR($A471="",$C471=""),"",NETWORKDAYS($C471,$J471,Holidays!$A$5:$A$40))</f>
        <v/>
      </c>
      <c r="H471" s="20">
        <f>IF(G471="","",IF($F471&lt;&gt;"",$F471,G471*IFERROR(IF(INDEX(Employees!$F$5:$F$29,MATCH($A471,Employees!$B$5:$B$29,0))="",Settings!$B$9,INDEX(Employees!$F$5:$F$29,MATCH($A471,Employees!$B$5:$B$29,0))),Settings!$B$9)))</f>
        <v/>
      </c>
      <c r="I471" s="10" t="n"/>
      <c r="J471" s="15">
        <f>IF($C471="","",IF($D471="",$C471,$D471))</f>
        <v/>
      </c>
    </row>
    <row r="472">
      <c r="A472" s="10" t="n"/>
      <c r="B472" s="10" t="n"/>
      <c r="C472" s="12" t="n"/>
      <c r="D472" s="12" t="n"/>
      <c r="E472" s="10" t="n"/>
      <c r="F472" s="11" t="n"/>
      <c r="G472" s="20">
        <f>IF(OR($A472="",$C472=""),"",NETWORKDAYS($C472,$J472,Holidays!$A$5:$A$40))</f>
        <v/>
      </c>
      <c r="H472" s="20">
        <f>IF(G472="","",IF($F472&lt;&gt;"",$F472,G472*IFERROR(IF(INDEX(Employees!$F$5:$F$29,MATCH($A472,Employees!$B$5:$B$29,0))="",Settings!$B$9,INDEX(Employees!$F$5:$F$29,MATCH($A472,Employees!$B$5:$B$29,0))),Settings!$B$9)))</f>
        <v/>
      </c>
      <c r="I472" s="10" t="n"/>
      <c r="J472" s="15">
        <f>IF($C472="","",IF($D472="",$C472,$D472))</f>
        <v/>
      </c>
    </row>
    <row r="473">
      <c r="A473" s="10" t="n"/>
      <c r="B473" s="10" t="n"/>
      <c r="C473" s="12" t="n"/>
      <c r="D473" s="12" t="n"/>
      <c r="E473" s="10" t="n"/>
      <c r="F473" s="11" t="n"/>
      <c r="G473" s="20">
        <f>IF(OR($A473="",$C473=""),"",NETWORKDAYS($C473,$J473,Holidays!$A$5:$A$40))</f>
        <v/>
      </c>
      <c r="H473" s="20">
        <f>IF(G473="","",IF($F473&lt;&gt;"",$F473,G473*IFERROR(IF(INDEX(Employees!$F$5:$F$29,MATCH($A473,Employees!$B$5:$B$29,0))="",Settings!$B$9,INDEX(Employees!$F$5:$F$29,MATCH($A473,Employees!$B$5:$B$29,0))),Settings!$B$9)))</f>
        <v/>
      </c>
      <c r="I473" s="10" t="n"/>
      <c r="J473" s="15">
        <f>IF($C473="","",IF($D473="",$C473,$D473))</f>
        <v/>
      </c>
    </row>
    <row r="474">
      <c r="A474" s="10" t="n"/>
      <c r="B474" s="10" t="n"/>
      <c r="C474" s="12" t="n"/>
      <c r="D474" s="12" t="n"/>
      <c r="E474" s="10" t="n"/>
      <c r="F474" s="11" t="n"/>
      <c r="G474" s="20">
        <f>IF(OR($A474="",$C474=""),"",NETWORKDAYS($C474,$J474,Holidays!$A$5:$A$40))</f>
        <v/>
      </c>
      <c r="H474" s="20">
        <f>IF(G474="","",IF($F474&lt;&gt;"",$F474,G474*IFERROR(IF(INDEX(Employees!$F$5:$F$29,MATCH($A474,Employees!$B$5:$B$29,0))="",Settings!$B$9,INDEX(Employees!$F$5:$F$29,MATCH($A474,Employees!$B$5:$B$29,0))),Settings!$B$9)))</f>
        <v/>
      </c>
      <c r="I474" s="10" t="n"/>
      <c r="J474" s="15">
        <f>IF($C474="","",IF($D474="",$C474,$D474))</f>
        <v/>
      </c>
    </row>
    <row r="475">
      <c r="A475" s="10" t="n"/>
      <c r="B475" s="10" t="n"/>
      <c r="C475" s="12" t="n"/>
      <c r="D475" s="12" t="n"/>
      <c r="E475" s="10" t="n"/>
      <c r="F475" s="11" t="n"/>
      <c r="G475" s="20">
        <f>IF(OR($A475="",$C475=""),"",NETWORKDAYS($C475,$J475,Holidays!$A$5:$A$40))</f>
        <v/>
      </c>
      <c r="H475" s="20">
        <f>IF(G475="","",IF($F475&lt;&gt;"",$F475,G475*IFERROR(IF(INDEX(Employees!$F$5:$F$29,MATCH($A475,Employees!$B$5:$B$29,0))="",Settings!$B$9,INDEX(Employees!$F$5:$F$29,MATCH($A475,Employees!$B$5:$B$29,0))),Settings!$B$9)))</f>
        <v/>
      </c>
      <c r="I475" s="10" t="n"/>
      <c r="J475" s="15">
        <f>IF($C475="","",IF($D475="",$C475,$D475))</f>
        <v/>
      </c>
    </row>
    <row r="476">
      <c r="A476" s="10" t="n"/>
      <c r="B476" s="10" t="n"/>
      <c r="C476" s="12" t="n"/>
      <c r="D476" s="12" t="n"/>
      <c r="E476" s="10" t="n"/>
      <c r="F476" s="11" t="n"/>
      <c r="G476" s="20">
        <f>IF(OR($A476="",$C476=""),"",NETWORKDAYS($C476,$J476,Holidays!$A$5:$A$40))</f>
        <v/>
      </c>
      <c r="H476" s="20">
        <f>IF(G476="","",IF($F476&lt;&gt;"",$F476,G476*IFERROR(IF(INDEX(Employees!$F$5:$F$29,MATCH($A476,Employees!$B$5:$B$29,0))="",Settings!$B$9,INDEX(Employees!$F$5:$F$29,MATCH($A476,Employees!$B$5:$B$29,0))),Settings!$B$9)))</f>
        <v/>
      </c>
      <c r="I476" s="10" t="n"/>
      <c r="J476" s="15">
        <f>IF($C476="","",IF($D476="",$C476,$D476))</f>
        <v/>
      </c>
    </row>
    <row r="477">
      <c r="A477" s="10" t="n"/>
      <c r="B477" s="10" t="n"/>
      <c r="C477" s="12" t="n"/>
      <c r="D477" s="12" t="n"/>
      <c r="E477" s="10" t="n"/>
      <c r="F477" s="11" t="n"/>
      <c r="G477" s="20">
        <f>IF(OR($A477="",$C477=""),"",NETWORKDAYS($C477,$J477,Holidays!$A$5:$A$40))</f>
        <v/>
      </c>
      <c r="H477" s="20">
        <f>IF(G477="","",IF($F477&lt;&gt;"",$F477,G477*IFERROR(IF(INDEX(Employees!$F$5:$F$29,MATCH($A477,Employees!$B$5:$B$29,0))="",Settings!$B$9,INDEX(Employees!$F$5:$F$29,MATCH($A477,Employees!$B$5:$B$29,0))),Settings!$B$9)))</f>
        <v/>
      </c>
      <c r="I477" s="10" t="n"/>
      <c r="J477" s="15">
        <f>IF($C477="","",IF($D477="",$C477,$D477))</f>
        <v/>
      </c>
    </row>
    <row r="478">
      <c r="A478" s="10" t="n"/>
      <c r="B478" s="10" t="n"/>
      <c r="C478" s="12" t="n"/>
      <c r="D478" s="12" t="n"/>
      <c r="E478" s="10" t="n"/>
      <c r="F478" s="11" t="n"/>
      <c r="G478" s="20">
        <f>IF(OR($A478="",$C478=""),"",NETWORKDAYS($C478,$J478,Holidays!$A$5:$A$40))</f>
        <v/>
      </c>
      <c r="H478" s="20">
        <f>IF(G478="","",IF($F478&lt;&gt;"",$F478,G478*IFERROR(IF(INDEX(Employees!$F$5:$F$29,MATCH($A478,Employees!$B$5:$B$29,0))="",Settings!$B$9,INDEX(Employees!$F$5:$F$29,MATCH($A478,Employees!$B$5:$B$29,0))),Settings!$B$9)))</f>
        <v/>
      </c>
      <c r="I478" s="10" t="n"/>
      <c r="J478" s="15">
        <f>IF($C478="","",IF($D478="",$C478,$D478))</f>
        <v/>
      </c>
    </row>
    <row r="479">
      <c r="A479" s="10" t="n"/>
      <c r="B479" s="10" t="n"/>
      <c r="C479" s="12" t="n"/>
      <c r="D479" s="12" t="n"/>
      <c r="E479" s="10" t="n"/>
      <c r="F479" s="11" t="n"/>
      <c r="G479" s="20">
        <f>IF(OR($A479="",$C479=""),"",NETWORKDAYS($C479,$J479,Holidays!$A$5:$A$40))</f>
        <v/>
      </c>
      <c r="H479" s="20">
        <f>IF(G479="","",IF($F479&lt;&gt;"",$F479,G479*IFERROR(IF(INDEX(Employees!$F$5:$F$29,MATCH($A479,Employees!$B$5:$B$29,0))="",Settings!$B$9,INDEX(Employees!$F$5:$F$29,MATCH($A479,Employees!$B$5:$B$29,0))),Settings!$B$9)))</f>
        <v/>
      </c>
      <c r="I479" s="10" t="n"/>
      <c r="J479" s="15">
        <f>IF($C479="","",IF($D479="",$C479,$D479))</f>
        <v/>
      </c>
    </row>
    <row r="480">
      <c r="A480" s="10" t="n"/>
      <c r="B480" s="10" t="n"/>
      <c r="C480" s="12" t="n"/>
      <c r="D480" s="12" t="n"/>
      <c r="E480" s="10" t="n"/>
      <c r="F480" s="11" t="n"/>
      <c r="G480" s="20">
        <f>IF(OR($A480="",$C480=""),"",NETWORKDAYS($C480,$J480,Holidays!$A$5:$A$40))</f>
        <v/>
      </c>
      <c r="H480" s="20">
        <f>IF(G480="","",IF($F480&lt;&gt;"",$F480,G480*IFERROR(IF(INDEX(Employees!$F$5:$F$29,MATCH($A480,Employees!$B$5:$B$29,0))="",Settings!$B$9,INDEX(Employees!$F$5:$F$29,MATCH($A480,Employees!$B$5:$B$29,0))),Settings!$B$9)))</f>
        <v/>
      </c>
      <c r="I480" s="10" t="n"/>
      <c r="J480" s="15">
        <f>IF($C480="","",IF($D480="",$C480,$D480))</f>
        <v/>
      </c>
    </row>
    <row r="481">
      <c r="A481" s="10" t="n"/>
      <c r="B481" s="10" t="n"/>
      <c r="C481" s="12" t="n"/>
      <c r="D481" s="12" t="n"/>
      <c r="E481" s="10" t="n"/>
      <c r="F481" s="11" t="n"/>
      <c r="G481" s="20">
        <f>IF(OR($A481="",$C481=""),"",NETWORKDAYS($C481,$J481,Holidays!$A$5:$A$40))</f>
        <v/>
      </c>
      <c r="H481" s="20">
        <f>IF(G481="","",IF($F481&lt;&gt;"",$F481,G481*IFERROR(IF(INDEX(Employees!$F$5:$F$29,MATCH($A481,Employees!$B$5:$B$29,0))="",Settings!$B$9,INDEX(Employees!$F$5:$F$29,MATCH($A481,Employees!$B$5:$B$29,0))),Settings!$B$9)))</f>
        <v/>
      </c>
      <c r="I481" s="10" t="n"/>
      <c r="J481" s="15">
        <f>IF($C481="","",IF($D481="",$C481,$D481))</f>
        <v/>
      </c>
    </row>
    <row r="482">
      <c r="A482" s="10" t="n"/>
      <c r="B482" s="10" t="n"/>
      <c r="C482" s="12" t="n"/>
      <c r="D482" s="12" t="n"/>
      <c r="E482" s="10" t="n"/>
      <c r="F482" s="11" t="n"/>
      <c r="G482" s="20">
        <f>IF(OR($A482="",$C482=""),"",NETWORKDAYS($C482,$J482,Holidays!$A$5:$A$40))</f>
        <v/>
      </c>
      <c r="H482" s="20">
        <f>IF(G482="","",IF($F482&lt;&gt;"",$F482,G482*IFERROR(IF(INDEX(Employees!$F$5:$F$29,MATCH($A482,Employees!$B$5:$B$29,0))="",Settings!$B$9,INDEX(Employees!$F$5:$F$29,MATCH($A482,Employees!$B$5:$B$29,0))),Settings!$B$9)))</f>
        <v/>
      </c>
      <c r="I482" s="10" t="n"/>
      <c r="J482" s="15">
        <f>IF($C482="","",IF($D482="",$C482,$D482))</f>
        <v/>
      </c>
    </row>
    <row r="483">
      <c r="A483" s="10" t="n"/>
      <c r="B483" s="10" t="n"/>
      <c r="C483" s="12" t="n"/>
      <c r="D483" s="12" t="n"/>
      <c r="E483" s="10" t="n"/>
      <c r="F483" s="11" t="n"/>
      <c r="G483" s="20">
        <f>IF(OR($A483="",$C483=""),"",NETWORKDAYS($C483,$J483,Holidays!$A$5:$A$40))</f>
        <v/>
      </c>
      <c r="H483" s="20">
        <f>IF(G483="","",IF($F483&lt;&gt;"",$F483,G483*IFERROR(IF(INDEX(Employees!$F$5:$F$29,MATCH($A483,Employees!$B$5:$B$29,0))="",Settings!$B$9,INDEX(Employees!$F$5:$F$29,MATCH($A483,Employees!$B$5:$B$29,0))),Settings!$B$9)))</f>
        <v/>
      </c>
      <c r="I483" s="10" t="n"/>
      <c r="J483" s="15">
        <f>IF($C483="","",IF($D483="",$C483,$D483))</f>
        <v/>
      </c>
    </row>
    <row r="484">
      <c r="A484" s="10" t="n"/>
      <c r="B484" s="10" t="n"/>
      <c r="C484" s="12" t="n"/>
      <c r="D484" s="12" t="n"/>
      <c r="E484" s="10" t="n"/>
      <c r="F484" s="11" t="n"/>
      <c r="G484" s="20">
        <f>IF(OR($A484="",$C484=""),"",NETWORKDAYS($C484,$J484,Holidays!$A$5:$A$40))</f>
        <v/>
      </c>
      <c r="H484" s="20">
        <f>IF(G484="","",IF($F484&lt;&gt;"",$F484,G484*IFERROR(IF(INDEX(Employees!$F$5:$F$29,MATCH($A484,Employees!$B$5:$B$29,0))="",Settings!$B$9,INDEX(Employees!$F$5:$F$29,MATCH($A484,Employees!$B$5:$B$29,0))),Settings!$B$9)))</f>
        <v/>
      </c>
      <c r="I484" s="10" t="n"/>
      <c r="J484" s="15">
        <f>IF($C484="","",IF($D484="",$C484,$D484))</f>
        <v/>
      </c>
    </row>
    <row r="485">
      <c r="A485" s="10" t="n"/>
      <c r="B485" s="10" t="n"/>
      <c r="C485" s="12" t="n"/>
      <c r="D485" s="12" t="n"/>
      <c r="E485" s="10" t="n"/>
      <c r="F485" s="11" t="n"/>
      <c r="G485" s="20">
        <f>IF(OR($A485="",$C485=""),"",NETWORKDAYS($C485,$J485,Holidays!$A$5:$A$40))</f>
        <v/>
      </c>
      <c r="H485" s="20">
        <f>IF(G485="","",IF($F485&lt;&gt;"",$F485,G485*IFERROR(IF(INDEX(Employees!$F$5:$F$29,MATCH($A485,Employees!$B$5:$B$29,0))="",Settings!$B$9,INDEX(Employees!$F$5:$F$29,MATCH($A485,Employees!$B$5:$B$29,0))),Settings!$B$9)))</f>
        <v/>
      </c>
      <c r="I485" s="10" t="n"/>
      <c r="J485" s="15">
        <f>IF($C485="","",IF($D485="",$C485,$D485))</f>
        <v/>
      </c>
    </row>
    <row r="486">
      <c r="A486" s="10" t="n"/>
      <c r="B486" s="10" t="n"/>
      <c r="C486" s="12" t="n"/>
      <c r="D486" s="12" t="n"/>
      <c r="E486" s="10" t="n"/>
      <c r="F486" s="11" t="n"/>
      <c r="G486" s="20">
        <f>IF(OR($A486="",$C486=""),"",NETWORKDAYS($C486,$J486,Holidays!$A$5:$A$40))</f>
        <v/>
      </c>
      <c r="H486" s="20">
        <f>IF(G486="","",IF($F486&lt;&gt;"",$F486,G486*IFERROR(IF(INDEX(Employees!$F$5:$F$29,MATCH($A486,Employees!$B$5:$B$29,0))="",Settings!$B$9,INDEX(Employees!$F$5:$F$29,MATCH($A486,Employees!$B$5:$B$29,0))),Settings!$B$9)))</f>
        <v/>
      </c>
      <c r="I486" s="10" t="n"/>
      <c r="J486" s="15">
        <f>IF($C486="","",IF($D486="",$C486,$D486))</f>
        <v/>
      </c>
    </row>
    <row r="487">
      <c r="A487" s="10" t="n"/>
      <c r="B487" s="10" t="n"/>
      <c r="C487" s="12" t="n"/>
      <c r="D487" s="12" t="n"/>
      <c r="E487" s="10" t="n"/>
      <c r="F487" s="11" t="n"/>
      <c r="G487" s="20">
        <f>IF(OR($A487="",$C487=""),"",NETWORKDAYS($C487,$J487,Holidays!$A$5:$A$40))</f>
        <v/>
      </c>
      <c r="H487" s="20">
        <f>IF(G487="","",IF($F487&lt;&gt;"",$F487,G487*IFERROR(IF(INDEX(Employees!$F$5:$F$29,MATCH($A487,Employees!$B$5:$B$29,0))="",Settings!$B$9,INDEX(Employees!$F$5:$F$29,MATCH($A487,Employees!$B$5:$B$29,0))),Settings!$B$9)))</f>
        <v/>
      </c>
      <c r="I487" s="10" t="n"/>
      <c r="J487" s="15">
        <f>IF($C487="","",IF($D487="",$C487,$D487))</f>
        <v/>
      </c>
    </row>
    <row r="488">
      <c r="A488" s="10" t="n"/>
      <c r="B488" s="10" t="n"/>
      <c r="C488" s="12" t="n"/>
      <c r="D488" s="12" t="n"/>
      <c r="E488" s="10" t="n"/>
      <c r="F488" s="11" t="n"/>
      <c r="G488" s="20">
        <f>IF(OR($A488="",$C488=""),"",NETWORKDAYS($C488,$J488,Holidays!$A$5:$A$40))</f>
        <v/>
      </c>
      <c r="H488" s="20">
        <f>IF(G488="","",IF($F488&lt;&gt;"",$F488,G488*IFERROR(IF(INDEX(Employees!$F$5:$F$29,MATCH($A488,Employees!$B$5:$B$29,0))="",Settings!$B$9,INDEX(Employees!$F$5:$F$29,MATCH($A488,Employees!$B$5:$B$29,0))),Settings!$B$9)))</f>
        <v/>
      </c>
      <c r="I488" s="10" t="n"/>
      <c r="J488" s="15">
        <f>IF($C488="","",IF($D488="",$C488,$D488))</f>
        <v/>
      </c>
    </row>
    <row r="489">
      <c r="A489" s="10" t="n"/>
      <c r="B489" s="10" t="n"/>
      <c r="C489" s="12" t="n"/>
      <c r="D489" s="12" t="n"/>
      <c r="E489" s="10" t="n"/>
      <c r="F489" s="11" t="n"/>
      <c r="G489" s="20">
        <f>IF(OR($A489="",$C489=""),"",NETWORKDAYS($C489,$J489,Holidays!$A$5:$A$40))</f>
        <v/>
      </c>
      <c r="H489" s="20">
        <f>IF(G489="","",IF($F489&lt;&gt;"",$F489,G489*IFERROR(IF(INDEX(Employees!$F$5:$F$29,MATCH($A489,Employees!$B$5:$B$29,0))="",Settings!$B$9,INDEX(Employees!$F$5:$F$29,MATCH($A489,Employees!$B$5:$B$29,0))),Settings!$B$9)))</f>
        <v/>
      </c>
      <c r="I489" s="10" t="n"/>
      <c r="J489" s="15">
        <f>IF($C489="","",IF($D489="",$C489,$D489))</f>
        <v/>
      </c>
    </row>
    <row r="490">
      <c r="A490" s="10" t="n"/>
      <c r="B490" s="10" t="n"/>
      <c r="C490" s="12" t="n"/>
      <c r="D490" s="12" t="n"/>
      <c r="E490" s="10" t="n"/>
      <c r="F490" s="11" t="n"/>
      <c r="G490" s="20">
        <f>IF(OR($A490="",$C490=""),"",NETWORKDAYS($C490,$J490,Holidays!$A$5:$A$40))</f>
        <v/>
      </c>
      <c r="H490" s="20">
        <f>IF(G490="","",IF($F490&lt;&gt;"",$F490,G490*IFERROR(IF(INDEX(Employees!$F$5:$F$29,MATCH($A490,Employees!$B$5:$B$29,0))="",Settings!$B$9,INDEX(Employees!$F$5:$F$29,MATCH($A490,Employees!$B$5:$B$29,0))),Settings!$B$9)))</f>
        <v/>
      </c>
      <c r="I490" s="10" t="n"/>
      <c r="J490" s="15">
        <f>IF($C490="","",IF($D490="",$C490,$D490))</f>
        <v/>
      </c>
    </row>
    <row r="491">
      <c r="A491" s="10" t="n"/>
      <c r="B491" s="10" t="n"/>
      <c r="C491" s="12" t="n"/>
      <c r="D491" s="12" t="n"/>
      <c r="E491" s="10" t="n"/>
      <c r="F491" s="11" t="n"/>
      <c r="G491" s="20">
        <f>IF(OR($A491="",$C491=""),"",NETWORKDAYS($C491,$J491,Holidays!$A$5:$A$40))</f>
        <v/>
      </c>
      <c r="H491" s="20">
        <f>IF(G491="","",IF($F491&lt;&gt;"",$F491,G491*IFERROR(IF(INDEX(Employees!$F$5:$F$29,MATCH($A491,Employees!$B$5:$B$29,0))="",Settings!$B$9,INDEX(Employees!$F$5:$F$29,MATCH($A491,Employees!$B$5:$B$29,0))),Settings!$B$9)))</f>
        <v/>
      </c>
      <c r="I491" s="10" t="n"/>
      <c r="J491" s="15">
        <f>IF($C491="","",IF($D491="",$C491,$D491))</f>
        <v/>
      </c>
    </row>
    <row r="492">
      <c r="A492" s="10" t="n"/>
      <c r="B492" s="10" t="n"/>
      <c r="C492" s="12" t="n"/>
      <c r="D492" s="12" t="n"/>
      <c r="E492" s="10" t="n"/>
      <c r="F492" s="11" t="n"/>
      <c r="G492" s="20">
        <f>IF(OR($A492="",$C492=""),"",NETWORKDAYS($C492,$J492,Holidays!$A$5:$A$40))</f>
        <v/>
      </c>
      <c r="H492" s="20">
        <f>IF(G492="","",IF($F492&lt;&gt;"",$F492,G492*IFERROR(IF(INDEX(Employees!$F$5:$F$29,MATCH($A492,Employees!$B$5:$B$29,0))="",Settings!$B$9,INDEX(Employees!$F$5:$F$29,MATCH($A492,Employees!$B$5:$B$29,0))),Settings!$B$9)))</f>
        <v/>
      </c>
      <c r="I492" s="10" t="n"/>
      <c r="J492" s="15">
        <f>IF($C492="","",IF($D492="",$C492,$D492))</f>
        <v/>
      </c>
    </row>
    <row r="493">
      <c r="A493" s="10" t="n"/>
      <c r="B493" s="10" t="n"/>
      <c r="C493" s="12" t="n"/>
      <c r="D493" s="12" t="n"/>
      <c r="E493" s="10" t="n"/>
      <c r="F493" s="11" t="n"/>
      <c r="G493" s="20">
        <f>IF(OR($A493="",$C493=""),"",NETWORKDAYS($C493,$J493,Holidays!$A$5:$A$40))</f>
        <v/>
      </c>
      <c r="H493" s="20">
        <f>IF(G493="","",IF($F493&lt;&gt;"",$F493,G493*IFERROR(IF(INDEX(Employees!$F$5:$F$29,MATCH($A493,Employees!$B$5:$B$29,0))="",Settings!$B$9,INDEX(Employees!$F$5:$F$29,MATCH($A493,Employees!$B$5:$B$29,0))),Settings!$B$9)))</f>
        <v/>
      </c>
      <c r="I493" s="10" t="n"/>
      <c r="J493" s="15">
        <f>IF($C493="","",IF($D493="",$C493,$D493))</f>
        <v/>
      </c>
    </row>
    <row r="494">
      <c r="A494" s="10" t="n"/>
      <c r="B494" s="10" t="n"/>
      <c r="C494" s="12" t="n"/>
      <c r="D494" s="12" t="n"/>
      <c r="E494" s="10" t="n"/>
      <c r="F494" s="11" t="n"/>
      <c r="G494" s="20">
        <f>IF(OR($A494="",$C494=""),"",NETWORKDAYS($C494,$J494,Holidays!$A$5:$A$40))</f>
        <v/>
      </c>
      <c r="H494" s="20">
        <f>IF(G494="","",IF($F494&lt;&gt;"",$F494,G494*IFERROR(IF(INDEX(Employees!$F$5:$F$29,MATCH($A494,Employees!$B$5:$B$29,0))="",Settings!$B$9,INDEX(Employees!$F$5:$F$29,MATCH($A494,Employees!$B$5:$B$29,0))),Settings!$B$9)))</f>
        <v/>
      </c>
      <c r="I494" s="10" t="n"/>
      <c r="J494" s="15">
        <f>IF($C494="","",IF($D494="",$C494,$D494))</f>
        <v/>
      </c>
    </row>
    <row r="495">
      <c r="A495" s="10" t="n"/>
      <c r="B495" s="10" t="n"/>
      <c r="C495" s="12" t="n"/>
      <c r="D495" s="12" t="n"/>
      <c r="E495" s="10" t="n"/>
      <c r="F495" s="11" t="n"/>
      <c r="G495" s="20">
        <f>IF(OR($A495="",$C495=""),"",NETWORKDAYS($C495,$J495,Holidays!$A$5:$A$40))</f>
        <v/>
      </c>
      <c r="H495" s="20">
        <f>IF(G495="","",IF($F495&lt;&gt;"",$F495,G495*IFERROR(IF(INDEX(Employees!$F$5:$F$29,MATCH($A495,Employees!$B$5:$B$29,0))="",Settings!$B$9,INDEX(Employees!$F$5:$F$29,MATCH($A495,Employees!$B$5:$B$29,0))),Settings!$B$9)))</f>
        <v/>
      </c>
      <c r="I495" s="10" t="n"/>
      <c r="J495" s="15">
        <f>IF($C495="","",IF($D495="",$C495,$D495))</f>
        <v/>
      </c>
    </row>
    <row r="496">
      <c r="A496" s="10" t="n"/>
      <c r="B496" s="10" t="n"/>
      <c r="C496" s="12" t="n"/>
      <c r="D496" s="12" t="n"/>
      <c r="E496" s="10" t="n"/>
      <c r="F496" s="11" t="n"/>
      <c r="G496" s="20">
        <f>IF(OR($A496="",$C496=""),"",NETWORKDAYS($C496,$J496,Holidays!$A$5:$A$40))</f>
        <v/>
      </c>
      <c r="H496" s="20">
        <f>IF(G496="","",IF($F496&lt;&gt;"",$F496,G496*IFERROR(IF(INDEX(Employees!$F$5:$F$29,MATCH($A496,Employees!$B$5:$B$29,0))="",Settings!$B$9,INDEX(Employees!$F$5:$F$29,MATCH($A496,Employees!$B$5:$B$29,0))),Settings!$B$9)))</f>
        <v/>
      </c>
      <c r="I496" s="10" t="n"/>
      <c r="J496" s="15">
        <f>IF($C496="","",IF($D496="",$C496,$D496))</f>
        <v/>
      </c>
    </row>
    <row r="497">
      <c r="A497" s="10" t="n"/>
      <c r="B497" s="10" t="n"/>
      <c r="C497" s="12" t="n"/>
      <c r="D497" s="12" t="n"/>
      <c r="E497" s="10" t="n"/>
      <c r="F497" s="11" t="n"/>
      <c r="G497" s="20">
        <f>IF(OR($A497="",$C497=""),"",NETWORKDAYS($C497,$J497,Holidays!$A$5:$A$40))</f>
        <v/>
      </c>
      <c r="H497" s="20">
        <f>IF(G497="","",IF($F497&lt;&gt;"",$F497,G497*IFERROR(IF(INDEX(Employees!$F$5:$F$29,MATCH($A497,Employees!$B$5:$B$29,0))="",Settings!$B$9,INDEX(Employees!$F$5:$F$29,MATCH($A497,Employees!$B$5:$B$29,0))),Settings!$B$9)))</f>
        <v/>
      </c>
      <c r="I497" s="10" t="n"/>
      <c r="J497" s="15">
        <f>IF($C497="","",IF($D497="",$C497,$D497))</f>
        <v/>
      </c>
    </row>
    <row r="498">
      <c r="A498" s="10" t="n"/>
      <c r="B498" s="10" t="n"/>
      <c r="C498" s="12" t="n"/>
      <c r="D498" s="12" t="n"/>
      <c r="E498" s="10" t="n"/>
      <c r="F498" s="11" t="n"/>
      <c r="G498" s="20">
        <f>IF(OR($A498="",$C498=""),"",NETWORKDAYS($C498,$J498,Holidays!$A$5:$A$40))</f>
        <v/>
      </c>
      <c r="H498" s="20">
        <f>IF(G498="","",IF($F498&lt;&gt;"",$F498,G498*IFERROR(IF(INDEX(Employees!$F$5:$F$29,MATCH($A498,Employees!$B$5:$B$29,0))="",Settings!$B$9,INDEX(Employees!$F$5:$F$29,MATCH($A498,Employees!$B$5:$B$29,0))),Settings!$B$9)))</f>
        <v/>
      </c>
      <c r="I498" s="10" t="n"/>
      <c r="J498" s="15">
        <f>IF($C498="","",IF($D498="",$C498,$D498))</f>
        <v/>
      </c>
    </row>
    <row r="499">
      <c r="A499" s="10" t="n"/>
      <c r="B499" s="10" t="n"/>
      <c r="C499" s="12" t="n"/>
      <c r="D499" s="12" t="n"/>
      <c r="E499" s="10" t="n"/>
      <c r="F499" s="11" t="n"/>
      <c r="G499" s="20">
        <f>IF(OR($A499="",$C499=""),"",NETWORKDAYS($C499,$J499,Holidays!$A$5:$A$40))</f>
        <v/>
      </c>
      <c r="H499" s="20">
        <f>IF(G499="","",IF($F499&lt;&gt;"",$F499,G499*IFERROR(IF(INDEX(Employees!$F$5:$F$29,MATCH($A499,Employees!$B$5:$B$29,0))="",Settings!$B$9,INDEX(Employees!$F$5:$F$29,MATCH($A499,Employees!$B$5:$B$29,0))),Settings!$B$9)))</f>
        <v/>
      </c>
      <c r="I499" s="10" t="n"/>
      <c r="J499" s="15">
        <f>IF($C499="","",IF($D499="",$C499,$D499))</f>
        <v/>
      </c>
    </row>
    <row r="500">
      <c r="A500" s="10" t="n"/>
      <c r="B500" s="10" t="n"/>
      <c r="C500" s="12" t="n"/>
      <c r="D500" s="12" t="n"/>
      <c r="E500" s="10" t="n"/>
      <c r="F500" s="11" t="n"/>
      <c r="G500" s="20">
        <f>IF(OR($A500="",$C500=""),"",NETWORKDAYS($C500,$J500,Holidays!$A$5:$A$40))</f>
        <v/>
      </c>
      <c r="H500" s="20">
        <f>IF(G500="","",IF($F500&lt;&gt;"",$F500,G500*IFERROR(IF(INDEX(Employees!$F$5:$F$29,MATCH($A500,Employees!$B$5:$B$29,0))="",Settings!$B$9,INDEX(Employees!$F$5:$F$29,MATCH($A500,Employees!$B$5:$B$29,0))),Settings!$B$9)))</f>
        <v/>
      </c>
      <c r="I500" s="10" t="n"/>
      <c r="J500" s="15">
        <f>IF($C500="","",IF($D500="",$C500,$D500))</f>
        <v/>
      </c>
    </row>
    <row r="501">
      <c r="A501" s="10" t="n"/>
      <c r="B501" s="10" t="n"/>
      <c r="C501" s="12" t="n"/>
      <c r="D501" s="12" t="n"/>
      <c r="E501" s="10" t="n"/>
      <c r="F501" s="11" t="n"/>
      <c r="G501" s="20">
        <f>IF(OR($A501="",$C501=""),"",NETWORKDAYS($C501,$J501,Holidays!$A$5:$A$40))</f>
        <v/>
      </c>
      <c r="H501" s="20">
        <f>IF(G501="","",IF($F501&lt;&gt;"",$F501,G501*IFERROR(IF(INDEX(Employees!$F$5:$F$29,MATCH($A501,Employees!$B$5:$B$29,0))="",Settings!$B$9,INDEX(Employees!$F$5:$F$29,MATCH($A501,Employees!$B$5:$B$29,0))),Settings!$B$9)))</f>
        <v/>
      </c>
      <c r="I501" s="10" t="n"/>
      <c r="J501" s="15">
        <f>IF($C501="","",IF($D501="",$C501,$D501))</f>
        <v/>
      </c>
    </row>
    <row r="502">
      <c r="A502" s="10" t="n"/>
      <c r="B502" s="10" t="n"/>
      <c r="C502" s="12" t="n"/>
      <c r="D502" s="12" t="n"/>
      <c r="E502" s="10" t="n"/>
      <c r="F502" s="11" t="n"/>
      <c r="G502" s="20">
        <f>IF(OR($A502="",$C502=""),"",NETWORKDAYS($C502,$J502,Holidays!$A$5:$A$40))</f>
        <v/>
      </c>
      <c r="H502" s="20">
        <f>IF(G502="","",IF($F502&lt;&gt;"",$F502,G502*IFERROR(IF(INDEX(Employees!$F$5:$F$29,MATCH($A502,Employees!$B$5:$B$29,0))="",Settings!$B$9,INDEX(Employees!$F$5:$F$29,MATCH($A502,Employees!$B$5:$B$29,0))),Settings!$B$9)))</f>
        <v/>
      </c>
      <c r="I502" s="10" t="n"/>
      <c r="J502" s="15">
        <f>IF($C502="","",IF($D502="",$C502,$D502))</f>
        <v/>
      </c>
    </row>
    <row r="503">
      <c r="A503" s="10" t="n"/>
      <c r="B503" s="10" t="n"/>
      <c r="C503" s="12" t="n"/>
      <c r="D503" s="12" t="n"/>
      <c r="E503" s="10" t="n"/>
      <c r="F503" s="11" t="n"/>
      <c r="G503" s="20">
        <f>IF(OR($A503="",$C503=""),"",NETWORKDAYS($C503,$J503,Holidays!$A$5:$A$40))</f>
        <v/>
      </c>
      <c r="H503" s="20">
        <f>IF(G503="","",IF($F503&lt;&gt;"",$F503,G503*IFERROR(IF(INDEX(Employees!$F$5:$F$29,MATCH($A503,Employees!$B$5:$B$29,0))="",Settings!$B$9,INDEX(Employees!$F$5:$F$29,MATCH($A503,Employees!$B$5:$B$29,0))),Settings!$B$9)))</f>
        <v/>
      </c>
      <c r="I503" s="10" t="n"/>
      <c r="J503" s="15">
        <f>IF($C503="","",IF($D503="",$C503,$D503))</f>
        <v/>
      </c>
    </row>
    <row r="504">
      <c r="A504" s="10" t="n"/>
      <c r="B504" s="10" t="n"/>
      <c r="C504" s="12" t="n"/>
      <c r="D504" s="12" t="n"/>
      <c r="E504" s="10" t="n"/>
      <c r="F504" s="11" t="n"/>
      <c r="G504" s="20">
        <f>IF(OR($A504="",$C504=""),"",NETWORKDAYS($C504,$J504,Holidays!$A$5:$A$40))</f>
        <v/>
      </c>
      <c r="H504" s="20">
        <f>IF(G504="","",IF($F504&lt;&gt;"",$F504,G504*IFERROR(IF(INDEX(Employees!$F$5:$F$29,MATCH($A504,Employees!$B$5:$B$29,0))="",Settings!$B$9,INDEX(Employees!$F$5:$F$29,MATCH($A504,Employees!$B$5:$B$29,0))),Settings!$B$9)))</f>
        <v/>
      </c>
      <c r="I504" s="10" t="n"/>
      <c r="J504" s="15">
        <f>IF($C504="","",IF($D504="",$C504,$D504))</f>
        <v/>
      </c>
    </row>
  </sheetData>
  <conditionalFormatting sqref="A5:J504">
    <cfRule type="expression" priority="1" dxfId="0">
      <formula>$E5="Pending"</formula>
    </cfRule>
    <cfRule type="expression" priority="2" dxfId="1">
      <formula>$E5="Denied"</formula>
    </cfRule>
  </conditionalFormatting>
  <conditionalFormatting sqref="A5:A504">
    <cfRule type="expression" priority="3" dxfId="2">
      <formula>AND($A5&lt;&gt;"",COUNTIF(Employees!$B$5:$B$29,$A5)=0)</formula>
    </cfRule>
  </conditionalFormatting>
  <dataValidations count="5">
    <dataValidation sqref="A5:A504" showDropDown="0" showInputMessage="0" showErrorMessage="0" allowBlank="1" type="list">
      <formula1>=Employees!$B$5:$B$29</formula1>
    </dataValidation>
    <dataValidation sqref="B5:B504" showDropDown="0" showInputMessage="0" showErrorMessage="0" allowBlank="1" type="list">
      <formula1>"PTO,Sick,Unpaid,Other"</formula1>
    </dataValidation>
    <dataValidation sqref="E5:E504" showDropDown="0" showInputMessage="0" showErrorMessage="0" allowBlank="1" type="list">
      <formula1>"Approved,Pending,Denied"</formula1>
    </dataValidation>
    <dataValidation sqref="D5:D504" showDropDown="0" showInputMessage="0" showErrorMessage="1" allowBlank="1" errorTitle="Check dates" error="Last day must be on or after the first day." type="custom">
      <formula1>=OR(D5="",D5&gt;=C5)</formula1>
    </dataValidation>
    <dataValidation sqref="F5:F504" showDropDown="0" showInputMessage="0" showErrorMessage="0" allowBlank="1" type="decimal" operator="between">
      <formula1>0</formula1>
      <formula2>1000</formula2>
    </dataValidation>
  </dataValidations>
  <printOptions horizontalCentered="1"/>
  <pageMargins left="0.4" right="0.4" top="0.5" bottom="0.5" header="0.5" footer="0.5"/>
  <pageSetup orientation="landscape" paperSize="1" fitToHeight="1" fitToWidth="1"/>
</worksheet>
</file>

<file path=xl/worksheets/sheet6.xml><?xml version="1.0" encoding="utf-8"?>
<worksheet xmlns="http://schemas.openxmlformats.org/spreadsheetml/2006/main">
  <sheetPr>
    <outlinePr summaryBelow="1" summaryRight="1"/>
    <pageSetUpPr fitToPage="1"/>
  </sheetPr>
  <dimension ref="A1:P31"/>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4" customWidth="1" min="1" max="1"/>
    <col width="18" customWidth="1" min="2" max="2"/>
    <col width="15" customWidth="1" min="3" max="3"/>
    <col width="11" customWidth="1" min="4" max="4"/>
    <col width="9" customWidth="1" min="5" max="5"/>
    <col width="10" customWidth="1" min="6" max="6"/>
    <col width="10" customWidth="1" min="7" max="7"/>
    <col width="11" customWidth="1" min="8" max="8"/>
    <col width="11" customWidth="1" min="9" max="9"/>
    <col width="10" customWidth="1" min="10" max="10"/>
    <col width="11" customWidth="1" min="11" max="11"/>
    <col width="10" customWidth="1" min="12" max="12"/>
    <col width="10" customWidth="1" min="13" max="13"/>
    <col width="10" customWidth="1" min="14" max="14"/>
    <col width="12" customWidth="1" min="15" max="15"/>
    <col width="30" customWidth="1" min="16" max="16"/>
  </cols>
  <sheetData>
    <row r="1">
      <c r="A1" s="1">
        <f>"Leave balances · "&amp;Settings!$B$4</f>
        <v/>
      </c>
    </row>
    <row r="2">
      <c r="A2" s="2">
        <f>"As of the last completed payday: "&amp;IF(Settings!$B$15=0,"none yet",TEXT(Settings!$B$17,"mmm d, yyyy"))&amp;"   ·   Plan year "&amp;TEXT(Settings!$B$5,"mmm d, yyyy")&amp;" – "&amp;TEXT(Settings!$B$12,"mmm d, yyyy")&amp;"   ·   "&amp;Settings!$B$6&amp;" pay"</f>
        <v/>
      </c>
    </row>
    <row r="4" ht="44" customHeight="1">
      <c r="A4" s="8" t="inlineStr">
        <is>
          <t>#</t>
        </is>
      </c>
      <c r="B4" s="8" t="inlineStr">
        <is>
          <t>Employee</t>
        </is>
      </c>
      <c r="C4" s="8" t="inlineStr">
        <is>
          <t>Department</t>
        </is>
      </c>
      <c r="D4" s="8" t="inlineStr">
        <is>
          <t>PTO balance (h)</t>
        </is>
      </c>
      <c r="E4" s="8" t="inlineStr">
        <is>
          <t>PTO balance (days)</t>
        </is>
      </c>
      <c r="F4" s="8" t="inlineStr">
        <is>
          <t>PTO earned YTD</t>
        </is>
      </c>
      <c r="G4" s="8" t="inlineStr">
        <is>
          <t>PTO used YTD</t>
        </is>
      </c>
      <c r="H4" s="8" t="inlineStr">
        <is>
          <t>Approved PTO still ahead</t>
        </is>
      </c>
      <c r="I4" s="8" t="inlineStr">
        <is>
          <t>Projected year-end PTO</t>
        </is>
      </c>
      <c r="J4" s="8" t="inlineStr">
        <is>
          <t>Lost to cap YTD</t>
        </is>
      </c>
      <c r="K4" s="8" t="inlineStr">
        <is>
          <t>Projected carryover</t>
        </is>
      </c>
      <c r="L4" s="8" t="inlineStr">
        <is>
          <t>Projected forfeit</t>
        </is>
      </c>
      <c r="M4" s="8" t="inlineStr">
        <is>
          <t>Sick balance (h)</t>
        </is>
      </c>
      <c r="N4" s="8" t="inlineStr">
        <is>
          <t>Sick used YTD</t>
        </is>
      </c>
      <c r="O4" s="8" t="inlineStr">
        <is>
          <t>PTO liability ($)</t>
        </is>
      </c>
      <c r="P4" s="8" t="inlineStr">
        <is>
          <t>Status</t>
        </is>
      </c>
    </row>
    <row r="5">
      <c r="A5" s="16" t="n">
        <v>1</v>
      </c>
      <c r="B5" s="26">
        <f>IF(Employees!B5="","",Employees!B5)</f>
        <v/>
      </c>
      <c r="C5" s="26">
        <f>IF(B5="","",Employees!C5&amp;"")</f>
        <v/>
      </c>
      <c r="D5" s="27">
        <f>IF(B5="","",IF(Settings!$B$15=0,N(Employees!N5),INDEX(Ledger!$P$5:$P$1329,0+Settings!$B$15)))</f>
        <v/>
      </c>
      <c r="E5" s="28">
        <f>IF(B5="","",D5/IF(N(Employees!F5)=0,Settings!$B$9,Employees!F5))</f>
        <v/>
      </c>
      <c r="F5" s="26">
        <f>IF(B5="","",SUMIFS(Ledger!$N$5:$N$1329,Ledger!$A$5:$A$1329,1,Ledger!$B$5:$B$1329,"&lt;="&amp;Settings!$B$15))</f>
        <v/>
      </c>
      <c r="G5" s="26">
        <f>IF(B5="","",SUMIFS(Ledger!$L$5:$L$1329,Ledger!$A$5:$A$1329,1,Ledger!$B$5:$B$1329,"&lt;="&amp;Settings!$B$15))</f>
        <v/>
      </c>
      <c r="H5" s="26">
        <f>IF(B5="","",SUMIFS(Ledger!$L$5:$L$1329,Ledger!$A$5:$A$1329,1,Ledger!$B$5:$B$1329,"&gt;"&amp;Settings!$B$15))</f>
        <v/>
      </c>
      <c r="I5" s="26">
        <f>IF(B5="","",IF(Settings!$B$16=0,N(Employees!N5),INDEX(Ledger!$P$5:$P$1329,0+Settings!$B$16)))</f>
        <v/>
      </c>
      <c r="J5" s="26">
        <f>IF(B5="","",SUMIFS(Ledger!$O$5:$O$1329,Ledger!$A$5:$A$1329,1,Ledger!$B$5:$B$1329,"&lt;="&amp;Settings!$B$15))</f>
        <v/>
      </c>
      <c r="K5" s="26">
        <f>IF(B5="","",IF(Employees!M5="",MAX(I5,0),MIN(MAX(I5,0),Employees!M5)))</f>
        <v/>
      </c>
      <c r="L5" s="26">
        <f>IF(B5="","",MAX(I5,0)-K5)</f>
        <v/>
      </c>
      <c r="M5" s="26">
        <f>IF(B5="","",IF(Settings!$B$15=0,N(Employees!T5),INDEX(Ledger!$V$5:$V$1329,0+Settings!$B$15)))</f>
        <v/>
      </c>
      <c r="N5" s="26">
        <f>IF(B5="","",SUMIFS(Ledger!$R$5:$R$1329,Ledger!$A$5:$A$1329,1,Ledger!$B$5:$B$1329,"&lt;="&amp;Settings!$B$15))</f>
        <v/>
      </c>
      <c r="O5" s="29">
        <f>IF(B5="","",MAX(D5,0)*N(Employees!G5))</f>
        <v/>
      </c>
      <c r="P5" s="26">
        <f>IF(B5="","",IF(D5&lt;0,"Negative balance",IF(I5&lt;0,"Over-booked for the year",IF(AND(Employees!L5&lt;&gt;"",D5&gt;=Employees!L5),"At cap: accrual paused",IF(AND(Employees!L5&lt;&gt;"",D5&gt;=Employees!L5-IF(N(Employees!F5)=0,Settings!$B$9,Employees!F5)),"Near cap",IF(L5&gt;0,"Will forfeit "&amp;TEXT(L5,"0.0")&amp;" h at year end","OK"))))))</f>
        <v/>
      </c>
    </row>
    <row r="6">
      <c r="A6" s="16" t="n">
        <v>2</v>
      </c>
      <c r="B6" s="26">
        <f>IF(Employees!B6="","",Employees!B6)</f>
        <v/>
      </c>
      <c r="C6" s="26">
        <f>IF(B6="","",Employees!C6&amp;"")</f>
        <v/>
      </c>
      <c r="D6" s="27">
        <f>IF(B6="","",IF(Settings!$B$15=0,N(Employees!N6),INDEX(Ledger!$P$5:$P$1329,53+Settings!$B$15)))</f>
        <v/>
      </c>
      <c r="E6" s="28">
        <f>IF(B6="","",D6/IF(N(Employees!F6)=0,Settings!$B$9,Employees!F6))</f>
        <v/>
      </c>
      <c r="F6" s="26">
        <f>IF(B6="","",SUMIFS(Ledger!$N$5:$N$1329,Ledger!$A$5:$A$1329,2,Ledger!$B$5:$B$1329,"&lt;="&amp;Settings!$B$15))</f>
        <v/>
      </c>
      <c r="G6" s="26">
        <f>IF(B6="","",SUMIFS(Ledger!$L$5:$L$1329,Ledger!$A$5:$A$1329,2,Ledger!$B$5:$B$1329,"&lt;="&amp;Settings!$B$15))</f>
        <v/>
      </c>
      <c r="H6" s="26">
        <f>IF(B6="","",SUMIFS(Ledger!$L$5:$L$1329,Ledger!$A$5:$A$1329,2,Ledger!$B$5:$B$1329,"&gt;"&amp;Settings!$B$15))</f>
        <v/>
      </c>
      <c r="I6" s="26">
        <f>IF(B6="","",IF(Settings!$B$16=0,N(Employees!N6),INDEX(Ledger!$P$5:$P$1329,53+Settings!$B$16)))</f>
        <v/>
      </c>
      <c r="J6" s="26">
        <f>IF(B6="","",SUMIFS(Ledger!$O$5:$O$1329,Ledger!$A$5:$A$1329,2,Ledger!$B$5:$B$1329,"&lt;="&amp;Settings!$B$15))</f>
        <v/>
      </c>
      <c r="K6" s="26">
        <f>IF(B6="","",IF(Employees!M6="",MAX(I6,0),MIN(MAX(I6,0),Employees!M6)))</f>
        <v/>
      </c>
      <c r="L6" s="26">
        <f>IF(B6="","",MAX(I6,0)-K6)</f>
        <v/>
      </c>
      <c r="M6" s="26">
        <f>IF(B6="","",IF(Settings!$B$15=0,N(Employees!T6),INDEX(Ledger!$V$5:$V$1329,53+Settings!$B$15)))</f>
        <v/>
      </c>
      <c r="N6" s="26">
        <f>IF(B6="","",SUMIFS(Ledger!$R$5:$R$1329,Ledger!$A$5:$A$1329,2,Ledger!$B$5:$B$1329,"&lt;="&amp;Settings!$B$15))</f>
        <v/>
      </c>
      <c r="O6" s="29">
        <f>IF(B6="","",MAX(D6,0)*N(Employees!G6))</f>
        <v/>
      </c>
      <c r="P6" s="26">
        <f>IF(B6="","",IF(D6&lt;0,"Negative balance",IF(I6&lt;0,"Over-booked for the year",IF(AND(Employees!L6&lt;&gt;"",D6&gt;=Employees!L6),"At cap: accrual paused",IF(AND(Employees!L6&lt;&gt;"",D6&gt;=Employees!L6-IF(N(Employees!F6)=0,Settings!$B$9,Employees!F6)),"Near cap",IF(L6&gt;0,"Will forfeit "&amp;TEXT(L6,"0.0")&amp;" h at year end","OK"))))))</f>
        <v/>
      </c>
    </row>
    <row r="7">
      <c r="A7" s="16" t="n">
        <v>3</v>
      </c>
      <c r="B7" s="26">
        <f>IF(Employees!B7="","",Employees!B7)</f>
        <v/>
      </c>
      <c r="C7" s="26">
        <f>IF(B7="","",Employees!C7&amp;"")</f>
        <v/>
      </c>
      <c r="D7" s="27">
        <f>IF(B7="","",IF(Settings!$B$15=0,N(Employees!N7),INDEX(Ledger!$P$5:$P$1329,106+Settings!$B$15)))</f>
        <v/>
      </c>
      <c r="E7" s="28">
        <f>IF(B7="","",D7/IF(N(Employees!F7)=0,Settings!$B$9,Employees!F7))</f>
        <v/>
      </c>
      <c r="F7" s="26">
        <f>IF(B7="","",SUMIFS(Ledger!$N$5:$N$1329,Ledger!$A$5:$A$1329,3,Ledger!$B$5:$B$1329,"&lt;="&amp;Settings!$B$15))</f>
        <v/>
      </c>
      <c r="G7" s="26">
        <f>IF(B7="","",SUMIFS(Ledger!$L$5:$L$1329,Ledger!$A$5:$A$1329,3,Ledger!$B$5:$B$1329,"&lt;="&amp;Settings!$B$15))</f>
        <v/>
      </c>
      <c r="H7" s="26">
        <f>IF(B7="","",SUMIFS(Ledger!$L$5:$L$1329,Ledger!$A$5:$A$1329,3,Ledger!$B$5:$B$1329,"&gt;"&amp;Settings!$B$15))</f>
        <v/>
      </c>
      <c r="I7" s="26">
        <f>IF(B7="","",IF(Settings!$B$16=0,N(Employees!N7),INDEX(Ledger!$P$5:$P$1329,106+Settings!$B$16)))</f>
        <v/>
      </c>
      <c r="J7" s="26">
        <f>IF(B7="","",SUMIFS(Ledger!$O$5:$O$1329,Ledger!$A$5:$A$1329,3,Ledger!$B$5:$B$1329,"&lt;="&amp;Settings!$B$15))</f>
        <v/>
      </c>
      <c r="K7" s="26">
        <f>IF(B7="","",IF(Employees!M7="",MAX(I7,0),MIN(MAX(I7,0),Employees!M7)))</f>
        <v/>
      </c>
      <c r="L7" s="26">
        <f>IF(B7="","",MAX(I7,0)-K7)</f>
        <v/>
      </c>
      <c r="M7" s="26">
        <f>IF(B7="","",IF(Settings!$B$15=0,N(Employees!T7),INDEX(Ledger!$V$5:$V$1329,106+Settings!$B$15)))</f>
        <v/>
      </c>
      <c r="N7" s="26">
        <f>IF(B7="","",SUMIFS(Ledger!$R$5:$R$1329,Ledger!$A$5:$A$1329,3,Ledger!$B$5:$B$1329,"&lt;="&amp;Settings!$B$15))</f>
        <v/>
      </c>
      <c r="O7" s="29">
        <f>IF(B7="","",MAX(D7,0)*N(Employees!G7))</f>
        <v/>
      </c>
      <c r="P7" s="26">
        <f>IF(B7="","",IF(D7&lt;0,"Negative balance",IF(I7&lt;0,"Over-booked for the year",IF(AND(Employees!L7&lt;&gt;"",D7&gt;=Employees!L7),"At cap: accrual paused",IF(AND(Employees!L7&lt;&gt;"",D7&gt;=Employees!L7-IF(N(Employees!F7)=0,Settings!$B$9,Employees!F7)),"Near cap",IF(L7&gt;0,"Will forfeit "&amp;TEXT(L7,"0.0")&amp;" h at year end","OK"))))))</f>
        <v/>
      </c>
    </row>
    <row r="8">
      <c r="A8" s="16" t="n">
        <v>4</v>
      </c>
      <c r="B8" s="26">
        <f>IF(Employees!B8="","",Employees!B8)</f>
        <v/>
      </c>
      <c r="C8" s="26">
        <f>IF(B8="","",Employees!C8&amp;"")</f>
        <v/>
      </c>
      <c r="D8" s="27">
        <f>IF(B8="","",IF(Settings!$B$15=0,N(Employees!N8),INDEX(Ledger!$P$5:$P$1329,159+Settings!$B$15)))</f>
        <v/>
      </c>
      <c r="E8" s="28">
        <f>IF(B8="","",D8/IF(N(Employees!F8)=0,Settings!$B$9,Employees!F8))</f>
        <v/>
      </c>
      <c r="F8" s="26">
        <f>IF(B8="","",SUMIFS(Ledger!$N$5:$N$1329,Ledger!$A$5:$A$1329,4,Ledger!$B$5:$B$1329,"&lt;="&amp;Settings!$B$15))</f>
        <v/>
      </c>
      <c r="G8" s="26">
        <f>IF(B8="","",SUMIFS(Ledger!$L$5:$L$1329,Ledger!$A$5:$A$1329,4,Ledger!$B$5:$B$1329,"&lt;="&amp;Settings!$B$15))</f>
        <v/>
      </c>
      <c r="H8" s="26">
        <f>IF(B8="","",SUMIFS(Ledger!$L$5:$L$1329,Ledger!$A$5:$A$1329,4,Ledger!$B$5:$B$1329,"&gt;"&amp;Settings!$B$15))</f>
        <v/>
      </c>
      <c r="I8" s="26">
        <f>IF(B8="","",IF(Settings!$B$16=0,N(Employees!N8),INDEX(Ledger!$P$5:$P$1329,159+Settings!$B$16)))</f>
        <v/>
      </c>
      <c r="J8" s="26">
        <f>IF(B8="","",SUMIFS(Ledger!$O$5:$O$1329,Ledger!$A$5:$A$1329,4,Ledger!$B$5:$B$1329,"&lt;="&amp;Settings!$B$15))</f>
        <v/>
      </c>
      <c r="K8" s="26">
        <f>IF(B8="","",IF(Employees!M8="",MAX(I8,0),MIN(MAX(I8,0),Employees!M8)))</f>
        <v/>
      </c>
      <c r="L8" s="26">
        <f>IF(B8="","",MAX(I8,0)-K8)</f>
        <v/>
      </c>
      <c r="M8" s="26">
        <f>IF(B8="","",IF(Settings!$B$15=0,N(Employees!T8),INDEX(Ledger!$V$5:$V$1329,159+Settings!$B$15)))</f>
        <v/>
      </c>
      <c r="N8" s="26">
        <f>IF(B8="","",SUMIFS(Ledger!$R$5:$R$1329,Ledger!$A$5:$A$1329,4,Ledger!$B$5:$B$1329,"&lt;="&amp;Settings!$B$15))</f>
        <v/>
      </c>
      <c r="O8" s="29">
        <f>IF(B8="","",MAX(D8,0)*N(Employees!G8))</f>
        <v/>
      </c>
      <c r="P8" s="26">
        <f>IF(B8="","",IF(D8&lt;0,"Negative balance",IF(I8&lt;0,"Over-booked for the year",IF(AND(Employees!L8&lt;&gt;"",D8&gt;=Employees!L8),"At cap: accrual paused",IF(AND(Employees!L8&lt;&gt;"",D8&gt;=Employees!L8-IF(N(Employees!F8)=0,Settings!$B$9,Employees!F8)),"Near cap",IF(L8&gt;0,"Will forfeit "&amp;TEXT(L8,"0.0")&amp;" h at year end","OK"))))))</f>
        <v/>
      </c>
    </row>
    <row r="9">
      <c r="A9" s="16" t="n">
        <v>5</v>
      </c>
      <c r="B9" s="26">
        <f>IF(Employees!B9="","",Employees!B9)</f>
        <v/>
      </c>
      <c r="C9" s="26">
        <f>IF(B9="","",Employees!C9&amp;"")</f>
        <v/>
      </c>
      <c r="D9" s="27">
        <f>IF(B9="","",IF(Settings!$B$15=0,N(Employees!N9),INDEX(Ledger!$P$5:$P$1329,212+Settings!$B$15)))</f>
        <v/>
      </c>
      <c r="E9" s="28">
        <f>IF(B9="","",D9/IF(N(Employees!F9)=0,Settings!$B$9,Employees!F9))</f>
        <v/>
      </c>
      <c r="F9" s="26">
        <f>IF(B9="","",SUMIFS(Ledger!$N$5:$N$1329,Ledger!$A$5:$A$1329,5,Ledger!$B$5:$B$1329,"&lt;="&amp;Settings!$B$15))</f>
        <v/>
      </c>
      <c r="G9" s="26">
        <f>IF(B9="","",SUMIFS(Ledger!$L$5:$L$1329,Ledger!$A$5:$A$1329,5,Ledger!$B$5:$B$1329,"&lt;="&amp;Settings!$B$15))</f>
        <v/>
      </c>
      <c r="H9" s="26">
        <f>IF(B9="","",SUMIFS(Ledger!$L$5:$L$1329,Ledger!$A$5:$A$1329,5,Ledger!$B$5:$B$1329,"&gt;"&amp;Settings!$B$15))</f>
        <v/>
      </c>
      <c r="I9" s="26">
        <f>IF(B9="","",IF(Settings!$B$16=0,N(Employees!N9),INDEX(Ledger!$P$5:$P$1329,212+Settings!$B$16)))</f>
        <v/>
      </c>
      <c r="J9" s="26">
        <f>IF(B9="","",SUMIFS(Ledger!$O$5:$O$1329,Ledger!$A$5:$A$1329,5,Ledger!$B$5:$B$1329,"&lt;="&amp;Settings!$B$15))</f>
        <v/>
      </c>
      <c r="K9" s="26">
        <f>IF(B9="","",IF(Employees!M9="",MAX(I9,0),MIN(MAX(I9,0),Employees!M9)))</f>
        <v/>
      </c>
      <c r="L9" s="26">
        <f>IF(B9="","",MAX(I9,0)-K9)</f>
        <v/>
      </c>
      <c r="M9" s="26">
        <f>IF(B9="","",IF(Settings!$B$15=0,N(Employees!T9),INDEX(Ledger!$V$5:$V$1329,212+Settings!$B$15)))</f>
        <v/>
      </c>
      <c r="N9" s="26">
        <f>IF(B9="","",SUMIFS(Ledger!$R$5:$R$1329,Ledger!$A$5:$A$1329,5,Ledger!$B$5:$B$1329,"&lt;="&amp;Settings!$B$15))</f>
        <v/>
      </c>
      <c r="O9" s="29">
        <f>IF(B9="","",MAX(D9,0)*N(Employees!G9))</f>
        <v/>
      </c>
      <c r="P9" s="26">
        <f>IF(B9="","",IF(D9&lt;0,"Negative balance",IF(I9&lt;0,"Over-booked for the year",IF(AND(Employees!L9&lt;&gt;"",D9&gt;=Employees!L9),"At cap: accrual paused",IF(AND(Employees!L9&lt;&gt;"",D9&gt;=Employees!L9-IF(N(Employees!F9)=0,Settings!$B$9,Employees!F9)),"Near cap",IF(L9&gt;0,"Will forfeit "&amp;TEXT(L9,"0.0")&amp;" h at year end","OK"))))))</f>
        <v/>
      </c>
    </row>
    <row r="10">
      <c r="A10" s="16" t="n">
        <v>6</v>
      </c>
      <c r="B10" s="26">
        <f>IF(Employees!B10="","",Employees!B10)</f>
        <v/>
      </c>
      <c r="C10" s="26">
        <f>IF(B10="","",Employees!C10&amp;"")</f>
        <v/>
      </c>
      <c r="D10" s="27">
        <f>IF(B10="","",IF(Settings!$B$15=0,N(Employees!N10),INDEX(Ledger!$P$5:$P$1329,265+Settings!$B$15)))</f>
        <v/>
      </c>
      <c r="E10" s="28">
        <f>IF(B10="","",D10/IF(N(Employees!F10)=0,Settings!$B$9,Employees!F10))</f>
        <v/>
      </c>
      <c r="F10" s="26">
        <f>IF(B10="","",SUMIFS(Ledger!$N$5:$N$1329,Ledger!$A$5:$A$1329,6,Ledger!$B$5:$B$1329,"&lt;="&amp;Settings!$B$15))</f>
        <v/>
      </c>
      <c r="G10" s="26">
        <f>IF(B10="","",SUMIFS(Ledger!$L$5:$L$1329,Ledger!$A$5:$A$1329,6,Ledger!$B$5:$B$1329,"&lt;="&amp;Settings!$B$15))</f>
        <v/>
      </c>
      <c r="H10" s="26">
        <f>IF(B10="","",SUMIFS(Ledger!$L$5:$L$1329,Ledger!$A$5:$A$1329,6,Ledger!$B$5:$B$1329,"&gt;"&amp;Settings!$B$15))</f>
        <v/>
      </c>
      <c r="I10" s="26">
        <f>IF(B10="","",IF(Settings!$B$16=0,N(Employees!N10),INDEX(Ledger!$P$5:$P$1329,265+Settings!$B$16)))</f>
        <v/>
      </c>
      <c r="J10" s="26">
        <f>IF(B10="","",SUMIFS(Ledger!$O$5:$O$1329,Ledger!$A$5:$A$1329,6,Ledger!$B$5:$B$1329,"&lt;="&amp;Settings!$B$15))</f>
        <v/>
      </c>
      <c r="K10" s="26">
        <f>IF(B10="","",IF(Employees!M10="",MAX(I10,0),MIN(MAX(I10,0),Employees!M10)))</f>
        <v/>
      </c>
      <c r="L10" s="26">
        <f>IF(B10="","",MAX(I10,0)-K10)</f>
        <v/>
      </c>
      <c r="M10" s="26">
        <f>IF(B10="","",IF(Settings!$B$15=0,N(Employees!T10),INDEX(Ledger!$V$5:$V$1329,265+Settings!$B$15)))</f>
        <v/>
      </c>
      <c r="N10" s="26">
        <f>IF(B10="","",SUMIFS(Ledger!$R$5:$R$1329,Ledger!$A$5:$A$1329,6,Ledger!$B$5:$B$1329,"&lt;="&amp;Settings!$B$15))</f>
        <v/>
      </c>
      <c r="O10" s="29">
        <f>IF(B10="","",MAX(D10,0)*N(Employees!G10))</f>
        <v/>
      </c>
      <c r="P10" s="26">
        <f>IF(B10="","",IF(D10&lt;0,"Negative balance",IF(I10&lt;0,"Over-booked for the year",IF(AND(Employees!L10&lt;&gt;"",D10&gt;=Employees!L10),"At cap: accrual paused",IF(AND(Employees!L10&lt;&gt;"",D10&gt;=Employees!L10-IF(N(Employees!F10)=0,Settings!$B$9,Employees!F10)),"Near cap",IF(L10&gt;0,"Will forfeit "&amp;TEXT(L10,"0.0")&amp;" h at year end","OK"))))))</f>
        <v/>
      </c>
    </row>
    <row r="11">
      <c r="A11" s="16" t="n">
        <v>7</v>
      </c>
      <c r="B11" s="26">
        <f>IF(Employees!B11="","",Employees!B11)</f>
        <v/>
      </c>
      <c r="C11" s="26">
        <f>IF(B11="","",Employees!C11&amp;"")</f>
        <v/>
      </c>
      <c r="D11" s="27">
        <f>IF(B11="","",IF(Settings!$B$15=0,N(Employees!N11),INDEX(Ledger!$P$5:$P$1329,318+Settings!$B$15)))</f>
        <v/>
      </c>
      <c r="E11" s="28">
        <f>IF(B11="","",D11/IF(N(Employees!F11)=0,Settings!$B$9,Employees!F11))</f>
        <v/>
      </c>
      <c r="F11" s="26">
        <f>IF(B11="","",SUMIFS(Ledger!$N$5:$N$1329,Ledger!$A$5:$A$1329,7,Ledger!$B$5:$B$1329,"&lt;="&amp;Settings!$B$15))</f>
        <v/>
      </c>
      <c r="G11" s="26">
        <f>IF(B11="","",SUMIFS(Ledger!$L$5:$L$1329,Ledger!$A$5:$A$1329,7,Ledger!$B$5:$B$1329,"&lt;="&amp;Settings!$B$15))</f>
        <v/>
      </c>
      <c r="H11" s="26">
        <f>IF(B11="","",SUMIFS(Ledger!$L$5:$L$1329,Ledger!$A$5:$A$1329,7,Ledger!$B$5:$B$1329,"&gt;"&amp;Settings!$B$15))</f>
        <v/>
      </c>
      <c r="I11" s="26">
        <f>IF(B11="","",IF(Settings!$B$16=0,N(Employees!N11),INDEX(Ledger!$P$5:$P$1329,318+Settings!$B$16)))</f>
        <v/>
      </c>
      <c r="J11" s="26">
        <f>IF(B11="","",SUMIFS(Ledger!$O$5:$O$1329,Ledger!$A$5:$A$1329,7,Ledger!$B$5:$B$1329,"&lt;="&amp;Settings!$B$15))</f>
        <v/>
      </c>
      <c r="K11" s="26">
        <f>IF(B11="","",IF(Employees!M11="",MAX(I11,0),MIN(MAX(I11,0),Employees!M11)))</f>
        <v/>
      </c>
      <c r="L11" s="26">
        <f>IF(B11="","",MAX(I11,0)-K11)</f>
        <v/>
      </c>
      <c r="M11" s="26">
        <f>IF(B11="","",IF(Settings!$B$15=0,N(Employees!T11),INDEX(Ledger!$V$5:$V$1329,318+Settings!$B$15)))</f>
        <v/>
      </c>
      <c r="N11" s="26">
        <f>IF(B11="","",SUMIFS(Ledger!$R$5:$R$1329,Ledger!$A$5:$A$1329,7,Ledger!$B$5:$B$1329,"&lt;="&amp;Settings!$B$15))</f>
        <v/>
      </c>
      <c r="O11" s="29">
        <f>IF(B11="","",MAX(D11,0)*N(Employees!G11))</f>
        <v/>
      </c>
      <c r="P11" s="26">
        <f>IF(B11="","",IF(D11&lt;0,"Negative balance",IF(I11&lt;0,"Over-booked for the year",IF(AND(Employees!L11&lt;&gt;"",D11&gt;=Employees!L11),"At cap: accrual paused",IF(AND(Employees!L11&lt;&gt;"",D11&gt;=Employees!L11-IF(N(Employees!F11)=0,Settings!$B$9,Employees!F11)),"Near cap",IF(L11&gt;0,"Will forfeit "&amp;TEXT(L11,"0.0")&amp;" h at year end","OK"))))))</f>
        <v/>
      </c>
    </row>
    <row r="12">
      <c r="A12" s="16" t="n">
        <v>8</v>
      </c>
      <c r="B12" s="26">
        <f>IF(Employees!B12="","",Employees!B12)</f>
        <v/>
      </c>
      <c r="C12" s="26">
        <f>IF(B12="","",Employees!C12&amp;"")</f>
        <v/>
      </c>
      <c r="D12" s="27">
        <f>IF(B12="","",IF(Settings!$B$15=0,N(Employees!N12),INDEX(Ledger!$P$5:$P$1329,371+Settings!$B$15)))</f>
        <v/>
      </c>
      <c r="E12" s="28">
        <f>IF(B12="","",D12/IF(N(Employees!F12)=0,Settings!$B$9,Employees!F12))</f>
        <v/>
      </c>
      <c r="F12" s="26">
        <f>IF(B12="","",SUMIFS(Ledger!$N$5:$N$1329,Ledger!$A$5:$A$1329,8,Ledger!$B$5:$B$1329,"&lt;="&amp;Settings!$B$15))</f>
        <v/>
      </c>
      <c r="G12" s="26">
        <f>IF(B12="","",SUMIFS(Ledger!$L$5:$L$1329,Ledger!$A$5:$A$1329,8,Ledger!$B$5:$B$1329,"&lt;="&amp;Settings!$B$15))</f>
        <v/>
      </c>
      <c r="H12" s="26">
        <f>IF(B12="","",SUMIFS(Ledger!$L$5:$L$1329,Ledger!$A$5:$A$1329,8,Ledger!$B$5:$B$1329,"&gt;"&amp;Settings!$B$15))</f>
        <v/>
      </c>
      <c r="I12" s="26">
        <f>IF(B12="","",IF(Settings!$B$16=0,N(Employees!N12),INDEX(Ledger!$P$5:$P$1329,371+Settings!$B$16)))</f>
        <v/>
      </c>
      <c r="J12" s="26">
        <f>IF(B12="","",SUMIFS(Ledger!$O$5:$O$1329,Ledger!$A$5:$A$1329,8,Ledger!$B$5:$B$1329,"&lt;="&amp;Settings!$B$15))</f>
        <v/>
      </c>
      <c r="K12" s="26">
        <f>IF(B12="","",IF(Employees!M12="",MAX(I12,0),MIN(MAX(I12,0),Employees!M12)))</f>
        <v/>
      </c>
      <c r="L12" s="26">
        <f>IF(B12="","",MAX(I12,0)-K12)</f>
        <v/>
      </c>
      <c r="M12" s="26">
        <f>IF(B12="","",IF(Settings!$B$15=0,N(Employees!T12),INDEX(Ledger!$V$5:$V$1329,371+Settings!$B$15)))</f>
        <v/>
      </c>
      <c r="N12" s="26">
        <f>IF(B12="","",SUMIFS(Ledger!$R$5:$R$1329,Ledger!$A$5:$A$1329,8,Ledger!$B$5:$B$1329,"&lt;="&amp;Settings!$B$15))</f>
        <v/>
      </c>
      <c r="O12" s="29">
        <f>IF(B12="","",MAX(D12,0)*N(Employees!G12))</f>
        <v/>
      </c>
      <c r="P12" s="26">
        <f>IF(B12="","",IF(D12&lt;0,"Negative balance",IF(I12&lt;0,"Over-booked for the year",IF(AND(Employees!L12&lt;&gt;"",D12&gt;=Employees!L12),"At cap: accrual paused",IF(AND(Employees!L12&lt;&gt;"",D12&gt;=Employees!L12-IF(N(Employees!F12)=0,Settings!$B$9,Employees!F12)),"Near cap",IF(L12&gt;0,"Will forfeit "&amp;TEXT(L12,"0.0")&amp;" h at year end","OK"))))))</f>
        <v/>
      </c>
    </row>
    <row r="13">
      <c r="A13" s="16" t="n">
        <v>9</v>
      </c>
      <c r="B13" s="26">
        <f>IF(Employees!B13="","",Employees!B13)</f>
        <v/>
      </c>
      <c r="C13" s="26">
        <f>IF(B13="","",Employees!C13&amp;"")</f>
        <v/>
      </c>
      <c r="D13" s="27">
        <f>IF(B13="","",IF(Settings!$B$15=0,N(Employees!N13),INDEX(Ledger!$P$5:$P$1329,424+Settings!$B$15)))</f>
        <v/>
      </c>
      <c r="E13" s="28">
        <f>IF(B13="","",D13/IF(N(Employees!F13)=0,Settings!$B$9,Employees!F13))</f>
        <v/>
      </c>
      <c r="F13" s="26">
        <f>IF(B13="","",SUMIFS(Ledger!$N$5:$N$1329,Ledger!$A$5:$A$1329,9,Ledger!$B$5:$B$1329,"&lt;="&amp;Settings!$B$15))</f>
        <v/>
      </c>
      <c r="G13" s="26">
        <f>IF(B13="","",SUMIFS(Ledger!$L$5:$L$1329,Ledger!$A$5:$A$1329,9,Ledger!$B$5:$B$1329,"&lt;="&amp;Settings!$B$15))</f>
        <v/>
      </c>
      <c r="H13" s="26">
        <f>IF(B13="","",SUMIFS(Ledger!$L$5:$L$1329,Ledger!$A$5:$A$1329,9,Ledger!$B$5:$B$1329,"&gt;"&amp;Settings!$B$15))</f>
        <v/>
      </c>
      <c r="I13" s="26">
        <f>IF(B13="","",IF(Settings!$B$16=0,N(Employees!N13),INDEX(Ledger!$P$5:$P$1329,424+Settings!$B$16)))</f>
        <v/>
      </c>
      <c r="J13" s="26">
        <f>IF(B13="","",SUMIFS(Ledger!$O$5:$O$1329,Ledger!$A$5:$A$1329,9,Ledger!$B$5:$B$1329,"&lt;="&amp;Settings!$B$15))</f>
        <v/>
      </c>
      <c r="K13" s="26">
        <f>IF(B13="","",IF(Employees!M13="",MAX(I13,0),MIN(MAX(I13,0),Employees!M13)))</f>
        <v/>
      </c>
      <c r="L13" s="26">
        <f>IF(B13="","",MAX(I13,0)-K13)</f>
        <v/>
      </c>
      <c r="M13" s="26">
        <f>IF(B13="","",IF(Settings!$B$15=0,N(Employees!T13),INDEX(Ledger!$V$5:$V$1329,424+Settings!$B$15)))</f>
        <v/>
      </c>
      <c r="N13" s="26">
        <f>IF(B13="","",SUMIFS(Ledger!$R$5:$R$1329,Ledger!$A$5:$A$1329,9,Ledger!$B$5:$B$1329,"&lt;="&amp;Settings!$B$15))</f>
        <v/>
      </c>
      <c r="O13" s="29">
        <f>IF(B13="","",MAX(D13,0)*N(Employees!G13))</f>
        <v/>
      </c>
      <c r="P13" s="26">
        <f>IF(B13="","",IF(D13&lt;0,"Negative balance",IF(I13&lt;0,"Over-booked for the year",IF(AND(Employees!L13&lt;&gt;"",D13&gt;=Employees!L13),"At cap: accrual paused",IF(AND(Employees!L13&lt;&gt;"",D13&gt;=Employees!L13-IF(N(Employees!F13)=0,Settings!$B$9,Employees!F13)),"Near cap",IF(L13&gt;0,"Will forfeit "&amp;TEXT(L13,"0.0")&amp;" h at year end","OK"))))))</f>
        <v/>
      </c>
    </row>
    <row r="14">
      <c r="A14" s="16" t="n">
        <v>10</v>
      </c>
      <c r="B14" s="26">
        <f>IF(Employees!B14="","",Employees!B14)</f>
        <v/>
      </c>
      <c r="C14" s="26">
        <f>IF(B14="","",Employees!C14&amp;"")</f>
        <v/>
      </c>
      <c r="D14" s="27">
        <f>IF(B14="","",IF(Settings!$B$15=0,N(Employees!N14),INDEX(Ledger!$P$5:$P$1329,477+Settings!$B$15)))</f>
        <v/>
      </c>
      <c r="E14" s="28">
        <f>IF(B14="","",D14/IF(N(Employees!F14)=0,Settings!$B$9,Employees!F14))</f>
        <v/>
      </c>
      <c r="F14" s="26">
        <f>IF(B14="","",SUMIFS(Ledger!$N$5:$N$1329,Ledger!$A$5:$A$1329,10,Ledger!$B$5:$B$1329,"&lt;="&amp;Settings!$B$15))</f>
        <v/>
      </c>
      <c r="G14" s="26">
        <f>IF(B14="","",SUMIFS(Ledger!$L$5:$L$1329,Ledger!$A$5:$A$1329,10,Ledger!$B$5:$B$1329,"&lt;="&amp;Settings!$B$15))</f>
        <v/>
      </c>
      <c r="H14" s="26">
        <f>IF(B14="","",SUMIFS(Ledger!$L$5:$L$1329,Ledger!$A$5:$A$1329,10,Ledger!$B$5:$B$1329,"&gt;"&amp;Settings!$B$15))</f>
        <v/>
      </c>
      <c r="I14" s="26">
        <f>IF(B14="","",IF(Settings!$B$16=0,N(Employees!N14),INDEX(Ledger!$P$5:$P$1329,477+Settings!$B$16)))</f>
        <v/>
      </c>
      <c r="J14" s="26">
        <f>IF(B14="","",SUMIFS(Ledger!$O$5:$O$1329,Ledger!$A$5:$A$1329,10,Ledger!$B$5:$B$1329,"&lt;="&amp;Settings!$B$15))</f>
        <v/>
      </c>
      <c r="K14" s="26">
        <f>IF(B14="","",IF(Employees!M14="",MAX(I14,0),MIN(MAX(I14,0),Employees!M14)))</f>
        <v/>
      </c>
      <c r="L14" s="26">
        <f>IF(B14="","",MAX(I14,0)-K14)</f>
        <v/>
      </c>
      <c r="M14" s="26">
        <f>IF(B14="","",IF(Settings!$B$15=0,N(Employees!T14),INDEX(Ledger!$V$5:$V$1329,477+Settings!$B$15)))</f>
        <v/>
      </c>
      <c r="N14" s="26">
        <f>IF(B14="","",SUMIFS(Ledger!$R$5:$R$1329,Ledger!$A$5:$A$1329,10,Ledger!$B$5:$B$1329,"&lt;="&amp;Settings!$B$15))</f>
        <v/>
      </c>
      <c r="O14" s="29">
        <f>IF(B14="","",MAX(D14,0)*N(Employees!G14))</f>
        <v/>
      </c>
      <c r="P14" s="26">
        <f>IF(B14="","",IF(D14&lt;0,"Negative balance",IF(I14&lt;0,"Over-booked for the year",IF(AND(Employees!L14&lt;&gt;"",D14&gt;=Employees!L14),"At cap: accrual paused",IF(AND(Employees!L14&lt;&gt;"",D14&gt;=Employees!L14-IF(N(Employees!F14)=0,Settings!$B$9,Employees!F14)),"Near cap",IF(L14&gt;0,"Will forfeit "&amp;TEXT(L14,"0.0")&amp;" h at year end","OK"))))))</f>
        <v/>
      </c>
    </row>
    <row r="15">
      <c r="A15" s="16" t="n">
        <v>11</v>
      </c>
      <c r="B15" s="26">
        <f>IF(Employees!B15="","",Employees!B15)</f>
        <v/>
      </c>
      <c r="C15" s="26">
        <f>IF(B15="","",Employees!C15&amp;"")</f>
        <v/>
      </c>
      <c r="D15" s="27">
        <f>IF(B15="","",IF(Settings!$B$15=0,N(Employees!N15),INDEX(Ledger!$P$5:$P$1329,530+Settings!$B$15)))</f>
        <v/>
      </c>
      <c r="E15" s="28">
        <f>IF(B15="","",D15/IF(N(Employees!F15)=0,Settings!$B$9,Employees!F15))</f>
        <v/>
      </c>
      <c r="F15" s="26">
        <f>IF(B15="","",SUMIFS(Ledger!$N$5:$N$1329,Ledger!$A$5:$A$1329,11,Ledger!$B$5:$B$1329,"&lt;="&amp;Settings!$B$15))</f>
        <v/>
      </c>
      <c r="G15" s="26">
        <f>IF(B15="","",SUMIFS(Ledger!$L$5:$L$1329,Ledger!$A$5:$A$1329,11,Ledger!$B$5:$B$1329,"&lt;="&amp;Settings!$B$15))</f>
        <v/>
      </c>
      <c r="H15" s="26">
        <f>IF(B15="","",SUMIFS(Ledger!$L$5:$L$1329,Ledger!$A$5:$A$1329,11,Ledger!$B$5:$B$1329,"&gt;"&amp;Settings!$B$15))</f>
        <v/>
      </c>
      <c r="I15" s="26">
        <f>IF(B15="","",IF(Settings!$B$16=0,N(Employees!N15),INDEX(Ledger!$P$5:$P$1329,530+Settings!$B$16)))</f>
        <v/>
      </c>
      <c r="J15" s="26">
        <f>IF(B15="","",SUMIFS(Ledger!$O$5:$O$1329,Ledger!$A$5:$A$1329,11,Ledger!$B$5:$B$1329,"&lt;="&amp;Settings!$B$15))</f>
        <v/>
      </c>
      <c r="K15" s="26">
        <f>IF(B15="","",IF(Employees!M15="",MAX(I15,0),MIN(MAX(I15,0),Employees!M15)))</f>
        <v/>
      </c>
      <c r="L15" s="26">
        <f>IF(B15="","",MAX(I15,0)-K15)</f>
        <v/>
      </c>
      <c r="M15" s="26">
        <f>IF(B15="","",IF(Settings!$B$15=0,N(Employees!T15),INDEX(Ledger!$V$5:$V$1329,530+Settings!$B$15)))</f>
        <v/>
      </c>
      <c r="N15" s="26">
        <f>IF(B15="","",SUMIFS(Ledger!$R$5:$R$1329,Ledger!$A$5:$A$1329,11,Ledger!$B$5:$B$1329,"&lt;="&amp;Settings!$B$15))</f>
        <v/>
      </c>
      <c r="O15" s="29">
        <f>IF(B15="","",MAX(D15,0)*N(Employees!G15))</f>
        <v/>
      </c>
      <c r="P15" s="26">
        <f>IF(B15="","",IF(D15&lt;0,"Negative balance",IF(I15&lt;0,"Over-booked for the year",IF(AND(Employees!L15&lt;&gt;"",D15&gt;=Employees!L15),"At cap: accrual paused",IF(AND(Employees!L15&lt;&gt;"",D15&gt;=Employees!L15-IF(N(Employees!F15)=0,Settings!$B$9,Employees!F15)),"Near cap",IF(L15&gt;0,"Will forfeit "&amp;TEXT(L15,"0.0")&amp;" h at year end","OK"))))))</f>
        <v/>
      </c>
    </row>
    <row r="16">
      <c r="A16" s="16" t="n">
        <v>12</v>
      </c>
      <c r="B16" s="26">
        <f>IF(Employees!B16="","",Employees!B16)</f>
        <v/>
      </c>
      <c r="C16" s="26">
        <f>IF(B16="","",Employees!C16&amp;"")</f>
        <v/>
      </c>
      <c r="D16" s="27">
        <f>IF(B16="","",IF(Settings!$B$15=0,N(Employees!N16),INDEX(Ledger!$P$5:$P$1329,583+Settings!$B$15)))</f>
        <v/>
      </c>
      <c r="E16" s="28">
        <f>IF(B16="","",D16/IF(N(Employees!F16)=0,Settings!$B$9,Employees!F16))</f>
        <v/>
      </c>
      <c r="F16" s="26">
        <f>IF(B16="","",SUMIFS(Ledger!$N$5:$N$1329,Ledger!$A$5:$A$1329,12,Ledger!$B$5:$B$1329,"&lt;="&amp;Settings!$B$15))</f>
        <v/>
      </c>
      <c r="G16" s="26">
        <f>IF(B16="","",SUMIFS(Ledger!$L$5:$L$1329,Ledger!$A$5:$A$1329,12,Ledger!$B$5:$B$1329,"&lt;="&amp;Settings!$B$15))</f>
        <v/>
      </c>
      <c r="H16" s="26">
        <f>IF(B16="","",SUMIFS(Ledger!$L$5:$L$1329,Ledger!$A$5:$A$1329,12,Ledger!$B$5:$B$1329,"&gt;"&amp;Settings!$B$15))</f>
        <v/>
      </c>
      <c r="I16" s="26">
        <f>IF(B16="","",IF(Settings!$B$16=0,N(Employees!N16),INDEX(Ledger!$P$5:$P$1329,583+Settings!$B$16)))</f>
        <v/>
      </c>
      <c r="J16" s="26">
        <f>IF(B16="","",SUMIFS(Ledger!$O$5:$O$1329,Ledger!$A$5:$A$1329,12,Ledger!$B$5:$B$1329,"&lt;="&amp;Settings!$B$15))</f>
        <v/>
      </c>
      <c r="K16" s="26">
        <f>IF(B16="","",IF(Employees!M16="",MAX(I16,0),MIN(MAX(I16,0),Employees!M16)))</f>
        <v/>
      </c>
      <c r="L16" s="26">
        <f>IF(B16="","",MAX(I16,0)-K16)</f>
        <v/>
      </c>
      <c r="M16" s="26">
        <f>IF(B16="","",IF(Settings!$B$15=0,N(Employees!T16),INDEX(Ledger!$V$5:$V$1329,583+Settings!$B$15)))</f>
        <v/>
      </c>
      <c r="N16" s="26">
        <f>IF(B16="","",SUMIFS(Ledger!$R$5:$R$1329,Ledger!$A$5:$A$1329,12,Ledger!$B$5:$B$1329,"&lt;="&amp;Settings!$B$15))</f>
        <v/>
      </c>
      <c r="O16" s="29">
        <f>IF(B16="","",MAX(D16,0)*N(Employees!G16))</f>
        <v/>
      </c>
      <c r="P16" s="26">
        <f>IF(B16="","",IF(D16&lt;0,"Negative balance",IF(I16&lt;0,"Over-booked for the year",IF(AND(Employees!L16&lt;&gt;"",D16&gt;=Employees!L16),"At cap: accrual paused",IF(AND(Employees!L16&lt;&gt;"",D16&gt;=Employees!L16-IF(N(Employees!F16)=0,Settings!$B$9,Employees!F16)),"Near cap",IF(L16&gt;0,"Will forfeit "&amp;TEXT(L16,"0.0")&amp;" h at year end","OK"))))))</f>
        <v/>
      </c>
    </row>
    <row r="17">
      <c r="A17" s="16" t="n">
        <v>13</v>
      </c>
      <c r="B17" s="26">
        <f>IF(Employees!B17="","",Employees!B17)</f>
        <v/>
      </c>
      <c r="C17" s="26">
        <f>IF(B17="","",Employees!C17&amp;"")</f>
        <v/>
      </c>
      <c r="D17" s="27">
        <f>IF(B17="","",IF(Settings!$B$15=0,N(Employees!N17),INDEX(Ledger!$P$5:$P$1329,636+Settings!$B$15)))</f>
        <v/>
      </c>
      <c r="E17" s="28">
        <f>IF(B17="","",D17/IF(N(Employees!F17)=0,Settings!$B$9,Employees!F17))</f>
        <v/>
      </c>
      <c r="F17" s="26">
        <f>IF(B17="","",SUMIFS(Ledger!$N$5:$N$1329,Ledger!$A$5:$A$1329,13,Ledger!$B$5:$B$1329,"&lt;="&amp;Settings!$B$15))</f>
        <v/>
      </c>
      <c r="G17" s="26">
        <f>IF(B17="","",SUMIFS(Ledger!$L$5:$L$1329,Ledger!$A$5:$A$1329,13,Ledger!$B$5:$B$1329,"&lt;="&amp;Settings!$B$15))</f>
        <v/>
      </c>
      <c r="H17" s="26">
        <f>IF(B17="","",SUMIFS(Ledger!$L$5:$L$1329,Ledger!$A$5:$A$1329,13,Ledger!$B$5:$B$1329,"&gt;"&amp;Settings!$B$15))</f>
        <v/>
      </c>
      <c r="I17" s="26">
        <f>IF(B17="","",IF(Settings!$B$16=0,N(Employees!N17),INDEX(Ledger!$P$5:$P$1329,636+Settings!$B$16)))</f>
        <v/>
      </c>
      <c r="J17" s="26">
        <f>IF(B17="","",SUMIFS(Ledger!$O$5:$O$1329,Ledger!$A$5:$A$1329,13,Ledger!$B$5:$B$1329,"&lt;="&amp;Settings!$B$15))</f>
        <v/>
      </c>
      <c r="K17" s="26">
        <f>IF(B17="","",IF(Employees!M17="",MAX(I17,0),MIN(MAX(I17,0),Employees!M17)))</f>
        <v/>
      </c>
      <c r="L17" s="26">
        <f>IF(B17="","",MAX(I17,0)-K17)</f>
        <v/>
      </c>
      <c r="M17" s="26">
        <f>IF(B17="","",IF(Settings!$B$15=0,N(Employees!T17),INDEX(Ledger!$V$5:$V$1329,636+Settings!$B$15)))</f>
        <v/>
      </c>
      <c r="N17" s="26">
        <f>IF(B17="","",SUMIFS(Ledger!$R$5:$R$1329,Ledger!$A$5:$A$1329,13,Ledger!$B$5:$B$1329,"&lt;="&amp;Settings!$B$15))</f>
        <v/>
      </c>
      <c r="O17" s="29">
        <f>IF(B17="","",MAX(D17,0)*N(Employees!G17))</f>
        <v/>
      </c>
      <c r="P17" s="26">
        <f>IF(B17="","",IF(D17&lt;0,"Negative balance",IF(I17&lt;0,"Over-booked for the year",IF(AND(Employees!L17&lt;&gt;"",D17&gt;=Employees!L17),"At cap: accrual paused",IF(AND(Employees!L17&lt;&gt;"",D17&gt;=Employees!L17-IF(N(Employees!F17)=0,Settings!$B$9,Employees!F17)),"Near cap",IF(L17&gt;0,"Will forfeit "&amp;TEXT(L17,"0.0")&amp;" h at year end","OK"))))))</f>
        <v/>
      </c>
    </row>
    <row r="18">
      <c r="A18" s="16" t="n">
        <v>14</v>
      </c>
      <c r="B18" s="26">
        <f>IF(Employees!B18="","",Employees!B18)</f>
        <v/>
      </c>
      <c r="C18" s="26">
        <f>IF(B18="","",Employees!C18&amp;"")</f>
        <v/>
      </c>
      <c r="D18" s="27">
        <f>IF(B18="","",IF(Settings!$B$15=0,N(Employees!N18),INDEX(Ledger!$P$5:$P$1329,689+Settings!$B$15)))</f>
        <v/>
      </c>
      <c r="E18" s="28">
        <f>IF(B18="","",D18/IF(N(Employees!F18)=0,Settings!$B$9,Employees!F18))</f>
        <v/>
      </c>
      <c r="F18" s="26">
        <f>IF(B18="","",SUMIFS(Ledger!$N$5:$N$1329,Ledger!$A$5:$A$1329,14,Ledger!$B$5:$B$1329,"&lt;="&amp;Settings!$B$15))</f>
        <v/>
      </c>
      <c r="G18" s="26">
        <f>IF(B18="","",SUMIFS(Ledger!$L$5:$L$1329,Ledger!$A$5:$A$1329,14,Ledger!$B$5:$B$1329,"&lt;="&amp;Settings!$B$15))</f>
        <v/>
      </c>
      <c r="H18" s="26">
        <f>IF(B18="","",SUMIFS(Ledger!$L$5:$L$1329,Ledger!$A$5:$A$1329,14,Ledger!$B$5:$B$1329,"&gt;"&amp;Settings!$B$15))</f>
        <v/>
      </c>
      <c r="I18" s="26">
        <f>IF(B18="","",IF(Settings!$B$16=0,N(Employees!N18),INDEX(Ledger!$P$5:$P$1329,689+Settings!$B$16)))</f>
        <v/>
      </c>
      <c r="J18" s="26">
        <f>IF(B18="","",SUMIFS(Ledger!$O$5:$O$1329,Ledger!$A$5:$A$1329,14,Ledger!$B$5:$B$1329,"&lt;="&amp;Settings!$B$15))</f>
        <v/>
      </c>
      <c r="K18" s="26">
        <f>IF(B18="","",IF(Employees!M18="",MAX(I18,0),MIN(MAX(I18,0),Employees!M18)))</f>
        <v/>
      </c>
      <c r="L18" s="26">
        <f>IF(B18="","",MAX(I18,0)-K18)</f>
        <v/>
      </c>
      <c r="M18" s="26">
        <f>IF(B18="","",IF(Settings!$B$15=0,N(Employees!T18),INDEX(Ledger!$V$5:$V$1329,689+Settings!$B$15)))</f>
        <v/>
      </c>
      <c r="N18" s="26">
        <f>IF(B18="","",SUMIFS(Ledger!$R$5:$R$1329,Ledger!$A$5:$A$1329,14,Ledger!$B$5:$B$1329,"&lt;="&amp;Settings!$B$15))</f>
        <v/>
      </c>
      <c r="O18" s="29">
        <f>IF(B18="","",MAX(D18,0)*N(Employees!G18))</f>
        <v/>
      </c>
      <c r="P18" s="26">
        <f>IF(B18="","",IF(D18&lt;0,"Negative balance",IF(I18&lt;0,"Over-booked for the year",IF(AND(Employees!L18&lt;&gt;"",D18&gt;=Employees!L18),"At cap: accrual paused",IF(AND(Employees!L18&lt;&gt;"",D18&gt;=Employees!L18-IF(N(Employees!F18)=0,Settings!$B$9,Employees!F18)),"Near cap",IF(L18&gt;0,"Will forfeit "&amp;TEXT(L18,"0.0")&amp;" h at year end","OK"))))))</f>
        <v/>
      </c>
    </row>
    <row r="19">
      <c r="A19" s="16" t="n">
        <v>15</v>
      </c>
      <c r="B19" s="26">
        <f>IF(Employees!B19="","",Employees!B19)</f>
        <v/>
      </c>
      <c r="C19" s="26">
        <f>IF(B19="","",Employees!C19&amp;"")</f>
        <v/>
      </c>
      <c r="D19" s="27">
        <f>IF(B19="","",IF(Settings!$B$15=0,N(Employees!N19),INDEX(Ledger!$P$5:$P$1329,742+Settings!$B$15)))</f>
        <v/>
      </c>
      <c r="E19" s="28">
        <f>IF(B19="","",D19/IF(N(Employees!F19)=0,Settings!$B$9,Employees!F19))</f>
        <v/>
      </c>
      <c r="F19" s="26">
        <f>IF(B19="","",SUMIFS(Ledger!$N$5:$N$1329,Ledger!$A$5:$A$1329,15,Ledger!$B$5:$B$1329,"&lt;="&amp;Settings!$B$15))</f>
        <v/>
      </c>
      <c r="G19" s="26">
        <f>IF(B19="","",SUMIFS(Ledger!$L$5:$L$1329,Ledger!$A$5:$A$1329,15,Ledger!$B$5:$B$1329,"&lt;="&amp;Settings!$B$15))</f>
        <v/>
      </c>
      <c r="H19" s="26">
        <f>IF(B19="","",SUMIFS(Ledger!$L$5:$L$1329,Ledger!$A$5:$A$1329,15,Ledger!$B$5:$B$1329,"&gt;"&amp;Settings!$B$15))</f>
        <v/>
      </c>
      <c r="I19" s="26">
        <f>IF(B19="","",IF(Settings!$B$16=0,N(Employees!N19),INDEX(Ledger!$P$5:$P$1329,742+Settings!$B$16)))</f>
        <v/>
      </c>
      <c r="J19" s="26">
        <f>IF(B19="","",SUMIFS(Ledger!$O$5:$O$1329,Ledger!$A$5:$A$1329,15,Ledger!$B$5:$B$1329,"&lt;="&amp;Settings!$B$15))</f>
        <v/>
      </c>
      <c r="K19" s="26">
        <f>IF(B19="","",IF(Employees!M19="",MAX(I19,0),MIN(MAX(I19,0),Employees!M19)))</f>
        <v/>
      </c>
      <c r="L19" s="26">
        <f>IF(B19="","",MAX(I19,0)-K19)</f>
        <v/>
      </c>
      <c r="M19" s="26">
        <f>IF(B19="","",IF(Settings!$B$15=0,N(Employees!T19),INDEX(Ledger!$V$5:$V$1329,742+Settings!$B$15)))</f>
        <v/>
      </c>
      <c r="N19" s="26">
        <f>IF(B19="","",SUMIFS(Ledger!$R$5:$R$1329,Ledger!$A$5:$A$1329,15,Ledger!$B$5:$B$1329,"&lt;="&amp;Settings!$B$15))</f>
        <v/>
      </c>
      <c r="O19" s="29">
        <f>IF(B19="","",MAX(D19,0)*N(Employees!G19))</f>
        <v/>
      </c>
      <c r="P19" s="26">
        <f>IF(B19="","",IF(D19&lt;0,"Negative balance",IF(I19&lt;0,"Over-booked for the year",IF(AND(Employees!L19&lt;&gt;"",D19&gt;=Employees!L19),"At cap: accrual paused",IF(AND(Employees!L19&lt;&gt;"",D19&gt;=Employees!L19-IF(N(Employees!F19)=0,Settings!$B$9,Employees!F19)),"Near cap",IF(L19&gt;0,"Will forfeit "&amp;TEXT(L19,"0.0")&amp;" h at year end","OK"))))))</f>
        <v/>
      </c>
    </row>
    <row r="20">
      <c r="A20" s="16" t="n">
        <v>16</v>
      </c>
      <c r="B20" s="26">
        <f>IF(Employees!B20="","",Employees!B20)</f>
        <v/>
      </c>
      <c r="C20" s="26">
        <f>IF(B20="","",Employees!C20&amp;"")</f>
        <v/>
      </c>
      <c r="D20" s="27">
        <f>IF(B20="","",IF(Settings!$B$15=0,N(Employees!N20),INDEX(Ledger!$P$5:$P$1329,795+Settings!$B$15)))</f>
        <v/>
      </c>
      <c r="E20" s="28">
        <f>IF(B20="","",D20/IF(N(Employees!F20)=0,Settings!$B$9,Employees!F20))</f>
        <v/>
      </c>
      <c r="F20" s="26">
        <f>IF(B20="","",SUMIFS(Ledger!$N$5:$N$1329,Ledger!$A$5:$A$1329,16,Ledger!$B$5:$B$1329,"&lt;="&amp;Settings!$B$15))</f>
        <v/>
      </c>
      <c r="G20" s="26">
        <f>IF(B20="","",SUMIFS(Ledger!$L$5:$L$1329,Ledger!$A$5:$A$1329,16,Ledger!$B$5:$B$1329,"&lt;="&amp;Settings!$B$15))</f>
        <v/>
      </c>
      <c r="H20" s="26">
        <f>IF(B20="","",SUMIFS(Ledger!$L$5:$L$1329,Ledger!$A$5:$A$1329,16,Ledger!$B$5:$B$1329,"&gt;"&amp;Settings!$B$15))</f>
        <v/>
      </c>
      <c r="I20" s="26">
        <f>IF(B20="","",IF(Settings!$B$16=0,N(Employees!N20),INDEX(Ledger!$P$5:$P$1329,795+Settings!$B$16)))</f>
        <v/>
      </c>
      <c r="J20" s="26">
        <f>IF(B20="","",SUMIFS(Ledger!$O$5:$O$1329,Ledger!$A$5:$A$1329,16,Ledger!$B$5:$B$1329,"&lt;="&amp;Settings!$B$15))</f>
        <v/>
      </c>
      <c r="K20" s="26">
        <f>IF(B20="","",IF(Employees!M20="",MAX(I20,0),MIN(MAX(I20,0),Employees!M20)))</f>
        <v/>
      </c>
      <c r="L20" s="26">
        <f>IF(B20="","",MAX(I20,0)-K20)</f>
        <v/>
      </c>
      <c r="M20" s="26">
        <f>IF(B20="","",IF(Settings!$B$15=0,N(Employees!T20),INDEX(Ledger!$V$5:$V$1329,795+Settings!$B$15)))</f>
        <v/>
      </c>
      <c r="N20" s="26">
        <f>IF(B20="","",SUMIFS(Ledger!$R$5:$R$1329,Ledger!$A$5:$A$1329,16,Ledger!$B$5:$B$1329,"&lt;="&amp;Settings!$B$15))</f>
        <v/>
      </c>
      <c r="O20" s="29">
        <f>IF(B20="","",MAX(D20,0)*N(Employees!G20))</f>
        <v/>
      </c>
      <c r="P20" s="26">
        <f>IF(B20="","",IF(D20&lt;0,"Negative balance",IF(I20&lt;0,"Over-booked for the year",IF(AND(Employees!L20&lt;&gt;"",D20&gt;=Employees!L20),"At cap: accrual paused",IF(AND(Employees!L20&lt;&gt;"",D20&gt;=Employees!L20-IF(N(Employees!F20)=0,Settings!$B$9,Employees!F20)),"Near cap",IF(L20&gt;0,"Will forfeit "&amp;TEXT(L20,"0.0")&amp;" h at year end","OK"))))))</f>
        <v/>
      </c>
    </row>
    <row r="21">
      <c r="A21" s="16" t="n">
        <v>17</v>
      </c>
      <c r="B21" s="26">
        <f>IF(Employees!B21="","",Employees!B21)</f>
        <v/>
      </c>
      <c r="C21" s="26">
        <f>IF(B21="","",Employees!C21&amp;"")</f>
        <v/>
      </c>
      <c r="D21" s="27">
        <f>IF(B21="","",IF(Settings!$B$15=0,N(Employees!N21),INDEX(Ledger!$P$5:$P$1329,848+Settings!$B$15)))</f>
        <v/>
      </c>
      <c r="E21" s="28">
        <f>IF(B21="","",D21/IF(N(Employees!F21)=0,Settings!$B$9,Employees!F21))</f>
        <v/>
      </c>
      <c r="F21" s="26">
        <f>IF(B21="","",SUMIFS(Ledger!$N$5:$N$1329,Ledger!$A$5:$A$1329,17,Ledger!$B$5:$B$1329,"&lt;="&amp;Settings!$B$15))</f>
        <v/>
      </c>
      <c r="G21" s="26">
        <f>IF(B21="","",SUMIFS(Ledger!$L$5:$L$1329,Ledger!$A$5:$A$1329,17,Ledger!$B$5:$B$1329,"&lt;="&amp;Settings!$B$15))</f>
        <v/>
      </c>
      <c r="H21" s="26">
        <f>IF(B21="","",SUMIFS(Ledger!$L$5:$L$1329,Ledger!$A$5:$A$1329,17,Ledger!$B$5:$B$1329,"&gt;"&amp;Settings!$B$15))</f>
        <v/>
      </c>
      <c r="I21" s="26">
        <f>IF(B21="","",IF(Settings!$B$16=0,N(Employees!N21),INDEX(Ledger!$P$5:$P$1329,848+Settings!$B$16)))</f>
        <v/>
      </c>
      <c r="J21" s="26">
        <f>IF(B21="","",SUMIFS(Ledger!$O$5:$O$1329,Ledger!$A$5:$A$1329,17,Ledger!$B$5:$B$1329,"&lt;="&amp;Settings!$B$15))</f>
        <v/>
      </c>
      <c r="K21" s="26">
        <f>IF(B21="","",IF(Employees!M21="",MAX(I21,0),MIN(MAX(I21,0),Employees!M21)))</f>
        <v/>
      </c>
      <c r="L21" s="26">
        <f>IF(B21="","",MAX(I21,0)-K21)</f>
        <v/>
      </c>
      <c r="M21" s="26">
        <f>IF(B21="","",IF(Settings!$B$15=0,N(Employees!T21),INDEX(Ledger!$V$5:$V$1329,848+Settings!$B$15)))</f>
        <v/>
      </c>
      <c r="N21" s="26">
        <f>IF(B21="","",SUMIFS(Ledger!$R$5:$R$1329,Ledger!$A$5:$A$1329,17,Ledger!$B$5:$B$1329,"&lt;="&amp;Settings!$B$15))</f>
        <v/>
      </c>
      <c r="O21" s="29">
        <f>IF(B21="","",MAX(D21,0)*N(Employees!G21))</f>
        <v/>
      </c>
      <c r="P21" s="26">
        <f>IF(B21="","",IF(D21&lt;0,"Negative balance",IF(I21&lt;0,"Over-booked for the year",IF(AND(Employees!L21&lt;&gt;"",D21&gt;=Employees!L21),"At cap: accrual paused",IF(AND(Employees!L21&lt;&gt;"",D21&gt;=Employees!L21-IF(N(Employees!F21)=0,Settings!$B$9,Employees!F21)),"Near cap",IF(L21&gt;0,"Will forfeit "&amp;TEXT(L21,"0.0")&amp;" h at year end","OK"))))))</f>
        <v/>
      </c>
    </row>
    <row r="22">
      <c r="A22" s="16" t="n">
        <v>18</v>
      </c>
      <c r="B22" s="26">
        <f>IF(Employees!B22="","",Employees!B22)</f>
        <v/>
      </c>
      <c r="C22" s="26">
        <f>IF(B22="","",Employees!C22&amp;"")</f>
        <v/>
      </c>
      <c r="D22" s="27">
        <f>IF(B22="","",IF(Settings!$B$15=0,N(Employees!N22),INDEX(Ledger!$P$5:$P$1329,901+Settings!$B$15)))</f>
        <v/>
      </c>
      <c r="E22" s="28">
        <f>IF(B22="","",D22/IF(N(Employees!F22)=0,Settings!$B$9,Employees!F22))</f>
        <v/>
      </c>
      <c r="F22" s="26">
        <f>IF(B22="","",SUMIFS(Ledger!$N$5:$N$1329,Ledger!$A$5:$A$1329,18,Ledger!$B$5:$B$1329,"&lt;="&amp;Settings!$B$15))</f>
        <v/>
      </c>
      <c r="G22" s="26">
        <f>IF(B22="","",SUMIFS(Ledger!$L$5:$L$1329,Ledger!$A$5:$A$1329,18,Ledger!$B$5:$B$1329,"&lt;="&amp;Settings!$B$15))</f>
        <v/>
      </c>
      <c r="H22" s="26">
        <f>IF(B22="","",SUMIFS(Ledger!$L$5:$L$1329,Ledger!$A$5:$A$1329,18,Ledger!$B$5:$B$1329,"&gt;"&amp;Settings!$B$15))</f>
        <v/>
      </c>
      <c r="I22" s="26">
        <f>IF(B22="","",IF(Settings!$B$16=0,N(Employees!N22),INDEX(Ledger!$P$5:$P$1329,901+Settings!$B$16)))</f>
        <v/>
      </c>
      <c r="J22" s="26">
        <f>IF(B22="","",SUMIFS(Ledger!$O$5:$O$1329,Ledger!$A$5:$A$1329,18,Ledger!$B$5:$B$1329,"&lt;="&amp;Settings!$B$15))</f>
        <v/>
      </c>
      <c r="K22" s="26">
        <f>IF(B22="","",IF(Employees!M22="",MAX(I22,0),MIN(MAX(I22,0),Employees!M22)))</f>
        <v/>
      </c>
      <c r="L22" s="26">
        <f>IF(B22="","",MAX(I22,0)-K22)</f>
        <v/>
      </c>
      <c r="M22" s="26">
        <f>IF(B22="","",IF(Settings!$B$15=0,N(Employees!T22),INDEX(Ledger!$V$5:$V$1329,901+Settings!$B$15)))</f>
        <v/>
      </c>
      <c r="N22" s="26">
        <f>IF(B22="","",SUMIFS(Ledger!$R$5:$R$1329,Ledger!$A$5:$A$1329,18,Ledger!$B$5:$B$1329,"&lt;="&amp;Settings!$B$15))</f>
        <v/>
      </c>
      <c r="O22" s="29">
        <f>IF(B22="","",MAX(D22,0)*N(Employees!G22))</f>
        <v/>
      </c>
      <c r="P22" s="26">
        <f>IF(B22="","",IF(D22&lt;0,"Negative balance",IF(I22&lt;0,"Over-booked for the year",IF(AND(Employees!L22&lt;&gt;"",D22&gt;=Employees!L22),"At cap: accrual paused",IF(AND(Employees!L22&lt;&gt;"",D22&gt;=Employees!L22-IF(N(Employees!F22)=0,Settings!$B$9,Employees!F22)),"Near cap",IF(L22&gt;0,"Will forfeit "&amp;TEXT(L22,"0.0")&amp;" h at year end","OK"))))))</f>
        <v/>
      </c>
    </row>
    <row r="23">
      <c r="A23" s="16" t="n">
        <v>19</v>
      </c>
      <c r="B23" s="26">
        <f>IF(Employees!B23="","",Employees!B23)</f>
        <v/>
      </c>
      <c r="C23" s="26">
        <f>IF(B23="","",Employees!C23&amp;"")</f>
        <v/>
      </c>
      <c r="D23" s="27">
        <f>IF(B23="","",IF(Settings!$B$15=0,N(Employees!N23),INDEX(Ledger!$P$5:$P$1329,954+Settings!$B$15)))</f>
        <v/>
      </c>
      <c r="E23" s="28">
        <f>IF(B23="","",D23/IF(N(Employees!F23)=0,Settings!$B$9,Employees!F23))</f>
        <v/>
      </c>
      <c r="F23" s="26">
        <f>IF(B23="","",SUMIFS(Ledger!$N$5:$N$1329,Ledger!$A$5:$A$1329,19,Ledger!$B$5:$B$1329,"&lt;="&amp;Settings!$B$15))</f>
        <v/>
      </c>
      <c r="G23" s="26">
        <f>IF(B23="","",SUMIFS(Ledger!$L$5:$L$1329,Ledger!$A$5:$A$1329,19,Ledger!$B$5:$B$1329,"&lt;="&amp;Settings!$B$15))</f>
        <v/>
      </c>
      <c r="H23" s="26">
        <f>IF(B23="","",SUMIFS(Ledger!$L$5:$L$1329,Ledger!$A$5:$A$1329,19,Ledger!$B$5:$B$1329,"&gt;"&amp;Settings!$B$15))</f>
        <v/>
      </c>
      <c r="I23" s="26">
        <f>IF(B23="","",IF(Settings!$B$16=0,N(Employees!N23),INDEX(Ledger!$P$5:$P$1329,954+Settings!$B$16)))</f>
        <v/>
      </c>
      <c r="J23" s="26">
        <f>IF(B23="","",SUMIFS(Ledger!$O$5:$O$1329,Ledger!$A$5:$A$1329,19,Ledger!$B$5:$B$1329,"&lt;="&amp;Settings!$B$15))</f>
        <v/>
      </c>
      <c r="K23" s="26">
        <f>IF(B23="","",IF(Employees!M23="",MAX(I23,0),MIN(MAX(I23,0),Employees!M23)))</f>
        <v/>
      </c>
      <c r="L23" s="26">
        <f>IF(B23="","",MAX(I23,0)-K23)</f>
        <v/>
      </c>
      <c r="M23" s="26">
        <f>IF(B23="","",IF(Settings!$B$15=0,N(Employees!T23),INDEX(Ledger!$V$5:$V$1329,954+Settings!$B$15)))</f>
        <v/>
      </c>
      <c r="N23" s="26">
        <f>IF(B23="","",SUMIFS(Ledger!$R$5:$R$1329,Ledger!$A$5:$A$1329,19,Ledger!$B$5:$B$1329,"&lt;="&amp;Settings!$B$15))</f>
        <v/>
      </c>
      <c r="O23" s="29">
        <f>IF(B23="","",MAX(D23,0)*N(Employees!G23))</f>
        <v/>
      </c>
      <c r="P23" s="26">
        <f>IF(B23="","",IF(D23&lt;0,"Negative balance",IF(I23&lt;0,"Over-booked for the year",IF(AND(Employees!L23&lt;&gt;"",D23&gt;=Employees!L23),"At cap: accrual paused",IF(AND(Employees!L23&lt;&gt;"",D23&gt;=Employees!L23-IF(N(Employees!F23)=0,Settings!$B$9,Employees!F23)),"Near cap",IF(L23&gt;0,"Will forfeit "&amp;TEXT(L23,"0.0")&amp;" h at year end","OK"))))))</f>
        <v/>
      </c>
    </row>
    <row r="24">
      <c r="A24" s="16" t="n">
        <v>20</v>
      </c>
      <c r="B24" s="26">
        <f>IF(Employees!B24="","",Employees!B24)</f>
        <v/>
      </c>
      <c r="C24" s="26">
        <f>IF(B24="","",Employees!C24&amp;"")</f>
        <v/>
      </c>
      <c r="D24" s="27">
        <f>IF(B24="","",IF(Settings!$B$15=0,N(Employees!N24),INDEX(Ledger!$P$5:$P$1329,1007+Settings!$B$15)))</f>
        <v/>
      </c>
      <c r="E24" s="28">
        <f>IF(B24="","",D24/IF(N(Employees!F24)=0,Settings!$B$9,Employees!F24))</f>
        <v/>
      </c>
      <c r="F24" s="26">
        <f>IF(B24="","",SUMIFS(Ledger!$N$5:$N$1329,Ledger!$A$5:$A$1329,20,Ledger!$B$5:$B$1329,"&lt;="&amp;Settings!$B$15))</f>
        <v/>
      </c>
      <c r="G24" s="26">
        <f>IF(B24="","",SUMIFS(Ledger!$L$5:$L$1329,Ledger!$A$5:$A$1329,20,Ledger!$B$5:$B$1329,"&lt;="&amp;Settings!$B$15))</f>
        <v/>
      </c>
      <c r="H24" s="26">
        <f>IF(B24="","",SUMIFS(Ledger!$L$5:$L$1329,Ledger!$A$5:$A$1329,20,Ledger!$B$5:$B$1329,"&gt;"&amp;Settings!$B$15))</f>
        <v/>
      </c>
      <c r="I24" s="26">
        <f>IF(B24="","",IF(Settings!$B$16=0,N(Employees!N24),INDEX(Ledger!$P$5:$P$1329,1007+Settings!$B$16)))</f>
        <v/>
      </c>
      <c r="J24" s="26">
        <f>IF(B24="","",SUMIFS(Ledger!$O$5:$O$1329,Ledger!$A$5:$A$1329,20,Ledger!$B$5:$B$1329,"&lt;="&amp;Settings!$B$15))</f>
        <v/>
      </c>
      <c r="K24" s="26">
        <f>IF(B24="","",IF(Employees!M24="",MAX(I24,0),MIN(MAX(I24,0),Employees!M24)))</f>
        <v/>
      </c>
      <c r="L24" s="26">
        <f>IF(B24="","",MAX(I24,0)-K24)</f>
        <v/>
      </c>
      <c r="M24" s="26">
        <f>IF(B24="","",IF(Settings!$B$15=0,N(Employees!T24),INDEX(Ledger!$V$5:$V$1329,1007+Settings!$B$15)))</f>
        <v/>
      </c>
      <c r="N24" s="26">
        <f>IF(B24="","",SUMIFS(Ledger!$R$5:$R$1329,Ledger!$A$5:$A$1329,20,Ledger!$B$5:$B$1329,"&lt;="&amp;Settings!$B$15))</f>
        <v/>
      </c>
      <c r="O24" s="29">
        <f>IF(B24="","",MAX(D24,0)*N(Employees!G24))</f>
        <v/>
      </c>
      <c r="P24" s="26">
        <f>IF(B24="","",IF(D24&lt;0,"Negative balance",IF(I24&lt;0,"Over-booked for the year",IF(AND(Employees!L24&lt;&gt;"",D24&gt;=Employees!L24),"At cap: accrual paused",IF(AND(Employees!L24&lt;&gt;"",D24&gt;=Employees!L24-IF(N(Employees!F24)=0,Settings!$B$9,Employees!F24)),"Near cap",IF(L24&gt;0,"Will forfeit "&amp;TEXT(L24,"0.0")&amp;" h at year end","OK"))))))</f>
        <v/>
      </c>
    </row>
    <row r="25">
      <c r="A25" s="16" t="n">
        <v>21</v>
      </c>
      <c r="B25" s="26">
        <f>IF(Employees!B25="","",Employees!B25)</f>
        <v/>
      </c>
      <c r="C25" s="26">
        <f>IF(B25="","",Employees!C25&amp;"")</f>
        <v/>
      </c>
      <c r="D25" s="27">
        <f>IF(B25="","",IF(Settings!$B$15=0,N(Employees!N25),INDEX(Ledger!$P$5:$P$1329,1060+Settings!$B$15)))</f>
        <v/>
      </c>
      <c r="E25" s="28">
        <f>IF(B25="","",D25/IF(N(Employees!F25)=0,Settings!$B$9,Employees!F25))</f>
        <v/>
      </c>
      <c r="F25" s="26">
        <f>IF(B25="","",SUMIFS(Ledger!$N$5:$N$1329,Ledger!$A$5:$A$1329,21,Ledger!$B$5:$B$1329,"&lt;="&amp;Settings!$B$15))</f>
        <v/>
      </c>
      <c r="G25" s="26">
        <f>IF(B25="","",SUMIFS(Ledger!$L$5:$L$1329,Ledger!$A$5:$A$1329,21,Ledger!$B$5:$B$1329,"&lt;="&amp;Settings!$B$15))</f>
        <v/>
      </c>
      <c r="H25" s="26">
        <f>IF(B25="","",SUMIFS(Ledger!$L$5:$L$1329,Ledger!$A$5:$A$1329,21,Ledger!$B$5:$B$1329,"&gt;"&amp;Settings!$B$15))</f>
        <v/>
      </c>
      <c r="I25" s="26">
        <f>IF(B25="","",IF(Settings!$B$16=0,N(Employees!N25),INDEX(Ledger!$P$5:$P$1329,1060+Settings!$B$16)))</f>
        <v/>
      </c>
      <c r="J25" s="26">
        <f>IF(B25="","",SUMIFS(Ledger!$O$5:$O$1329,Ledger!$A$5:$A$1329,21,Ledger!$B$5:$B$1329,"&lt;="&amp;Settings!$B$15))</f>
        <v/>
      </c>
      <c r="K25" s="26">
        <f>IF(B25="","",IF(Employees!M25="",MAX(I25,0),MIN(MAX(I25,0),Employees!M25)))</f>
        <v/>
      </c>
      <c r="L25" s="26">
        <f>IF(B25="","",MAX(I25,0)-K25)</f>
        <v/>
      </c>
      <c r="M25" s="26">
        <f>IF(B25="","",IF(Settings!$B$15=0,N(Employees!T25),INDEX(Ledger!$V$5:$V$1329,1060+Settings!$B$15)))</f>
        <v/>
      </c>
      <c r="N25" s="26">
        <f>IF(B25="","",SUMIFS(Ledger!$R$5:$R$1329,Ledger!$A$5:$A$1329,21,Ledger!$B$5:$B$1329,"&lt;="&amp;Settings!$B$15))</f>
        <v/>
      </c>
      <c r="O25" s="29">
        <f>IF(B25="","",MAX(D25,0)*N(Employees!G25))</f>
        <v/>
      </c>
      <c r="P25" s="26">
        <f>IF(B25="","",IF(D25&lt;0,"Negative balance",IF(I25&lt;0,"Over-booked for the year",IF(AND(Employees!L25&lt;&gt;"",D25&gt;=Employees!L25),"At cap: accrual paused",IF(AND(Employees!L25&lt;&gt;"",D25&gt;=Employees!L25-IF(N(Employees!F25)=0,Settings!$B$9,Employees!F25)),"Near cap",IF(L25&gt;0,"Will forfeit "&amp;TEXT(L25,"0.0")&amp;" h at year end","OK"))))))</f>
        <v/>
      </c>
    </row>
    <row r="26">
      <c r="A26" s="16" t="n">
        <v>22</v>
      </c>
      <c r="B26" s="26">
        <f>IF(Employees!B26="","",Employees!B26)</f>
        <v/>
      </c>
      <c r="C26" s="26">
        <f>IF(B26="","",Employees!C26&amp;"")</f>
        <v/>
      </c>
      <c r="D26" s="27">
        <f>IF(B26="","",IF(Settings!$B$15=0,N(Employees!N26),INDEX(Ledger!$P$5:$P$1329,1113+Settings!$B$15)))</f>
        <v/>
      </c>
      <c r="E26" s="28">
        <f>IF(B26="","",D26/IF(N(Employees!F26)=0,Settings!$B$9,Employees!F26))</f>
        <v/>
      </c>
      <c r="F26" s="26">
        <f>IF(B26="","",SUMIFS(Ledger!$N$5:$N$1329,Ledger!$A$5:$A$1329,22,Ledger!$B$5:$B$1329,"&lt;="&amp;Settings!$B$15))</f>
        <v/>
      </c>
      <c r="G26" s="26">
        <f>IF(B26="","",SUMIFS(Ledger!$L$5:$L$1329,Ledger!$A$5:$A$1329,22,Ledger!$B$5:$B$1329,"&lt;="&amp;Settings!$B$15))</f>
        <v/>
      </c>
      <c r="H26" s="26">
        <f>IF(B26="","",SUMIFS(Ledger!$L$5:$L$1329,Ledger!$A$5:$A$1329,22,Ledger!$B$5:$B$1329,"&gt;"&amp;Settings!$B$15))</f>
        <v/>
      </c>
      <c r="I26" s="26">
        <f>IF(B26="","",IF(Settings!$B$16=0,N(Employees!N26),INDEX(Ledger!$P$5:$P$1329,1113+Settings!$B$16)))</f>
        <v/>
      </c>
      <c r="J26" s="26">
        <f>IF(B26="","",SUMIFS(Ledger!$O$5:$O$1329,Ledger!$A$5:$A$1329,22,Ledger!$B$5:$B$1329,"&lt;="&amp;Settings!$B$15))</f>
        <v/>
      </c>
      <c r="K26" s="26">
        <f>IF(B26="","",IF(Employees!M26="",MAX(I26,0),MIN(MAX(I26,0),Employees!M26)))</f>
        <v/>
      </c>
      <c r="L26" s="26">
        <f>IF(B26="","",MAX(I26,0)-K26)</f>
        <v/>
      </c>
      <c r="M26" s="26">
        <f>IF(B26="","",IF(Settings!$B$15=0,N(Employees!T26),INDEX(Ledger!$V$5:$V$1329,1113+Settings!$B$15)))</f>
        <v/>
      </c>
      <c r="N26" s="26">
        <f>IF(B26="","",SUMIFS(Ledger!$R$5:$R$1329,Ledger!$A$5:$A$1329,22,Ledger!$B$5:$B$1329,"&lt;="&amp;Settings!$B$15))</f>
        <v/>
      </c>
      <c r="O26" s="29">
        <f>IF(B26="","",MAX(D26,0)*N(Employees!G26))</f>
        <v/>
      </c>
      <c r="P26" s="26">
        <f>IF(B26="","",IF(D26&lt;0,"Negative balance",IF(I26&lt;0,"Over-booked for the year",IF(AND(Employees!L26&lt;&gt;"",D26&gt;=Employees!L26),"At cap: accrual paused",IF(AND(Employees!L26&lt;&gt;"",D26&gt;=Employees!L26-IF(N(Employees!F26)=0,Settings!$B$9,Employees!F26)),"Near cap",IF(L26&gt;0,"Will forfeit "&amp;TEXT(L26,"0.0")&amp;" h at year end","OK"))))))</f>
        <v/>
      </c>
    </row>
    <row r="27">
      <c r="A27" s="16" t="n">
        <v>23</v>
      </c>
      <c r="B27" s="26">
        <f>IF(Employees!B27="","",Employees!B27)</f>
        <v/>
      </c>
      <c r="C27" s="26">
        <f>IF(B27="","",Employees!C27&amp;"")</f>
        <v/>
      </c>
      <c r="D27" s="27">
        <f>IF(B27="","",IF(Settings!$B$15=0,N(Employees!N27),INDEX(Ledger!$P$5:$P$1329,1166+Settings!$B$15)))</f>
        <v/>
      </c>
      <c r="E27" s="28">
        <f>IF(B27="","",D27/IF(N(Employees!F27)=0,Settings!$B$9,Employees!F27))</f>
        <v/>
      </c>
      <c r="F27" s="26">
        <f>IF(B27="","",SUMIFS(Ledger!$N$5:$N$1329,Ledger!$A$5:$A$1329,23,Ledger!$B$5:$B$1329,"&lt;="&amp;Settings!$B$15))</f>
        <v/>
      </c>
      <c r="G27" s="26">
        <f>IF(B27="","",SUMIFS(Ledger!$L$5:$L$1329,Ledger!$A$5:$A$1329,23,Ledger!$B$5:$B$1329,"&lt;="&amp;Settings!$B$15))</f>
        <v/>
      </c>
      <c r="H27" s="26">
        <f>IF(B27="","",SUMIFS(Ledger!$L$5:$L$1329,Ledger!$A$5:$A$1329,23,Ledger!$B$5:$B$1329,"&gt;"&amp;Settings!$B$15))</f>
        <v/>
      </c>
      <c r="I27" s="26">
        <f>IF(B27="","",IF(Settings!$B$16=0,N(Employees!N27),INDEX(Ledger!$P$5:$P$1329,1166+Settings!$B$16)))</f>
        <v/>
      </c>
      <c r="J27" s="26">
        <f>IF(B27="","",SUMIFS(Ledger!$O$5:$O$1329,Ledger!$A$5:$A$1329,23,Ledger!$B$5:$B$1329,"&lt;="&amp;Settings!$B$15))</f>
        <v/>
      </c>
      <c r="K27" s="26">
        <f>IF(B27="","",IF(Employees!M27="",MAX(I27,0),MIN(MAX(I27,0),Employees!M27)))</f>
        <v/>
      </c>
      <c r="L27" s="26">
        <f>IF(B27="","",MAX(I27,0)-K27)</f>
        <v/>
      </c>
      <c r="M27" s="26">
        <f>IF(B27="","",IF(Settings!$B$15=0,N(Employees!T27),INDEX(Ledger!$V$5:$V$1329,1166+Settings!$B$15)))</f>
        <v/>
      </c>
      <c r="N27" s="26">
        <f>IF(B27="","",SUMIFS(Ledger!$R$5:$R$1329,Ledger!$A$5:$A$1329,23,Ledger!$B$5:$B$1329,"&lt;="&amp;Settings!$B$15))</f>
        <v/>
      </c>
      <c r="O27" s="29">
        <f>IF(B27="","",MAX(D27,0)*N(Employees!G27))</f>
        <v/>
      </c>
      <c r="P27" s="26">
        <f>IF(B27="","",IF(D27&lt;0,"Negative balance",IF(I27&lt;0,"Over-booked for the year",IF(AND(Employees!L27&lt;&gt;"",D27&gt;=Employees!L27),"At cap: accrual paused",IF(AND(Employees!L27&lt;&gt;"",D27&gt;=Employees!L27-IF(N(Employees!F27)=0,Settings!$B$9,Employees!F27)),"Near cap",IF(L27&gt;0,"Will forfeit "&amp;TEXT(L27,"0.0")&amp;" h at year end","OK"))))))</f>
        <v/>
      </c>
    </row>
    <row r="28">
      <c r="A28" s="16" t="n">
        <v>24</v>
      </c>
      <c r="B28" s="26">
        <f>IF(Employees!B28="","",Employees!B28)</f>
        <v/>
      </c>
      <c r="C28" s="26">
        <f>IF(B28="","",Employees!C28&amp;"")</f>
        <v/>
      </c>
      <c r="D28" s="27">
        <f>IF(B28="","",IF(Settings!$B$15=0,N(Employees!N28),INDEX(Ledger!$P$5:$P$1329,1219+Settings!$B$15)))</f>
        <v/>
      </c>
      <c r="E28" s="28">
        <f>IF(B28="","",D28/IF(N(Employees!F28)=0,Settings!$B$9,Employees!F28))</f>
        <v/>
      </c>
      <c r="F28" s="26">
        <f>IF(B28="","",SUMIFS(Ledger!$N$5:$N$1329,Ledger!$A$5:$A$1329,24,Ledger!$B$5:$B$1329,"&lt;="&amp;Settings!$B$15))</f>
        <v/>
      </c>
      <c r="G28" s="26">
        <f>IF(B28="","",SUMIFS(Ledger!$L$5:$L$1329,Ledger!$A$5:$A$1329,24,Ledger!$B$5:$B$1329,"&lt;="&amp;Settings!$B$15))</f>
        <v/>
      </c>
      <c r="H28" s="26">
        <f>IF(B28="","",SUMIFS(Ledger!$L$5:$L$1329,Ledger!$A$5:$A$1329,24,Ledger!$B$5:$B$1329,"&gt;"&amp;Settings!$B$15))</f>
        <v/>
      </c>
      <c r="I28" s="26">
        <f>IF(B28="","",IF(Settings!$B$16=0,N(Employees!N28),INDEX(Ledger!$P$5:$P$1329,1219+Settings!$B$16)))</f>
        <v/>
      </c>
      <c r="J28" s="26">
        <f>IF(B28="","",SUMIFS(Ledger!$O$5:$O$1329,Ledger!$A$5:$A$1329,24,Ledger!$B$5:$B$1329,"&lt;="&amp;Settings!$B$15))</f>
        <v/>
      </c>
      <c r="K28" s="26">
        <f>IF(B28="","",IF(Employees!M28="",MAX(I28,0),MIN(MAX(I28,0),Employees!M28)))</f>
        <v/>
      </c>
      <c r="L28" s="26">
        <f>IF(B28="","",MAX(I28,0)-K28)</f>
        <v/>
      </c>
      <c r="M28" s="26">
        <f>IF(B28="","",IF(Settings!$B$15=0,N(Employees!T28),INDEX(Ledger!$V$5:$V$1329,1219+Settings!$B$15)))</f>
        <v/>
      </c>
      <c r="N28" s="26">
        <f>IF(B28="","",SUMIFS(Ledger!$R$5:$R$1329,Ledger!$A$5:$A$1329,24,Ledger!$B$5:$B$1329,"&lt;="&amp;Settings!$B$15))</f>
        <v/>
      </c>
      <c r="O28" s="29">
        <f>IF(B28="","",MAX(D28,0)*N(Employees!G28))</f>
        <v/>
      </c>
      <c r="P28" s="26">
        <f>IF(B28="","",IF(D28&lt;0,"Negative balance",IF(I28&lt;0,"Over-booked for the year",IF(AND(Employees!L28&lt;&gt;"",D28&gt;=Employees!L28),"At cap: accrual paused",IF(AND(Employees!L28&lt;&gt;"",D28&gt;=Employees!L28-IF(N(Employees!F28)=0,Settings!$B$9,Employees!F28)),"Near cap",IF(L28&gt;0,"Will forfeit "&amp;TEXT(L28,"0.0")&amp;" h at year end","OK"))))))</f>
        <v/>
      </c>
    </row>
    <row r="29">
      <c r="A29" s="16" t="n">
        <v>25</v>
      </c>
      <c r="B29" s="26">
        <f>IF(Employees!B29="","",Employees!B29)</f>
        <v/>
      </c>
      <c r="C29" s="26">
        <f>IF(B29="","",Employees!C29&amp;"")</f>
        <v/>
      </c>
      <c r="D29" s="27">
        <f>IF(B29="","",IF(Settings!$B$15=0,N(Employees!N29),INDEX(Ledger!$P$5:$P$1329,1272+Settings!$B$15)))</f>
        <v/>
      </c>
      <c r="E29" s="28">
        <f>IF(B29="","",D29/IF(N(Employees!F29)=0,Settings!$B$9,Employees!F29))</f>
        <v/>
      </c>
      <c r="F29" s="26">
        <f>IF(B29="","",SUMIFS(Ledger!$N$5:$N$1329,Ledger!$A$5:$A$1329,25,Ledger!$B$5:$B$1329,"&lt;="&amp;Settings!$B$15))</f>
        <v/>
      </c>
      <c r="G29" s="26">
        <f>IF(B29="","",SUMIFS(Ledger!$L$5:$L$1329,Ledger!$A$5:$A$1329,25,Ledger!$B$5:$B$1329,"&lt;="&amp;Settings!$B$15))</f>
        <v/>
      </c>
      <c r="H29" s="26">
        <f>IF(B29="","",SUMIFS(Ledger!$L$5:$L$1329,Ledger!$A$5:$A$1329,25,Ledger!$B$5:$B$1329,"&gt;"&amp;Settings!$B$15))</f>
        <v/>
      </c>
      <c r="I29" s="26">
        <f>IF(B29="","",IF(Settings!$B$16=0,N(Employees!N29),INDEX(Ledger!$P$5:$P$1329,1272+Settings!$B$16)))</f>
        <v/>
      </c>
      <c r="J29" s="26">
        <f>IF(B29="","",SUMIFS(Ledger!$O$5:$O$1329,Ledger!$A$5:$A$1329,25,Ledger!$B$5:$B$1329,"&lt;="&amp;Settings!$B$15))</f>
        <v/>
      </c>
      <c r="K29" s="26">
        <f>IF(B29="","",IF(Employees!M29="",MAX(I29,0),MIN(MAX(I29,0),Employees!M29)))</f>
        <v/>
      </c>
      <c r="L29" s="26">
        <f>IF(B29="","",MAX(I29,0)-K29)</f>
        <v/>
      </c>
      <c r="M29" s="26">
        <f>IF(B29="","",IF(Settings!$B$15=0,N(Employees!T29),INDEX(Ledger!$V$5:$V$1329,1272+Settings!$B$15)))</f>
        <v/>
      </c>
      <c r="N29" s="26">
        <f>IF(B29="","",SUMIFS(Ledger!$R$5:$R$1329,Ledger!$A$5:$A$1329,25,Ledger!$B$5:$B$1329,"&lt;="&amp;Settings!$B$15))</f>
        <v/>
      </c>
      <c r="O29" s="29">
        <f>IF(B29="","",MAX(D29,0)*N(Employees!G29))</f>
        <v/>
      </c>
      <c r="P29" s="26">
        <f>IF(B29="","",IF(D29&lt;0,"Negative balance",IF(I29&lt;0,"Over-booked for the year",IF(AND(Employees!L29&lt;&gt;"",D29&gt;=Employees!L29),"At cap: accrual paused",IF(AND(Employees!L29&lt;&gt;"",D29&gt;=Employees!L29-IF(N(Employees!F29)=0,Settings!$B$9,Employees!F29)),"Near cap",IF(L29&gt;0,"Will forfeit "&amp;TEXT(L29,"0.0")&amp;" h at year end","OK"))))))</f>
        <v/>
      </c>
    </row>
    <row r="31">
      <c r="B31" s="30" t="inlineStr">
        <is>
          <t>Team totals</t>
        </is>
      </c>
      <c r="D31" s="31">
        <f>SUM(D5:D29)</f>
        <v/>
      </c>
      <c r="F31" s="31">
        <f>SUM(F5:F29)</f>
        <v/>
      </c>
      <c r="G31" s="31">
        <f>SUM(G5:G29)</f>
        <v/>
      </c>
      <c r="H31" s="31">
        <f>SUM(H5:H29)</f>
        <v/>
      </c>
      <c r="I31" s="31">
        <f>SUM(I5:I29)</f>
        <v/>
      </c>
      <c r="J31" s="31">
        <f>SUM(J5:J29)</f>
        <v/>
      </c>
      <c r="K31" s="31">
        <f>SUM(K5:K29)</f>
        <v/>
      </c>
      <c r="L31" s="31">
        <f>SUM(L5:L29)</f>
        <v/>
      </c>
      <c r="M31" s="31">
        <f>SUM(M5:M29)</f>
        <v/>
      </c>
      <c r="N31" s="31">
        <f>SUM(N5:N29)</f>
        <v/>
      </c>
      <c r="O31" s="32">
        <f>SUM(O5:O29)</f>
        <v/>
      </c>
    </row>
  </sheetData>
  <sheetProtection selectLockedCells="0" selectUnlockedCells="0" sheet="1" objects="0" insertRows="1" insertHyperlinks="1" autoFilter="0" scenarios="0" formatColumns="0" deleteColumns="1" insertColumns="1" pivotTables="1" deleteRows="1" formatCells="1" formatRows="1" sort="0"/>
  <conditionalFormatting sqref="P5:P29">
    <cfRule type="expression" priority="1" dxfId="3">
      <formula>OR(LEFT($P5,3)="Neg",LEFT($P5,4)="Over")</formula>
    </cfRule>
    <cfRule type="expression" priority="2" dxfId="4">
      <formula>OR(LEFT($P5,6)="At cap",LEFT($P5,4)="Near",LEFT($P5,4)="Will")</formula>
    </cfRule>
    <cfRule type="expression" priority="3" dxfId="5">
      <formula>$P5="OK"</formula>
    </cfRule>
  </conditionalFormatting>
  <conditionalFormatting sqref="J5:J29">
    <cfRule type="cellIs" priority="4" operator="greaterThan" dxfId="6">
      <formula>0</formula>
    </cfRule>
  </conditionalFormatting>
  <printOptions horizontalCentered="1"/>
  <pageMargins left="0.4" right="0.4" top="0.5" bottom="0.5" header="0.5" footer="0.5"/>
  <pageSetup orientation="landscape" paperSize="1" fitToHeight="1" fitToWidth="1"/>
</worksheet>
</file>

<file path=xl/worksheets/sheet7.xml><?xml version="1.0" encoding="utf-8"?>
<worksheet xmlns="http://schemas.openxmlformats.org/spreadsheetml/2006/main">
  <sheetPr>
    <outlinePr summaryBelow="1" summaryRight="1"/>
    <pageSetUpPr fitToPage="1"/>
  </sheetPr>
  <dimension ref="A1:B21"/>
  <sheetViews>
    <sheetView showGridLines="0" workbookViewId="0">
      <selection activeCell="A1" sqref="A1"/>
    </sheetView>
  </sheetViews>
  <sheetFormatPr baseColWidth="8" defaultRowHeight="15"/>
  <cols>
    <col width="46" customWidth="1" min="1" max="1"/>
    <col width="52" customWidth="1" min="2" max="2"/>
  </cols>
  <sheetData>
    <row r="1">
      <c r="A1" s="1" t="inlineStr">
        <is>
          <t>Can they take it?  Time-off request checker</t>
        </is>
      </c>
    </row>
    <row r="2">
      <c r="A2" s="2" t="inlineStr">
        <is>
          <t>Enter the request as 'Pending' in the log (or not at all) while you check it. Approved leave already in the log is included.</t>
        </is>
      </c>
    </row>
    <row r="3" ht="32" customHeight="1">
      <c r="A3" s="8" t="inlineStr">
        <is>
          <t>Request</t>
        </is>
      </c>
      <c r="B3" s="8" t="inlineStr">
        <is>
          <t>Value</t>
        </is>
      </c>
    </row>
    <row r="4">
      <c r="A4" s="9" t="inlineStr">
        <is>
          <t>Employee</t>
        </is>
      </c>
      <c r="B4" s="10" t="inlineStr">
        <is>
          <t>Daniel Ortiz</t>
        </is>
      </c>
    </row>
    <row r="5">
      <c r="A5" s="9" t="inlineStr">
        <is>
          <t>First day off</t>
        </is>
      </c>
      <c r="B5" s="12" t="n">
        <v>46349</v>
      </c>
    </row>
    <row r="6">
      <c r="A6" s="9" t="inlineStr">
        <is>
          <t>Last day off (blank = one day)</t>
        </is>
      </c>
      <c r="B6" s="12" t="n">
        <v>46351</v>
      </c>
    </row>
    <row r="7">
      <c r="A7" s="9" t="inlineStr">
        <is>
          <t>Hours override (optional)</t>
        </is>
      </c>
      <c r="B7" s="10" t="n"/>
    </row>
    <row r="9">
      <c r="A9" s="14" t="inlineStr">
        <is>
          <t>Result</t>
        </is>
      </c>
    </row>
    <row r="10">
      <c r="A10" s="9" t="inlineStr">
        <is>
          <t>Employee row #</t>
        </is>
      </c>
      <c r="B10" s="16">
        <f>IFERROR(MATCH(B4,Employees!$B$5:$B$29,0),0)</f>
        <v/>
      </c>
    </row>
    <row r="11">
      <c r="A11" s="9" t="inlineStr">
        <is>
          <t>Workdays requested (skips weekends &amp; holidays)</t>
        </is>
      </c>
      <c r="B11" s="16">
        <f>IF(OR(B5="",$B$10=0),"",NETWORKDAYS(B5,IF(B6="",B5,B6),Holidays!$A$5:$A$40))</f>
        <v/>
      </c>
    </row>
    <row r="12">
      <c r="A12" s="9" t="inlineStr">
        <is>
          <t>Hours requested</t>
        </is>
      </c>
      <c r="B12" s="26">
        <f>IF(B11="","",IF(B7&lt;&gt;"",B7,B11*IF(N(INDEX(Employees!$F$5:$F$29,$B$10))=0,Settings!$B$9,INDEX(Employees!$F$5:$F$29,$B$10))))</f>
        <v/>
      </c>
    </row>
    <row r="13">
      <c r="A13" s="9" t="inlineStr">
        <is>
          <t>Pay period that contains the first day</t>
        </is>
      </c>
      <c r="B13" s="16">
        <f>IF(B11="","",IF(OR(B5&lt;Settings!$B$5,B5&gt;Settings!$B$12),"outside plan year",COUNTIFS(Periods!$F$5:$F$57,"&lt;"&amp;B5,Periods!$D$5:$D$57,1)+1))</f>
        <v/>
      </c>
    </row>
    <row r="14">
      <c r="A14" s="9" t="inlineStr">
        <is>
          <t>PTO balance going into that period</t>
        </is>
      </c>
      <c r="B14" s="26">
        <f>IF(OR(B11="",NOT(ISNUMBER($B$13))),"",IF($B$13=1,N(INDEX(Employees!$N$5:$N$29,$B$10)),INDEX(Ledger!$P$5:$P$1329,($B$10-1)*53+$B$13-1)))</f>
        <v/>
      </c>
    </row>
    <row r="15">
      <c r="A15" s="9" t="inlineStr">
        <is>
          <t>Lowest projected balance from then to year end</t>
        </is>
      </c>
      <c r="B15" s="26">
        <f>IF(OR(B11="",NOT(ISNUMBER($B$13))),"",MIN(INDEX(Ledger!$P$5:$P$1329,($B$10-1)*53+$B$13):INDEX(Ledger!$P$5:$P$1329,($B$10-1)*53+Settings!$B$16)))</f>
        <v/>
      </c>
    </row>
    <row r="16">
      <c r="A16" s="9" t="inlineStr">
        <is>
          <t>Lowest balance if this request is approved</t>
        </is>
      </c>
      <c r="B16" s="26">
        <f>IF(B15="","",B15-B12)</f>
        <v/>
      </c>
    </row>
    <row r="18">
      <c r="A18" s="33" t="inlineStr">
        <is>
          <t>Verdict</t>
        </is>
      </c>
      <c r="B18" s="34">
        <f>IF(B4="","Pick an employee",IF($B$10=0,"Name not found on Employees",IF(B5="","Enter the first day off",IF(NOT(ISNUMBER($B$13)),"Dates are outside the plan year",IF(B16&gt;=0,"YES: enough PTO. Lowest balance stays at "&amp;TEXT(B16,"0.0")&amp;" h","NO: short by "&amp;TEXT(-B16,"0.0")&amp;" h")))))</f>
        <v/>
      </c>
    </row>
    <row r="20" ht="18" customHeight="1">
      <c r="A20" s="13" t="inlineStr">
        <is>
          <t>Why 'lowest balance'? Approving leave now can push a LATER booking below zero. The checker looks at every remaining pay period, so already-approved future leave is taken into account.</t>
        </is>
      </c>
    </row>
    <row r="21" ht="18" customHeight="1"/>
  </sheetData>
  <mergeCells count="1">
    <mergeCell ref="A20:B21"/>
  </mergeCells>
  <conditionalFormatting sqref="B18">
    <cfRule type="expression" priority="1" dxfId="7">
      <formula>LEFT($B$18,3)="YES"</formula>
    </cfRule>
    <cfRule type="expression" priority="2" dxfId="8">
      <formula>LEFT($B$18,2)="NO"</formula>
    </cfRule>
  </conditionalFormatting>
  <dataValidations count="1">
    <dataValidation sqref="B4" showDropDown="0" showInputMessage="0" showErrorMessage="0" allowBlank="1" type="list">
      <formula1>=Employees!$B$5:$B$29</formula1>
    </dataValidation>
  </dataValidations>
  <printOptions horizontalCentered="1"/>
  <pageMargins left="0.4" right="0.4" top="0.5" bottom="0.5" header="0.5" footer="0.5"/>
  <pageSetup orientation="landscape" paperSize="1" fitToHeight="1" fitToWidth="1"/>
</worksheet>
</file>

<file path=xl/worksheets/sheet8.xml><?xml version="1.0" encoding="utf-8"?>
<worksheet xmlns="http://schemas.openxmlformats.org/spreadsheetml/2006/main">
  <sheetPr>
    <outlinePr summaryBelow="1" summaryRight="1"/>
    <pageSetUpPr fitToPage="1"/>
  </sheetPr>
  <dimension ref="A1:AH33"/>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4" customWidth="1" min="1" max="1"/>
    <col width="18" customWidth="1" min="2" max="2"/>
    <col width="3.6" customWidth="1" min="3" max="3"/>
    <col width="3.6" customWidth="1" min="4" max="4"/>
    <col width="3.6" customWidth="1" min="5" max="5"/>
    <col width="3.6" customWidth="1" min="6" max="6"/>
    <col width="3.6" customWidth="1" min="7" max="7"/>
    <col width="3.6" customWidth="1" min="8" max="8"/>
    <col width="3.6" customWidth="1" min="9" max="9"/>
    <col width="3.6" customWidth="1" min="10" max="10"/>
    <col width="3.6" customWidth="1" min="11" max="11"/>
    <col width="3.6" customWidth="1" min="12" max="12"/>
    <col width="3.6" customWidth="1" min="13" max="13"/>
    <col width="3.6" customWidth="1" min="14" max="14"/>
    <col width="3.6" customWidth="1" min="15" max="15"/>
    <col width="3.6" customWidth="1" min="16" max="16"/>
    <col width="3.6" customWidth="1" min="17" max="17"/>
    <col width="3.6" customWidth="1" min="18" max="18"/>
    <col width="3.6" customWidth="1" min="19" max="19"/>
    <col width="3.6" customWidth="1" min="20" max="20"/>
    <col width="3.6" customWidth="1" min="21" max="21"/>
    <col width="3.6" customWidth="1" min="22" max="22"/>
    <col width="3.6" customWidth="1" min="23" max="23"/>
    <col width="3.6" customWidth="1" min="24" max="24"/>
    <col width="3.6" customWidth="1" min="25" max="25"/>
    <col width="3.6" customWidth="1" min="26" max="26"/>
    <col width="3.6" customWidth="1" min="27" max="27"/>
    <col width="3.6" customWidth="1" min="28" max="28"/>
    <col width="3.6" customWidth="1" min="29" max="29"/>
    <col width="3.6" customWidth="1" min="30" max="30"/>
    <col width="3.6" customWidth="1" min="31" max="31"/>
    <col width="3.6" customWidth="1" min="32" max="32"/>
    <col width="3.6" customWidth="1" min="33" max="33"/>
  </cols>
  <sheetData>
    <row r="1">
      <c r="A1" s="1" t="inlineStr">
        <is>
          <t>Team calendar: who's out</t>
        </is>
      </c>
    </row>
    <row r="2">
      <c r="A2" s="2" t="inlineStr">
        <is>
          <t>P = PTO · S = Sick · U = Unpaid/Other · ? = Pending   (weekends and holidays shaded)</t>
        </is>
      </c>
    </row>
    <row r="3">
      <c r="B3" s="35" t="inlineStr">
        <is>
          <t>Show month →</t>
        </is>
      </c>
      <c r="C3" s="36">
        <f>DATE(YEAR(Settings!$B$8),MONTH(Settings!$B$8),1)</f>
        <v/>
      </c>
      <c r="D3" s="37" t="n"/>
      <c r="E3" s="37" t="n"/>
      <c r="F3" s="37" t="n"/>
      <c r="G3" s="37" t="n"/>
      <c r="H3" s="37" t="n"/>
      <c r="I3" s="37" t="n"/>
      <c r="J3" s="38" t="n"/>
      <c r="K3" s="2" t="inlineStr">
        <is>
          <t>Type any date to view another month. Red 'On duty' = below your minimum (Settings).</t>
        </is>
      </c>
      <c r="AH3" s="39">
        <f>DATE(YEAR(C3),MONTH(C3),1)</f>
        <v/>
      </c>
    </row>
    <row r="4">
      <c r="A4" s="40" t="n"/>
      <c r="B4" s="41" t="inlineStr">
        <is>
          <t>Day</t>
        </is>
      </c>
      <c r="C4" s="42">
        <f>IF(C5="","",MID("MTWTFSS",WEEKDAY(C5,2),1))</f>
        <v/>
      </c>
      <c r="D4" s="42">
        <f>IF(D5="","",MID("MTWTFSS",WEEKDAY(D5,2),1))</f>
        <v/>
      </c>
      <c r="E4" s="42">
        <f>IF(E5="","",MID("MTWTFSS",WEEKDAY(E5,2),1))</f>
        <v/>
      </c>
      <c r="F4" s="42">
        <f>IF(F5="","",MID("MTWTFSS",WEEKDAY(F5,2),1))</f>
        <v/>
      </c>
      <c r="G4" s="42">
        <f>IF(G5="","",MID("MTWTFSS",WEEKDAY(G5,2),1))</f>
        <v/>
      </c>
      <c r="H4" s="42">
        <f>IF(H5="","",MID("MTWTFSS",WEEKDAY(H5,2),1))</f>
        <v/>
      </c>
      <c r="I4" s="42">
        <f>IF(I5="","",MID("MTWTFSS",WEEKDAY(I5,2),1))</f>
        <v/>
      </c>
      <c r="J4" s="42">
        <f>IF(J5="","",MID("MTWTFSS",WEEKDAY(J5,2),1))</f>
        <v/>
      </c>
      <c r="K4" s="42">
        <f>IF(K5="","",MID("MTWTFSS",WEEKDAY(K5,2),1))</f>
        <v/>
      </c>
      <c r="L4" s="42">
        <f>IF(L5="","",MID("MTWTFSS",WEEKDAY(L5,2),1))</f>
        <v/>
      </c>
      <c r="M4" s="42">
        <f>IF(M5="","",MID("MTWTFSS",WEEKDAY(M5,2),1))</f>
        <v/>
      </c>
      <c r="N4" s="42">
        <f>IF(N5="","",MID("MTWTFSS",WEEKDAY(N5,2),1))</f>
        <v/>
      </c>
      <c r="O4" s="42">
        <f>IF(O5="","",MID("MTWTFSS",WEEKDAY(O5,2),1))</f>
        <v/>
      </c>
      <c r="P4" s="42">
        <f>IF(P5="","",MID("MTWTFSS",WEEKDAY(P5,2),1))</f>
        <v/>
      </c>
      <c r="Q4" s="42">
        <f>IF(Q5="","",MID("MTWTFSS",WEEKDAY(Q5,2),1))</f>
        <v/>
      </c>
      <c r="R4" s="42">
        <f>IF(R5="","",MID("MTWTFSS",WEEKDAY(R5,2),1))</f>
        <v/>
      </c>
      <c r="S4" s="42">
        <f>IF(S5="","",MID("MTWTFSS",WEEKDAY(S5,2),1))</f>
        <v/>
      </c>
      <c r="T4" s="42">
        <f>IF(T5="","",MID("MTWTFSS",WEEKDAY(T5,2),1))</f>
        <v/>
      </c>
      <c r="U4" s="42">
        <f>IF(U5="","",MID("MTWTFSS",WEEKDAY(U5,2),1))</f>
        <v/>
      </c>
      <c r="V4" s="42">
        <f>IF(V5="","",MID("MTWTFSS",WEEKDAY(V5,2),1))</f>
        <v/>
      </c>
      <c r="W4" s="42">
        <f>IF(W5="","",MID("MTWTFSS",WEEKDAY(W5,2),1))</f>
        <v/>
      </c>
      <c r="X4" s="42">
        <f>IF(X5="","",MID("MTWTFSS",WEEKDAY(X5,2),1))</f>
        <v/>
      </c>
      <c r="Y4" s="42">
        <f>IF(Y5="","",MID("MTWTFSS",WEEKDAY(Y5,2),1))</f>
        <v/>
      </c>
      <c r="Z4" s="42">
        <f>IF(Z5="","",MID("MTWTFSS",WEEKDAY(Z5,2),1))</f>
        <v/>
      </c>
      <c r="AA4" s="42">
        <f>IF(AA5="","",MID("MTWTFSS",WEEKDAY(AA5,2),1))</f>
        <v/>
      </c>
      <c r="AB4" s="42">
        <f>IF(AB5="","",MID("MTWTFSS",WEEKDAY(AB5,2),1))</f>
        <v/>
      </c>
      <c r="AC4" s="42">
        <f>IF(AC5="","",MID("MTWTFSS",WEEKDAY(AC5,2),1))</f>
        <v/>
      </c>
      <c r="AD4" s="42">
        <f>IF(AD5="","",MID("MTWTFSS",WEEKDAY(AD5,2),1))</f>
        <v/>
      </c>
      <c r="AE4" s="42">
        <f>IF(AE5="","",MID("MTWTFSS",WEEKDAY(AE5,2),1))</f>
        <v/>
      </c>
      <c r="AF4" s="42">
        <f>IF(AF5="","",MID("MTWTFSS",WEEKDAY(AF5,2),1))</f>
        <v/>
      </c>
      <c r="AG4" s="42">
        <f>IF(AG5="","",MID("MTWTFSS",WEEKDAY(AG5,2),1))</f>
        <v/>
      </c>
    </row>
    <row r="5">
      <c r="A5" s="40" t="n"/>
      <c r="B5" s="41" t="inlineStr">
        <is>
          <t>Employee</t>
        </is>
      </c>
      <c r="C5" s="43">
        <f>IF(MONTH($AH$3+0)=MONTH($AH$3),$AH$3+0,"")</f>
        <v/>
      </c>
      <c r="D5" s="43">
        <f>IF(MONTH($AH$3+1)=MONTH($AH$3),$AH$3+1,"")</f>
        <v/>
      </c>
      <c r="E5" s="43">
        <f>IF(MONTH($AH$3+2)=MONTH($AH$3),$AH$3+2,"")</f>
        <v/>
      </c>
      <c r="F5" s="43">
        <f>IF(MONTH($AH$3+3)=MONTH($AH$3),$AH$3+3,"")</f>
        <v/>
      </c>
      <c r="G5" s="43">
        <f>IF(MONTH($AH$3+4)=MONTH($AH$3),$AH$3+4,"")</f>
        <v/>
      </c>
      <c r="H5" s="43">
        <f>IF(MONTH($AH$3+5)=MONTH($AH$3),$AH$3+5,"")</f>
        <v/>
      </c>
      <c r="I5" s="43">
        <f>IF(MONTH($AH$3+6)=MONTH($AH$3),$AH$3+6,"")</f>
        <v/>
      </c>
      <c r="J5" s="43">
        <f>IF(MONTH($AH$3+7)=MONTH($AH$3),$AH$3+7,"")</f>
        <v/>
      </c>
      <c r="K5" s="43">
        <f>IF(MONTH($AH$3+8)=MONTH($AH$3),$AH$3+8,"")</f>
        <v/>
      </c>
      <c r="L5" s="43">
        <f>IF(MONTH($AH$3+9)=MONTH($AH$3),$AH$3+9,"")</f>
        <v/>
      </c>
      <c r="M5" s="43">
        <f>IF(MONTH($AH$3+10)=MONTH($AH$3),$AH$3+10,"")</f>
        <v/>
      </c>
      <c r="N5" s="43">
        <f>IF(MONTH($AH$3+11)=MONTH($AH$3),$AH$3+11,"")</f>
        <v/>
      </c>
      <c r="O5" s="43">
        <f>IF(MONTH($AH$3+12)=MONTH($AH$3),$AH$3+12,"")</f>
        <v/>
      </c>
      <c r="P5" s="43">
        <f>IF(MONTH($AH$3+13)=MONTH($AH$3),$AH$3+13,"")</f>
        <v/>
      </c>
      <c r="Q5" s="43">
        <f>IF(MONTH($AH$3+14)=MONTH($AH$3),$AH$3+14,"")</f>
        <v/>
      </c>
      <c r="R5" s="43">
        <f>IF(MONTH($AH$3+15)=MONTH($AH$3),$AH$3+15,"")</f>
        <v/>
      </c>
      <c r="S5" s="43">
        <f>IF(MONTH($AH$3+16)=MONTH($AH$3),$AH$3+16,"")</f>
        <v/>
      </c>
      <c r="T5" s="43">
        <f>IF(MONTH($AH$3+17)=MONTH($AH$3),$AH$3+17,"")</f>
        <v/>
      </c>
      <c r="U5" s="43">
        <f>IF(MONTH($AH$3+18)=MONTH($AH$3),$AH$3+18,"")</f>
        <v/>
      </c>
      <c r="V5" s="43">
        <f>IF(MONTH($AH$3+19)=MONTH($AH$3),$AH$3+19,"")</f>
        <v/>
      </c>
      <c r="W5" s="43">
        <f>IF(MONTH($AH$3+20)=MONTH($AH$3),$AH$3+20,"")</f>
        <v/>
      </c>
      <c r="X5" s="43">
        <f>IF(MONTH($AH$3+21)=MONTH($AH$3),$AH$3+21,"")</f>
        <v/>
      </c>
      <c r="Y5" s="43">
        <f>IF(MONTH($AH$3+22)=MONTH($AH$3),$AH$3+22,"")</f>
        <v/>
      </c>
      <c r="Z5" s="43">
        <f>IF(MONTH($AH$3+23)=MONTH($AH$3),$AH$3+23,"")</f>
        <v/>
      </c>
      <c r="AA5" s="43">
        <f>IF(MONTH($AH$3+24)=MONTH($AH$3),$AH$3+24,"")</f>
        <v/>
      </c>
      <c r="AB5" s="43">
        <f>IF(MONTH($AH$3+25)=MONTH($AH$3),$AH$3+25,"")</f>
        <v/>
      </c>
      <c r="AC5" s="43">
        <f>IF(MONTH($AH$3+26)=MONTH($AH$3),$AH$3+26,"")</f>
        <v/>
      </c>
      <c r="AD5" s="43">
        <f>IF(MONTH($AH$3+27)=MONTH($AH$3),$AH$3+27,"")</f>
        <v/>
      </c>
      <c r="AE5" s="43">
        <f>IF(MONTH($AH$3+28)=MONTH($AH$3),$AH$3+28,"")</f>
        <v/>
      </c>
      <c r="AF5" s="43">
        <f>IF(MONTH($AH$3+29)=MONTH($AH$3),$AH$3+29,"")</f>
        <v/>
      </c>
      <c r="AG5" s="43">
        <f>IF(MONTH($AH$3+30)=MONTH($AH$3),$AH$3+30,"")</f>
        <v/>
      </c>
    </row>
    <row r="6">
      <c r="A6" s="24" t="n">
        <v>1</v>
      </c>
      <c r="B6" s="24">
        <f>IF(Employees!B5="","",Employees!B5)</f>
        <v/>
      </c>
      <c r="C6" s="44">
        <f>IF(OR(C$5="",$B6=""),"",IF(OR(WEEKDAY(C$5,2)&gt;5,COUNTIF(Holidays!$A$5:$A$40,C$5)&gt;0),"",IF(COUNTIFS('Time Off Log'!$A$5:$A$504,$B6,'Time Off Log'!$C$5:$C$504,"&lt;="&amp;C$5,'Time Off Log'!$J$5:$J$504,"&gt;="&amp;C$5,'Time Off Log'!$B$5:$B$504,"PTO",'Time Off Log'!$E$5:$E$504,"Approved")&gt;0,"P",IF(COUNTIFS('Time Off Log'!$A$5:$A$504,$B6,'Time Off Log'!$C$5:$C$504,"&lt;="&amp;C$5,'Time Off Log'!$J$5:$J$504,"&gt;="&amp;C$5,'Time Off Log'!$B$5:$B$504,"Sick",'Time Off Log'!$E$5:$E$504,"Approved")&gt;0,"S",IF(COUNTIFS('Time Off Log'!$A$5:$A$504,$B6,'Time Off Log'!$C$5:$C$504,"&lt;="&amp;C$5,'Time Off Log'!$J$5:$J$504,"&gt;="&amp;C$5,'Time Off Log'!$E$5:$E$504,"Approved")&gt;0,"U",IF(COUNTIFS('Time Off Log'!$A$5:$A$504,$B6,'Time Off Log'!$C$5:$C$504,"&lt;="&amp;C$5,'Time Off Log'!$J$5:$J$504,"&gt;="&amp;C$5,'Time Off Log'!$E$5:$E$504,"Pending")&gt;0,"?",""))))))</f>
        <v/>
      </c>
      <c r="D6" s="44">
        <f>IF(OR(D$5="",$B6=""),"",IF(OR(WEEKDAY(D$5,2)&gt;5,COUNTIF(Holidays!$A$5:$A$40,D$5)&gt;0),"",IF(COUNTIFS('Time Off Log'!$A$5:$A$504,$B6,'Time Off Log'!$C$5:$C$504,"&lt;="&amp;D$5,'Time Off Log'!$J$5:$J$504,"&gt;="&amp;D$5,'Time Off Log'!$B$5:$B$504,"PTO",'Time Off Log'!$E$5:$E$504,"Approved")&gt;0,"P",IF(COUNTIFS('Time Off Log'!$A$5:$A$504,$B6,'Time Off Log'!$C$5:$C$504,"&lt;="&amp;D$5,'Time Off Log'!$J$5:$J$504,"&gt;="&amp;D$5,'Time Off Log'!$B$5:$B$504,"Sick",'Time Off Log'!$E$5:$E$504,"Approved")&gt;0,"S",IF(COUNTIFS('Time Off Log'!$A$5:$A$504,$B6,'Time Off Log'!$C$5:$C$504,"&lt;="&amp;D$5,'Time Off Log'!$J$5:$J$504,"&gt;="&amp;D$5,'Time Off Log'!$E$5:$E$504,"Approved")&gt;0,"U",IF(COUNTIFS('Time Off Log'!$A$5:$A$504,$B6,'Time Off Log'!$C$5:$C$504,"&lt;="&amp;D$5,'Time Off Log'!$J$5:$J$504,"&gt;="&amp;D$5,'Time Off Log'!$E$5:$E$504,"Pending")&gt;0,"?",""))))))</f>
        <v/>
      </c>
      <c r="E6" s="44">
        <f>IF(OR(E$5="",$B6=""),"",IF(OR(WEEKDAY(E$5,2)&gt;5,COUNTIF(Holidays!$A$5:$A$40,E$5)&gt;0),"",IF(COUNTIFS('Time Off Log'!$A$5:$A$504,$B6,'Time Off Log'!$C$5:$C$504,"&lt;="&amp;E$5,'Time Off Log'!$J$5:$J$504,"&gt;="&amp;E$5,'Time Off Log'!$B$5:$B$504,"PTO",'Time Off Log'!$E$5:$E$504,"Approved")&gt;0,"P",IF(COUNTIFS('Time Off Log'!$A$5:$A$504,$B6,'Time Off Log'!$C$5:$C$504,"&lt;="&amp;E$5,'Time Off Log'!$J$5:$J$504,"&gt;="&amp;E$5,'Time Off Log'!$B$5:$B$504,"Sick",'Time Off Log'!$E$5:$E$504,"Approved")&gt;0,"S",IF(COUNTIFS('Time Off Log'!$A$5:$A$504,$B6,'Time Off Log'!$C$5:$C$504,"&lt;="&amp;E$5,'Time Off Log'!$J$5:$J$504,"&gt;="&amp;E$5,'Time Off Log'!$E$5:$E$504,"Approved")&gt;0,"U",IF(COUNTIFS('Time Off Log'!$A$5:$A$504,$B6,'Time Off Log'!$C$5:$C$504,"&lt;="&amp;E$5,'Time Off Log'!$J$5:$J$504,"&gt;="&amp;E$5,'Time Off Log'!$E$5:$E$504,"Pending")&gt;0,"?",""))))))</f>
        <v/>
      </c>
      <c r="F6" s="44">
        <f>IF(OR(F$5="",$B6=""),"",IF(OR(WEEKDAY(F$5,2)&gt;5,COUNTIF(Holidays!$A$5:$A$40,F$5)&gt;0),"",IF(COUNTIFS('Time Off Log'!$A$5:$A$504,$B6,'Time Off Log'!$C$5:$C$504,"&lt;="&amp;F$5,'Time Off Log'!$J$5:$J$504,"&gt;="&amp;F$5,'Time Off Log'!$B$5:$B$504,"PTO",'Time Off Log'!$E$5:$E$504,"Approved")&gt;0,"P",IF(COUNTIFS('Time Off Log'!$A$5:$A$504,$B6,'Time Off Log'!$C$5:$C$504,"&lt;="&amp;F$5,'Time Off Log'!$J$5:$J$504,"&gt;="&amp;F$5,'Time Off Log'!$B$5:$B$504,"Sick",'Time Off Log'!$E$5:$E$504,"Approved")&gt;0,"S",IF(COUNTIFS('Time Off Log'!$A$5:$A$504,$B6,'Time Off Log'!$C$5:$C$504,"&lt;="&amp;F$5,'Time Off Log'!$J$5:$J$504,"&gt;="&amp;F$5,'Time Off Log'!$E$5:$E$504,"Approved")&gt;0,"U",IF(COUNTIFS('Time Off Log'!$A$5:$A$504,$B6,'Time Off Log'!$C$5:$C$504,"&lt;="&amp;F$5,'Time Off Log'!$J$5:$J$504,"&gt;="&amp;F$5,'Time Off Log'!$E$5:$E$504,"Pending")&gt;0,"?",""))))))</f>
        <v/>
      </c>
      <c r="G6" s="44">
        <f>IF(OR(G$5="",$B6=""),"",IF(OR(WEEKDAY(G$5,2)&gt;5,COUNTIF(Holidays!$A$5:$A$40,G$5)&gt;0),"",IF(COUNTIFS('Time Off Log'!$A$5:$A$504,$B6,'Time Off Log'!$C$5:$C$504,"&lt;="&amp;G$5,'Time Off Log'!$J$5:$J$504,"&gt;="&amp;G$5,'Time Off Log'!$B$5:$B$504,"PTO",'Time Off Log'!$E$5:$E$504,"Approved")&gt;0,"P",IF(COUNTIFS('Time Off Log'!$A$5:$A$504,$B6,'Time Off Log'!$C$5:$C$504,"&lt;="&amp;G$5,'Time Off Log'!$J$5:$J$504,"&gt;="&amp;G$5,'Time Off Log'!$B$5:$B$504,"Sick",'Time Off Log'!$E$5:$E$504,"Approved")&gt;0,"S",IF(COUNTIFS('Time Off Log'!$A$5:$A$504,$B6,'Time Off Log'!$C$5:$C$504,"&lt;="&amp;G$5,'Time Off Log'!$J$5:$J$504,"&gt;="&amp;G$5,'Time Off Log'!$E$5:$E$504,"Approved")&gt;0,"U",IF(COUNTIFS('Time Off Log'!$A$5:$A$504,$B6,'Time Off Log'!$C$5:$C$504,"&lt;="&amp;G$5,'Time Off Log'!$J$5:$J$504,"&gt;="&amp;G$5,'Time Off Log'!$E$5:$E$504,"Pending")&gt;0,"?",""))))))</f>
        <v/>
      </c>
      <c r="H6" s="44">
        <f>IF(OR(H$5="",$B6=""),"",IF(OR(WEEKDAY(H$5,2)&gt;5,COUNTIF(Holidays!$A$5:$A$40,H$5)&gt;0),"",IF(COUNTIFS('Time Off Log'!$A$5:$A$504,$B6,'Time Off Log'!$C$5:$C$504,"&lt;="&amp;H$5,'Time Off Log'!$J$5:$J$504,"&gt;="&amp;H$5,'Time Off Log'!$B$5:$B$504,"PTO",'Time Off Log'!$E$5:$E$504,"Approved")&gt;0,"P",IF(COUNTIFS('Time Off Log'!$A$5:$A$504,$B6,'Time Off Log'!$C$5:$C$504,"&lt;="&amp;H$5,'Time Off Log'!$J$5:$J$504,"&gt;="&amp;H$5,'Time Off Log'!$B$5:$B$504,"Sick",'Time Off Log'!$E$5:$E$504,"Approved")&gt;0,"S",IF(COUNTIFS('Time Off Log'!$A$5:$A$504,$B6,'Time Off Log'!$C$5:$C$504,"&lt;="&amp;H$5,'Time Off Log'!$J$5:$J$504,"&gt;="&amp;H$5,'Time Off Log'!$E$5:$E$504,"Approved")&gt;0,"U",IF(COUNTIFS('Time Off Log'!$A$5:$A$504,$B6,'Time Off Log'!$C$5:$C$504,"&lt;="&amp;H$5,'Time Off Log'!$J$5:$J$504,"&gt;="&amp;H$5,'Time Off Log'!$E$5:$E$504,"Pending")&gt;0,"?",""))))))</f>
        <v/>
      </c>
      <c r="I6" s="44">
        <f>IF(OR(I$5="",$B6=""),"",IF(OR(WEEKDAY(I$5,2)&gt;5,COUNTIF(Holidays!$A$5:$A$40,I$5)&gt;0),"",IF(COUNTIFS('Time Off Log'!$A$5:$A$504,$B6,'Time Off Log'!$C$5:$C$504,"&lt;="&amp;I$5,'Time Off Log'!$J$5:$J$504,"&gt;="&amp;I$5,'Time Off Log'!$B$5:$B$504,"PTO",'Time Off Log'!$E$5:$E$504,"Approved")&gt;0,"P",IF(COUNTIFS('Time Off Log'!$A$5:$A$504,$B6,'Time Off Log'!$C$5:$C$504,"&lt;="&amp;I$5,'Time Off Log'!$J$5:$J$504,"&gt;="&amp;I$5,'Time Off Log'!$B$5:$B$504,"Sick",'Time Off Log'!$E$5:$E$504,"Approved")&gt;0,"S",IF(COUNTIFS('Time Off Log'!$A$5:$A$504,$B6,'Time Off Log'!$C$5:$C$504,"&lt;="&amp;I$5,'Time Off Log'!$J$5:$J$504,"&gt;="&amp;I$5,'Time Off Log'!$E$5:$E$504,"Approved")&gt;0,"U",IF(COUNTIFS('Time Off Log'!$A$5:$A$504,$B6,'Time Off Log'!$C$5:$C$504,"&lt;="&amp;I$5,'Time Off Log'!$J$5:$J$504,"&gt;="&amp;I$5,'Time Off Log'!$E$5:$E$504,"Pending")&gt;0,"?",""))))))</f>
        <v/>
      </c>
      <c r="J6" s="44">
        <f>IF(OR(J$5="",$B6=""),"",IF(OR(WEEKDAY(J$5,2)&gt;5,COUNTIF(Holidays!$A$5:$A$40,J$5)&gt;0),"",IF(COUNTIFS('Time Off Log'!$A$5:$A$504,$B6,'Time Off Log'!$C$5:$C$504,"&lt;="&amp;J$5,'Time Off Log'!$J$5:$J$504,"&gt;="&amp;J$5,'Time Off Log'!$B$5:$B$504,"PTO",'Time Off Log'!$E$5:$E$504,"Approved")&gt;0,"P",IF(COUNTIFS('Time Off Log'!$A$5:$A$504,$B6,'Time Off Log'!$C$5:$C$504,"&lt;="&amp;J$5,'Time Off Log'!$J$5:$J$504,"&gt;="&amp;J$5,'Time Off Log'!$B$5:$B$504,"Sick",'Time Off Log'!$E$5:$E$504,"Approved")&gt;0,"S",IF(COUNTIFS('Time Off Log'!$A$5:$A$504,$B6,'Time Off Log'!$C$5:$C$504,"&lt;="&amp;J$5,'Time Off Log'!$J$5:$J$504,"&gt;="&amp;J$5,'Time Off Log'!$E$5:$E$504,"Approved")&gt;0,"U",IF(COUNTIFS('Time Off Log'!$A$5:$A$504,$B6,'Time Off Log'!$C$5:$C$504,"&lt;="&amp;J$5,'Time Off Log'!$J$5:$J$504,"&gt;="&amp;J$5,'Time Off Log'!$E$5:$E$504,"Pending")&gt;0,"?",""))))))</f>
        <v/>
      </c>
      <c r="K6" s="44">
        <f>IF(OR(K$5="",$B6=""),"",IF(OR(WEEKDAY(K$5,2)&gt;5,COUNTIF(Holidays!$A$5:$A$40,K$5)&gt;0),"",IF(COUNTIFS('Time Off Log'!$A$5:$A$504,$B6,'Time Off Log'!$C$5:$C$504,"&lt;="&amp;K$5,'Time Off Log'!$J$5:$J$504,"&gt;="&amp;K$5,'Time Off Log'!$B$5:$B$504,"PTO",'Time Off Log'!$E$5:$E$504,"Approved")&gt;0,"P",IF(COUNTIFS('Time Off Log'!$A$5:$A$504,$B6,'Time Off Log'!$C$5:$C$504,"&lt;="&amp;K$5,'Time Off Log'!$J$5:$J$504,"&gt;="&amp;K$5,'Time Off Log'!$B$5:$B$504,"Sick",'Time Off Log'!$E$5:$E$504,"Approved")&gt;0,"S",IF(COUNTIFS('Time Off Log'!$A$5:$A$504,$B6,'Time Off Log'!$C$5:$C$504,"&lt;="&amp;K$5,'Time Off Log'!$J$5:$J$504,"&gt;="&amp;K$5,'Time Off Log'!$E$5:$E$504,"Approved")&gt;0,"U",IF(COUNTIFS('Time Off Log'!$A$5:$A$504,$B6,'Time Off Log'!$C$5:$C$504,"&lt;="&amp;K$5,'Time Off Log'!$J$5:$J$504,"&gt;="&amp;K$5,'Time Off Log'!$E$5:$E$504,"Pending")&gt;0,"?",""))))))</f>
        <v/>
      </c>
      <c r="L6" s="44">
        <f>IF(OR(L$5="",$B6=""),"",IF(OR(WEEKDAY(L$5,2)&gt;5,COUNTIF(Holidays!$A$5:$A$40,L$5)&gt;0),"",IF(COUNTIFS('Time Off Log'!$A$5:$A$504,$B6,'Time Off Log'!$C$5:$C$504,"&lt;="&amp;L$5,'Time Off Log'!$J$5:$J$504,"&gt;="&amp;L$5,'Time Off Log'!$B$5:$B$504,"PTO",'Time Off Log'!$E$5:$E$504,"Approved")&gt;0,"P",IF(COUNTIFS('Time Off Log'!$A$5:$A$504,$B6,'Time Off Log'!$C$5:$C$504,"&lt;="&amp;L$5,'Time Off Log'!$J$5:$J$504,"&gt;="&amp;L$5,'Time Off Log'!$B$5:$B$504,"Sick",'Time Off Log'!$E$5:$E$504,"Approved")&gt;0,"S",IF(COUNTIFS('Time Off Log'!$A$5:$A$504,$B6,'Time Off Log'!$C$5:$C$504,"&lt;="&amp;L$5,'Time Off Log'!$J$5:$J$504,"&gt;="&amp;L$5,'Time Off Log'!$E$5:$E$504,"Approved")&gt;0,"U",IF(COUNTIFS('Time Off Log'!$A$5:$A$504,$B6,'Time Off Log'!$C$5:$C$504,"&lt;="&amp;L$5,'Time Off Log'!$J$5:$J$504,"&gt;="&amp;L$5,'Time Off Log'!$E$5:$E$504,"Pending")&gt;0,"?",""))))))</f>
        <v/>
      </c>
      <c r="M6" s="44">
        <f>IF(OR(M$5="",$B6=""),"",IF(OR(WEEKDAY(M$5,2)&gt;5,COUNTIF(Holidays!$A$5:$A$40,M$5)&gt;0),"",IF(COUNTIFS('Time Off Log'!$A$5:$A$504,$B6,'Time Off Log'!$C$5:$C$504,"&lt;="&amp;M$5,'Time Off Log'!$J$5:$J$504,"&gt;="&amp;M$5,'Time Off Log'!$B$5:$B$504,"PTO",'Time Off Log'!$E$5:$E$504,"Approved")&gt;0,"P",IF(COUNTIFS('Time Off Log'!$A$5:$A$504,$B6,'Time Off Log'!$C$5:$C$504,"&lt;="&amp;M$5,'Time Off Log'!$J$5:$J$504,"&gt;="&amp;M$5,'Time Off Log'!$B$5:$B$504,"Sick",'Time Off Log'!$E$5:$E$504,"Approved")&gt;0,"S",IF(COUNTIFS('Time Off Log'!$A$5:$A$504,$B6,'Time Off Log'!$C$5:$C$504,"&lt;="&amp;M$5,'Time Off Log'!$J$5:$J$504,"&gt;="&amp;M$5,'Time Off Log'!$E$5:$E$504,"Approved")&gt;0,"U",IF(COUNTIFS('Time Off Log'!$A$5:$A$504,$B6,'Time Off Log'!$C$5:$C$504,"&lt;="&amp;M$5,'Time Off Log'!$J$5:$J$504,"&gt;="&amp;M$5,'Time Off Log'!$E$5:$E$504,"Pending")&gt;0,"?",""))))))</f>
        <v/>
      </c>
      <c r="N6" s="44">
        <f>IF(OR(N$5="",$B6=""),"",IF(OR(WEEKDAY(N$5,2)&gt;5,COUNTIF(Holidays!$A$5:$A$40,N$5)&gt;0),"",IF(COUNTIFS('Time Off Log'!$A$5:$A$504,$B6,'Time Off Log'!$C$5:$C$504,"&lt;="&amp;N$5,'Time Off Log'!$J$5:$J$504,"&gt;="&amp;N$5,'Time Off Log'!$B$5:$B$504,"PTO",'Time Off Log'!$E$5:$E$504,"Approved")&gt;0,"P",IF(COUNTIFS('Time Off Log'!$A$5:$A$504,$B6,'Time Off Log'!$C$5:$C$504,"&lt;="&amp;N$5,'Time Off Log'!$J$5:$J$504,"&gt;="&amp;N$5,'Time Off Log'!$B$5:$B$504,"Sick",'Time Off Log'!$E$5:$E$504,"Approved")&gt;0,"S",IF(COUNTIFS('Time Off Log'!$A$5:$A$504,$B6,'Time Off Log'!$C$5:$C$504,"&lt;="&amp;N$5,'Time Off Log'!$J$5:$J$504,"&gt;="&amp;N$5,'Time Off Log'!$E$5:$E$504,"Approved")&gt;0,"U",IF(COUNTIFS('Time Off Log'!$A$5:$A$504,$B6,'Time Off Log'!$C$5:$C$504,"&lt;="&amp;N$5,'Time Off Log'!$J$5:$J$504,"&gt;="&amp;N$5,'Time Off Log'!$E$5:$E$504,"Pending")&gt;0,"?",""))))))</f>
        <v/>
      </c>
      <c r="O6" s="44">
        <f>IF(OR(O$5="",$B6=""),"",IF(OR(WEEKDAY(O$5,2)&gt;5,COUNTIF(Holidays!$A$5:$A$40,O$5)&gt;0),"",IF(COUNTIFS('Time Off Log'!$A$5:$A$504,$B6,'Time Off Log'!$C$5:$C$504,"&lt;="&amp;O$5,'Time Off Log'!$J$5:$J$504,"&gt;="&amp;O$5,'Time Off Log'!$B$5:$B$504,"PTO",'Time Off Log'!$E$5:$E$504,"Approved")&gt;0,"P",IF(COUNTIFS('Time Off Log'!$A$5:$A$504,$B6,'Time Off Log'!$C$5:$C$504,"&lt;="&amp;O$5,'Time Off Log'!$J$5:$J$504,"&gt;="&amp;O$5,'Time Off Log'!$B$5:$B$504,"Sick",'Time Off Log'!$E$5:$E$504,"Approved")&gt;0,"S",IF(COUNTIFS('Time Off Log'!$A$5:$A$504,$B6,'Time Off Log'!$C$5:$C$504,"&lt;="&amp;O$5,'Time Off Log'!$J$5:$J$504,"&gt;="&amp;O$5,'Time Off Log'!$E$5:$E$504,"Approved")&gt;0,"U",IF(COUNTIFS('Time Off Log'!$A$5:$A$504,$B6,'Time Off Log'!$C$5:$C$504,"&lt;="&amp;O$5,'Time Off Log'!$J$5:$J$504,"&gt;="&amp;O$5,'Time Off Log'!$E$5:$E$504,"Pending")&gt;0,"?",""))))))</f>
        <v/>
      </c>
      <c r="P6" s="44">
        <f>IF(OR(P$5="",$B6=""),"",IF(OR(WEEKDAY(P$5,2)&gt;5,COUNTIF(Holidays!$A$5:$A$40,P$5)&gt;0),"",IF(COUNTIFS('Time Off Log'!$A$5:$A$504,$B6,'Time Off Log'!$C$5:$C$504,"&lt;="&amp;P$5,'Time Off Log'!$J$5:$J$504,"&gt;="&amp;P$5,'Time Off Log'!$B$5:$B$504,"PTO",'Time Off Log'!$E$5:$E$504,"Approved")&gt;0,"P",IF(COUNTIFS('Time Off Log'!$A$5:$A$504,$B6,'Time Off Log'!$C$5:$C$504,"&lt;="&amp;P$5,'Time Off Log'!$J$5:$J$504,"&gt;="&amp;P$5,'Time Off Log'!$B$5:$B$504,"Sick",'Time Off Log'!$E$5:$E$504,"Approved")&gt;0,"S",IF(COUNTIFS('Time Off Log'!$A$5:$A$504,$B6,'Time Off Log'!$C$5:$C$504,"&lt;="&amp;P$5,'Time Off Log'!$J$5:$J$504,"&gt;="&amp;P$5,'Time Off Log'!$E$5:$E$504,"Approved")&gt;0,"U",IF(COUNTIFS('Time Off Log'!$A$5:$A$504,$B6,'Time Off Log'!$C$5:$C$504,"&lt;="&amp;P$5,'Time Off Log'!$J$5:$J$504,"&gt;="&amp;P$5,'Time Off Log'!$E$5:$E$504,"Pending")&gt;0,"?",""))))))</f>
        <v/>
      </c>
      <c r="Q6" s="44">
        <f>IF(OR(Q$5="",$B6=""),"",IF(OR(WEEKDAY(Q$5,2)&gt;5,COUNTIF(Holidays!$A$5:$A$40,Q$5)&gt;0),"",IF(COUNTIFS('Time Off Log'!$A$5:$A$504,$B6,'Time Off Log'!$C$5:$C$504,"&lt;="&amp;Q$5,'Time Off Log'!$J$5:$J$504,"&gt;="&amp;Q$5,'Time Off Log'!$B$5:$B$504,"PTO",'Time Off Log'!$E$5:$E$504,"Approved")&gt;0,"P",IF(COUNTIFS('Time Off Log'!$A$5:$A$504,$B6,'Time Off Log'!$C$5:$C$504,"&lt;="&amp;Q$5,'Time Off Log'!$J$5:$J$504,"&gt;="&amp;Q$5,'Time Off Log'!$B$5:$B$504,"Sick",'Time Off Log'!$E$5:$E$504,"Approved")&gt;0,"S",IF(COUNTIFS('Time Off Log'!$A$5:$A$504,$B6,'Time Off Log'!$C$5:$C$504,"&lt;="&amp;Q$5,'Time Off Log'!$J$5:$J$504,"&gt;="&amp;Q$5,'Time Off Log'!$E$5:$E$504,"Approved")&gt;0,"U",IF(COUNTIFS('Time Off Log'!$A$5:$A$504,$B6,'Time Off Log'!$C$5:$C$504,"&lt;="&amp;Q$5,'Time Off Log'!$J$5:$J$504,"&gt;="&amp;Q$5,'Time Off Log'!$E$5:$E$504,"Pending")&gt;0,"?",""))))))</f>
        <v/>
      </c>
      <c r="R6" s="44">
        <f>IF(OR(R$5="",$B6=""),"",IF(OR(WEEKDAY(R$5,2)&gt;5,COUNTIF(Holidays!$A$5:$A$40,R$5)&gt;0),"",IF(COUNTIFS('Time Off Log'!$A$5:$A$504,$B6,'Time Off Log'!$C$5:$C$504,"&lt;="&amp;R$5,'Time Off Log'!$J$5:$J$504,"&gt;="&amp;R$5,'Time Off Log'!$B$5:$B$504,"PTO",'Time Off Log'!$E$5:$E$504,"Approved")&gt;0,"P",IF(COUNTIFS('Time Off Log'!$A$5:$A$504,$B6,'Time Off Log'!$C$5:$C$504,"&lt;="&amp;R$5,'Time Off Log'!$J$5:$J$504,"&gt;="&amp;R$5,'Time Off Log'!$B$5:$B$504,"Sick",'Time Off Log'!$E$5:$E$504,"Approved")&gt;0,"S",IF(COUNTIFS('Time Off Log'!$A$5:$A$504,$B6,'Time Off Log'!$C$5:$C$504,"&lt;="&amp;R$5,'Time Off Log'!$J$5:$J$504,"&gt;="&amp;R$5,'Time Off Log'!$E$5:$E$504,"Approved")&gt;0,"U",IF(COUNTIFS('Time Off Log'!$A$5:$A$504,$B6,'Time Off Log'!$C$5:$C$504,"&lt;="&amp;R$5,'Time Off Log'!$J$5:$J$504,"&gt;="&amp;R$5,'Time Off Log'!$E$5:$E$504,"Pending")&gt;0,"?",""))))))</f>
        <v/>
      </c>
      <c r="S6" s="44">
        <f>IF(OR(S$5="",$B6=""),"",IF(OR(WEEKDAY(S$5,2)&gt;5,COUNTIF(Holidays!$A$5:$A$40,S$5)&gt;0),"",IF(COUNTIFS('Time Off Log'!$A$5:$A$504,$B6,'Time Off Log'!$C$5:$C$504,"&lt;="&amp;S$5,'Time Off Log'!$J$5:$J$504,"&gt;="&amp;S$5,'Time Off Log'!$B$5:$B$504,"PTO",'Time Off Log'!$E$5:$E$504,"Approved")&gt;0,"P",IF(COUNTIFS('Time Off Log'!$A$5:$A$504,$B6,'Time Off Log'!$C$5:$C$504,"&lt;="&amp;S$5,'Time Off Log'!$J$5:$J$504,"&gt;="&amp;S$5,'Time Off Log'!$B$5:$B$504,"Sick",'Time Off Log'!$E$5:$E$504,"Approved")&gt;0,"S",IF(COUNTIFS('Time Off Log'!$A$5:$A$504,$B6,'Time Off Log'!$C$5:$C$504,"&lt;="&amp;S$5,'Time Off Log'!$J$5:$J$504,"&gt;="&amp;S$5,'Time Off Log'!$E$5:$E$504,"Approved")&gt;0,"U",IF(COUNTIFS('Time Off Log'!$A$5:$A$504,$B6,'Time Off Log'!$C$5:$C$504,"&lt;="&amp;S$5,'Time Off Log'!$J$5:$J$504,"&gt;="&amp;S$5,'Time Off Log'!$E$5:$E$504,"Pending")&gt;0,"?",""))))))</f>
        <v/>
      </c>
      <c r="T6" s="44">
        <f>IF(OR(T$5="",$B6=""),"",IF(OR(WEEKDAY(T$5,2)&gt;5,COUNTIF(Holidays!$A$5:$A$40,T$5)&gt;0),"",IF(COUNTIFS('Time Off Log'!$A$5:$A$504,$B6,'Time Off Log'!$C$5:$C$504,"&lt;="&amp;T$5,'Time Off Log'!$J$5:$J$504,"&gt;="&amp;T$5,'Time Off Log'!$B$5:$B$504,"PTO",'Time Off Log'!$E$5:$E$504,"Approved")&gt;0,"P",IF(COUNTIFS('Time Off Log'!$A$5:$A$504,$B6,'Time Off Log'!$C$5:$C$504,"&lt;="&amp;T$5,'Time Off Log'!$J$5:$J$504,"&gt;="&amp;T$5,'Time Off Log'!$B$5:$B$504,"Sick",'Time Off Log'!$E$5:$E$504,"Approved")&gt;0,"S",IF(COUNTIFS('Time Off Log'!$A$5:$A$504,$B6,'Time Off Log'!$C$5:$C$504,"&lt;="&amp;T$5,'Time Off Log'!$J$5:$J$504,"&gt;="&amp;T$5,'Time Off Log'!$E$5:$E$504,"Approved")&gt;0,"U",IF(COUNTIFS('Time Off Log'!$A$5:$A$504,$B6,'Time Off Log'!$C$5:$C$504,"&lt;="&amp;T$5,'Time Off Log'!$J$5:$J$504,"&gt;="&amp;T$5,'Time Off Log'!$E$5:$E$504,"Pending")&gt;0,"?",""))))))</f>
        <v/>
      </c>
      <c r="U6" s="44">
        <f>IF(OR(U$5="",$B6=""),"",IF(OR(WEEKDAY(U$5,2)&gt;5,COUNTIF(Holidays!$A$5:$A$40,U$5)&gt;0),"",IF(COUNTIFS('Time Off Log'!$A$5:$A$504,$B6,'Time Off Log'!$C$5:$C$504,"&lt;="&amp;U$5,'Time Off Log'!$J$5:$J$504,"&gt;="&amp;U$5,'Time Off Log'!$B$5:$B$504,"PTO",'Time Off Log'!$E$5:$E$504,"Approved")&gt;0,"P",IF(COUNTIFS('Time Off Log'!$A$5:$A$504,$B6,'Time Off Log'!$C$5:$C$504,"&lt;="&amp;U$5,'Time Off Log'!$J$5:$J$504,"&gt;="&amp;U$5,'Time Off Log'!$B$5:$B$504,"Sick",'Time Off Log'!$E$5:$E$504,"Approved")&gt;0,"S",IF(COUNTIFS('Time Off Log'!$A$5:$A$504,$B6,'Time Off Log'!$C$5:$C$504,"&lt;="&amp;U$5,'Time Off Log'!$J$5:$J$504,"&gt;="&amp;U$5,'Time Off Log'!$E$5:$E$504,"Approved")&gt;0,"U",IF(COUNTIFS('Time Off Log'!$A$5:$A$504,$B6,'Time Off Log'!$C$5:$C$504,"&lt;="&amp;U$5,'Time Off Log'!$J$5:$J$504,"&gt;="&amp;U$5,'Time Off Log'!$E$5:$E$504,"Pending")&gt;0,"?",""))))))</f>
        <v/>
      </c>
      <c r="V6" s="44">
        <f>IF(OR(V$5="",$B6=""),"",IF(OR(WEEKDAY(V$5,2)&gt;5,COUNTIF(Holidays!$A$5:$A$40,V$5)&gt;0),"",IF(COUNTIFS('Time Off Log'!$A$5:$A$504,$B6,'Time Off Log'!$C$5:$C$504,"&lt;="&amp;V$5,'Time Off Log'!$J$5:$J$504,"&gt;="&amp;V$5,'Time Off Log'!$B$5:$B$504,"PTO",'Time Off Log'!$E$5:$E$504,"Approved")&gt;0,"P",IF(COUNTIFS('Time Off Log'!$A$5:$A$504,$B6,'Time Off Log'!$C$5:$C$504,"&lt;="&amp;V$5,'Time Off Log'!$J$5:$J$504,"&gt;="&amp;V$5,'Time Off Log'!$B$5:$B$504,"Sick",'Time Off Log'!$E$5:$E$504,"Approved")&gt;0,"S",IF(COUNTIFS('Time Off Log'!$A$5:$A$504,$B6,'Time Off Log'!$C$5:$C$504,"&lt;="&amp;V$5,'Time Off Log'!$J$5:$J$504,"&gt;="&amp;V$5,'Time Off Log'!$E$5:$E$504,"Approved")&gt;0,"U",IF(COUNTIFS('Time Off Log'!$A$5:$A$504,$B6,'Time Off Log'!$C$5:$C$504,"&lt;="&amp;V$5,'Time Off Log'!$J$5:$J$504,"&gt;="&amp;V$5,'Time Off Log'!$E$5:$E$504,"Pending")&gt;0,"?",""))))))</f>
        <v/>
      </c>
      <c r="W6" s="44">
        <f>IF(OR(W$5="",$B6=""),"",IF(OR(WEEKDAY(W$5,2)&gt;5,COUNTIF(Holidays!$A$5:$A$40,W$5)&gt;0),"",IF(COUNTIFS('Time Off Log'!$A$5:$A$504,$B6,'Time Off Log'!$C$5:$C$504,"&lt;="&amp;W$5,'Time Off Log'!$J$5:$J$504,"&gt;="&amp;W$5,'Time Off Log'!$B$5:$B$504,"PTO",'Time Off Log'!$E$5:$E$504,"Approved")&gt;0,"P",IF(COUNTIFS('Time Off Log'!$A$5:$A$504,$B6,'Time Off Log'!$C$5:$C$504,"&lt;="&amp;W$5,'Time Off Log'!$J$5:$J$504,"&gt;="&amp;W$5,'Time Off Log'!$B$5:$B$504,"Sick",'Time Off Log'!$E$5:$E$504,"Approved")&gt;0,"S",IF(COUNTIFS('Time Off Log'!$A$5:$A$504,$B6,'Time Off Log'!$C$5:$C$504,"&lt;="&amp;W$5,'Time Off Log'!$J$5:$J$504,"&gt;="&amp;W$5,'Time Off Log'!$E$5:$E$504,"Approved")&gt;0,"U",IF(COUNTIFS('Time Off Log'!$A$5:$A$504,$B6,'Time Off Log'!$C$5:$C$504,"&lt;="&amp;W$5,'Time Off Log'!$J$5:$J$504,"&gt;="&amp;W$5,'Time Off Log'!$E$5:$E$504,"Pending")&gt;0,"?",""))))))</f>
        <v/>
      </c>
      <c r="X6" s="44">
        <f>IF(OR(X$5="",$B6=""),"",IF(OR(WEEKDAY(X$5,2)&gt;5,COUNTIF(Holidays!$A$5:$A$40,X$5)&gt;0),"",IF(COUNTIFS('Time Off Log'!$A$5:$A$504,$B6,'Time Off Log'!$C$5:$C$504,"&lt;="&amp;X$5,'Time Off Log'!$J$5:$J$504,"&gt;="&amp;X$5,'Time Off Log'!$B$5:$B$504,"PTO",'Time Off Log'!$E$5:$E$504,"Approved")&gt;0,"P",IF(COUNTIFS('Time Off Log'!$A$5:$A$504,$B6,'Time Off Log'!$C$5:$C$504,"&lt;="&amp;X$5,'Time Off Log'!$J$5:$J$504,"&gt;="&amp;X$5,'Time Off Log'!$B$5:$B$504,"Sick",'Time Off Log'!$E$5:$E$504,"Approved")&gt;0,"S",IF(COUNTIFS('Time Off Log'!$A$5:$A$504,$B6,'Time Off Log'!$C$5:$C$504,"&lt;="&amp;X$5,'Time Off Log'!$J$5:$J$504,"&gt;="&amp;X$5,'Time Off Log'!$E$5:$E$504,"Approved")&gt;0,"U",IF(COUNTIFS('Time Off Log'!$A$5:$A$504,$B6,'Time Off Log'!$C$5:$C$504,"&lt;="&amp;X$5,'Time Off Log'!$J$5:$J$504,"&gt;="&amp;X$5,'Time Off Log'!$E$5:$E$504,"Pending")&gt;0,"?",""))))))</f>
        <v/>
      </c>
      <c r="Y6" s="44">
        <f>IF(OR(Y$5="",$B6=""),"",IF(OR(WEEKDAY(Y$5,2)&gt;5,COUNTIF(Holidays!$A$5:$A$40,Y$5)&gt;0),"",IF(COUNTIFS('Time Off Log'!$A$5:$A$504,$B6,'Time Off Log'!$C$5:$C$504,"&lt;="&amp;Y$5,'Time Off Log'!$J$5:$J$504,"&gt;="&amp;Y$5,'Time Off Log'!$B$5:$B$504,"PTO",'Time Off Log'!$E$5:$E$504,"Approved")&gt;0,"P",IF(COUNTIFS('Time Off Log'!$A$5:$A$504,$B6,'Time Off Log'!$C$5:$C$504,"&lt;="&amp;Y$5,'Time Off Log'!$J$5:$J$504,"&gt;="&amp;Y$5,'Time Off Log'!$B$5:$B$504,"Sick",'Time Off Log'!$E$5:$E$504,"Approved")&gt;0,"S",IF(COUNTIFS('Time Off Log'!$A$5:$A$504,$B6,'Time Off Log'!$C$5:$C$504,"&lt;="&amp;Y$5,'Time Off Log'!$J$5:$J$504,"&gt;="&amp;Y$5,'Time Off Log'!$E$5:$E$504,"Approved")&gt;0,"U",IF(COUNTIFS('Time Off Log'!$A$5:$A$504,$B6,'Time Off Log'!$C$5:$C$504,"&lt;="&amp;Y$5,'Time Off Log'!$J$5:$J$504,"&gt;="&amp;Y$5,'Time Off Log'!$E$5:$E$504,"Pending")&gt;0,"?",""))))))</f>
        <v/>
      </c>
      <c r="Z6" s="44">
        <f>IF(OR(Z$5="",$B6=""),"",IF(OR(WEEKDAY(Z$5,2)&gt;5,COUNTIF(Holidays!$A$5:$A$40,Z$5)&gt;0),"",IF(COUNTIFS('Time Off Log'!$A$5:$A$504,$B6,'Time Off Log'!$C$5:$C$504,"&lt;="&amp;Z$5,'Time Off Log'!$J$5:$J$504,"&gt;="&amp;Z$5,'Time Off Log'!$B$5:$B$504,"PTO",'Time Off Log'!$E$5:$E$504,"Approved")&gt;0,"P",IF(COUNTIFS('Time Off Log'!$A$5:$A$504,$B6,'Time Off Log'!$C$5:$C$504,"&lt;="&amp;Z$5,'Time Off Log'!$J$5:$J$504,"&gt;="&amp;Z$5,'Time Off Log'!$B$5:$B$504,"Sick",'Time Off Log'!$E$5:$E$504,"Approved")&gt;0,"S",IF(COUNTIFS('Time Off Log'!$A$5:$A$504,$B6,'Time Off Log'!$C$5:$C$504,"&lt;="&amp;Z$5,'Time Off Log'!$J$5:$J$504,"&gt;="&amp;Z$5,'Time Off Log'!$E$5:$E$504,"Approved")&gt;0,"U",IF(COUNTIFS('Time Off Log'!$A$5:$A$504,$B6,'Time Off Log'!$C$5:$C$504,"&lt;="&amp;Z$5,'Time Off Log'!$J$5:$J$504,"&gt;="&amp;Z$5,'Time Off Log'!$E$5:$E$504,"Pending")&gt;0,"?",""))))))</f>
        <v/>
      </c>
      <c r="AA6" s="44">
        <f>IF(OR(AA$5="",$B6=""),"",IF(OR(WEEKDAY(AA$5,2)&gt;5,COUNTIF(Holidays!$A$5:$A$40,AA$5)&gt;0),"",IF(COUNTIFS('Time Off Log'!$A$5:$A$504,$B6,'Time Off Log'!$C$5:$C$504,"&lt;="&amp;AA$5,'Time Off Log'!$J$5:$J$504,"&gt;="&amp;AA$5,'Time Off Log'!$B$5:$B$504,"PTO",'Time Off Log'!$E$5:$E$504,"Approved")&gt;0,"P",IF(COUNTIFS('Time Off Log'!$A$5:$A$504,$B6,'Time Off Log'!$C$5:$C$504,"&lt;="&amp;AA$5,'Time Off Log'!$J$5:$J$504,"&gt;="&amp;AA$5,'Time Off Log'!$B$5:$B$504,"Sick",'Time Off Log'!$E$5:$E$504,"Approved")&gt;0,"S",IF(COUNTIFS('Time Off Log'!$A$5:$A$504,$B6,'Time Off Log'!$C$5:$C$504,"&lt;="&amp;AA$5,'Time Off Log'!$J$5:$J$504,"&gt;="&amp;AA$5,'Time Off Log'!$E$5:$E$504,"Approved")&gt;0,"U",IF(COUNTIFS('Time Off Log'!$A$5:$A$504,$B6,'Time Off Log'!$C$5:$C$504,"&lt;="&amp;AA$5,'Time Off Log'!$J$5:$J$504,"&gt;="&amp;AA$5,'Time Off Log'!$E$5:$E$504,"Pending")&gt;0,"?",""))))))</f>
        <v/>
      </c>
      <c r="AB6" s="44">
        <f>IF(OR(AB$5="",$B6=""),"",IF(OR(WEEKDAY(AB$5,2)&gt;5,COUNTIF(Holidays!$A$5:$A$40,AB$5)&gt;0),"",IF(COUNTIFS('Time Off Log'!$A$5:$A$504,$B6,'Time Off Log'!$C$5:$C$504,"&lt;="&amp;AB$5,'Time Off Log'!$J$5:$J$504,"&gt;="&amp;AB$5,'Time Off Log'!$B$5:$B$504,"PTO",'Time Off Log'!$E$5:$E$504,"Approved")&gt;0,"P",IF(COUNTIFS('Time Off Log'!$A$5:$A$504,$B6,'Time Off Log'!$C$5:$C$504,"&lt;="&amp;AB$5,'Time Off Log'!$J$5:$J$504,"&gt;="&amp;AB$5,'Time Off Log'!$B$5:$B$504,"Sick",'Time Off Log'!$E$5:$E$504,"Approved")&gt;0,"S",IF(COUNTIFS('Time Off Log'!$A$5:$A$504,$B6,'Time Off Log'!$C$5:$C$504,"&lt;="&amp;AB$5,'Time Off Log'!$J$5:$J$504,"&gt;="&amp;AB$5,'Time Off Log'!$E$5:$E$504,"Approved")&gt;0,"U",IF(COUNTIFS('Time Off Log'!$A$5:$A$504,$B6,'Time Off Log'!$C$5:$C$504,"&lt;="&amp;AB$5,'Time Off Log'!$J$5:$J$504,"&gt;="&amp;AB$5,'Time Off Log'!$E$5:$E$504,"Pending")&gt;0,"?",""))))))</f>
        <v/>
      </c>
      <c r="AC6" s="44">
        <f>IF(OR(AC$5="",$B6=""),"",IF(OR(WEEKDAY(AC$5,2)&gt;5,COUNTIF(Holidays!$A$5:$A$40,AC$5)&gt;0),"",IF(COUNTIFS('Time Off Log'!$A$5:$A$504,$B6,'Time Off Log'!$C$5:$C$504,"&lt;="&amp;AC$5,'Time Off Log'!$J$5:$J$504,"&gt;="&amp;AC$5,'Time Off Log'!$B$5:$B$504,"PTO",'Time Off Log'!$E$5:$E$504,"Approved")&gt;0,"P",IF(COUNTIFS('Time Off Log'!$A$5:$A$504,$B6,'Time Off Log'!$C$5:$C$504,"&lt;="&amp;AC$5,'Time Off Log'!$J$5:$J$504,"&gt;="&amp;AC$5,'Time Off Log'!$B$5:$B$504,"Sick",'Time Off Log'!$E$5:$E$504,"Approved")&gt;0,"S",IF(COUNTIFS('Time Off Log'!$A$5:$A$504,$B6,'Time Off Log'!$C$5:$C$504,"&lt;="&amp;AC$5,'Time Off Log'!$J$5:$J$504,"&gt;="&amp;AC$5,'Time Off Log'!$E$5:$E$504,"Approved")&gt;0,"U",IF(COUNTIFS('Time Off Log'!$A$5:$A$504,$B6,'Time Off Log'!$C$5:$C$504,"&lt;="&amp;AC$5,'Time Off Log'!$J$5:$J$504,"&gt;="&amp;AC$5,'Time Off Log'!$E$5:$E$504,"Pending")&gt;0,"?",""))))))</f>
        <v/>
      </c>
      <c r="AD6" s="44">
        <f>IF(OR(AD$5="",$B6=""),"",IF(OR(WEEKDAY(AD$5,2)&gt;5,COUNTIF(Holidays!$A$5:$A$40,AD$5)&gt;0),"",IF(COUNTIFS('Time Off Log'!$A$5:$A$504,$B6,'Time Off Log'!$C$5:$C$504,"&lt;="&amp;AD$5,'Time Off Log'!$J$5:$J$504,"&gt;="&amp;AD$5,'Time Off Log'!$B$5:$B$504,"PTO",'Time Off Log'!$E$5:$E$504,"Approved")&gt;0,"P",IF(COUNTIFS('Time Off Log'!$A$5:$A$504,$B6,'Time Off Log'!$C$5:$C$504,"&lt;="&amp;AD$5,'Time Off Log'!$J$5:$J$504,"&gt;="&amp;AD$5,'Time Off Log'!$B$5:$B$504,"Sick",'Time Off Log'!$E$5:$E$504,"Approved")&gt;0,"S",IF(COUNTIFS('Time Off Log'!$A$5:$A$504,$B6,'Time Off Log'!$C$5:$C$504,"&lt;="&amp;AD$5,'Time Off Log'!$J$5:$J$504,"&gt;="&amp;AD$5,'Time Off Log'!$E$5:$E$504,"Approved")&gt;0,"U",IF(COUNTIFS('Time Off Log'!$A$5:$A$504,$B6,'Time Off Log'!$C$5:$C$504,"&lt;="&amp;AD$5,'Time Off Log'!$J$5:$J$504,"&gt;="&amp;AD$5,'Time Off Log'!$E$5:$E$504,"Pending")&gt;0,"?",""))))))</f>
        <v/>
      </c>
      <c r="AE6" s="44">
        <f>IF(OR(AE$5="",$B6=""),"",IF(OR(WEEKDAY(AE$5,2)&gt;5,COUNTIF(Holidays!$A$5:$A$40,AE$5)&gt;0),"",IF(COUNTIFS('Time Off Log'!$A$5:$A$504,$B6,'Time Off Log'!$C$5:$C$504,"&lt;="&amp;AE$5,'Time Off Log'!$J$5:$J$504,"&gt;="&amp;AE$5,'Time Off Log'!$B$5:$B$504,"PTO",'Time Off Log'!$E$5:$E$504,"Approved")&gt;0,"P",IF(COUNTIFS('Time Off Log'!$A$5:$A$504,$B6,'Time Off Log'!$C$5:$C$504,"&lt;="&amp;AE$5,'Time Off Log'!$J$5:$J$504,"&gt;="&amp;AE$5,'Time Off Log'!$B$5:$B$504,"Sick",'Time Off Log'!$E$5:$E$504,"Approved")&gt;0,"S",IF(COUNTIFS('Time Off Log'!$A$5:$A$504,$B6,'Time Off Log'!$C$5:$C$504,"&lt;="&amp;AE$5,'Time Off Log'!$J$5:$J$504,"&gt;="&amp;AE$5,'Time Off Log'!$E$5:$E$504,"Approved")&gt;0,"U",IF(COUNTIFS('Time Off Log'!$A$5:$A$504,$B6,'Time Off Log'!$C$5:$C$504,"&lt;="&amp;AE$5,'Time Off Log'!$J$5:$J$504,"&gt;="&amp;AE$5,'Time Off Log'!$E$5:$E$504,"Pending")&gt;0,"?",""))))))</f>
        <v/>
      </c>
      <c r="AF6" s="44">
        <f>IF(OR(AF$5="",$B6=""),"",IF(OR(WEEKDAY(AF$5,2)&gt;5,COUNTIF(Holidays!$A$5:$A$40,AF$5)&gt;0),"",IF(COUNTIFS('Time Off Log'!$A$5:$A$504,$B6,'Time Off Log'!$C$5:$C$504,"&lt;="&amp;AF$5,'Time Off Log'!$J$5:$J$504,"&gt;="&amp;AF$5,'Time Off Log'!$B$5:$B$504,"PTO",'Time Off Log'!$E$5:$E$504,"Approved")&gt;0,"P",IF(COUNTIFS('Time Off Log'!$A$5:$A$504,$B6,'Time Off Log'!$C$5:$C$504,"&lt;="&amp;AF$5,'Time Off Log'!$J$5:$J$504,"&gt;="&amp;AF$5,'Time Off Log'!$B$5:$B$504,"Sick",'Time Off Log'!$E$5:$E$504,"Approved")&gt;0,"S",IF(COUNTIFS('Time Off Log'!$A$5:$A$504,$B6,'Time Off Log'!$C$5:$C$504,"&lt;="&amp;AF$5,'Time Off Log'!$J$5:$J$504,"&gt;="&amp;AF$5,'Time Off Log'!$E$5:$E$504,"Approved")&gt;0,"U",IF(COUNTIFS('Time Off Log'!$A$5:$A$504,$B6,'Time Off Log'!$C$5:$C$504,"&lt;="&amp;AF$5,'Time Off Log'!$J$5:$J$504,"&gt;="&amp;AF$5,'Time Off Log'!$E$5:$E$504,"Pending")&gt;0,"?",""))))))</f>
        <v/>
      </c>
      <c r="AG6" s="44">
        <f>IF(OR(AG$5="",$B6=""),"",IF(OR(WEEKDAY(AG$5,2)&gt;5,COUNTIF(Holidays!$A$5:$A$40,AG$5)&gt;0),"",IF(COUNTIFS('Time Off Log'!$A$5:$A$504,$B6,'Time Off Log'!$C$5:$C$504,"&lt;="&amp;AG$5,'Time Off Log'!$J$5:$J$504,"&gt;="&amp;AG$5,'Time Off Log'!$B$5:$B$504,"PTO",'Time Off Log'!$E$5:$E$504,"Approved")&gt;0,"P",IF(COUNTIFS('Time Off Log'!$A$5:$A$504,$B6,'Time Off Log'!$C$5:$C$504,"&lt;="&amp;AG$5,'Time Off Log'!$J$5:$J$504,"&gt;="&amp;AG$5,'Time Off Log'!$B$5:$B$504,"Sick",'Time Off Log'!$E$5:$E$504,"Approved")&gt;0,"S",IF(COUNTIFS('Time Off Log'!$A$5:$A$504,$B6,'Time Off Log'!$C$5:$C$504,"&lt;="&amp;AG$5,'Time Off Log'!$J$5:$J$504,"&gt;="&amp;AG$5,'Time Off Log'!$E$5:$E$504,"Approved")&gt;0,"U",IF(COUNTIFS('Time Off Log'!$A$5:$A$504,$B6,'Time Off Log'!$C$5:$C$504,"&lt;="&amp;AG$5,'Time Off Log'!$J$5:$J$504,"&gt;="&amp;AG$5,'Time Off Log'!$E$5:$E$504,"Pending")&gt;0,"?",""))))))</f>
        <v/>
      </c>
    </row>
    <row r="7">
      <c r="A7" s="24" t="n">
        <v>2</v>
      </c>
      <c r="B7" s="24">
        <f>IF(Employees!B6="","",Employees!B6)</f>
        <v/>
      </c>
      <c r="C7" s="44">
        <f>IF(OR(C$5="",$B7=""),"",IF(OR(WEEKDAY(C$5,2)&gt;5,COUNTIF(Holidays!$A$5:$A$40,C$5)&gt;0),"",IF(COUNTIFS('Time Off Log'!$A$5:$A$504,$B7,'Time Off Log'!$C$5:$C$504,"&lt;="&amp;C$5,'Time Off Log'!$J$5:$J$504,"&gt;="&amp;C$5,'Time Off Log'!$B$5:$B$504,"PTO",'Time Off Log'!$E$5:$E$504,"Approved")&gt;0,"P",IF(COUNTIFS('Time Off Log'!$A$5:$A$504,$B7,'Time Off Log'!$C$5:$C$504,"&lt;="&amp;C$5,'Time Off Log'!$J$5:$J$504,"&gt;="&amp;C$5,'Time Off Log'!$B$5:$B$504,"Sick",'Time Off Log'!$E$5:$E$504,"Approved")&gt;0,"S",IF(COUNTIFS('Time Off Log'!$A$5:$A$504,$B7,'Time Off Log'!$C$5:$C$504,"&lt;="&amp;C$5,'Time Off Log'!$J$5:$J$504,"&gt;="&amp;C$5,'Time Off Log'!$E$5:$E$504,"Approved")&gt;0,"U",IF(COUNTIFS('Time Off Log'!$A$5:$A$504,$B7,'Time Off Log'!$C$5:$C$504,"&lt;="&amp;C$5,'Time Off Log'!$J$5:$J$504,"&gt;="&amp;C$5,'Time Off Log'!$E$5:$E$504,"Pending")&gt;0,"?",""))))))</f>
        <v/>
      </c>
      <c r="D7" s="44">
        <f>IF(OR(D$5="",$B7=""),"",IF(OR(WEEKDAY(D$5,2)&gt;5,COUNTIF(Holidays!$A$5:$A$40,D$5)&gt;0),"",IF(COUNTIFS('Time Off Log'!$A$5:$A$504,$B7,'Time Off Log'!$C$5:$C$504,"&lt;="&amp;D$5,'Time Off Log'!$J$5:$J$504,"&gt;="&amp;D$5,'Time Off Log'!$B$5:$B$504,"PTO",'Time Off Log'!$E$5:$E$504,"Approved")&gt;0,"P",IF(COUNTIFS('Time Off Log'!$A$5:$A$504,$B7,'Time Off Log'!$C$5:$C$504,"&lt;="&amp;D$5,'Time Off Log'!$J$5:$J$504,"&gt;="&amp;D$5,'Time Off Log'!$B$5:$B$504,"Sick",'Time Off Log'!$E$5:$E$504,"Approved")&gt;0,"S",IF(COUNTIFS('Time Off Log'!$A$5:$A$504,$B7,'Time Off Log'!$C$5:$C$504,"&lt;="&amp;D$5,'Time Off Log'!$J$5:$J$504,"&gt;="&amp;D$5,'Time Off Log'!$E$5:$E$504,"Approved")&gt;0,"U",IF(COUNTIFS('Time Off Log'!$A$5:$A$504,$B7,'Time Off Log'!$C$5:$C$504,"&lt;="&amp;D$5,'Time Off Log'!$J$5:$J$504,"&gt;="&amp;D$5,'Time Off Log'!$E$5:$E$504,"Pending")&gt;0,"?",""))))))</f>
        <v/>
      </c>
      <c r="E7" s="44">
        <f>IF(OR(E$5="",$B7=""),"",IF(OR(WEEKDAY(E$5,2)&gt;5,COUNTIF(Holidays!$A$5:$A$40,E$5)&gt;0),"",IF(COUNTIFS('Time Off Log'!$A$5:$A$504,$B7,'Time Off Log'!$C$5:$C$504,"&lt;="&amp;E$5,'Time Off Log'!$J$5:$J$504,"&gt;="&amp;E$5,'Time Off Log'!$B$5:$B$504,"PTO",'Time Off Log'!$E$5:$E$504,"Approved")&gt;0,"P",IF(COUNTIFS('Time Off Log'!$A$5:$A$504,$B7,'Time Off Log'!$C$5:$C$504,"&lt;="&amp;E$5,'Time Off Log'!$J$5:$J$504,"&gt;="&amp;E$5,'Time Off Log'!$B$5:$B$504,"Sick",'Time Off Log'!$E$5:$E$504,"Approved")&gt;0,"S",IF(COUNTIFS('Time Off Log'!$A$5:$A$504,$B7,'Time Off Log'!$C$5:$C$504,"&lt;="&amp;E$5,'Time Off Log'!$J$5:$J$504,"&gt;="&amp;E$5,'Time Off Log'!$E$5:$E$504,"Approved")&gt;0,"U",IF(COUNTIFS('Time Off Log'!$A$5:$A$504,$B7,'Time Off Log'!$C$5:$C$504,"&lt;="&amp;E$5,'Time Off Log'!$J$5:$J$504,"&gt;="&amp;E$5,'Time Off Log'!$E$5:$E$504,"Pending")&gt;0,"?",""))))))</f>
        <v/>
      </c>
      <c r="F7" s="44">
        <f>IF(OR(F$5="",$B7=""),"",IF(OR(WEEKDAY(F$5,2)&gt;5,COUNTIF(Holidays!$A$5:$A$40,F$5)&gt;0),"",IF(COUNTIFS('Time Off Log'!$A$5:$A$504,$B7,'Time Off Log'!$C$5:$C$504,"&lt;="&amp;F$5,'Time Off Log'!$J$5:$J$504,"&gt;="&amp;F$5,'Time Off Log'!$B$5:$B$504,"PTO",'Time Off Log'!$E$5:$E$504,"Approved")&gt;0,"P",IF(COUNTIFS('Time Off Log'!$A$5:$A$504,$B7,'Time Off Log'!$C$5:$C$504,"&lt;="&amp;F$5,'Time Off Log'!$J$5:$J$504,"&gt;="&amp;F$5,'Time Off Log'!$B$5:$B$504,"Sick",'Time Off Log'!$E$5:$E$504,"Approved")&gt;0,"S",IF(COUNTIFS('Time Off Log'!$A$5:$A$504,$B7,'Time Off Log'!$C$5:$C$504,"&lt;="&amp;F$5,'Time Off Log'!$J$5:$J$504,"&gt;="&amp;F$5,'Time Off Log'!$E$5:$E$504,"Approved")&gt;0,"U",IF(COUNTIFS('Time Off Log'!$A$5:$A$504,$B7,'Time Off Log'!$C$5:$C$504,"&lt;="&amp;F$5,'Time Off Log'!$J$5:$J$504,"&gt;="&amp;F$5,'Time Off Log'!$E$5:$E$504,"Pending")&gt;0,"?",""))))))</f>
        <v/>
      </c>
      <c r="G7" s="44">
        <f>IF(OR(G$5="",$B7=""),"",IF(OR(WEEKDAY(G$5,2)&gt;5,COUNTIF(Holidays!$A$5:$A$40,G$5)&gt;0),"",IF(COUNTIFS('Time Off Log'!$A$5:$A$504,$B7,'Time Off Log'!$C$5:$C$504,"&lt;="&amp;G$5,'Time Off Log'!$J$5:$J$504,"&gt;="&amp;G$5,'Time Off Log'!$B$5:$B$504,"PTO",'Time Off Log'!$E$5:$E$504,"Approved")&gt;0,"P",IF(COUNTIFS('Time Off Log'!$A$5:$A$504,$B7,'Time Off Log'!$C$5:$C$504,"&lt;="&amp;G$5,'Time Off Log'!$J$5:$J$504,"&gt;="&amp;G$5,'Time Off Log'!$B$5:$B$504,"Sick",'Time Off Log'!$E$5:$E$504,"Approved")&gt;0,"S",IF(COUNTIFS('Time Off Log'!$A$5:$A$504,$B7,'Time Off Log'!$C$5:$C$504,"&lt;="&amp;G$5,'Time Off Log'!$J$5:$J$504,"&gt;="&amp;G$5,'Time Off Log'!$E$5:$E$504,"Approved")&gt;0,"U",IF(COUNTIFS('Time Off Log'!$A$5:$A$504,$B7,'Time Off Log'!$C$5:$C$504,"&lt;="&amp;G$5,'Time Off Log'!$J$5:$J$504,"&gt;="&amp;G$5,'Time Off Log'!$E$5:$E$504,"Pending")&gt;0,"?",""))))))</f>
        <v/>
      </c>
      <c r="H7" s="44">
        <f>IF(OR(H$5="",$B7=""),"",IF(OR(WEEKDAY(H$5,2)&gt;5,COUNTIF(Holidays!$A$5:$A$40,H$5)&gt;0),"",IF(COUNTIFS('Time Off Log'!$A$5:$A$504,$B7,'Time Off Log'!$C$5:$C$504,"&lt;="&amp;H$5,'Time Off Log'!$J$5:$J$504,"&gt;="&amp;H$5,'Time Off Log'!$B$5:$B$504,"PTO",'Time Off Log'!$E$5:$E$504,"Approved")&gt;0,"P",IF(COUNTIFS('Time Off Log'!$A$5:$A$504,$B7,'Time Off Log'!$C$5:$C$504,"&lt;="&amp;H$5,'Time Off Log'!$J$5:$J$504,"&gt;="&amp;H$5,'Time Off Log'!$B$5:$B$504,"Sick",'Time Off Log'!$E$5:$E$504,"Approved")&gt;0,"S",IF(COUNTIFS('Time Off Log'!$A$5:$A$504,$B7,'Time Off Log'!$C$5:$C$504,"&lt;="&amp;H$5,'Time Off Log'!$J$5:$J$504,"&gt;="&amp;H$5,'Time Off Log'!$E$5:$E$504,"Approved")&gt;0,"U",IF(COUNTIFS('Time Off Log'!$A$5:$A$504,$B7,'Time Off Log'!$C$5:$C$504,"&lt;="&amp;H$5,'Time Off Log'!$J$5:$J$504,"&gt;="&amp;H$5,'Time Off Log'!$E$5:$E$504,"Pending")&gt;0,"?",""))))))</f>
        <v/>
      </c>
      <c r="I7" s="44">
        <f>IF(OR(I$5="",$B7=""),"",IF(OR(WEEKDAY(I$5,2)&gt;5,COUNTIF(Holidays!$A$5:$A$40,I$5)&gt;0),"",IF(COUNTIFS('Time Off Log'!$A$5:$A$504,$B7,'Time Off Log'!$C$5:$C$504,"&lt;="&amp;I$5,'Time Off Log'!$J$5:$J$504,"&gt;="&amp;I$5,'Time Off Log'!$B$5:$B$504,"PTO",'Time Off Log'!$E$5:$E$504,"Approved")&gt;0,"P",IF(COUNTIFS('Time Off Log'!$A$5:$A$504,$B7,'Time Off Log'!$C$5:$C$504,"&lt;="&amp;I$5,'Time Off Log'!$J$5:$J$504,"&gt;="&amp;I$5,'Time Off Log'!$B$5:$B$504,"Sick",'Time Off Log'!$E$5:$E$504,"Approved")&gt;0,"S",IF(COUNTIFS('Time Off Log'!$A$5:$A$504,$B7,'Time Off Log'!$C$5:$C$504,"&lt;="&amp;I$5,'Time Off Log'!$J$5:$J$504,"&gt;="&amp;I$5,'Time Off Log'!$E$5:$E$504,"Approved")&gt;0,"U",IF(COUNTIFS('Time Off Log'!$A$5:$A$504,$B7,'Time Off Log'!$C$5:$C$504,"&lt;="&amp;I$5,'Time Off Log'!$J$5:$J$504,"&gt;="&amp;I$5,'Time Off Log'!$E$5:$E$504,"Pending")&gt;0,"?",""))))))</f>
        <v/>
      </c>
      <c r="J7" s="44">
        <f>IF(OR(J$5="",$B7=""),"",IF(OR(WEEKDAY(J$5,2)&gt;5,COUNTIF(Holidays!$A$5:$A$40,J$5)&gt;0),"",IF(COUNTIFS('Time Off Log'!$A$5:$A$504,$B7,'Time Off Log'!$C$5:$C$504,"&lt;="&amp;J$5,'Time Off Log'!$J$5:$J$504,"&gt;="&amp;J$5,'Time Off Log'!$B$5:$B$504,"PTO",'Time Off Log'!$E$5:$E$504,"Approved")&gt;0,"P",IF(COUNTIFS('Time Off Log'!$A$5:$A$504,$B7,'Time Off Log'!$C$5:$C$504,"&lt;="&amp;J$5,'Time Off Log'!$J$5:$J$504,"&gt;="&amp;J$5,'Time Off Log'!$B$5:$B$504,"Sick",'Time Off Log'!$E$5:$E$504,"Approved")&gt;0,"S",IF(COUNTIFS('Time Off Log'!$A$5:$A$504,$B7,'Time Off Log'!$C$5:$C$504,"&lt;="&amp;J$5,'Time Off Log'!$J$5:$J$504,"&gt;="&amp;J$5,'Time Off Log'!$E$5:$E$504,"Approved")&gt;0,"U",IF(COUNTIFS('Time Off Log'!$A$5:$A$504,$B7,'Time Off Log'!$C$5:$C$504,"&lt;="&amp;J$5,'Time Off Log'!$J$5:$J$504,"&gt;="&amp;J$5,'Time Off Log'!$E$5:$E$504,"Pending")&gt;0,"?",""))))))</f>
        <v/>
      </c>
      <c r="K7" s="44">
        <f>IF(OR(K$5="",$B7=""),"",IF(OR(WEEKDAY(K$5,2)&gt;5,COUNTIF(Holidays!$A$5:$A$40,K$5)&gt;0),"",IF(COUNTIFS('Time Off Log'!$A$5:$A$504,$B7,'Time Off Log'!$C$5:$C$504,"&lt;="&amp;K$5,'Time Off Log'!$J$5:$J$504,"&gt;="&amp;K$5,'Time Off Log'!$B$5:$B$504,"PTO",'Time Off Log'!$E$5:$E$504,"Approved")&gt;0,"P",IF(COUNTIFS('Time Off Log'!$A$5:$A$504,$B7,'Time Off Log'!$C$5:$C$504,"&lt;="&amp;K$5,'Time Off Log'!$J$5:$J$504,"&gt;="&amp;K$5,'Time Off Log'!$B$5:$B$504,"Sick",'Time Off Log'!$E$5:$E$504,"Approved")&gt;0,"S",IF(COUNTIFS('Time Off Log'!$A$5:$A$504,$B7,'Time Off Log'!$C$5:$C$504,"&lt;="&amp;K$5,'Time Off Log'!$J$5:$J$504,"&gt;="&amp;K$5,'Time Off Log'!$E$5:$E$504,"Approved")&gt;0,"U",IF(COUNTIFS('Time Off Log'!$A$5:$A$504,$B7,'Time Off Log'!$C$5:$C$504,"&lt;="&amp;K$5,'Time Off Log'!$J$5:$J$504,"&gt;="&amp;K$5,'Time Off Log'!$E$5:$E$504,"Pending")&gt;0,"?",""))))))</f>
        <v/>
      </c>
      <c r="L7" s="44">
        <f>IF(OR(L$5="",$B7=""),"",IF(OR(WEEKDAY(L$5,2)&gt;5,COUNTIF(Holidays!$A$5:$A$40,L$5)&gt;0),"",IF(COUNTIFS('Time Off Log'!$A$5:$A$504,$B7,'Time Off Log'!$C$5:$C$504,"&lt;="&amp;L$5,'Time Off Log'!$J$5:$J$504,"&gt;="&amp;L$5,'Time Off Log'!$B$5:$B$504,"PTO",'Time Off Log'!$E$5:$E$504,"Approved")&gt;0,"P",IF(COUNTIFS('Time Off Log'!$A$5:$A$504,$B7,'Time Off Log'!$C$5:$C$504,"&lt;="&amp;L$5,'Time Off Log'!$J$5:$J$504,"&gt;="&amp;L$5,'Time Off Log'!$B$5:$B$504,"Sick",'Time Off Log'!$E$5:$E$504,"Approved")&gt;0,"S",IF(COUNTIFS('Time Off Log'!$A$5:$A$504,$B7,'Time Off Log'!$C$5:$C$504,"&lt;="&amp;L$5,'Time Off Log'!$J$5:$J$504,"&gt;="&amp;L$5,'Time Off Log'!$E$5:$E$504,"Approved")&gt;0,"U",IF(COUNTIFS('Time Off Log'!$A$5:$A$504,$B7,'Time Off Log'!$C$5:$C$504,"&lt;="&amp;L$5,'Time Off Log'!$J$5:$J$504,"&gt;="&amp;L$5,'Time Off Log'!$E$5:$E$504,"Pending")&gt;0,"?",""))))))</f>
        <v/>
      </c>
      <c r="M7" s="44">
        <f>IF(OR(M$5="",$B7=""),"",IF(OR(WEEKDAY(M$5,2)&gt;5,COUNTIF(Holidays!$A$5:$A$40,M$5)&gt;0),"",IF(COUNTIFS('Time Off Log'!$A$5:$A$504,$B7,'Time Off Log'!$C$5:$C$504,"&lt;="&amp;M$5,'Time Off Log'!$J$5:$J$504,"&gt;="&amp;M$5,'Time Off Log'!$B$5:$B$504,"PTO",'Time Off Log'!$E$5:$E$504,"Approved")&gt;0,"P",IF(COUNTIFS('Time Off Log'!$A$5:$A$504,$B7,'Time Off Log'!$C$5:$C$504,"&lt;="&amp;M$5,'Time Off Log'!$J$5:$J$504,"&gt;="&amp;M$5,'Time Off Log'!$B$5:$B$504,"Sick",'Time Off Log'!$E$5:$E$504,"Approved")&gt;0,"S",IF(COUNTIFS('Time Off Log'!$A$5:$A$504,$B7,'Time Off Log'!$C$5:$C$504,"&lt;="&amp;M$5,'Time Off Log'!$J$5:$J$504,"&gt;="&amp;M$5,'Time Off Log'!$E$5:$E$504,"Approved")&gt;0,"U",IF(COUNTIFS('Time Off Log'!$A$5:$A$504,$B7,'Time Off Log'!$C$5:$C$504,"&lt;="&amp;M$5,'Time Off Log'!$J$5:$J$504,"&gt;="&amp;M$5,'Time Off Log'!$E$5:$E$504,"Pending")&gt;0,"?",""))))))</f>
        <v/>
      </c>
      <c r="N7" s="44">
        <f>IF(OR(N$5="",$B7=""),"",IF(OR(WEEKDAY(N$5,2)&gt;5,COUNTIF(Holidays!$A$5:$A$40,N$5)&gt;0),"",IF(COUNTIFS('Time Off Log'!$A$5:$A$504,$B7,'Time Off Log'!$C$5:$C$504,"&lt;="&amp;N$5,'Time Off Log'!$J$5:$J$504,"&gt;="&amp;N$5,'Time Off Log'!$B$5:$B$504,"PTO",'Time Off Log'!$E$5:$E$504,"Approved")&gt;0,"P",IF(COUNTIFS('Time Off Log'!$A$5:$A$504,$B7,'Time Off Log'!$C$5:$C$504,"&lt;="&amp;N$5,'Time Off Log'!$J$5:$J$504,"&gt;="&amp;N$5,'Time Off Log'!$B$5:$B$504,"Sick",'Time Off Log'!$E$5:$E$504,"Approved")&gt;0,"S",IF(COUNTIFS('Time Off Log'!$A$5:$A$504,$B7,'Time Off Log'!$C$5:$C$504,"&lt;="&amp;N$5,'Time Off Log'!$J$5:$J$504,"&gt;="&amp;N$5,'Time Off Log'!$E$5:$E$504,"Approved")&gt;0,"U",IF(COUNTIFS('Time Off Log'!$A$5:$A$504,$B7,'Time Off Log'!$C$5:$C$504,"&lt;="&amp;N$5,'Time Off Log'!$J$5:$J$504,"&gt;="&amp;N$5,'Time Off Log'!$E$5:$E$504,"Pending")&gt;0,"?",""))))))</f>
        <v/>
      </c>
      <c r="O7" s="44">
        <f>IF(OR(O$5="",$B7=""),"",IF(OR(WEEKDAY(O$5,2)&gt;5,COUNTIF(Holidays!$A$5:$A$40,O$5)&gt;0),"",IF(COUNTIFS('Time Off Log'!$A$5:$A$504,$B7,'Time Off Log'!$C$5:$C$504,"&lt;="&amp;O$5,'Time Off Log'!$J$5:$J$504,"&gt;="&amp;O$5,'Time Off Log'!$B$5:$B$504,"PTO",'Time Off Log'!$E$5:$E$504,"Approved")&gt;0,"P",IF(COUNTIFS('Time Off Log'!$A$5:$A$504,$B7,'Time Off Log'!$C$5:$C$504,"&lt;="&amp;O$5,'Time Off Log'!$J$5:$J$504,"&gt;="&amp;O$5,'Time Off Log'!$B$5:$B$504,"Sick",'Time Off Log'!$E$5:$E$504,"Approved")&gt;0,"S",IF(COUNTIFS('Time Off Log'!$A$5:$A$504,$B7,'Time Off Log'!$C$5:$C$504,"&lt;="&amp;O$5,'Time Off Log'!$J$5:$J$504,"&gt;="&amp;O$5,'Time Off Log'!$E$5:$E$504,"Approved")&gt;0,"U",IF(COUNTIFS('Time Off Log'!$A$5:$A$504,$B7,'Time Off Log'!$C$5:$C$504,"&lt;="&amp;O$5,'Time Off Log'!$J$5:$J$504,"&gt;="&amp;O$5,'Time Off Log'!$E$5:$E$504,"Pending")&gt;0,"?",""))))))</f>
        <v/>
      </c>
      <c r="P7" s="44">
        <f>IF(OR(P$5="",$B7=""),"",IF(OR(WEEKDAY(P$5,2)&gt;5,COUNTIF(Holidays!$A$5:$A$40,P$5)&gt;0),"",IF(COUNTIFS('Time Off Log'!$A$5:$A$504,$B7,'Time Off Log'!$C$5:$C$504,"&lt;="&amp;P$5,'Time Off Log'!$J$5:$J$504,"&gt;="&amp;P$5,'Time Off Log'!$B$5:$B$504,"PTO",'Time Off Log'!$E$5:$E$504,"Approved")&gt;0,"P",IF(COUNTIFS('Time Off Log'!$A$5:$A$504,$B7,'Time Off Log'!$C$5:$C$504,"&lt;="&amp;P$5,'Time Off Log'!$J$5:$J$504,"&gt;="&amp;P$5,'Time Off Log'!$B$5:$B$504,"Sick",'Time Off Log'!$E$5:$E$504,"Approved")&gt;0,"S",IF(COUNTIFS('Time Off Log'!$A$5:$A$504,$B7,'Time Off Log'!$C$5:$C$504,"&lt;="&amp;P$5,'Time Off Log'!$J$5:$J$504,"&gt;="&amp;P$5,'Time Off Log'!$E$5:$E$504,"Approved")&gt;0,"U",IF(COUNTIFS('Time Off Log'!$A$5:$A$504,$B7,'Time Off Log'!$C$5:$C$504,"&lt;="&amp;P$5,'Time Off Log'!$J$5:$J$504,"&gt;="&amp;P$5,'Time Off Log'!$E$5:$E$504,"Pending")&gt;0,"?",""))))))</f>
        <v/>
      </c>
      <c r="Q7" s="44">
        <f>IF(OR(Q$5="",$B7=""),"",IF(OR(WEEKDAY(Q$5,2)&gt;5,COUNTIF(Holidays!$A$5:$A$40,Q$5)&gt;0),"",IF(COUNTIFS('Time Off Log'!$A$5:$A$504,$B7,'Time Off Log'!$C$5:$C$504,"&lt;="&amp;Q$5,'Time Off Log'!$J$5:$J$504,"&gt;="&amp;Q$5,'Time Off Log'!$B$5:$B$504,"PTO",'Time Off Log'!$E$5:$E$504,"Approved")&gt;0,"P",IF(COUNTIFS('Time Off Log'!$A$5:$A$504,$B7,'Time Off Log'!$C$5:$C$504,"&lt;="&amp;Q$5,'Time Off Log'!$J$5:$J$504,"&gt;="&amp;Q$5,'Time Off Log'!$B$5:$B$504,"Sick",'Time Off Log'!$E$5:$E$504,"Approved")&gt;0,"S",IF(COUNTIFS('Time Off Log'!$A$5:$A$504,$B7,'Time Off Log'!$C$5:$C$504,"&lt;="&amp;Q$5,'Time Off Log'!$J$5:$J$504,"&gt;="&amp;Q$5,'Time Off Log'!$E$5:$E$504,"Approved")&gt;0,"U",IF(COUNTIFS('Time Off Log'!$A$5:$A$504,$B7,'Time Off Log'!$C$5:$C$504,"&lt;="&amp;Q$5,'Time Off Log'!$J$5:$J$504,"&gt;="&amp;Q$5,'Time Off Log'!$E$5:$E$504,"Pending")&gt;0,"?",""))))))</f>
        <v/>
      </c>
      <c r="R7" s="44">
        <f>IF(OR(R$5="",$B7=""),"",IF(OR(WEEKDAY(R$5,2)&gt;5,COUNTIF(Holidays!$A$5:$A$40,R$5)&gt;0),"",IF(COUNTIFS('Time Off Log'!$A$5:$A$504,$B7,'Time Off Log'!$C$5:$C$504,"&lt;="&amp;R$5,'Time Off Log'!$J$5:$J$504,"&gt;="&amp;R$5,'Time Off Log'!$B$5:$B$504,"PTO",'Time Off Log'!$E$5:$E$504,"Approved")&gt;0,"P",IF(COUNTIFS('Time Off Log'!$A$5:$A$504,$B7,'Time Off Log'!$C$5:$C$504,"&lt;="&amp;R$5,'Time Off Log'!$J$5:$J$504,"&gt;="&amp;R$5,'Time Off Log'!$B$5:$B$504,"Sick",'Time Off Log'!$E$5:$E$504,"Approved")&gt;0,"S",IF(COUNTIFS('Time Off Log'!$A$5:$A$504,$B7,'Time Off Log'!$C$5:$C$504,"&lt;="&amp;R$5,'Time Off Log'!$J$5:$J$504,"&gt;="&amp;R$5,'Time Off Log'!$E$5:$E$504,"Approved")&gt;0,"U",IF(COUNTIFS('Time Off Log'!$A$5:$A$504,$B7,'Time Off Log'!$C$5:$C$504,"&lt;="&amp;R$5,'Time Off Log'!$J$5:$J$504,"&gt;="&amp;R$5,'Time Off Log'!$E$5:$E$504,"Pending")&gt;0,"?",""))))))</f>
        <v/>
      </c>
      <c r="S7" s="44">
        <f>IF(OR(S$5="",$B7=""),"",IF(OR(WEEKDAY(S$5,2)&gt;5,COUNTIF(Holidays!$A$5:$A$40,S$5)&gt;0),"",IF(COUNTIFS('Time Off Log'!$A$5:$A$504,$B7,'Time Off Log'!$C$5:$C$504,"&lt;="&amp;S$5,'Time Off Log'!$J$5:$J$504,"&gt;="&amp;S$5,'Time Off Log'!$B$5:$B$504,"PTO",'Time Off Log'!$E$5:$E$504,"Approved")&gt;0,"P",IF(COUNTIFS('Time Off Log'!$A$5:$A$504,$B7,'Time Off Log'!$C$5:$C$504,"&lt;="&amp;S$5,'Time Off Log'!$J$5:$J$504,"&gt;="&amp;S$5,'Time Off Log'!$B$5:$B$504,"Sick",'Time Off Log'!$E$5:$E$504,"Approved")&gt;0,"S",IF(COUNTIFS('Time Off Log'!$A$5:$A$504,$B7,'Time Off Log'!$C$5:$C$504,"&lt;="&amp;S$5,'Time Off Log'!$J$5:$J$504,"&gt;="&amp;S$5,'Time Off Log'!$E$5:$E$504,"Approved")&gt;0,"U",IF(COUNTIFS('Time Off Log'!$A$5:$A$504,$B7,'Time Off Log'!$C$5:$C$504,"&lt;="&amp;S$5,'Time Off Log'!$J$5:$J$504,"&gt;="&amp;S$5,'Time Off Log'!$E$5:$E$504,"Pending")&gt;0,"?",""))))))</f>
        <v/>
      </c>
      <c r="T7" s="44">
        <f>IF(OR(T$5="",$B7=""),"",IF(OR(WEEKDAY(T$5,2)&gt;5,COUNTIF(Holidays!$A$5:$A$40,T$5)&gt;0),"",IF(COUNTIFS('Time Off Log'!$A$5:$A$504,$B7,'Time Off Log'!$C$5:$C$504,"&lt;="&amp;T$5,'Time Off Log'!$J$5:$J$504,"&gt;="&amp;T$5,'Time Off Log'!$B$5:$B$504,"PTO",'Time Off Log'!$E$5:$E$504,"Approved")&gt;0,"P",IF(COUNTIFS('Time Off Log'!$A$5:$A$504,$B7,'Time Off Log'!$C$5:$C$504,"&lt;="&amp;T$5,'Time Off Log'!$J$5:$J$504,"&gt;="&amp;T$5,'Time Off Log'!$B$5:$B$504,"Sick",'Time Off Log'!$E$5:$E$504,"Approved")&gt;0,"S",IF(COUNTIFS('Time Off Log'!$A$5:$A$504,$B7,'Time Off Log'!$C$5:$C$504,"&lt;="&amp;T$5,'Time Off Log'!$J$5:$J$504,"&gt;="&amp;T$5,'Time Off Log'!$E$5:$E$504,"Approved")&gt;0,"U",IF(COUNTIFS('Time Off Log'!$A$5:$A$504,$B7,'Time Off Log'!$C$5:$C$504,"&lt;="&amp;T$5,'Time Off Log'!$J$5:$J$504,"&gt;="&amp;T$5,'Time Off Log'!$E$5:$E$504,"Pending")&gt;0,"?",""))))))</f>
        <v/>
      </c>
      <c r="U7" s="44">
        <f>IF(OR(U$5="",$B7=""),"",IF(OR(WEEKDAY(U$5,2)&gt;5,COUNTIF(Holidays!$A$5:$A$40,U$5)&gt;0),"",IF(COUNTIFS('Time Off Log'!$A$5:$A$504,$B7,'Time Off Log'!$C$5:$C$504,"&lt;="&amp;U$5,'Time Off Log'!$J$5:$J$504,"&gt;="&amp;U$5,'Time Off Log'!$B$5:$B$504,"PTO",'Time Off Log'!$E$5:$E$504,"Approved")&gt;0,"P",IF(COUNTIFS('Time Off Log'!$A$5:$A$504,$B7,'Time Off Log'!$C$5:$C$504,"&lt;="&amp;U$5,'Time Off Log'!$J$5:$J$504,"&gt;="&amp;U$5,'Time Off Log'!$B$5:$B$504,"Sick",'Time Off Log'!$E$5:$E$504,"Approved")&gt;0,"S",IF(COUNTIFS('Time Off Log'!$A$5:$A$504,$B7,'Time Off Log'!$C$5:$C$504,"&lt;="&amp;U$5,'Time Off Log'!$J$5:$J$504,"&gt;="&amp;U$5,'Time Off Log'!$E$5:$E$504,"Approved")&gt;0,"U",IF(COUNTIFS('Time Off Log'!$A$5:$A$504,$B7,'Time Off Log'!$C$5:$C$504,"&lt;="&amp;U$5,'Time Off Log'!$J$5:$J$504,"&gt;="&amp;U$5,'Time Off Log'!$E$5:$E$504,"Pending")&gt;0,"?",""))))))</f>
        <v/>
      </c>
      <c r="V7" s="44">
        <f>IF(OR(V$5="",$B7=""),"",IF(OR(WEEKDAY(V$5,2)&gt;5,COUNTIF(Holidays!$A$5:$A$40,V$5)&gt;0),"",IF(COUNTIFS('Time Off Log'!$A$5:$A$504,$B7,'Time Off Log'!$C$5:$C$504,"&lt;="&amp;V$5,'Time Off Log'!$J$5:$J$504,"&gt;="&amp;V$5,'Time Off Log'!$B$5:$B$504,"PTO",'Time Off Log'!$E$5:$E$504,"Approved")&gt;0,"P",IF(COUNTIFS('Time Off Log'!$A$5:$A$504,$B7,'Time Off Log'!$C$5:$C$504,"&lt;="&amp;V$5,'Time Off Log'!$J$5:$J$504,"&gt;="&amp;V$5,'Time Off Log'!$B$5:$B$504,"Sick",'Time Off Log'!$E$5:$E$504,"Approved")&gt;0,"S",IF(COUNTIFS('Time Off Log'!$A$5:$A$504,$B7,'Time Off Log'!$C$5:$C$504,"&lt;="&amp;V$5,'Time Off Log'!$J$5:$J$504,"&gt;="&amp;V$5,'Time Off Log'!$E$5:$E$504,"Approved")&gt;0,"U",IF(COUNTIFS('Time Off Log'!$A$5:$A$504,$B7,'Time Off Log'!$C$5:$C$504,"&lt;="&amp;V$5,'Time Off Log'!$J$5:$J$504,"&gt;="&amp;V$5,'Time Off Log'!$E$5:$E$504,"Pending")&gt;0,"?",""))))))</f>
        <v/>
      </c>
      <c r="W7" s="44">
        <f>IF(OR(W$5="",$B7=""),"",IF(OR(WEEKDAY(W$5,2)&gt;5,COUNTIF(Holidays!$A$5:$A$40,W$5)&gt;0),"",IF(COUNTIFS('Time Off Log'!$A$5:$A$504,$B7,'Time Off Log'!$C$5:$C$504,"&lt;="&amp;W$5,'Time Off Log'!$J$5:$J$504,"&gt;="&amp;W$5,'Time Off Log'!$B$5:$B$504,"PTO",'Time Off Log'!$E$5:$E$504,"Approved")&gt;0,"P",IF(COUNTIFS('Time Off Log'!$A$5:$A$504,$B7,'Time Off Log'!$C$5:$C$504,"&lt;="&amp;W$5,'Time Off Log'!$J$5:$J$504,"&gt;="&amp;W$5,'Time Off Log'!$B$5:$B$504,"Sick",'Time Off Log'!$E$5:$E$504,"Approved")&gt;0,"S",IF(COUNTIFS('Time Off Log'!$A$5:$A$504,$B7,'Time Off Log'!$C$5:$C$504,"&lt;="&amp;W$5,'Time Off Log'!$J$5:$J$504,"&gt;="&amp;W$5,'Time Off Log'!$E$5:$E$504,"Approved")&gt;0,"U",IF(COUNTIFS('Time Off Log'!$A$5:$A$504,$B7,'Time Off Log'!$C$5:$C$504,"&lt;="&amp;W$5,'Time Off Log'!$J$5:$J$504,"&gt;="&amp;W$5,'Time Off Log'!$E$5:$E$504,"Pending")&gt;0,"?",""))))))</f>
        <v/>
      </c>
      <c r="X7" s="44">
        <f>IF(OR(X$5="",$B7=""),"",IF(OR(WEEKDAY(X$5,2)&gt;5,COUNTIF(Holidays!$A$5:$A$40,X$5)&gt;0),"",IF(COUNTIFS('Time Off Log'!$A$5:$A$504,$B7,'Time Off Log'!$C$5:$C$504,"&lt;="&amp;X$5,'Time Off Log'!$J$5:$J$504,"&gt;="&amp;X$5,'Time Off Log'!$B$5:$B$504,"PTO",'Time Off Log'!$E$5:$E$504,"Approved")&gt;0,"P",IF(COUNTIFS('Time Off Log'!$A$5:$A$504,$B7,'Time Off Log'!$C$5:$C$504,"&lt;="&amp;X$5,'Time Off Log'!$J$5:$J$504,"&gt;="&amp;X$5,'Time Off Log'!$B$5:$B$504,"Sick",'Time Off Log'!$E$5:$E$504,"Approved")&gt;0,"S",IF(COUNTIFS('Time Off Log'!$A$5:$A$504,$B7,'Time Off Log'!$C$5:$C$504,"&lt;="&amp;X$5,'Time Off Log'!$J$5:$J$504,"&gt;="&amp;X$5,'Time Off Log'!$E$5:$E$504,"Approved")&gt;0,"U",IF(COUNTIFS('Time Off Log'!$A$5:$A$504,$B7,'Time Off Log'!$C$5:$C$504,"&lt;="&amp;X$5,'Time Off Log'!$J$5:$J$504,"&gt;="&amp;X$5,'Time Off Log'!$E$5:$E$504,"Pending")&gt;0,"?",""))))))</f>
        <v/>
      </c>
      <c r="Y7" s="44">
        <f>IF(OR(Y$5="",$B7=""),"",IF(OR(WEEKDAY(Y$5,2)&gt;5,COUNTIF(Holidays!$A$5:$A$40,Y$5)&gt;0),"",IF(COUNTIFS('Time Off Log'!$A$5:$A$504,$B7,'Time Off Log'!$C$5:$C$504,"&lt;="&amp;Y$5,'Time Off Log'!$J$5:$J$504,"&gt;="&amp;Y$5,'Time Off Log'!$B$5:$B$504,"PTO",'Time Off Log'!$E$5:$E$504,"Approved")&gt;0,"P",IF(COUNTIFS('Time Off Log'!$A$5:$A$504,$B7,'Time Off Log'!$C$5:$C$504,"&lt;="&amp;Y$5,'Time Off Log'!$J$5:$J$504,"&gt;="&amp;Y$5,'Time Off Log'!$B$5:$B$504,"Sick",'Time Off Log'!$E$5:$E$504,"Approved")&gt;0,"S",IF(COUNTIFS('Time Off Log'!$A$5:$A$504,$B7,'Time Off Log'!$C$5:$C$504,"&lt;="&amp;Y$5,'Time Off Log'!$J$5:$J$504,"&gt;="&amp;Y$5,'Time Off Log'!$E$5:$E$504,"Approved")&gt;0,"U",IF(COUNTIFS('Time Off Log'!$A$5:$A$504,$B7,'Time Off Log'!$C$5:$C$504,"&lt;="&amp;Y$5,'Time Off Log'!$J$5:$J$504,"&gt;="&amp;Y$5,'Time Off Log'!$E$5:$E$504,"Pending")&gt;0,"?",""))))))</f>
        <v/>
      </c>
      <c r="Z7" s="44">
        <f>IF(OR(Z$5="",$B7=""),"",IF(OR(WEEKDAY(Z$5,2)&gt;5,COUNTIF(Holidays!$A$5:$A$40,Z$5)&gt;0),"",IF(COUNTIFS('Time Off Log'!$A$5:$A$504,$B7,'Time Off Log'!$C$5:$C$504,"&lt;="&amp;Z$5,'Time Off Log'!$J$5:$J$504,"&gt;="&amp;Z$5,'Time Off Log'!$B$5:$B$504,"PTO",'Time Off Log'!$E$5:$E$504,"Approved")&gt;0,"P",IF(COUNTIFS('Time Off Log'!$A$5:$A$504,$B7,'Time Off Log'!$C$5:$C$504,"&lt;="&amp;Z$5,'Time Off Log'!$J$5:$J$504,"&gt;="&amp;Z$5,'Time Off Log'!$B$5:$B$504,"Sick",'Time Off Log'!$E$5:$E$504,"Approved")&gt;0,"S",IF(COUNTIFS('Time Off Log'!$A$5:$A$504,$B7,'Time Off Log'!$C$5:$C$504,"&lt;="&amp;Z$5,'Time Off Log'!$J$5:$J$504,"&gt;="&amp;Z$5,'Time Off Log'!$E$5:$E$504,"Approved")&gt;0,"U",IF(COUNTIFS('Time Off Log'!$A$5:$A$504,$B7,'Time Off Log'!$C$5:$C$504,"&lt;="&amp;Z$5,'Time Off Log'!$J$5:$J$504,"&gt;="&amp;Z$5,'Time Off Log'!$E$5:$E$504,"Pending")&gt;0,"?",""))))))</f>
        <v/>
      </c>
      <c r="AA7" s="44">
        <f>IF(OR(AA$5="",$B7=""),"",IF(OR(WEEKDAY(AA$5,2)&gt;5,COUNTIF(Holidays!$A$5:$A$40,AA$5)&gt;0),"",IF(COUNTIFS('Time Off Log'!$A$5:$A$504,$B7,'Time Off Log'!$C$5:$C$504,"&lt;="&amp;AA$5,'Time Off Log'!$J$5:$J$504,"&gt;="&amp;AA$5,'Time Off Log'!$B$5:$B$504,"PTO",'Time Off Log'!$E$5:$E$504,"Approved")&gt;0,"P",IF(COUNTIFS('Time Off Log'!$A$5:$A$504,$B7,'Time Off Log'!$C$5:$C$504,"&lt;="&amp;AA$5,'Time Off Log'!$J$5:$J$504,"&gt;="&amp;AA$5,'Time Off Log'!$B$5:$B$504,"Sick",'Time Off Log'!$E$5:$E$504,"Approved")&gt;0,"S",IF(COUNTIFS('Time Off Log'!$A$5:$A$504,$B7,'Time Off Log'!$C$5:$C$504,"&lt;="&amp;AA$5,'Time Off Log'!$J$5:$J$504,"&gt;="&amp;AA$5,'Time Off Log'!$E$5:$E$504,"Approved")&gt;0,"U",IF(COUNTIFS('Time Off Log'!$A$5:$A$504,$B7,'Time Off Log'!$C$5:$C$504,"&lt;="&amp;AA$5,'Time Off Log'!$J$5:$J$504,"&gt;="&amp;AA$5,'Time Off Log'!$E$5:$E$504,"Pending")&gt;0,"?",""))))))</f>
        <v/>
      </c>
      <c r="AB7" s="44">
        <f>IF(OR(AB$5="",$B7=""),"",IF(OR(WEEKDAY(AB$5,2)&gt;5,COUNTIF(Holidays!$A$5:$A$40,AB$5)&gt;0),"",IF(COUNTIFS('Time Off Log'!$A$5:$A$504,$B7,'Time Off Log'!$C$5:$C$504,"&lt;="&amp;AB$5,'Time Off Log'!$J$5:$J$504,"&gt;="&amp;AB$5,'Time Off Log'!$B$5:$B$504,"PTO",'Time Off Log'!$E$5:$E$504,"Approved")&gt;0,"P",IF(COUNTIFS('Time Off Log'!$A$5:$A$504,$B7,'Time Off Log'!$C$5:$C$504,"&lt;="&amp;AB$5,'Time Off Log'!$J$5:$J$504,"&gt;="&amp;AB$5,'Time Off Log'!$B$5:$B$504,"Sick",'Time Off Log'!$E$5:$E$504,"Approved")&gt;0,"S",IF(COUNTIFS('Time Off Log'!$A$5:$A$504,$B7,'Time Off Log'!$C$5:$C$504,"&lt;="&amp;AB$5,'Time Off Log'!$J$5:$J$504,"&gt;="&amp;AB$5,'Time Off Log'!$E$5:$E$504,"Approved")&gt;0,"U",IF(COUNTIFS('Time Off Log'!$A$5:$A$504,$B7,'Time Off Log'!$C$5:$C$504,"&lt;="&amp;AB$5,'Time Off Log'!$J$5:$J$504,"&gt;="&amp;AB$5,'Time Off Log'!$E$5:$E$504,"Pending")&gt;0,"?",""))))))</f>
        <v/>
      </c>
      <c r="AC7" s="44">
        <f>IF(OR(AC$5="",$B7=""),"",IF(OR(WEEKDAY(AC$5,2)&gt;5,COUNTIF(Holidays!$A$5:$A$40,AC$5)&gt;0),"",IF(COUNTIFS('Time Off Log'!$A$5:$A$504,$B7,'Time Off Log'!$C$5:$C$504,"&lt;="&amp;AC$5,'Time Off Log'!$J$5:$J$504,"&gt;="&amp;AC$5,'Time Off Log'!$B$5:$B$504,"PTO",'Time Off Log'!$E$5:$E$504,"Approved")&gt;0,"P",IF(COUNTIFS('Time Off Log'!$A$5:$A$504,$B7,'Time Off Log'!$C$5:$C$504,"&lt;="&amp;AC$5,'Time Off Log'!$J$5:$J$504,"&gt;="&amp;AC$5,'Time Off Log'!$B$5:$B$504,"Sick",'Time Off Log'!$E$5:$E$504,"Approved")&gt;0,"S",IF(COUNTIFS('Time Off Log'!$A$5:$A$504,$B7,'Time Off Log'!$C$5:$C$504,"&lt;="&amp;AC$5,'Time Off Log'!$J$5:$J$504,"&gt;="&amp;AC$5,'Time Off Log'!$E$5:$E$504,"Approved")&gt;0,"U",IF(COUNTIFS('Time Off Log'!$A$5:$A$504,$B7,'Time Off Log'!$C$5:$C$504,"&lt;="&amp;AC$5,'Time Off Log'!$J$5:$J$504,"&gt;="&amp;AC$5,'Time Off Log'!$E$5:$E$504,"Pending")&gt;0,"?",""))))))</f>
        <v/>
      </c>
      <c r="AD7" s="44">
        <f>IF(OR(AD$5="",$B7=""),"",IF(OR(WEEKDAY(AD$5,2)&gt;5,COUNTIF(Holidays!$A$5:$A$40,AD$5)&gt;0),"",IF(COUNTIFS('Time Off Log'!$A$5:$A$504,$B7,'Time Off Log'!$C$5:$C$504,"&lt;="&amp;AD$5,'Time Off Log'!$J$5:$J$504,"&gt;="&amp;AD$5,'Time Off Log'!$B$5:$B$504,"PTO",'Time Off Log'!$E$5:$E$504,"Approved")&gt;0,"P",IF(COUNTIFS('Time Off Log'!$A$5:$A$504,$B7,'Time Off Log'!$C$5:$C$504,"&lt;="&amp;AD$5,'Time Off Log'!$J$5:$J$504,"&gt;="&amp;AD$5,'Time Off Log'!$B$5:$B$504,"Sick",'Time Off Log'!$E$5:$E$504,"Approved")&gt;0,"S",IF(COUNTIFS('Time Off Log'!$A$5:$A$504,$B7,'Time Off Log'!$C$5:$C$504,"&lt;="&amp;AD$5,'Time Off Log'!$J$5:$J$504,"&gt;="&amp;AD$5,'Time Off Log'!$E$5:$E$504,"Approved")&gt;0,"U",IF(COUNTIFS('Time Off Log'!$A$5:$A$504,$B7,'Time Off Log'!$C$5:$C$504,"&lt;="&amp;AD$5,'Time Off Log'!$J$5:$J$504,"&gt;="&amp;AD$5,'Time Off Log'!$E$5:$E$504,"Pending")&gt;0,"?",""))))))</f>
        <v/>
      </c>
      <c r="AE7" s="44">
        <f>IF(OR(AE$5="",$B7=""),"",IF(OR(WEEKDAY(AE$5,2)&gt;5,COUNTIF(Holidays!$A$5:$A$40,AE$5)&gt;0),"",IF(COUNTIFS('Time Off Log'!$A$5:$A$504,$B7,'Time Off Log'!$C$5:$C$504,"&lt;="&amp;AE$5,'Time Off Log'!$J$5:$J$504,"&gt;="&amp;AE$5,'Time Off Log'!$B$5:$B$504,"PTO",'Time Off Log'!$E$5:$E$504,"Approved")&gt;0,"P",IF(COUNTIFS('Time Off Log'!$A$5:$A$504,$B7,'Time Off Log'!$C$5:$C$504,"&lt;="&amp;AE$5,'Time Off Log'!$J$5:$J$504,"&gt;="&amp;AE$5,'Time Off Log'!$B$5:$B$504,"Sick",'Time Off Log'!$E$5:$E$504,"Approved")&gt;0,"S",IF(COUNTIFS('Time Off Log'!$A$5:$A$504,$B7,'Time Off Log'!$C$5:$C$504,"&lt;="&amp;AE$5,'Time Off Log'!$J$5:$J$504,"&gt;="&amp;AE$5,'Time Off Log'!$E$5:$E$504,"Approved")&gt;0,"U",IF(COUNTIFS('Time Off Log'!$A$5:$A$504,$B7,'Time Off Log'!$C$5:$C$504,"&lt;="&amp;AE$5,'Time Off Log'!$J$5:$J$504,"&gt;="&amp;AE$5,'Time Off Log'!$E$5:$E$504,"Pending")&gt;0,"?",""))))))</f>
        <v/>
      </c>
      <c r="AF7" s="44">
        <f>IF(OR(AF$5="",$B7=""),"",IF(OR(WEEKDAY(AF$5,2)&gt;5,COUNTIF(Holidays!$A$5:$A$40,AF$5)&gt;0),"",IF(COUNTIFS('Time Off Log'!$A$5:$A$504,$B7,'Time Off Log'!$C$5:$C$504,"&lt;="&amp;AF$5,'Time Off Log'!$J$5:$J$504,"&gt;="&amp;AF$5,'Time Off Log'!$B$5:$B$504,"PTO",'Time Off Log'!$E$5:$E$504,"Approved")&gt;0,"P",IF(COUNTIFS('Time Off Log'!$A$5:$A$504,$B7,'Time Off Log'!$C$5:$C$504,"&lt;="&amp;AF$5,'Time Off Log'!$J$5:$J$504,"&gt;="&amp;AF$5,'Time Off Log'!$B$5:$B$504,"Sick",'Time Off Log'!$E$5:$E$504,"Approved")&gt;0,"S",IF(COUNTIFS('Time Off Log'!$A$5:$A$504,$B7,'Time Off Log'!$C$5:$C$504,"&lt;="&amp;AF$5,'Time Off Log'!$J$5:$J$504,"&gt;="&amp;AF$5,'Time Off Log'!$E$5:$E$504,"Approved")&gt;0,"U",IF(COUNTIFS('Time Off Log'!$A$5:$A$504,$B7,'Time Off Log'!$C$5:$C$504,"&lt;="&amp;AF$5,'Time Off Log'!$J$5:$J$504,"&gt;="&amp;AF$5,'Time Off Log'!$E$5:$E$504,"Pending")&gt;0,"?",""))))))</f>
        <v/>
      </c>
      <c r="AG7" s="44">
        <f>IF(OR(AG$5="",$B7=""),"",IF(OR(WEEKDAY(AG$5,2)&gt;5,COUNTIF(Holidays!$A$5:$A$40,AG$5)&gt;0),"",IF(COUNTIFS('Time Off Log'!$A$5:$A$504,$B7,'Time Off Log'!$C$5:$C$504,"&lt;="&amp;AG$5,'Time Off Log'!$J$5:$J$504,"&gt;="&amp;AG$5,'Time Off Log'!$B$5:$B$504,"PTO",'Time Off Log'!$E$5:$E$504,"Approved")&gt;0,"P",IF(COUNTIFS('Time Off Log'!$A$5:$A$504,$B7,'Time Off Log'!$C$5:$C$504,"&lt;="&amp;AG$5,'Time Off Log'!$J$5:$J$504,"&gt;="&amp;AG$5,'Time Off Log'!$B$5:$B$504,"Sick",'Time Off Log'!$E$5:$E$504,"Approved")&gt;0,"S",IF(COUNTIFS('Time Off Log'!$A$5:$A$504,$B7,'Time Off Log'!$C$5:$C$504,"&lt;="&amp;AG$5,'Time Off Log'!$J$5:$J$504,"&gt;="&amp;AG$5,'Time Off Log'!$E$5:$E$504,"Approved")&gt;0,"U",IF(COUNTIFS('Time Off Log'!$A$5:$A$504,$B7,'Time Off Log'!$C$5:$C$504,"&lt;="&amp;AG$5,'Time Off Log'!$J$5:$J$504,"&gt;="&amp;AG$5,'Time Off Log'!$E$5:$E$504,"Pending")&gt;0,"?",""))))))</f>
        <v/>
      </c>
    </row>
    <row r="8">
      <c r="A8" s="24" t="n">
        <v>3</v>
      </c>
      <c r="B8" s="24">
        <f>IF(Employees!B7="","",Employees!B7)</f>
        <v/>
      </c>
      <c r="C8" s="44">
        <f>IF(OR(C$5="",$B8=""),"",IF(OR(WEEKDAY(C$5,2)&gt;5,COUNTIF(Holidays!$A$5:$A$40,C$5)&gt;0),"",IF(COUNTIFS('Time Off Log'!$A$5:$A$504,$B8,'Time Off Log'!$C$5:$C$504,"&lt;="&amp;C$5,'Time Off Log'!$J$5:$J$504,"&gt;="&amp;C$5,'Time Off Log'!$B$5:$B$504,"PTO",'Time Off Log'!$E$5:$E$504,"Approved")&gt;0,"P",IF(COUNTIFS('Time Off Log'!$A$5:$A$504,$B8,'Time Off Log'!$C$5:$C$504,"&lt;="&amp;C$5,'Time Off Log'!$J$5:$J$504,"&gt;="&amp;C$5,'Time Off Log'!$B$5:$B$504,"Sick",'Time Off Log'!$E$5:$E$504,"Approved")&gt;0,"S",IF(COUNTIFS('Time Off Log'!$A$5:$A$504,$B8,'Time Off Log'!$C$5:$C$504,"&lt;="&amp;C$5,'Time Off Log'!$J$5:$J$504,"&gt;="&amp;C$5,'Time Off Log'!$E$5:$E$504,"Approved")&gt;0,"U",IF(COUNTIFS('Time Off Log'!$A$5:$A$504,$B8,'Time Off Log'!$C$5:$C$504,"&lt;="&amp;C$5,'Time Off Log'!$J$5:$J$504,"&gt;="&amp;C$5,'Time Off Log'!$E$5:$E$504,"Pending")&gt;0,"?",""))))))</f>
        <v/>
      </c>
      <c r="D8" s="44">
        <f>IF(OR(D$5="",$B8=""),"",IF(OR(WEEKDAY(D$5,2)&gt;5,COUNTIF(Holidays!$A$5:$A$40,D$5)&gt;0),"",IF(COUNTIFS('Time Off Log'!$A$5:$A$504,$B8,'Time Off Log'!$C$5:$C$504,"&lt;="&amp;D$5,'Time Off Log'!$J$5:$J$504,"&gt;="&amp;D$5,'Time Off Log'!$B$5:$B$504,"PTO",'Time Off Log'!$E$5:$E$504,"Approved")&gt;0,"P",IF(COUNTIFS('Time Off Log'!$A$5:$A$504,$B8,'Time Off Log'!$C$5:$C$504,"&lt;="&amp;D$5,'Time Off Log'!$J$5:$J$504,"&gt;="&amp;D$5,'Time Off Log'!$B$5:$B$504,"Sick",'Time Off Log'!$E$5:$E$504,"Approved")&gt;0,"S",IF(COUNTIFS('Time Off Log'!$A$5:$A$504,$B8,'Time Off Log'!$C$5:$C$504,"&lt;="&amp;D$5,'Time Off Log'!$J$5:$J$504,"&gt;="&amp;D$5,'Time Off Log'!$E$5:$E$504,"Approved")&gt;0,"U",IF(COUNTIFS('Time Off Log'!$A$5:$A$504,$B8,'Time Off Log'!$C$5:$C$504,"&lt;="&amp;D$5,'Time Off Log'!$J$5:$J$504,"&gt;="&amp;D$5,'Time Off Log'!$E$5:$E$504,"Pending")&gt;0,"?",""))))))</f>
        <v/>
      </c>
      <c r="E8" s="44">
        <f>IF(OR(E$5="",$B8=""),"",IF(OR(WEEKDAY(E$5,2)&gt;5,COUNTIF(Holidays!$A$5:$A$40,E$5)&gt;0),"",IF(COUNTIFS('Time Off Log'!$A$5:$A$504,$B8,'Time Off Log'!$C$5:$C$504,"&lt;="&amp;E$5,'Time Off Log'!$J$5:$J$504,"&gt;="&amp;E$5,'Time Off Log'!$B$5:$B$504,"PTO",'Time Off Log'!$E$5:$E$504,"Approved")&gt;0,"P",IF(COUNTIFS('Time Off Log'!$A$5:$A$504,$B8,'Time Off Log'!$C$5:$C$504,"&lt;="&amp;E$5,'Time Off Log'!$J$5:$J$504,"&gt;="&amp;E$5,'Time Off Log'!$B$5:$B$504,"Sick",'Time Off Log'!$E$5:$E$504,"Approved")&gt;0,"S",IF(COUNTIFS('Time Off Log'!$A$5:$A$504,$B8,'Time Off Log'!$C$5:$C$504,"&lt;="&amp;E$5,'Time Off Log'!$J$5:$J$504,"&gt;="&amp;E$5,'Time Off Log'!$E$5:$E$504,"Approved")&gt;0,"U",IF(COUNTIFS('Time Off Log'!$A$5:$A$504,$B8,'Time Off Log'!$C$5:$C$504,"&lt;="&amp;E$5,'Time Off Log'!$J$5:$J$504,"&gt;="&amp;E$5,'Time Off Log'!$E$5:$E$504,"Pending")&gt;0,"?",""))))))</f>
        <v/>
      </c>
      <c r="F8" s="44">
        <f>IF(OR(F$5="",$B8=""),"",IF(OR(WEEKDAY(F$5,2)&gt;5,COUNTIF(Holidays!$A$5:$A$40,F$5)&gt;0),"",IF(COUNTIFS('Time Off Log'!$A$5:$A$504,$B8,'Time Off Log'!$C$5:$C$504,"&lt;="&amp;F$5,'Time Off Log'!$J$5:$J$504,"&gt;="&amp;F$5,'Time Off Log'!$B$5:$B$504,"PTO",'Time Off Log'!$E$5:$E$504,"Approved")&gt;0,"P",IF(COUNTIFS('Time Off Log'!$A$5:$A$504,$B8,'Time Off Log'!$C$5:$C$504,"&lt;="&amp;F$5,'Time Off Log'!$J$5:$J$504,"&gt;="&amp;F$5,'Time Off Log'!$B$5:$B$504,"Sick",'Time Off Log'!$E$5:$E$504,"Approved")&gt;0,"S",IF(COUNTIFS('Time Off Log'!$A$5:$A$504,$B8,'Time Off Log'!$C$5:$C$504,"&lt;="&amp;F$5,'Time Off Log'!$J$5:$J$504,"&gt;="&amp;F$5,'Time Off Log'!$E$5:$E$504,"Approved")&gt;0,"U",IF(COUNTIFS('Time Off Log'!$A$5:$A$504,$B8,'Time Off Log'!$C$5:$C$504,"&lt;="&amp;F$5,'Time Off Log'!$J$5:$J$504,"&gt;="&amp;F$5,'Time Off Log'!$E$5:$E$504,"Pending")&gt;0,"?",""))))))</f>
        <v/>
      </c>
      <c r="G8" s="44">
        <f>IF(OR(G$5="",$B8=""),"",IF(OR(WEEKDAY(G$5,2)&gt;5,COUNTIF(Holidays!$A$5:$A$40,G$5)&gt;0),"",IF(COUNTIFS('Time Off Log'!$A$5:$A$504,$B8,'Time Off Log'!$C$5:$C$504,"&lt;="&amp;G$5,'Time Off Log'!$J$5:$J$504,"&gt;="&amp;G$5,'Time Off Log'!$B$5:$B$504,"PTO",'Time Off Log'!$E$5:$E$504,"Approved")&gt;0,"P",IF(COUNTIFS('Time Off Log'!$A$5:$A$504,$B8,'Time Off Log'!$C$5:$C$504,"&lt;="&amp;G$5,'Time Off Log'!$J$5:$J$504,"&gt;="&amp;G$5,'Time Off Log'!$B$5:$B$504,"Sick",'Time Off Log'!$E$5:$E$504,"Approved")&gt;0,"S",IF(COUNTIFS('Time Off Log'!$A$5:$A$504,$B8,'Time Off Log'!$C$5:$C$504,"&lt;="&amp;G$5,'Time Off Log'!$J$5:$J$504,"&gt;="&amp;G$5,'Time Off Log'!$E$5:$E$504,"Approved")&gt;0,"U",IF(COUNTIFS('Time Off Log'!$A$5:$A$504,$B8,'Time Off Log'!$C$5:$C$504,"&lt;="&amp;G$5,'Time Off Log'!$J$5:$J$504,"&gt;="&amp;G$5,'Time Off Log'!$E$5:$E$504,"Pending")&gt;0,"?",""))))))</f>
        <v/>
      </c>
      <c r="H8" s="44">
        <f>IF(OR(H$5="",$B8=""),"",IF(OR(WEEKDAY(H$5,2)&gt;5,COUNTIF(Holidays!$A$5:$A$40,H$5)&gt;0),"",IF(COUNTIFS('Time Off Log'!$A$5:$A$504,$B8,'Time Off Log'!$C$5:$C$504,"&lt;="&amp;H$5,'Time Off Log'!$J$5:$J$504,"&gt;="&amp;H$5,'Time Off Log'!$B$5:$B$504,"PTO",'Time Off Log'!$E$5:$E$504,"Approved")&gt;0,"P",IF(COUNTIFS('Time Off Log'!$A$5:$A$504,$B8,'Time Off Log'!$C$5:$C$504,"&lt;="&amp;H$5,'Time Off Log'!$J$5:$J$504,"&gt;="&amp;H$5,'Time Off Log'!$B$5:$B$504,"Sick",'Time Off Log'!$E$5:$E$504,"Approved")&gt;0,"S",IF(COUNTIFS('Time Off Log'!$A$5:$A$504,$B8,'Time Off Log'!$C$5:$C$504,"&lt;="&amp;H$5,'Time Off Log'!$J$5:$J$504,"&gt;="&amp;H$5,'Time Off Log'!$E$5:$E$504,"Approved")&gt;0,"U",IF(COUNTIFS('Time Off Log'!$A$5:$A$504,$B8,'Time Off Log'!$C$5:$C$504,"&lt;="&amp;H$5,'Time Off Log'!$J$5:$J$504,"&gt;="&amp;H$5,'Time Off Log'!$E$5:$E$504,"Pending")&gt;0,"?",""))))))</f>
        <v/>
      </c>
      <c r="I8" s="44">
        <f>IF(OR(I$5="",$B8=""),"",IF(OR(WEEKDAY(I$5,2)&gt;5,COUNTIF(Holidays!$A$5:$A$40,I$5)&gt;0),"",IF(COUNTIFS('Time Off Log'!$A$5:$A$504,$B8,'Time Off Log'!$C$5:$C$504,"&lt;="&amp;I$5,'Time Off Log'!$J$5:$J$504,"&gt;="&amp;I$5,'Time Off Log'!$B$5:$B$504,"PTO",'Time Off Log'!$E$5:$E$504,"Approved")&gt;0,"P",IF(COUNTIFS('Time Off Log'!$A$5:$A$504,$B8,'Time Off Log'!$C$5:$C$504,"&lt;="&amp;I$5,'Time Off Log'!$J$5:$J$504,"&gt;="&amp;I$5,'Time Off Log'!$B$5:$B$504,"Sick",'Time Off Log'!$E$5:$E$504,"Approved")&gt;0,"S",IF(COUNTIFS('Time Off Log'!$A$5:$A$504,$B8,'Time Off Log'!$C$5:$C$504,"&lt;="&amp;I$5,'Time Off Log'!$J$5:$J$504,"&gt;="&amp;I$5,'Time Off Log'!$E$5:$E$504,"Approved")&gt;0,"U",IF(COUNTIFS('Time Off Log'!$A$5:$A$504,$B8,'Time Off Log'!$C$5:$C$504,"&lt;="&amp;I$5,'Time Off Log'!$J$5:$J$504,"&gt;="&amp;I$5,'Time Off Log'!$E$5:$E$504,"Pending")&gt;0,"?",""))))))</f>
        <v/>
      </c>
      <c r="J8" s="44">
        <f>IF(OR(J$5="",$B8=""),"",IF(OR(WEEKDAY(J$5,2)&gt;5,COUNTIF(Holidays!$A$5:$A$40,J$5)&gt;0),"",IF(COUNTIFS('Time Off Log'!$A$5:$A$504,$B8,'Time Off Log'!$C$5:$C$504,"&lt;="&amp;J$5,'Time Off Log'!$J$5:$J$504,"&gt;="&amp;J$5,'Time Off Log'!$B$5:$B$504,"PTO",'Time Off Log'!$E$5:$E$504,"Approved")&gt;0,"P",IF(COUNTIFS('Time Off Log'!$A$5:$A$504,$B8,'Time Off Log'!$C$5:$C$504,"&lt;="&amp;J$5,'Time Off Log'!$J$5:$J$504,"&gt;="&amp;J$5,'Time Off Log'!$B$5:$B$504,"Sick",'Time Off Log'!$E$5:$E$504,"Approved")&gt;0,"S",IF(COUNTIFS('Time Off Log'!$A$5:$A$504,$B8,'Time Off Log'!$C$5:$C$504,"&lt;="&amp;J$5,'Time Off Log'!$J$5:$J$504,"&gt;="&amp;J$5,'Time Off Log'!$E$5:$E$504,"Approved")&gt;0,"U",IF(COUNTIFS('Time Off Log'!$A$5:$A$504,$B8,'Time Off Log'!$C$5:$C$504,"&lt;="&amp;J$5,'Time Off Log'!$J$5:$J$504,"&gt;="&amp;J$5,'Time Off Log'!$E$5:$E$504,"Pending")&gt;0,"?",""))))))</f>
        <v/>
      </c>
      <c r="K8" s="44">
        <f>IF(OR(K$5="",$B8=""),"",IF(OR(WEEKDAY(K$5,2)&gt;5,COUNTIF(Holidays!$A$5:$A$40,K$5)&gt;0),"",IF(COUNTIFS('Time Off Log'!$A$5:$A$504,$B8,'Time Off Log'!$C$5:$C$504,"&lt;="&amp;K$5,'Time Off Log'!$J$5:$J$504,"&gt;="&amp;K$5,'Time Off Log'!$B$5:$B$504,"PTO",'Time Off Log'!$E$5:$E$504,"Approved")&gt;0,"P",IF(COUNTIFS('Time Off Log'!$A$5:$A$504,$B8,'Time Off Log'!$C$5:$C$504,"&lt;="&amp;K$5,'Time Off Log'!$J$5:$J$504,"&gt;="&amp;K$5,'Time Off Log'!$B$5:$B$504,"Sick",'Time Off Log'!$E$5:$E$504,"Approved")&gt;0,"S",IF(COUNTIFS('Time Off Log'!$A$5:$A$504,$B8,'Time Off Log'!$C$5:$C$504,"&lt;="&amp;K$5,'Time Off Log'!$J$5:$J$504,"&gt;="&amp;K$5,'Time Off Log'!$E$5:$E$504,"Approved")&gt;0,"U",IF(COUNTIFS('Time Off Log'!$A$5:$A$504,$B8,'Time Off Log'!$C$5:$C$504,"&lt;="&amp;K$5,'Time Off Log'!$J$5:$J$504,"&gt;="&amp;K$5,'Time Off Log'!$E$5:$E$504,"Pending")&gt;0,"?",""))))))</f>
        <v/>
      </c>
      <c r="L8" s="44">
        <f>IF(OR(L$5="",$B8=""),"",IF(OR(WEEKDAY(L$5,2)&gt;5,COUNTIF(Holidays!$A$5:$A$40,L$5)&gt;0),"",IF(COUNTIFS('Time Off Log'!$A$5:$A$504,$B8,'Time Off Log'!$C$5:$C$504,"&lt;="&amp;L$5,'Time Off Log'!$J$5:$J$504,"&gt;="&amp;L$5,'Time Off Log'!$B$5:$B$504,"PTO",'Time Off Log'!$E$5:$E$504,"Approved")&gt;0,"P",IF(COUNTIFS('Time Off Log'!$A$5:$A$504,$B8,'Time Off Log'!$C$5:$C$504,"&lt;="&amp;L$5,'Time Off Log'!$J$5:$J$504,"&gt;="&amp;L$5,'Time Off Log'!$B$5:$B$504,"Sick",'Time Off Log'!$E$5:$E$504,"Approved")&gt;0,"S",IF(COUNTIFS('Time Off Log'!$A$5:$A$504,$B8,'Time Off Log'!$C$5:$C$504,"&lt;="&amp;L$5,'Time Off Log'!$J$5:$J$504,"&gt;="&amp;L$5,'Time Off Log'!$E$5:$E$504,"Approved")&gt;0,"U",IF(COUNTIFS('Time Off Log'!$A$5:$A$504,$B8,'Time Off Log'!$C$5:$C$504,"&lt;="&amp;L$5,'Time Off Log'!$J$5:$J$504,"&gt;="&amp;L$5,'Time Off Log'!$E$5:$E$504,"Pending")&gt;0,"?",""))))))</f>
        <v/>
      </c>
      <c r="M8" s="44">
        <f>IF(OR(M$5="",$B8=""),"",IF(OR(WEEKDAY(M$5,2)&gt;5,COUNTIF(Holidays!$A$5:$A$40,M$5)&gt;0),"",IF(COUNTIFS('Time Off Log'!$A$5:$A$504,$B8,'Time Off Log'!$C$5:$C$504,"&lt;="&amp;M$5,'Time Off Log'!$J$5:$J$504,"&gt;="&amp;M$5,'Time Off Log'!$B$5:$B$504,"PTO",'Time Off Log'!$E$5:$E$504,"Approved")&gt;0,"P",IF(COUNTIFS('Time Off Log'!$A$5:$A$504,$B8,'Time Off Log'!$C$5:$C$504,"&lt;="&amp;M$5,'Time Off Log'!$J$5:$J$504,"&gt;="&amp;M$5,'Time Off Log'!$B$5:$B$504,"Sick",'Time Off Log'!$E$5:$E$504,"Approved")&gt;0,"S",IF(COUNTIFS('Time Off Log'!$A$5:$A$504,$B8,'Time Off Log'!$C$5:$C$504,"&lt;="&amp;M$5,'Time Off Log'!$J$5:$J$504,"&gt;="&amp;M$5,'Time Off Log'!$E$5:$E$504,"Approved")&gt;0,"U",IF(COUNTIFS('Time Off Log'!$A$5:$A$504,$B8,'Time Off Log'!$C$5:$C$504,"&lt;="&amp;M$5,'Time Off Log'!$J$5:$J$504,"&gt;="&amp;M$5,'Time Off Log'!$E$5:$E$504,"Pending")&gt;0,"?",""))))))</f>
        <v/>
      </c>
      <c r="N8" s="44">
        <f>IF(OR(N$5="",$B8=""),"",IF(OR(WEEKDAY(N$5,2)&gt;5,COUNTIF(Holidays!$A$5:$A$40,N$5)&gt;0),"",IF(COUNTIFS('Time Off Log'!$A$5:$A$504,$B8,'Time Off Log'!$C$5:$C$504,"&lt;="&amp;N$5,'Time Off Log'!$J$5:$J$504,"&gt;="&amp;N$5,'Time Off Log'!$B$5:$B$504,"PTO",'Time Off Log'!$E$5:$E$504,"Approved")&gt;0,"P",IF(COUNTIFS('Time Off Log'!$A$5:$A$504,$B8,'Time Off Log'!$C$5:$C$504,"&lt;="&amp;N$5,'Time Off Log'!$J$5:$J$504,"&gt;="&amp;N$5,'Time Off Log'!$B$5:$B$504,"Sick",'Time Off Log'!$E$5:$E$504,"Approved")&gt;0,"S",IF(COUNTIFS('Time Off Log'!$A$5:$A$504,$B8,'Time Off Log'!$C$5:$C$504,"&lt;="&amp;N$5,'Time Off Log'!$J$5:$J$504,"&gt;="&amp;N$5,'Time Off Log'!$E$5:$E$504,"Approved")&gt;0,"U",IF(COUNTIFS('Time Off Log'!$A$5:$A$504,$B8,'Time Off Log'!$C$5:$C$504,"&lt;="&amp;N$5,'Time Off Log'!$J$5:$J$504,"&gt;="&amp;N$5,'Time Off Log'!$E$5:$E$504,"Pending")&gt;0,"?",""))))))</f>
        <v/>
      </c>
      <c r="O8" s="44">
        <f>IF(OR(O$5="",$B8=""),"",IF(OR(WEEKDAY(O$5,2)&gt;5,COUNTIF(Holidays!$A$5:$A$40,O$5)&gt;0),"",IF(COUNTIFS('Time Off Log'!$A$5:$A$504,$B8,'Time Off Log'!$C$5:$C$504,"&lt;="&amp;O$5,'Time Off Log'!$J$5:$J$504,"&gt;="&amp;O$5,'Time Off Log'!$B$5:$B$504,"PTO",'Time Off Log'!$E$5:$E$504,"Approved")&gt;0,"P",IF(COUNTIFS('Time Off Log'!$A$5:$A$504,$B8,'Time Off Log'!$C$5:$C$504,"&lt;="&amp;O$5,'Time Off Log'!$J$5:$J$504,"&gt;="&amp;O$5,'Time Off Log'!$B$5:$B$504,"Sick",'Time Off Log'!$E$5:$E$504,"Approved")&gt;0,"S",IF(COUNTIFS('Time Off Log'!$A$5:$A$504,$B8,'Time Off Log'!$C$5:$C$504,"&lt;="&amp;O$5,'Time Off Log'!$J$5:$J$504,"&gt;="&amp;O$5,'Time Off Log'!$E$5:$E$504,"Approved")&gt;0,"U",IF(COUNTIFS('Time Off Log'!$A$5:$A$504,$B8,'Time Off Log'!$C$5:$C$504,"&lt;="&amp;O$5,'Time Off Log'!$J$5:$J$504,"&gt;="&amp;O$5,'Time Off Log'!$E$5:$E$504,"Pending")&gt;0,"?",""))))))</f>
        <v/>
      </c>
      <c r="P8" s="44">
        <f>IF(OR(P$5="",$B8=""),"",IF(OR(WEEKDAY(P$5,2)&gt;5,COUNTIF(Holidays!$A$5:$A$40,P$5)&gt;0),"",IF(COUNTIFS('Time Off Log'!$A$5:$A$504,$B8,'Time Off Log'!$C$5:$C$504,"&lt;="&amp;P$5,'Time Off Log'!$J$5:$J$504,"&gt;="&amp;P$5,'Time Off Log'!$B$5:$B$504,"PTO",'Time Off Log'!$E$5:$E$504,"Approved")&gt;0,"P",IF(COUNTIFS('Time Off Log'!$A$5:$A$504,$B8,'Time Off Log'!$C$5:$C$504,"&lt;="&amp;P$5,'Time Off Log'!$J$5:$J$504,"&gt;="&amp;P$5,'Time Off Log'!$B$5:$B$504,"Sick",'Time Off Log'!$E$5:$E$504,"Approved")&gt;0,"S",IF(COUNTIFS('Time Off Log'!$A$5:$A$504,$B8,'Time Off Log'!$C$5:$C$504,"&lt;="&amp;P$5,'Time Off Log'!$J$5:$J$504,"&gt;="&amp;P$5,'Time Off Log'!$E$5:$E$504,"Approved")&gt;0,"U",IF(COUNTIFS('Time Off Log'!$A$5:$A$504,$B8,'Time Off Log'!$C$5:$C$504,"&lt;="&amp;P$5,'Time Off Log'!$J$5:$J$504,"&gt;="&amp;P$5,'Time Off Log'!$E$5:$E$504,"Pending")&gt;0,"?",""))))))</f>
        <v/>
      </c>
      <c r="Q8" s="44">
        <f>IF(OR(Q$5="",$B8=""),"",IF(OR(WEEKDAY(Q$5,2)&gt;5,COUNTIF(Holidays!$A$5:$A$40,Q$5)&gt;0),"",IF(COUNTIFS('Time Off Log'!$A$5:$A$504,$B8,'Time Off Log'!$C$5:$C$504,"&lt;="&amp;Q$5,'Time Off Log'!$J$5:$J$504,"&gt;="&amp;Q$5,'Time Off Log'!$B$5:$B$504,"PTO",'Time Off Log'!$E$5:$E$504,"Approved")&gt;0,"P",IF(COUNTIFS('Time Off Log'!$A$5:$A$504,$B8,'Time Off Log'!$C$5:$C$504,"&lt;="&amp;Q$5,'Time Off Log'!$J$5:$J$504,"&gt;="&amp;Q$5,'Time Off Log'!$B$5:$B$504,"Sick",'Time Off Log'!$E$5:$E$504,"Approved")&gt;0,"S",IF(COUNTIFS('Time Off Log'!$A$5:$A$504,$B8,'Time Off Log'!$C$5:$C$504,"&lt;="&amp;Q$5,'Time Off Log'!$J$5:$J$504,"&gt;="&amp;Q$5,'Time Off Log'!$E$5:$E$504,"Approved")&gt;0,"U",IF(COUNTIFS('Time Off Log'!$A$5:$A$504,$B8,'Time Off Log'!$C$5:$C$504,"&lt;="&amp;Q$5,'Time Off Log'!$J$5:$J$504,"&gt;="&amp;Q$5,'Time Off Log'!$E$5:$E$504,"Pending")&gt;0,"?",""))))))</f>
        <v/>
      </c>
      <c r="R8" s="44">
        <f>IF(OR(R$5="",$B8=""),"",IF(OR(WEEKDAY(R$5,2)&gt;5,COUNTIF(Holidays!$A$5:$A$40,R$5)&gt;0),"",IF(COUNTIFS('Time Off Log'!$A$5:$A$504,$B8,'Time Off Log'!$C$5:$C$504,"&lt;="&amp;R$5,'Time Off Log'!$J$5:$J$504,"&gt;="&amp;R$5,'Time Off Log'!$B$5:$B$504,"PTO",'Time Off Log'!$E$5:$E$504,"Approved")&gt;0,"P",IF(COUNTIFS('Time Off Log'!$A$5:$A$504,$B8,'Time Off Log'!$C$5:$C$504,"&lt;="&amp;R$5,'Time Off Log'!$J$5:$J$504,"&gt;="&amp;R$5,'Time Off Log'!$B$5:$B$504,"Sick",'Time Off Log'!$E$5:$E$504,"Approved")&gt;0,"S",IF(COUNTIFS('Time Off Log'!$A$5:$A$504,$B8,'Time Off Log'!$C$5:$C$504,"&lt;="&amp;R$5,'Time Off Log'!$J$5:$J$504,"&gt;="&amp;R$5,'Time Off Log'!$E$5:$E$504,"Approved")&gt;0,"U",IF(COUNTIFS('Time Off Log'!$A$5:$A$504,$B8,'Time Off Log'!$C$5:$C$504,"&lt;="&amp;R$5,'Time Off Log'!$J$5:$J$504,"&gt;="&amp;R$5,'Time Off Log'!$E$5:$E$504,"Pending")&gt;0,"?",""))))))</f>
        <v/>
      </c>
      <c r="S8" s="44">
        <f>IF(OR(S$5="",$B8=""),"",IF(OR(WEEKDAY(S$5,2)&gt;5,COUNTIF(Holidays!$A$5:$A$40,S$5)&gt;0),"",IF(COUNTIFS('Time Off Log'!$A$5:$A$504,$B8,'Time Off Log'!$C$5:$C$504,"&lt;="&amp;S$5,'Time Off Log'!$J$5:$J$504,"&gt;="&amp;S$5,'Time Off Log'!$B$5:$B$504,"PTO",'Time Off Log'!$E$5:$E$504,"Approved")&gt;0,"P",IF(COUNTIFS('Time Off Log'!$A$5:$A$504,$B8,'Time Off Log'!$C$5:$C$504,"&lt;="&amp;S$5,'Time Off Log'!$J$5:$J$504,"&gt;="&amp;S$5,'Time Off Log'!$B$5:$B$504,"Sick",'Time Off Log'!$E$5:$E$504,"Approved")&gt;0,"S",IF(COUNTIFS('Time Off Log'!$A$5:$A$504,$B8,'Time Off Log'!$C$5:$C$504,"&lt;="&amp;S$5,'Time Off Log'!$J$5:$J$504,"&gt;="&amp;S$5,'Time Off Log'!$E$5:$E$504,"Approved")&gt;0,"U",IF(COUNTIFS('Time Off Log'!$A$5:$A$504,$B8,'Time Off Log'!$C$5:$C$504,"&lt;="&amp;S$5,'Time Off Log'!$J$5:$J$504,"&gt;="&amp;S$5,'Time Off Log'!$E$5:$E$504,"Pending")&gt;0,"?",""))))))</f>
        <v/>
      </c>
      <c r="T8" s="44">
        <f>IF(OR(T$5="",$B8=""),"",IF(OR(WEEKDAY(T$5,2)&gt;5,COUNTIF(Holidays!$A$5:$A$40,T$5)&gt;0),"",IF(COUNTIFS('Time Off Log'!$A$5:$A$504,$B8,'Time Off Log'!$C$5:$C$504,"&lt;="&amp;T$5,'Time Off Log'!$J$5:$J$504,"&gt;="&amp;T$5,'Time Off Log'!$B$5:$B$504,"PTO",'Time Off Log'!$E$5:$E$504,"Approved")&gt;0,"P",IF(COUNTIFS('Time Off Log'!$A$5:$A$504,$B8,'Time Off Log'!$C$5:$C$504,"&lt;="&amp;T$5,'Time Off Log'!$J$5:$J$504,"&gt;="&amp;T$5,'Time Off Log'!$B$5:$B$504,"Sick",'Time Off Log'!$E$5:$E$504,"Approved")&gt;0,"S",IF(COUNTIFS('Time Off Log'!$A$5:$A$504,$B8,'Time Off Log'!$C$5:$C$504,"&lt;="&amp;T$5,'Time Off Log'!$J$5:$J$504,"&gt;="&amp;T$5,'Time Off Log'!$E$5:$E$504,"Approved")&gt;0,"U",IF(COUNTIFS('Time Off Log'!$A$5:$A$504,$B8,'Time Off Log'!$C$5:$C$504,"&lt;="&amp;T$5,'Time Off Log'!$J$5:$J$504,"&gt;="&amp;T$5,'Time Off Log'!$E$5:$E$504,"Pending")&gt;0,"?",""))))))</f>
        <v/>
      </c>
      <c r="U8" s="44">
        <f>IF(OR(U$5="",$B8=""),"",IF(OR(WEEKDAY(U$5,2)&gt;5,COUNTIF(Holidays!$A$5:$A$40,U$5)&gt;0),"",IF(COUNTIFS('Time Off Log'!$A$5:$A$504,$B8,'Time Off Log'!$C$5:$C$504,"&lt;="&amp;U$5,'Time Off Log'!$J$5:$J$504,"&gt;="&amp;U$5,'Time Off Log'!$B$5:$B$504,"PTO",'Time Off Log'!$E$5:$E$504,"Approved")&gt;0,"P",IF(COUNTIFS('Time Off Log'!$A$5:$A$504,$B8,'Time Off Log'!$C$5:$C$504,"&lt;="&amp;U$5,'Time Off Log'!$J$5:$J$504,"&gt;="&amp;U$5,'Time Off Log'!$B$5:$B$504,"Sick",'Time Off Log'!$E$5:$E$504,"Approved")&gt;0,"S",IF(COUNTIFS('Time Off Log'!$A$5:$A$504,$B8,'Time Off Log'!$C$5:$C$504,"&lt;="&amp;U$5,'Time Off Log'!$J$5:$J$504,"&gt;="&amp;U$5,'Time Off Log'!$E$5:$E$504,"Approved")&gt;0,"U",IF(COUNTIFS('Time Off Log'!$A$5:$A$504,$B8,'Time Off Log'!$C$5:$C$504,"&lt;="&amp;U$5,'Time Off Log'!$J$5:$J$504,"&gt;="&amp;U$5,'Time Off Log'!$E$5:$E$504,"Pending")&gt;0,"?",""))))))</f>
        <v/>
      </c>
      <c r="V8" s="44">
        <f>IF(OR(V$5="",$B8=""),"",IF(OR(WEEKDAY(V$5,2)&gt;5,COUNTIF(Holidays!$A$5:$A$40,V$5)&gt;0),"",IF(COUNTIFS('Time Off Log'!$A$5:$A$504,$B8,'Time Off Log'!$C$5:$C$504,"&lt;="&amp;V$5,'Time Off Log'!$J$5:$J$504,"&gt;="&amp;V$5,'Time Off Log'!$B$5:$B$504,"PTO",'Time Off Log'!$E$5:$E$504,"Approved")&gt;0,"P",IF(COUNTIFS('Time Off Log'!$A$5:$A$504,$B8,'Time Off Log'!$C$5:$C$504,"&lt;="&amp;V$5,'Time Off Log'!$J$5:$J$504,"&gt;="&amp;V$5,'Time Off Log'!$B$5:$B$504,"Sick",'Time Off Log'!$E$5:$E$504,"Approved")&gt;0,"S",IF(COUNTIFS('Time Off Log'!$A$5:$A$504,$B8,'Time Off Log'!$C$5:$C$504,"&lt;="&amp;V$5,'Time Off Log'!$J$5:$J$504,"&gt;="&amp;V$5,'Time Off Log'!$E$5:$E$504,"Approved")&gt;0,"U",IF(COUNTIFS('Time Off Log'!$A$5:$A$504,$B8,'Time Off Log'!$C$5:$C$504,"&lt;="&amp;V$5,'Time Off Log'!$J$5:$J$504,"&gt;="&amp;V$5,'Time Off Log'!$E$5:$E$504,"Pending")&gt;0,"?",""))))))</f>
        <v/>
      </c>
      <c r="W8" s="44">
        <f>IF(OR(W$5="",$B8=""),"",IF(OR(WEEKDAY(W$5,2)&gt;5,COUNTIF(Holidays!$A$5:$A$40,W$5)&gt;0),"",IF(COUNTIFS('Time Off Log'!$A$5:$A$504,$B8,'Time Off Log'!$C$5:$C$504,"&lt;="&amp;W$5,'Time Off Log'!$J$5:$J$504,"&gt;="&amp;W$5,'Time Off Log'!$B$5:$B$504,"PTO",'Time Off Log'!$E$5:$E$504,"Approved")&gt;0,"P",IF(COUNTIFS('Time Off Log'!$A$5:$A$504,$B8,'Time Off Log'!$C$5:$C$504,"&lt;="&amp;W$5,'Time Off Log'!$J$5:$J$504,"&gt;="&amp;W$5,'Time Off Log'!$B$5:$B$504,"Sick",'Time Off Log'!$E$5:$E$504,"Approved")&gt;0,"S",IF(COUNTIFS('Time Off Log'!$A$5:$A$504,$B8,'Time Off Log'!$C$5:$C$504,"&lt;="&amp;W$5,'Time Off Log'!$J$5:$J$504,"&gt;="&amp;W$5,'Time Off Log'!$E$5:$E$504,"Approved")&gt;0,"U",IF(COUNTIFS('Time Off Log'!$A$5:$A$504,$B8,'Time Off Log'!$C$5:$C$504,"&lt;="&amp;W$5,'Time Off Log'!$J$5:$J$504,"&gt;="&amp;W$5,'Time Off Log'!$E$5:$E$504,"Pending")&gt;0,"?",""))))))</f>
        <v/>
      </c>
      <c r="X8" s="44">
        <f>IF(OR(X$5="",$B8=""),"",IF(OR(WEEKDAY(X$5,2)&gt;5,COUNTIF(Holidays!$A$5:$A$40,X$5)&gt;0),"",IF(COUNTIFS('Time Off Log'!$A$5:$A$504,$B8,'Time Off Log'!$C$5:$C$504,"&lt;="&amp;X$5,'Time Off Log'!$J$5:$J$504,"&gt;="&amp;X$5,'Time Off Log'!$B$5:$B$504,"PTO",'Time Off Log'!$E$5:$E$504,"Approved")&gt;0,"P",IF(COUNTIFS('Time Off Log'!$A$5:$A$504,$B8,'Time Off Log'!$C$5:$C$504,"&lt;="&amp;X$5,'Time Off Log'!$J$5:$J$504,"&gt;="&amp;X$5,'Time Off Log'!$B$5:$B$504,"Sick",'Time Off Log'!$E$5:$E$504,"Approved")&gt;0,"S",IF(COUNTIFS('Time Off Log'!$A$5:$A$504,$B8,'Time Off Log'!$C$5:$C$504,"&lt;="&amp;X$5,'Time Off Log'!$J$5:$J$504,"&gt;="&amp;X$5,'Time Off Log'!$E$5:$E$504,"Approved")&gt;0,"U",IF(COUNTIFS('Time Off Log'!$A$5:$A$504,$B8,'Time Off Log'!$C$5:$C$504,"&lt;="&amp;X$5,'Time Off Log'!$J$5:$J$504,"&gt;="&amp;X$5,'Time Off Log'!$E$5:$E$504,"Pending")&gt;0,"?",""))))))</f>
        <v/>
      </c>
      <c r="Y8" s="44">
        <f>IF(OR(Y$5="",$B8=""),"",IF(OR(WEEKDAY(Y$5,2)&gt;5,COUNTIF(Holidays!$A$5:$A$40,Y$5)&gt;0),"",IF(COUNTIFS('Time Off Log'!$A$5:$A$504,$B8,'Time Off Log'!$C$5:$C$504,"&lt;="&amp;Y$5,'Time Off Log'!$J$5:$J$504,"&gt;="&amp;Y$5,'Time Off Log'!$B$5:$B$504,"PTO",'Time Off Log'!$E$5:$E$504,"Approved")&gt;0,"P",IF(COUNTIFS('Time Off Log'!$A$5:$A$504,$B8,'Time Off Log'!$C$5:$C$504,"&lt;="&amp;Y$5,'Time Off Log'!$J$5:$J$504,"&gt;="&amp;Y$5,'Time Off Log'!$B$5:$B$504,"Sick",'Time Off Log'!$E$5:$E$504,"Approved")&gt;0,"S",IF(COUNTIFS('Time Off Log'!$A$5:$A$504,$B8,'Time Off Log'!$C$5:$C$504,"&lt;="&amp;Y$5,'Time Off Log'!$J$5:$J$504,"&gt;="&amp;Y$5,'Time Off Log'!$E$5:$E$504,"Approved")&gt;0,"U",IF(COUNTIFS('Time Off Log'!$A$5:$A$504,$B8,'Time Off Log'!$C$5:$C$504,"&lt;="&amp;Y$5,'Time Off Log'!$J$5:$J$504,"&gt;="&amp;Y$5,'Time Off Log'!$E$5:$E$504,"Pending")&gt;0,"?",""))))))</f>
        <v/>
      </c>
      <c r="Z8" s="44">
        <f>IF(OR(Z$5="",$B8=""),"",IF(OR(WEEKDAY(Z$5,2)&gt;5,COUNTIF(Holidays!$A$5:$A$40,Z$5)&gt;0),"",IF(COUNTIFS('Time Off Log'!$A$5:$A$504,$B8,'Time Off Log'!$C$5:$C$504,"&lt;="&amp;Z$5,'Time Off Log'!$J$5:$J$504,"&gt;="&amp;Z$5,'Time Off Log'!$B$5:$B$504,"PTO",'Time Off Log'!$E$5:$E$504,"Approved")&gt;0,"P",IF(COUNTIFS('Time Off Log'!$A$5:$A$504,$B8,'Time Off Log'!$C$5:$C$504,"&lt;="&amp;Z$5,'Time Off Log'!$J$5:$J$504,"&gt;="&amp;Z$5,'Time Off Log'!$B$5:$B$504,"Sick",'Time Off Log'!$E$5:$E$504,"Approved")&gt;0,"S",IF(COUNTIFS('Time Off Log'!$A$5:$A$504,$B8,'Time Off Log'!$C$5:$C$504,"&lt;="&amp;Z$5,'Time Off Log'!$J$5:$J$504,"&gt;="&amp;Z$5,'Time Off Log'!$E$5:$E$504,"Approved")&gt;0,"U",IF(COUNTIFS('Time Off Log'!$A$5:$A$504,$B8,'Time Off Log'!$C$5:$C$504,"&lt;="&amp;Z$5,'Time Off Log'!$J$5:$J$504,"&gt;="&amp;Z$5,'Time Off Log'!$E$5:$E$504,"Pending")&gt;0,"?",""))))))</f>
        <v/>
      </c>
      <c r="AA8" s="44">
        <f>IF(OR(AA$5="",$B8=""),"",IF(OR(WEEKDAY(AA$5,2)&gt;5,COUNTIF(Holidays!$A$5:$A$40,AA$5)&gt;0),"",IF(COUNTIFS('Time Off Log'!$A$5:$A$504,$B8,'Time Off Log'!$C$5:$C$504,"&lt;="&amp;AA$5,'Time Off Log'!$J$5:$J$504,"&gt;="&amp;AA$5,'Time Off Log'!$B$5:$B$504,"PTO",'Time Off Log'!$E$5:$E$504,"Approved")&gt;0,"P",IF(COUNTIFS('Time Off Log'!$A$5:$A$504,$B8,'Time Off Log'!$C$5:$C$504,"&lt;="&amp;AA$5,'Time Off Log'!$J$5:$J$504,"&gt;="&amp;AA$5,'Time Off Log'!$B$5:$B$504,"Sick",'Time Off Log'!$E$5:$E$504,"Approved")&gt;0,"S",IF(COUNTIFS('Time Off Log'!$A$5:$A$504,$B8,'Time Off Log'!$C$5:$C$504,"&lt;="&amp;AA$5,'Time Off Log'!$J$5:$J$504,"&gt;="&amp;AA$5,'Time Off Log'!$E$5:$E$504,"Approved")&gt;0,"U",IF(COUNTIFS('Time Off Log'!$A$5:$A$504,$B8,'Time Off Log'!$C$5:$C$504,"&lt;="&amp;AA$5,'Time Off Log'!$J$5:$J$504,"&gt;="&amp;AA$5,'Time Off Log'!$E$5:$E$504,"Pending")&gt;0,"?",""))))))</f>
        <v/>
      </c>
      <c r="AB8" s="44">
        <f>IF(OR(AB$5="",$B8=""),"",IF(OR(WEEKDAY(AB$5,2)&gt;5,COUNTIF(Holidays!$A$5:$A$40,AB$5)&gt;0),"",IF(COUNTIFS('Time Off Log'!$A$5:$A$504,$B8,'Time Off Log'!$C$5:$C$504,"&lt;="&amp;AB$5,'Time Off Log'!$J$5:$J$504,"&gt;="&amp;AB$5,'Time Off Log'!$B$5:$B$504,"PTO",'Time Off Log'!$E$5:$E$504,"Approved")&gt;0,"P",IF(COUNTIFS('Time Off Log'!$A$5:$A$504,$B8,'Time Off Log'!$C$5:$C$504,"&lt;="&amp;AB$5,'Time Off Log'!$J$5:$J$504,"&gt;="&amp;AB$5,'Time Off Log'!$B$5:$B$504,"Sick",'Time Off Log'!$E$5:$E$504,"Approved")&gt;0,"S",IF(COUNTIFS('Time Off Log'!$A$5:$A$504,$B8,'Time Off Log'!$C$5:$C$504,"&lt;="&amp;AB$5,'Time Off Log'!$J$5:$J$504,"&gt;="&amp;AB$5,'Time Off Log'!$E$5:$E$504,"Approved")&gt;0,"U",IF(COUNTIFS('Time Off Log'!$A$5:$A$504,$B8,'Time Off Log'!$C$5:$C$504,"&lt;="&amp;AB$5,'Time Off Log'!$J$5:$J$504,"&gt;="&amp;AB$5,'Time Off Log'!$E$5:$E$504,"Pending")&gt;0,"?",""))))))</f>
        <v/>
      </c>
      <c r="AC8" s="44">
        <f>IF(OR(AC$5="",$B8=""),"",IF(OR(WEEKDAY(AC$5,2)&gt;5,COUNTIF(Holidays!$A$5:$A$40,AC$5)&gt;0),"",IF(COUNTIFS('Time Off Log'!$A$5:$A$504,$B8,'Time Off Log'!$C$5:$C$504,"&lt;="&amp;AC$5,'Time Off Log'!$J$5:$J$504,"&gt;="&amp;AC$5,'Time Off Log'!$B$5:$B$504,"PTO",'Time Off Log'!$E$5:$E$504,"Approved")&gt;0,"P",IF(COUNTIFS('Time Off Log'!$A$5:$A$504,$B8,'Time Off Log'!$C$5:$C$504,"&lt;="&amp;AC$5,'Time Off Log'!$J$5:$J$504,"&gt;="&amp;AC$5,'Time Off Log'!$B$5:$B$504,"Sick",'Time Off Log'!$E$5:$E$504,"Approved")&gt;0,"S",IF(COUNTIFS('Time Off Log'!$A$5:$A$504,$B8,'Time Off Log'!$C$5:$C$504,"&lt;="&amp;AC$5,'Time Off Log'!$J$5:$J$504,"&gt;="&amp;AC$5,'Time Off Log'!$E$5:$E$504,"Approved")&gt;0,"U",IF(COUNTIFS('Time Off Log'!$A$5:$A$504,$B8,'Time Off Log'!$C$5:$C$504,"&lt;="&amp;AC$5,'Time Off Log'!$J$5:$J$504,"&gt;="&amp;AC$5,'Time Off Log'!$E$5:$E$504,"Pending")&gt;0,"?",""))))))</f>
        <v/>
      </c>
      <c r="AD8" s="44">
        <f>IF(OR(AD$5="",$B8=""),"",IF(OR(WEEKDAY(AD$5,2)&gt;5,COUNTIF(Holidays!$A$5:$A$40,AD$5)&gt;0),"",IF(COUNTIFS('Time Off Log'!$A$5:$A$504,$B8,'Time Off Log'!$C$5:$C$504,"&lt;="&amp;AD$5,'Time Off Log'!$J$5:$J$504,"&gt;="&amp;AD$5,'Time Off Log'!$B$5:$B$504,"PTO",'Time Off Log'!$E$5:$E$504,"Approved")&gt;0,"P",IF(COUNTIFS('Time Off Log'!$A$5:$A$504,$B8,'Time Off Log'!$C$5:$C$504,"&lt;="&amp;AD$5,'Time Off Log'!$J$5:$J$504,"&gt;="&amp;AD$5,'Time Off Log'!$B$5:$B$504,"Sick",'Time Off Log'!$E$5:$E$504,"Approved")&gt;0,"S",IF(COUNTIFS('Time Off Log'!$A$5:$A$504,$B8,'Time Off Log'!$C$5:$C$504,"&lt;="&amp;AD$5,'Time Off Log'!$J$5:$J$504,"&gt;="&amp;AD$5,'Time Off Log'!$E$5:$E$504,"Approved")&gt;0,"U",IF(COUNTIFS('Time Off Log'!$A$5:$A$504,$B8,'Time Off Log'!$C$5:$C$504,"&lt;="&amp;AD$5,'Time Off Log'!$J$5:$J$504,"&gt;="&amp;AD$5,'Time Off Log'!$E$5:$E$504,"Pending")&gt;0,"?",""))))))</f>
        <v/>
      </c>
      <c r="AE8" s="44">
        <f>IF(OR(AE$5="",$B8=""),"",IF(OR(WEEKDAY(AE$5,2)&gt;5,COUNTIF(Holidays!$A$5:$A$40,AE$5)&gt;0),"",IF(COUNTIFS('Time Off Log'!$A$5:$A$504,$B8,'Time Off Log'!$C$5:$C$504,"&lt;="&amp;AE$5,'Time Off Log'!$J$5:$J$504,"&gt;="&amp;AE$5,'Time Off Log'!$B$5:$B$504,"PTO",'Time Off Log'!$E$5:$E$504,"Approved")&gt;0,"P",IF(COUNTIFS('Time Off Log'!$A$5:$A$504,$B8,'Time Off Log'!$C$5:$C$504,"&lt;="&amp;AE$5,'Time Off Log'!$J$5:$J$504,"&gt;="&amp;AE$5,'Time Off Log'!$B$5:$B$504,"Sick",'Time Off Log'!$E$5:$E$504,"Approved")&gt;0,"S",IF(COUNTIFS('Time Off Log'!$A$5:$A$504,$B8,'Time Off Log'!$C$5:$C$504,"&lt;="&amp;AE$5,'Time Off Log'!$J$5:$J$504,"&gt;="&amp;AE$5,'Time Off Log'!$E$5:$E$504,"Approved")&gt;0,"U",IF(COUNTIFS('Time Off Log'!$A$5:$A$504,$B8,'Time Off Log'!$C$5:$C$504,"&lt;="&amp;AE$5,'Time Off Log'!$J$5:$J$504,"&gt;="&amp;AE$5,'Time Off Log'!$E$5:$E$504,"Pending")&gt;0,"?",""))))))</f>
        <v/>
      </c>
      <c r="AF8" s="44">
        <f>IF(OR(AF$5="",$B8=""),"",IF(OR(WEEKDAY(AF$5,2)&gt;5,COUNTIF(Holidays!$A$5:$A$40,AF$5)&gt;0),"",IF(COUNTIFS('Time Off Log'!$A$5:$A$504,$B8,'Time Off Log'!$C$5:$C$504,"&lt;="&amp;AF$5,'Time Off Log'!$J$5:$J$504,"&gt;="&amp;AF$5,'Time Off Log'!$B$5:$B$504,"PTO",'Time Off Log'!$E$5:$E$504,"Approved")&gt;0,"P",IF(COUNTIFS('Time Off Log'!$A$5:$A$504,$B8,'Time Off Log'!$C$5:$C$504,"&lt;="&amp;AF$5,'Time Off Log'!$J$5:$J$504,"&gt;="&amp;AF$5,'Time Off Log'!$B$5:$B$504,"Sick",'Time Off Log'!$E$5:$E$504,"Approved")&gt;0,"S",IF(COUNTIFS('Time Off Log'!$A$5:$A$504,$B8,'Time Off Log'!$C$5:$C$504,"&lt;="&amp;AF$5,'Time Off Log'!$J$5:$J$504,"&gt;="&amp;AF$5,'Time Off Log'!$E$5:$E$504,"Approved")&gt;0,"U",IF(COUNTIFS('Time Off Log'!$A$5:$A$504,$B8,'Time Off Log'!$C$5:$C$504,"&lt;="&amp;AF$5,'Time Off Log'!$J$5:$J$504,"&gt;="&amp;AF$5,'Time Off Log'!$E$5:$E$504,"Pending")&gt;0,"?",""))))))</f>
        <v/>
      </c>
      <c r="AG8" s="44">
        <f>IF(OR(AG$5="",$B8=""),"",IF(OR(WEEKDAY(AG$5,2)&gt;5,COUNTIF(Holidays!$A$5:$A$40,AG$5)&gt;0),"",IF(COUNTIFS('Time Off Log'!$A$5:$A$504,$B8,'Time Off Log'!$C$5:$C$504,"&lt;="&amp;AG$5,'Time Off Log'!$J$5:$J$504,"&gt;="&amp;AG$5,'Time Off Log'!$B$5:$B$504,"PTO",'Time Off Log'!$E$5:$E$504,"Approved")&gt;0,"P",IF(COUNTIFS('Time Off Log'!$A$5:$A$504,$B8,'Time Off Log'!$C$5:$C$504,"&lt;="&amp;AG$5,'Time Off Log'!$J$5:$J$504,"&gt;="&amp;AG$5,'Time Off Log'!$B$5:$B$504,"Sick",'Time Off Log'!$E$5:$E$504,"Approved")&gt;0,"S",IF(COUNTIFS('Time Off Log'!$A$5:$A$504,$B8,'Time Off Log'!$C$5:$C$504,"&lt;="&amp;AG$5,'Time Off Log'!$J$5:$J$504,"&gt;="&amp;AG$5,'Time Off Log'!$E$5:$E$504,"Approved")&gt;0,"U",IF(COUNTIFS('Time Off Log'!$A$5:$A$504,$B8,'Time Off Log'!$C$5:$C$504,"&lt;="&amp;AG$5,'Time Off Log'!$J$5:$J$504,"&gt;="&amp;AG$5,'Time Off Log'!$E$5:$E$504,"Pending")&gt;0,"?",""))))))</f>
        <v/>
      </c>
    </row>
    <row r="9">
      <c r="A9" s="24" t="n">
        <v>4</v>
      </c>
      <c r="B9" s="24">
        <f>IF(Employees!B8="","",Employees!B8)</f>
        <v/>
      </c>
      <c r="C9" s="44">
        <f>IF(OR(C$5="",$B9=""),"",IF(OR(WEEKDAY(C$5,2)&gt;5,COUNTIF(Holidays!$A$5:$A$40,C$5)&gt;0),"",IF(COUNTIFS('Time Off Log'!$A$5:$A$504,$B9,'Time Off Log'!$C$5:$C$504,"&lt;="&amp;C$5,'Time Off Log'!$J$5:$J$504,"&gt;="&amp;C$5,'Time Off Log'!$B$5:$B$504,"PTO",'Time Off Log'!$E$5:$E$504,"Approved")&gt;0,"P",IF(COUNTIFS('Time Off Log'!$A$5:$A$504,$B9,'Time Off Log'!$C$5:$C$504,"&lt;="&amp;C$5,'Time Off Log'!$J$5:$J$504,"&gt;="&amp;C$5,'Time Off Log'!$B$5:$B$504,"Sick",'Time Off Log'!$E$5:$E$504,"Approved")&gt;0,"S",IF(COUNTIFS('Time Off Log'!$A$5:$A$504,$B9,'Time Off Log'!$C$5:$C$504,"&lt;="&amp;C$5,'Time Off Log'!$J$5:$J$504,"&gt;="&amp;C$5,'Time Off Log'!$E$5:$E$504,"Approved")&gt;0,"U",IF(COUNTIFS('Time Off Log'!$A$5:$A$504,$B9,'Time Off Log'!$C$5:$C$504,"&lt;="&amp;C$5,'Time Off Log'!$J$5:$J$504,"&gt;="&amp;C$5,'Time Off Log'!$E$5:$E$504,"Pending")&gt;0,"?",""))))))</f>
        <v/>
      </c>
      <c r="D9" s="44">
        <f>IF(OR(D$5="",$B9=""),"",IF(OR(WEEKDAY(D$5,2)&gt;5,COUNTIF(Holidays!$A$5:$A$40,D$5)&gt;0),"",IF(COUNTIFS('Time Off Log'!$A$5:$A$504,$B9,'Time Off Log'!$C$5:$C$504,"&lt;="&amp;D$5,'Time Off Log'!$J$5:$J$504,"&gt;="&amp;D$5,'Time Off Log'!$B$5:$B$504,"PTO",'Time Off Log'!$E$5:$E$504,"Approved")&gt;0,"P",IF(COUNTIFS('Time Off Log'!$A$5:$A$504,$B9,'Time Off Log'!$C$5:$C$504,"&lt;="&amp;D$5,'Time Off Log'!$J$5:$J$504,"&gt;="&amp;D$5,'Time Off Log'!$B$5:$B$504,"Sick",'Time Off Log'!$E$5:$E$504,"Approved")&gt;0,"S",IF(COUNTIFS('Time Off Log'!$A$5:$A$504,$B9,'Time Off Log'!$C$5:$C$504,"&lt;="&amp;D$5,'Time Off Log'!$J$5:$J$504,"&gt;="&amp;D$5,'Time Off Log'!$E$5:$E$504,"Approved")&gt;0,"U",IF(COUNTIFS('Time Off Log'!$A$5:$A$504,$B9,'Time Off Log'!$C$5:$C$504,"&lt;="&amp;D$5,'Time Off Log'!$J$5:$J$504,"&gt;="&amp;D$5,'Time Off Log'!$E$5:$E$504,"Pending")&gt;0,"?",""))))))</f>
        <v/>
      </c>
      <c r="E9" s="44">
        <f>IF(OR(E$5="",$B9=""),"",IF(OR(WEEKDAY(E$5,2)&gt;5,COUNTIF(Holidays!$A$5:$A$40,E$5)&gt;0),"",IF(COUNTIFS('Time Off Log'!$A$5:$A$504,$B9,'Time Off Log'!$C$5:$C$504,"&lt;="&amp;E$5,'Time Off Log'!$J$5:$J$504,"&gt;="&amp;E$5,'Time Off Log'!$B$5:$B$504,"PTO",'Time Off Log'!$E$5:$E$504,"Approved")&gt;0,"P",IF(COUNTIFS('Time Off Log'!$A$5:$A$504,$B9,'Time Off Log'!$C$5:$C$504,"&lt;="&amp;E$5,'Time Off Log'!$J$5:$J$504,"&gt;="&amp;E$5,'Time Off Log'!$B$5:$B$504,"Sick",'Time Off Log'!$E$5:$E$504,"Approved")&gt;0,"S",IF(COUNTIFS('Time Off Log'!$A$5:$A$504,$B9,'Time Off Log'!$C$5:$C$504,"&lt;="&amp;E$5,'Time Off Log'!$J$5:$J$504,"&gt;="&amp;E$5,'Time Off Log'!$E$5:$E$504,"Approved")&gt;0,"U",IF(COUNTIFS('Time Off Log'!$A$5:$A$504,$B9,'Time Off Log'!$C$5:$C$504,"&lt;="&amp;E$5,'Time Off Log'!$J$5:$J$504,"&gt;="&amp;E$5,'Time Off Log'!$E$5:$E$504,"Pending")&gt;0,"?",""))))))</f>
        <v/>
      </c>
      <c r="F9" s="44">
        <f>IF(OR(F$5="",$B9=""),"",IF(OR(WEEKDAY(F$5,2)&gt;5,COUNTIF(Holidays!$A$5:$A$40,F$5)&gt;0),"",IF(COUNTIFS('Time Off Log'!$A$5:$A$504,$B9,'Time Off Log'!$C$5:$C$504,"&lt;="&amp;F$5,'Time Off Log'!$J$5:$J$504,"&gt;="&amp;F$5,'Time Off Log'!$B$5:$B$504,"PTO",'Time Off Log'!$E$5:$E$504,"Approved")&gt;0,"P",IF(COUNTIFS('Time Off Log'!$A$5:$A$504,$B9,'Time Off Log'!$C$5:$C$504,"&lt;="&amp;F$5,'Time Off Log'!$J$5:$J$504,"&gt;="&amp;F$5,'Time Off Log'!$B$5:$B$504,"Sick",'Time Off Log'!$E$5:$E$504,"Approved")&gt;0,"S",IF(COUNTIFS('Time Off Log'!$A$5:$A$504,$B9,'Time Off Log'!$C$5:$C$504,"&lt;="&amp;F$5,'Time Off Log'!$J$5:$J$504,"&gt;="&amp;F$5,'Time Off Log'!$E$5:$E$504,"Approved")&gt;0,"U",IF(COUNTIFS('Time Off Log'!$A$5:$A$504,$B9,'Time Off Log'!$C$5:$C$504,"&lt;="&amp;F$5,'Time Off Log'!$J$5:$J$504,"&gt;="&amp;F$5,'Time Off Log'!$E$5:$E$504,"Pending")&gt;0,"?",""))))))</f>
        <v/>
      </c>
      <c r="G9" s="44">
        <f>IF(OR(G$5="",$B9=""),"",IF(OR(WEEKDAY(G$5,2)&gt;5,COUNTIF(Holidays!$A$5:$A$40,G$5)&gt;0),"",IF(COUNTIFS('Time Off Log'!$A$5:$A$504,$B9,'Time Off Log'!$C$5:$C$504,"&lt;="&amp;G$5,'Time Off Log'!$J$5:$J$504,"&gt;="&amp;G$5,'Time Off Log'!$B$5:$B$504,"PTO",'Time Off Log'!$E$5:$E$504,"Approved")&gt;0,"P",IF(COUNTIFS('Time Off Log'!$A$5:$A$504,$B9,'Time Off Log'!$C$5:$C$504,"&lt;="&amp;G$5,'Time Off Log'!$J$5:$J$504,"&gt;="&amp;G$5,'Time Off Log'!$B$5:$B$504,"Sick",'Time Off Log'!$E$5:$E$504,"Approved")&gt;0,"S",IF(COUNTIFS('Time Off Log'!$A$5:$A$504,$B9,'Time Off Log'!$C$5:$C$504,"&lt;="&amp;G$5,'Time Off Log'!$J$5:$J$504,"&gt;="&amp;G$5,'Time Off Log'!$E$5:$E$504,"Approved")&gt;0,"U",IF(COUNTIFS('Time Off Log'!$A$5:$A$504,$B9,'Time Off Log'!$C$5:$C$504,"&lt;="&amp;G$5,'Time Off Log'!$J$5:$J$504,"&gt;="&amp;G$5,'Time Off Log'!$E$5:$E$504,"Pending")&gt;0,"?",""))))))</f>
        <v/>
      </c>
      <c r="H9" s="44">
        <f>IF(OR(H$5="",$B9=""),"",IF(OR(WEEKDAY(H$5,2)&gt;5,COUNTIF(Holidays!$A$5:$A$40,H$5)&gt;0),"",IF(COUNTIFS('Time Off Log'!$A$5:$A$504,$B9,'Time Off Log'!$C$5:$C$504,"&lt;="&amp;H$5,'Time Off Log'!$J$5:$J$504,"&gt;="&amp;H$5,'Time Off Log'!$B$5:$B$504,"PTO",'Time Off Log'!$E$5:$E$504,"Approved")&gt;0,"P",IF(COUNTIFS('Time Off Log'!$A$5:$A$504,$B9,'Time Off Log'!$C$5:$C$504,"&lt;="&amp;H$5,'Time Off Log'!$J$5:$J$504,"&gt;="&amp;H$5,'Time Off Log'!$B$5:$B$504,"Sick",'Time Off Log'!$E$5:$E$504,"Approved")&gt;0,"S",IF(COUNTIFS('Time Off Log'!$A$5:$A$504,$B9,'Time Off Log'!$C$5:$C$504,"&lt;="&amp;H$5,'Time Off Log'!$J$5:$J$504,"&gt;="&amp;H$5,'Time Off Log'!$E$5:$E$504,"Approved")&gt;0,"U",IF(COUNTIFS('Time Off Log'!$A$5:$A$504,$B9,'Time Off Log'!$C$5:$C$504,"&lt;="&amp;H$5,'Time Off Log'!$J$5:$J$504,"&gt;="&amp;H$5,'Time Off Log'!$E$5:$E$504,"Pending")&gt;0,"?",""))))))</f>
        <v/>
      </c>
      <c r="I9" s="44">
        <f>IF(OR(I$5="",$B9=""),"",IF(OR(WEEKDAY(I$5,2)&gt;5,COUNTIF(Holidays!$A$5:$A$40,I$5)&gt;0),"",IF(COUNTIFS('Time Off Log'!$A$5:$A$504,$B9,'Time Off Log'!$C$5:$C$504,"&lt;="&amp;I$5,'Time Off Log'!$J$5:$J$504,"&gt;="&amp;I$5,'Time Off Log'!$B$5:$B$504,"PTO",'Time Off Log'!$E$5:$E$504,"Approved")&gt;0,"P",IF(COUNTIFS('Time Off Log'!$A$5:$A$504,$B9,'Time Off Log'!$C$5:$C$504,"&lt;="&amp;I$5,'Time Off Log'!$J$5:$J$504,"&gt;="&amp;I$5,'Time Off Log'!$B$5:$B$504,"Sick",'Time Off Log'!$E$5:$E$504,"Approved")&gt;0,"S",IF(COUNTIFS('Time Off Log'!$A$5:$A$504,$B9,'Time Off Log'!$C$5:$C$504,"&lt;="&amp;I$5,'Time Off Log'!$J$5:$J$504,"&gt;="&amp;I$5,'Time Off Log'!$E$5:$E$504,"Approved")&gt;0,"U",IF(COUNTIFS('Time Off Log'!$A$5:$A$504,$B9,'Time Off Log'!$C$5:$C$504,"&lt;="&amp;I$5,'Time Off Log'!$J$5:$J$504,"&gt;="&amp;I$5,'Time Off Log'!$E$5:$E$504,"Pending")&gt;0,"?",""))))))</f>
        <v/>
      </c>
      <c r="J9" s="44">
        <f>IF(OR(J$5="",$B9=""),"",IF(OR(WEEKDAY(J$5,2)&gt;5,COUNTIF(Holidays!$A$5:$A$40,J$5)&gt;0),"",IF(COUNTIFS('Time Off Log'!$A$5:$A$504,$B9,'Time Off Log'!$C$5:$C$504,"&lt;="&amp;J$5,'Time Off Log'!$J$5:$J$504,"&gt;="&amp;J$5,'Time Off Log'!$B$5:$B$504,"PTO",'Time Off Log'!$E$5:$E$504,"Approved")&gt;0,"P",IF(COUNTIFS('Time Off Log'!$A$5:$A$504,$B9,'Time Off Log'!$C$5:$C$504,"&lt;="&amp;J$5,'Time Off Log'!$J$5:$J$504,"&gt;="&amp;J$5,'Time Off Log'!$B$5:$B$504,"Sick",'Time Off Log'!$E$5:$E$504,"Approved")&gt;0,"S",IF(COUNTIFS('Time Off Log'!$A$5:$A$504,$B9,'Time Off Log'!$C$5:$C$504,"&lt;="&amp;J$5,'Time Off Log'!$J$5:$J$504,"&gt;="&amp;J$5,'Time Off Log'!$E$5:$E$504,"Approved")&gt;0,"U",IF(COUNTIFS('Time Off Log'!$A$5:$A$504,$B9,'Time Off Log'!$C$5:$C$504,"&lt;="&amp;J$5,'Time Off Log'!$J$5:$J$504,"&gt;="&amp;J$5,'Time Off Log'!$E$5:$E$504,"Pending")&gt;0,"?",""))))))</f>
        <v/>
      </c>
      <c r="K9" s="44">
        <f>IF(OR(K$5="",$B9=""),"",IF(OR(WEEKDAY(K$5,2)&gt;5,COUNTIF(Holidays!$A$5:$A$40,K$5)&gt;0),"",IF(COUNTIFS('Time Off Log'!$A$5:$A$504,$B9,'Time Off Log'!$C$5:$C$504,"&lt;="&amp;K$5,'Time Off Log'!$J$5:$J$504,"&gt;="&amp;K$5,'Time Off Log'!$B$5:$B$504,"PTO",'Time Off Log'!$E$5:$E$504,"Approved")&gt;0,"P",IF(COUNTIFS('Time Off Log'!$A$5:$A$504,$B9,'Time Off Log'!$C$5:$C$504,"&lt;="&amp;K$5,'Time Off Log'!$J$5:$J$504,"&gt;="&amp;K$5,'Time Off Log'!$B$5:$B$504,"Sick",'Time Off Log'!$E$5:$E$504,"Approved")&gt;0,"S",IF(COUNTIFS('Time Off Log'!$A$5:$A$504,$B9,'Time Off Log'!$C$5:$C$504,"&lt;="&amp;K$5,'Time Off Log'!$J$5:$J$504,"&gt;="&amp;K$5,'Time Off Log'!$E$5:$E$504,"Approved")&gt;0,"U",IF(COUNTIFS('Time Off Log'!$A$5:$A$504,$B9,'Time Off Log'!$C$5:$C$504,"&lt;="&amp;K$5,'Time Off Log'!$J$5:$J$504,"&gt;="&amp;K$5,'Time Off Log'!$E$5:$E$504,"Pending")&gt;0,"?",""))))))</f>
        <v/>
      </c>
      <c r="L9" s="44">
        <f>IF(OR(L$5="",$B9=""),"",IF(OR(WEEKDAY(L$5,2)&gt;5,COUNTIF(Holidays!$A$5:$A$40,L$5)&gt;0),"",IF(COUNTIFS('Time Off Log'!$A$5:$A$504,$B9,'Time Off Log'!$C$5:$C$504,"&lt;="&amp;L$5,'Time Off Log'!$J$5:$J$504,"&gt;="&amp;L$5,'Time Off Log'!$B$5:$B$504,"PTO",'Time Off Log'!$E$5:$E$504,"Approved")&gt;0,"P",IF(COUNTIFS('Time Off Log'!$A$5:$A$504,$B9,'Time Off Log'!$C$5:$C$504,"&lt;="&amp;L$5,'Time Off Log'!$J$5:$J$504,"&gt;="&amp;L$5,'Time Off Log'!$B$5:$B$504,"Sick",'Time Off Log'!$E$5:$E$504,"Approved")&gt;0,"S",IF(COUNTIFS('Time Off Log'!$A$5:$A$504,$B9,'Time Off Log'!$C$5:$C$504,"&lt;="&amp;L$5,'Time Off Log'!$J$5:$J$504,"&gt;="&amp;L$5,'Time Off Log'!$E$5:$E$504,"Approved")&gt;0,"U",IF(COUNTIFS('Time Off Log'!$A$5:$A$504,$B9,'Time Off Log'!$C$5:$C$504,"&lt;="&amp;L$5,'Time Off Log'!$J$5:$J$504,"&gt;="&amp;L$5,'Time Off Log'!$E$5:$E$504,"Pending")&gt;0,"?",""))))))</f>
        <v/>
      </c>
      <c r="M9" s="44">
        <f>IF(OR(M$5="",$B9=""),"",IF(OR(WEEKDAY(M$5,2)&gt;5,COUNTIF(Holidays!$A$5:$A$40,M$5)&gt;0),"",IF(COUNTIFS('Time Off Log'!$A$5:$A$504,$B9,'Time Off Log'!$C$5:$C$504,"&lt;="&amp;M$5,'Time Off Log'!$J$5:$J$504,"&gt;="&amp;M$5,'Time Off Log'!$B$5:$B$504,"PTO",'Time Off Log'!$E$5:$E$504,"Approved")&gt;0,"P",IF(COUNTIFS('Time Off Log'!$A$5:$A$504,$B9,'Time Off Log'!$C$5:$C$504,"&lt;="&amp;M$5,'Time Off Log'!$J$5:$J$504,"&gt;="&amp;M$5,'Time Off Log'!$B$5:$B$504,"Sick",'Time Off Log'!$E$5:$E$504,"Approved")&gt;0,"S",IF(COUNTIFS('Time Off Log'!$A$5:$A$504,$B9,'Time Off Log'!$C$5:$C$504,"&lt;="&amp;M$5,'Time Off Log'!$J$5:$J$504,"&gt;="&amp;M$5,'Time Off Log'!$E$5:$E$504,"Approved")&gt;0,"U",IF(COUNTIFS('Time Off Log'!$A$5:$A$504,$B9,'Time Off Log'!$C$5:$C$504,"&lt;="&amp;M$5,'Time Off Log'!$J$5:$J$504,"&gt;="&amp;M$5,'Time Off Log'!$E$5:$E$504,"Pending")&gt;0,"?",""))))))</f>
        <v/>
      </c>
      <c r="N9" s="44">
        <f>IF(OR(N$5="",$B9=""),"",IF(OR(WEEKDAY(N$5,2)&gt;5,COUNTIF(Holidays!$A$5:$A$40,N$5)&gt;0),"",IF(COUNTIFS('Time Off Log'!$A$5:$A$504,$B9,'Time Off Log'!$C$5:$C$504,"&lt;="&amp;N$5,'Time Off Log'!$J$5:$J$504,"&gt;="&amp;N$5,'Time Off Log'!$B$5:$B$504,"PTO",'Time Off Log'!$E$5:$E$504,"Approved")&gt;0,"P",IF(COUNTIFS('Time Off Log'!$A$5:$A$504,$B9,'Time Off Log'!$C$5:$C$504,"&lt;="&amp;N$5,'Time Off Log'!$J$5:$J$504,"&gt;="&amp;N$5,'Time Off Log'!$B$5:$B$504,"Sick",'Time Off Log'!$E$5:$E$504,"Approved")&gt;0,"S",IF(COUNTIFS('Time Off Log'!$A$5:$A$504,$B9,'Time Off Log'!$C$5:$C$504,"&lt;="&amp;N$5,'Time Off Log'!$J$5:$J$504,"&gt;="&amp;N$5,'Time Off Log'!$E$5:$E$504,"Approved")&gt;0,"U",IF(COUNTIFS('Time Off Log'!$A$5:$A$504,$B9,'Time Off Log'!$C$5:$C$504,"&lt;="&amp;N$5,'Time Off Log'!$J$5:$J$504,"&gt;="&amp;N$5,'Time Off Log'!$E$5:$E$504,"Pending")&gt;0,"?",""))))))</f>
        <v/>
      </c>
      <c r="O9" s="44">
        <f>IF(OR(O$5="",$B9=""),"",IF(OR(WEEKDAY(O$5,2)&gt;5,COUNTIF(Holidays!$A$5:$A$40,O$5)&gt;0),"",IF(COUNTIFS('Time Off Log'!$A$5:$A$504,$B9,'Time Off Log'!$C$5:$C$504,"&lt;="&amp;O$5,'Time Off Log'!$J$5:$J$504,"&gt;="&amp;O$5,'Time Off Log'!$B$5:$B$504,"PTO",'Time Off Log'!$E$5:$E$504,"Approved")&gt;0,"P",IF(COUNTIFS('Time Off Log'!$A$5:$A$504,$B9,'Time Off Log'!$C$5:$C$504,"&lt;="&amp;O$5,'Time Off Log'!$J$5:$J$504,"&gt;="&amp;O$5,'Time Off Log'!$B$5:$B$504,"Sick",'Time Off Log'!$E$5:$E$504,"Approved")&gt;0,"S",IF(COUNTIFS('Time Off Log'!$A$5:$A$504,$B9,'Time Off Log'!$C$5:$C$504,"&lt;="&amp;O$5,'Time Off Log'!$J$5:$J$504,"&gt;="&amp;O$5,'Time Off Log'!$E$5:$E$504,"Approved")&gt;0,"U",IF(COUNTIFS('Time Off Log'!$A$5:$A$504,$B9,'Time Off Log'!$C$5:$C$504,"&lt;="&amp;O$5,'Time Off Log'!$J$5:$J$504,"&gt;="&amp;O$5,'Time Off Log'!$E$5:$E$504,"Pending")&gt;0,"?",""))))))</f>
        <v/>
      </c>
      <c r="P9" s="44">
        <f>IF(OR(P$5="",$B9=""),"",IF(OR(WEEKDAY(P$5,2)&gt;5,COUNTIF(Holidays!$A$5:$A$40,P$5)&gt;0),"",IF(COUNTIFS('Time Off Log'!$A$5:$A$504,$B9,'Time Off Log'!$C$5:$C$504,"&lt;="&amp;P$5,'Time Off Log'!$J$5:$J$504,"&gt;="&amp;P$5,'Time Off Log'!$B$5:$B$504,"PTO",'Time Off Log'!$E$5:$E$504,"Approved")&gt;0,"P",IF(COUNTIFS('Time Off Log'!$A$5:$A$504,$B9,'Time Off Log'!$C$5:$C$504,"&lt;="&amp;P$5,'Time Off Log'!$J$5:$J$504,"&gt;="&amp;P$5,'Time Off Log'!$B$5:$B$504,"Sick",'Time Off Log'!$E$5:$E$504,"Approved")&gt;0,"S",IF(COUNTIFS('Time Off Log'!$A$5:$A$504,$B9,'Time Off Log'!$C$5:$C$504,"&lt;="&amp;P$5,'Time Off Log'!$J$5:$J$504,"&gt;="&amp;P$5,'Time Off Log'!$E$5:$E$504,"Approved")&gt;0,"U",IF(COUNTIFS('Time Off Log'!$A$5:$A$504,$B9,'Time Off Log'!$C$5:$C$504,"&lt;="&amp;P$5,'Time Off Log'!$J$5:$J$504,"&gt;="&amp;P$5,'Time Off Log'!$E$5:$E$504,"Pending")&gt;0,"?",""))))))</f>
        <v/>
      </c>
      <c r="Q9" s="44">
        <f>IF(OR(Q$5="",$B9=""),"",IF(OR(WEEKDAY(Q$5,2)&gt;5,COUNTIF(Holidays!$A$5:$A$40,Q$5)&gt;0),"",IF(COUNTIFS('Time Off Log'!$A$5:$A$504,$B9,'Time Off Log'!$C$5:$C$504,"&lt;="&amp;Q$5,'Time Off Log'!$J$5:$J$504,"&gt;="&amp;Q$5,'Time Off Log'!$B$5:$B$504,"PTO",'Time Off Log'!$E$5:$E$504,"Approved")&gt;0,"P",IF(COUNTIFS('Time Off Log'!$A$5:$A$504,$B9,'Time Off Log'!$C$5:$C$504,"&lt;="&amp;Q$5,'Time Off Log'!$J$5:$J$504,"&gt;="&amp;Q$5,'Time Off Log'!$B$5:$B$504,"Sick",'Time Off Log'!$E$5:$E$504,"Approved")&gt;0,"S",IF(COUNTIFS('Time Off Log'!$A$5:$A$504,$B9,'Time Off Log'!$C$5:$C$504,"&lt;="&amp;Q$5,'Time Off Log'!$J$5:$J$504,"&gt;="&amp;Q$5,'Time Off Log'!$E$5:$E$504,"Approved")&gt;0,"U",IF(COUNTIFS('Time Off Log'!$A$5:$A$504,$B9,'Time Off Log'!$C$5:$C$504,"&lt;="&amp;Q$5,'Time Off Log'!$J$5:$J$504,"&gt;="&amp;Q$5,'Time Off Log'!$E$5:$E$504,"Pending")&gt;0,"?",""))))))</f>
        <v/>
      </c>
      <c r="R9" s="44">
        <f>IF(OR(R$5="",$B9=""),"",IF(OR(WEEKDAY(R$5,2)&gt;5,COUNTIF(Holidays!$A$5:$A$40,R$5)&gt;0),"",IF(COUNTIFS('Time Off Log'!$A$5:$A$504,$B9,'Time Off Log'!$C$5:$C$504,"&lt;="&amp;R$5,'Time Off Log'!$J$5:$J$504,"&gt;="&amp;R$5,'Time Off Log'!$B$5:$B$504,"PTO",'Time Off Log'!$E$5:$E$504,"Approved")&gt;0,"P",IF(COUNTIFS('Time Off Log'!$A$5:$A$504,$B9,'Time Off Log'!$C$5:$C$504,"&lt;="&amp;R$5,'Time Off Log'!$J$5:$J$504,"&gt;="&amp;R$5,'Time Off Log'!$B$5:$B$504,"Sick",'Time Off Log'!$E$5:$E$504,"Approved")&gt;0,"S",IF(COUNTIFS('Time Off Log'!$A$5:$A$504,$B9,'Time Off Log'!$C$5:$C$504,"&lt;="&amp;R$5,'Time Off Log'!$J$5:$J$504,"&gt;="&amp;R$5,'Time Off Log'!$E$5:$E$504,"Approved")&gt;0,"U",IF(COUNTIFS('Time Off Log'!$A$5:$A$504,$B9,'Time Off Log'!$C$5:$C$504,"&lt;="&amp;R$5,'Time Off Log'!$J$5:$J$504,"&gt;="&amp;R$5,'Time Off Log'!$E$5:$E$504,"Pending")&gt;0,"?",""))))))</f>
        <v/>
      </c>
      <c r="S9" s="44">
        <f>IF(OR(S$5="",$B9=""),"",IF(OR(WEEKDAY(S$5,2)&gt;5,COUNTIF(Holidays!$A$5:$A$40,S$5)&gt;0),"",IF(COUNTIFS('Time Off Log'!$A$5:$A$504,$B9,'Time Off Log'!$C$5:$C$504,"&lt;="&amp;S$5,'Time Off Log'!$J$5:$J$504,"&gt;="&amp;S$5,'Time Off Log'!$B$5:$B$504,"PTO",'Time Off Log'!$E$5:$E$504,"Approved")&gt;0,"P",IF(COUNTIFS('Time Off Log'!$A$5:$A$504,$B9,'Time Off Log'!$C$5:$C$504,"&lt;="&amp;S$5,'Time Off Log'!$J$5:$J$504,"&gt;="&amp;S$5,'Time Off Log'!$B$5:$B$504,"Sick",'Time Off Log'!$E$5:$E$504,"Approved")&gt;0,"S",IF(COUNTIFS('Time Off Log'!$A$5:$A$504,$B9,'Time Off Log'!$C$5:$C$504,"&lt;="&amp;S$5,'Time Off Log'!$J$5:$J$504,"&gt;="&amp;S$5,'Time Off Log'!$E$5:$E$504,"Approved")&gt;0,"U",IF(COUNTIFS('Time Off Log'!$A$5:$A$504,$B9,'Time Off Log'!$C$5:$C$504,"&lt;="&amp;S$5,'Time Off Log'!$J$5:$J$504,"&gt;="&amp;S$5,'Time Off Log'!$E$5:$E$504,"Pending")&gt;0,"?",""))))))</f>
        <v/>
      </c>
      <c r="T9" s="44">
        <f>IF(OR(T$5="",$B9=""),"",IF(OR(WEEKDAY(T$5,2)&gt;5,COUNTIF(Holidays!$A$5:$A$40,T$5)&gt;0),"",IF(COUNTIFS('Time Off Log'!$A$5:$A$504,$B9,'Time Off Log'!$C$5:$C$504,"&lt;="&amp;T$5,'Time Off Log'!$J$5:$J$504,"&gt;="&amp;T$5,'Time Off Log'!$B$5:$B$504,"PTO",'Time Off Log'!$E$5:$E$504,"Approved")&gt;0,"P",IF(COUNTIFS('Time Off Log'!$A$5:$A$504,$B9,'Time Off Log'!$C$5:$C$504,"&lt;="&amp;T$5,'Time Off Log'!$J$5:$J$504,"&gt;="&amp;T$5,'Time Off Log'!$B$5:$B$504,"Sick",'Time Off Log'!$E$5:$E$504,"Approved")&gt;0,"S",IF(COUNTIFS('Time Off Log'!$A$5:$A$504,$B9,'Time Off Log'!$C$5:$C$504,"&lt;="&amp;T$5,'Time Off Log'!$J$5:$J$504,"&gt;="&amp;T$5,'Time Off Log'!$E$5:$E$504,"Approved")&gt;0,"U",IF(COUNTIFS('Time Off Log'!$A$5:$A$504,$B9,'Time Off Log'!$C$5:$C$504,"&lt;="&amp;T$5,'Time Off Log'!$J$5:$J$504,"&gt;="&amp;T$5,'Time Off Log'!$E$5:$E$504,"Pending")&gt;0,"?",""))))))</f>
        <v/>
      </c>
      <c r="U9" s="44">
        <f>IF(OR(U$5="",$B9=""),"",IF(OR(WEEKDAY(U$5,2)&gt;5,COUNTIF(Holidays!$A$5:$A$40,U$5)&gt;0),"",IF(COUNTIFS('Time Off Log'!$A$5:$A$504,$B9,'Time Off Log'!$C$5:$C$504,"&lt;="&amp;U$5,'Time Off Log'!$J$5:$J$504,"&gt;="&amp;U$5,'Time Off Log'!$B$5:$B$504,"PTO",'Time Off Log'!$E$5:$E$504,"Approved")&gt;0,"P",IF(COUNTIFS('Time Off Log'!$A$5:$A$504,$B9,'Time Off Log'!$C$5:$C$504,"&lt;="&amp;U$5,'Time Off Log'!$J$5:$J$504,"&gt;="&amp;U$5,'Time Off Log'!$B$5:$B$504,"Sick",'Time Off Log'!$E$5:$E$504,"Approved")&gt;0,"S",IF(COUNTIFS('Time Off Log'!$A$5:$A$504,$B9,'Time Off Log'!$C$5:$C$504,"&lt;="&amp;U$5,'Time Off Log'!$J$5:$J$504,"&gt;="&amp;U$5,'Time Off Log'!$E$5:$E$504,"Approved")&gt;0,"U",IF(COUNTIFS('Time Off Log'!$A$5:$A$504,$B9,'Time Off Log'!$C$5:$C$504,"&lt;="&amp;U$5,'Time Off Log'!$J$5:$J$504,"&gt;="&amp;U$5,'Time Off Log'!$E$5:$E$504,"Pending")&gt;0,"?",""))))))</f>
        <v/>
      </c>
      <c r="V9" s="44">
        <f>IF(OR(V$5="",$B9=""),"",IF(OR(WEEKDAY(V$5,2)&gt;5,COUNTIF(Holidays!$A$5:$A$40,V$5)&gt;0),"",IF(COUNTIFS('Time Off Log'!$A$5:$A$504,$B9,'Time Off Log'!$C$5:$C$504,"&lt;="&amp;V$5,'Time Off Log'!$J$5:$J$504,"&gt;="&amp;V$5,'Time Off Log'!$B$5:$B$504,"PTO",'Time Off Log'!$E$5:$E$504,"Approved")&gt;0,"P",IF(COUNTIFS('Time Off Log'!$A$5:$A$504,$B9,'Time Off Log'!$C$5:$C$504,"&lt;="&amp;V$5,'Time Off Log'!$J$5:$J$504,"&gt;="&amp;V$5,'Time Off Log'!$B$5:$B$504,"Sick",'Time Off Log'!$E$5:$E$504,"Approved")&gt;0,"S",IF(COUNTIFS('Time Off Log'!$A$5:$A$504,$B9,'Time Off Log'!$C$5:$C$504,"&lt;="&amp;V$5,'Time Off Log'!$J$5:$J$504,"&gt;="&amp;V$5,'Time Off Log'!$E$5:$E$504,"Approved")&gt;0,"U",IF(COUNTIFS('Time Off Log'!$A$5:$A$504,$B9,'Time Off Log'!$C$5:$C$504,"&lt;="&amp;V$5,'Time Off Log'!$J$5:$J$504,"&gt;="&amp;V$5,'Time Off Log'!$E$5:$E$504,"Pending")&gt;0,"?",""))))))</f>
        <v/>
      </c>
      <c r="W9" s="44">
        <f>IF(OR(W$5="",$B9=""),"",IF(OR(WEEKDAY(W$5,2)&gt;5,COUNTIF(Holidays!$A$5:$A$40,W$5)&gt;0),"",IF(COUNTIFS('Time Off Log'!$A$5:$A$504,$B9,'Time Off Log'!$C$5:$C$504,"&lt;="&amp;W$5,'Time Off Log'!$J$5:$J$504,"&gt;="&amp;W$5,'Time Off Log'!$B$5:$B$504,"PTO",'Time Off Log'!$E$5:$E$504,"Approved")&gt;0,"P",IF(COUNTIFS('Time Off Log'!$A$5:$A$504,$B9,'Time Off Log'!$C$5:$C$504,"&lt;="&amp;W$5,'Time Off Log'!$J$5:$J$504,"&gt;="&amp;W$5,'Time Off Log'!$B$5:$B$504,"Sick",'Time Off Log'!$E$5:$E$504,"Approved")&gt;0,"S",IF(COUNTIFS('Time Off Log'!$A$5:$A$504,$B9,'Time Off Log'!$C$5:$C$504,"&lt;="&amp;W$5,'Time Off Log'!$J$5:$J$504,"&gt;="&amp;W$5,'Time Off Log'!$E$5:$E$504,"Approved")&gt;0,"U",IF(COUNTIFS('Time Off Log'!$A$5:$A$504,$B9,'Time Off Log'!$C$5:$C$504,"&lt;="&amp;W$5,'Time Off Log'!$J$5:$J$504,"&gt;="&amp;W$5,'Time Off Log'!$E$5:$E$504,"Pending")&gt;0,"?",""))))))</f>
        <v/>
      </c>
      <c r="X9" s="44">
        <f>IF(OR(X$5="",$B9=""),"",IF(OR(WEEKDAY(X$5,2)&gt;5,COUNTIF(Holidays!$A$5:$A$40,X$5)&gt;0),"",IF(COUNTIFS('Time Off Log'!$A$5:$A$504,$B9,'Time Off Log'!$C$5:$C$504,"&lt;="&amp;X$5,'Time Off Log'!$J$5:$J$504,"&gt;="&amp;X$5,'Time Off Log'!$B$5:$B$504,"PTO",'Time Off Log'!$E$5:$E$504,"Approved")&gt;0,"P",IF(COUNTIFS('Time Off Log'!$A$5:$A$504,$B9,'Time Off Log'!$C$5:$C$504,"&lt;="&amp;X$5,'Time Off Log'!$J$5:$J$504,"&gt;="&amp;X$5,'Time Off Log'!$B$5:$B$504,"Sick",'Time Off Log'!$E$5:$E$504,"Approved")&gt;0,"S",IF(COUNTIFS('Time Off Log'!$A$5:$A$504,$B9,'Time Off Log'!$C$5:$C$504,"&lt;="&amp;X$5,'Time Off Log'!$J$5:$J$504,"&gt;="&amp;X$5,'Time Off Log'!$E$5:$E$504,"Approved")&gt;0,"U",IF(COUNTIFS('Time Off Log'!$A$5:$A$504,$B9,'Time Off Log'!$C$5:$C$504,"&lt;="&amp;X$5,'Time Off Log'!$J$5:$J$504,"&gt;="&amp;X$5,'Time Off Log'!$E$5:$E$504,"Pending")&gt;0,"?",""))))))</f>
        <v/>
      </c>
      <c r="Y9" s="44">
        <f>IF(OR(Y$5="",$B9=""),"",IF(OR(WEEKDAY(Y$5,2)&gt;5,COUNTIF(Holidays!$A$5:$A$40,Y$5)&gt;0),"",IF(COUNTIFS('Time Off Log'!$A$5:$A$504,$B9,'Time Off Log'!$C$5:$C$504,"&lt;="&amp;Y$5,'Time Off Log'!$J$5:$J$504,"&gt;="&amp;Y$5,'Time Off Log'!$B$5:$B$504,"PTO",'Time Off Log'!$E$5:$E$504,"Approved")&gt;0,"P",IF(COUNTIFS('Time Off Log'!$A$5:$A$504,$B9,'Time Off Log'!$C$5:$C$504,"&lt;="&amp;Y$5,'Time Off Log'!$J$5:$J$504,"&gt;="&amp;Y$5,'Time Off Log'!$B$5:$B$504,"Sick",'Time Off Log'!$E$5:$E$504,"Approved")&gt;0,"S",IF(COUNTIFS('Time Off Log'!$A$5:$A$504,$B9,'Time Off Log'!$C$5:$C$504,"&lt;="&amp;Y$5,'Time Off Log'!$J$5:$J$504,"&gt;="&amp;Y$5,'Time Off Log'!$E$5:$E$504,"Approved")&gt;0,"U",IF(COUNTIFS('Time Off Log'!$A$5:$A$504,$B9,'Time Off Log'!$C$5:$C$504,"&lt;="&amp;Y$5,'Time Off Log'!$J$5:$J$504,"&gt;="&amp;Y$5,'Time Off Log'!$E$5:$E$504,"Pending")&gt;0,"?",""))))))</f>
        <v/>
      </c>
      <c r="Z9" s="44">
        <f>IF(OR(Z$5="",$B9=""),"",IF(OR(WEEKDAY(Z$5,2)&gt;5,COUNTIF(Holidays!$A$5:$A$40,Z$5)&gt;0),"",IF(COUNTIFS('Time Off Log'!$A$5:$A$504,$B9,'Time Off Log'!$C$5:$C$504,"&lt;="&amp;Z$5,'Time Off Log'!$J$5:$J$504,"&gt;="&amp;Z$5,'Time Off Log'!$B$5:$B$504,"PTO",'Time Off Log'!$E$5:$E$504,"Approved")&gt;0,"P",IF(COUNTIFS('Time Off Log'!$A$5:$A$504,$B9,'Time Off Log'!$C$5:$C$504,"&lt;="&amp;Z$5,'Time Off Log'!$J$5:$J$504,"&gt;="&amp;Z$5,'Time Off Log'!$B$5:$B$504,"Sick",'Time Off Log'!$E$5:$E$504,"Approved")&gt;0,"S",IF(COUNTIFS('Time Off Log'!$A$5:$A$504,$B9,'Time Off Log'!$C$5:$C$504,"&lt;="&amp;Z$5,'Time Off Log'!$J$5:$J$504,"&gt;="&amp;Z$5,'Time Off Log'!$E$5:$E$504,"Approved")&gt;0,"U",IF(COUNTIFS('Time Off Log'!$A$5:$A$504,$B9,'Time Off Log'!$C$5:$C$504,"&lt;="&amp;Z$5,'Time Off Log'!$J$5:$J$504,"&gt;="&amp;Z$5,'Time Off Log'!$E$5:$E$504,"Pending")&gt;0,"?",""))))))</f>
        <v/>
      </c>
      <c r="AA9" s="44">
        <f>IF(OR(AA$5="",$B9=""),"",IF(OR(WEEKDAY(AA$5,2)&gt;5,COUNTIF(Holidays!$A$5:$A$40,AA$5)&gt;0),"",IF(COUNTIFS('Time Off Log'!$A$5:$A$504,$B9,'Time Off Log'!$C$5:$C$504,"&lt;="&amp;AA$5,'Time Off Log'!$J$5:$J$504,"&gt;="&amp;AA$5,'Time Off Log'!$B$5:$B$504,"PTO",'Time Off Log'!$E$5:$E$504,"Approved")&gt;0,"P",IF(COUNTIFS('Time Off Log'!$A$5:$A$504,$B9,'Time Off Log'!$C$5:$C$504,"&lt;="&amp;AA$5,'Time Off Log'!$J$5:$J$504,"&gt;="&amp;AA$5,'Time Off Log'!$B$5:$B$504,"Sick",'Time Off Log'!$E$5:$E$504,"Approved")&gt;0,"S",IF(COUNTIFS('Time Off Log'!$A$5:$A$504,$B9,'Time Off Log'!$C$5:$C$504,"&lt;="&amp;AA$5,'Time Off Log'!$J$5:$J$504,"&gt;="&amp;AA$5,'Time Off Log'!$E$5:$E$504,"Approved")&gt;0,"U",IF(COUNTIFS('Time Off Log'!$A$5:$A$504,$B9,'Time Off Log'!$C$5:$C$504,"&lt;="&amp;AA$5,'Time Off Log'!$J$5:$J$504,"&gt;="&amp;AA$5,'Time Off Log'!$E$5:$E$504,"Pending")&gt;0,"?",""))))))</f>
        <v/>
      </c>
      <c r="AB9" s="44">
        <f>IF(OR(AB$5="",$B9=""),"",IF(OR(WEEKDAY(AB$5,2)&gt;5,COUNTIF(Holidays!$A$5:$A$40,AB$5)&gt;0),"",IF(COUNTIFS('Time Off Log'!$A$5:$A$504,$B9,'Time Off Log'!$C$5:$C$504,"&lt;="&amp;AB$5,'Time Off Log'!$J$5:$J$504,"&gt;="&amp;AB$5,'Time Off Log'!$B$5:$B$504,"PTO",'Time Off Log'!$E$5:$E$504,"Approved")&gt;0,"P",IF(COUNTIFS('Time Off Log'!$A$5:$A$504,$B9,'Time Off Log'!$C$5:$C$504,"&lt;="&amp;AB$5,'Time Off Log'!$J$5:$J$504,"&gt;="&amp;AB$5,'Time Off Log'!$B$5:$B$504,"Sick",'Time Off Log'!$E$5:$E$504,"Approved")&gt;0,"S",IF(COUNTIFS('Time Off Log'!$A$5:$A$504,$B9,'Time Off Log'!$C$5:$C$504,"&lt;="&amp;AB$5,'Time Off Log'!$J$5:$J$504,"&gt;="&amp;AB$5,'Time Off Log'!$E$5:$E$504,"Approved")&gt;0,"U",IF(COUNTIFS('Time Off Log'!$A$5:$A$504,$B9,'Time Off Log'!$C$5:$C$504,"&lt;="&amp;AB$5,'Time Off Log'!$J$5:$J$504,"&gt;="&amp;AB$5,'Time Off Log'!$E$5:$E$504,"Pending")&gt;0,"?",""))))))</f>
        <v/>
      </c>
      <c r="AC9" s="44">
        <f>IF(OR(AC$5="",$B9=""),"",IF(OR(WEEKDAY(AC$5,2)&gt;5,COUNTIF(Holidays!$A$5:$A$40,AC$5)&gt;0),"",IF(COUNTIFS('Time Off Log'!$A$5:$A$504,$B9,'Time Off Log'!$C$5:$C$504,"&lt;="&amp;AC$5,'Time Off Log'!$J$5:$J$504,"&gt;="&amp;AC$5,'Time Off Log'!$B$5:$B$504,"PTO",'Time Off Log'!$E$5:$E$504,"Approved")&gt;0,"P",IF(COUNTIFS('Time Off Log'!$A$5:$A$504,$B9,'Time Off Log'!$C$5:$C$504,"&lt;="&amp;AC$5,'Time Off Log'!$J$5:$J$504,"&gt;="&amp;AC$5,'Time Off Log'!$B$5:$B$504,"Sick",'Time Off Log'!$E$5:$E$504,"Approved")&gt;0,"S",IF(COUNTIFS('Time Off Log'!$A$5:$A$504,$B9,'Time Off Log'!$C$5:$C$504,"&lt;="&amp;AC$5,'Time Off Log'!$J$5:$J$504,"&gt;="&amp;AC$5,'Time Off Log'!$E$5:$E$504,"Approved")&gt;0,"U",IF(COUNTIFS('Time Off Log'!$A$5:$A$504,$B9,'Time Off Log'!$C$5:$C$504,"&lt;="&amp;AC$5,'Time Off Log'!$J$5:$J$504,"&gt;="&amp;AC$5,'Time Off Log'!$E$5:$E$504,"Pending")&gt;0,"?",""))))))</f>
        <v/>
      </c>
      <c r="AD9" s="44">
        <f>IF(OR(AD$5="",$B9=""),"",IF(OR(WEEKDAY(AD$5,2)&gt;5,COUNTIF(Holidays!$A$5:$A$40,AD$5)&gt;0),"",IF(COUNTIFS('Time Off Log'!$A$5:$A$504,$B9,'Time Off Log'!$C$5:$C$504,"&lt;="&amp;AD$5,'Time Off Log'!$J$5:$J$504,"&gt;="&amp;AD$5,'Time Off Log'!$B$5:$B$504,"PTO",'Time Off Log'!$E$5:$E$504,"Approved")&gt;0,"P",IF(COUNTIFS('Time Off Log'!$A$5:$A$504,$B9,'Time Off Log'!$C$5:$C$504,"&lt;="&amp;AD$5,'Time Off Log'!$J$5:$J$504,"&gt;="&amp;AD$5,'Time Off Log'!$B$5:$B$504,"Sick",'Time Off Log'!$E$5:$E$504,"Approved")&gt;0,"S",IF(COUNTIFS('Time Off Log'!$A$5:$A$504,$B9,'Time Off Log'!$C$5:$C$504,"&lt;="&amp;AD$5,'Time Off Log'!$J$5:$J$504,"&gt;="&amp;AD$5,'Time Off Log'!$E$5:$E$504,"Approved")&gt;0,"U",IF(COUNTIFS('Time Off Log'!$A$5:$A$504,$B9,'Time Off Log'!$C$5:$C$504,"&lt;="&amp;AD$5,'Time Off Log'!$J$5:$J$504,"&gt;="&amp;AD$5,'Time Off Log'!$E$5:$E$504,"Pending")&gt;0,"?",""))))))</f>
        <v/>
      </c>
      <c r="AE9" s="44">
        <f>IF(OR(AE$5="",$B9=""),"",IF(OR(WEEKDAY(AE$5,2)&gt;5,COUNTIF(Holidays!$A$5:$A$40,AE$5)&gt;0),"",IF(COUNTIFS('Time Off Log'!$A$5:$A$504,$B9,'Time Off Log'!$C$5:$C$504,"&lt;="&amp;AE$5,'Time Off Log'!$J$5:$J$504,"&gt;="&amp;AE$5,'Time Off Log'!$B$5:$B$504,"PTO",'Time Off Log'!$E$5:$E$504,"Approved")&gt;0,"P",IF(COUNTIFS('Time Off Log'!$A$5:$A$504,$B9,'Time Off Log'!$C$5:$C$504,"&lt;="&amp;AE$5,'Time Off Log'!$J$5:$J$504,"&gt;="&amp;AE$5,'Time Off Log'!$B$5:$B$504,"Sick",'Time Off Log'!$E$5:$E$504,"Approved")&gt;0,"S",IF(COUNTIFS('Time Off Log'!$A$5:$A$504,$B9,'Time Off Log'!$C$5:$C$504,"&lt;="&amp;AE$5,'Time Off Log'!$J$5:$J$504,"&gt;="&amp;AE$5,'Time Off Log'!$E$5:$E$504,"Approved")&gt;0,"U",IF(COUNTIFS('Time Off Log'!$A$5:$A$504,$B9,'Time Off Log'!$C$5:$C$504,"&lt;="&amp;AE$5,'Time Off Log'!$J$5:$J$504,"&gt;="&amp;AE$5,'Time Off Log'!$E$5:$E$504,"Pending")&gt;0,"?",""))))))</f>
        <v/>
      </c>
      <c r="AF9" s="44">
        <f>IF(OR(AF$5="",$B9=""),"",IF(OR(WEEKDAY(AF$5,2)&gt;5,COUNTIF(Holidays!$A$5:$A$40,AF$5)&gt;0),"",IF(COUNTIFS('Time Off Log'!$A$5:$A$504,$B9,'Time Off Log'!$C$5:$C$504,"&lt;="&amp;AF$5,'Time Off Log'!$J$5:$J$504,"&gt;="&amp;AF$5,'Time Off Log'!$B$5:$B$504,"PTO",'Time Off Log'!$E$5:$E$504,"Approved")&gt;0,"P",IF(COUNTIFS('Time Off Log'!$A$5:$A$504,$B9,'Time Off Log'!$C$5:$C$504,"&lt;="&amp;AF$5,'Time Off Log'!$J$5:$J$504,"&gt;="&amp;AF$5,'Time Off Log'!$B$5:$B$504,"Sick",'Time Off Log'!$E$5:$E$504,"Approved")&gt;0,"S",IF(COUNTIFS('Time Off Log'!$A$5:$A$504,$B9,'Time Off Log'!$C$5:$C$504,"&lt;="&amp;AF$5,'Time Off Log'!$J$5:$J$504,"&gt;="&amp;AF$5,'Time Off Log'!$E$5:$E$504,"Approved")&gt;0,"U",IF(COUNTIFS('Time Off Log'!$A$5:$A$504,$B9,'Time Off Log'!$C$5:$C$504,"&lt;="&amp;AF$5,'Time Off Log'!$J$5:$J$504,"&gt;="&amp;AF$5,'Time Off Log'!$E$5:$E$504,"Pending")&gt;0,"?",""))))))</f>
        <v/>
      </c>
      <c r="AG9" s="44">
        <f>IF(OR(AG$5="",$B9=""),"",IF(OR(WEEKDAY(AG$5,2)&gt;5,COUNTIF(Holidays!$A$5:$A$40,AG$5)&gt;0),"",IF(COUNTIFS('Time Off Log'!$A$5:$A$504,$B9,'Time Off Log'!$C$5:$C$504,"&lt;="&amp;AG$5,'Time Off Log'!$J$5:$J$504,"&gt;="&amp;AG$5,'Time Off Log'!$B$5:$B$504,"PTO",'Time Off Log'!$E$5:$E$504,"Approved")&gt;0,"P",IF(COUNTIFS('Time Off Log'!$A$5:$A$504,$B9,'Time Off Log'!$C$5:$C$504,"&lt;="&amp;AG$5,'Time Off Log'!$J$5:$J$504,"&gt;="&amp;AG$5,'Time Off Log'!$B$5:$B$504,"Sick",'Time Off Log'!$E$5:$E$504,"Approved")&gt;0,"S",IF(COUNTIFS('Time Off Log'!$A$5:$A$504,$B9,'Time Off Log'!$C$5:$C$504,"&lt;="&amp;AG$5,'Time Off Log'!$J$5:$J$504,"&gt;="&amp;AG$5,'Time Off Log'!$E$5:$E$504,"Approved")&gt;0,"U",IF(COUNTIFS('Time Off Log'!$A$5:$A$504,$B9,'Time Off Log'!$C$5:$C$504,"&lt;="&amp;AG$5,'Time Off Log'!$J$5:$J$504,"&gt;="&amp;AG$5,'Time Off Log'!$E$5:$E$504,"Pending")&gt;0,"?",""))))))</f>
        <v/>
      </c>
    </row>
    <row r="10">
      <c r="A10" s="24" t="n">
        <v>5</v>
      </c>
      <c r="B10" s="24">
        <f>IF(Employees!B9="","",Employees!B9)</f>
        <v/>
      </c>
      <c r="C10" s="44">
        <f>IF(OR(C$5="",$B10=""),"",IF(OR(WEEKDAY(C$5,2)&gt;5,COUNTIF(Holidays!$A$5:$A$40,C$5)&gt;0),"",IF(COUNTIFS('Time Off Log'!$A$5:$A$504,$B10,'Time Off Log'!$C$5:$C$504,"&lt;="&amp;C$5,'Time Off Log'!$J$5:$J$504,"&gt;="&amp;C$5,'Time Off Log'!$B$5:$B$504,"PTO",'Time Off Log'!$E$5:$E$504,"Approved")&gt;0,"P",IF(COUNTIFS('Time Off Log'!$A$5:$A$504,$B10,'Time Off Log'!$C$5:$C$504,"&lt;="&amp;C$5,'Time Off Log'!$J$5:$J$504,"&gt;="&amp;C$5,'Time Off Log'!$B$5:$B$504,"Sick",'Time Off Log'!$E$5:$E$504,"Approved")&gt;0,"S",IF(COUNTIFS('Time Off Log'!$A$5:$A$504,$B10,'Time Off Log'!$C$5:$C$504,"&lt;="&amp;C$5,'Time Off Log'!$J$5:$J$504,"&gt;="&amp;C$5,'Time Off Log'!$E$5:$E$504,"Approved")&gt;0,"U",IF(COUNTIFS('Time Off Log'!$A$5:$A$504,$B10,'Time Off Log'!$C$5:$C$504,"&lt;="&amp;C$5,'Time Off Log'!$J$5:$J$504,"&gt;="&amp;C$5,'Time Off Log'!$E$5:$E$504,"Pending")&gt;0,"?",""))))))</f>
        <v/>
      </c>
      <c r="D10" s="44">
        <f>IF(OR(D$5="",$B10=""),"",IF(OR(WEEKDAY(D$5,2)&gt;5,COUNTIF(Holidays!$A$5:$A$40,D$5)&gt;0),"",IF(COUNTIFS('Time Off Log'!$A$5:$A$504,$B10,'Time Off Log'!$C$5:$C$504,"&lt;="&amp;D$5,'Time Off Log'!$J$5:$J$504,"&gt;="&amp;D$5,'Time Off Log'!$B$5:$B$504,"PTO",'Time Off Log'!$E$5:$E$504,"Approved")&gt;0,"P",IF(COUNTIFS('Time Off Log'!$A$5:$A$504,$B10,'Time Off Log'!$C$5:$C$504,"&lt;="&amp;D$5,'Time Off Log'!$J$5:$J$504,"&gt;="&amp;D$5,'Time Off Log'!$B$5:$B$504,"Sick",'Time Off Log'!$E$5:$E$504,"Approved")&gt;0,"S",IF(COUNTIFS('Time Off Log'!$A$5:$A$504,$B10,'Time Off Log'!$C$5:$C$504,"&lt;="&amp;D$5,'Time Off Log'!$J$5:$J$504,"&gt;="&amp;D$5,'Time Off Log'!$E$5:$E$504,"Approved")&gt;0,"U",IF(COUNTIFS('Time Off Log'!$A$5:$A$504,$B10,'Time Off Log'!$C$5:$C$504,"&lt;="&amp;D$5,'Time Off Log'!$J$5:$J$504,"&gt;="&amp;D$5,'Time Off Log'!$E$5:$E$504,"Pending")&gt;0,"?",""))))))</f>
        <v/>
      </c>
      <c r="E10" s="44">
        <f>IF(OR(E$5="",$B10=""),"",IF(OR(WEEKDAY(E$5,2)&gt;5,COUNTIF(Holidays!$A$5:$A$40,E$5)&gt;0),"",IF(COUNTIFS('Time Off Log'!$A$5:$A$504,$B10,'Time Off Log'!$C$5:$C$504,"&lt;="&amp;E$5,'Time Off Log'!$J$5:$J$504,"&gt;="&amp;E$5,'Time Off Log'!$B$5:$B$504,"PTO",'Time Off Log'!$E$5:$E$504,"Approved")&gt;0,"P",IF(COUNTIFS('Time Off Log'!$A$5:$A$504,$B10,'Time Off Log'!$C$5:$C$504,"&lt;="&amp;E$5,'Time Off Log'!$J$5:$J$504,"&gt;="&amp;E$5,'Time Off Log'!$B$5:$B$504,"Sick",'Time Off Log'!$E$5:$E$504,"Approved")&gt;0,"S",IF(COUNTIFS('Time Off Log'!$A$5:$A$504,$B10,'Time Off Log'!$C$5:$C$504,"&lt;="&amp;E$5,'Time Off Log'!$J$5:$J$504,"&gt;="&amp;E$5,'Time Off Log'!$E$5:$E$504,"Approved")&gt;0,"U",IF(COUNTIFS('Time Off Log'!$A$5:$A$504,$B10,'Time Off Log'!$C$5:$C$504,"&lt;="&amp;E$5,'Time Off Log'!$J$5:$J$504,"&gt;="&amp;E$5,'Time Off Log'!$E$5:$E$504,"Pending")&gt;0,"?",""))))))</f>
        <v/>
      </c>
      <c r="F10" s="44">
        <f>IF(OR(F$5="",$B10=""),"",IF(OR(WEEKDAY(F$5,2)&gt;5,COUNTIF(Holidays!$A$5:$A$40,F$5)&gt;0),"",IF(COUNTIFS('Time Off Log'!$A$5:$A$504,$B10,'Time Off Log'!$C$5:$C$504,"&lt;="&amp;F$5,'Time Off Log'!$J$5:$J$504,"&gt;="&amp;F$5,'Time Off Log'!$B$5:$B$504,"PTO",'Time Off Log'!$E$5:$E$504,"Approved")&gt;0,"P",IF(COUNTIFS('Time Off Log'!$A$5:$A$504,$B10,'Time Off Log'!$C$5:$C$504,"&lt;="&amp;F$5,'Time Off Log'!$J$5:$J$504,"&gt;="&amp;F$5,'Time Off Log'!$B$5:$B$504,"Sick",'Time Off Log'!$E$5:$E$504,"Approved")&gt;0,"S",IF(COUNTIFS('Time Off Log'!$A$5:$A$504,$B10,'Time Off Log'!$C$5:$C$504,"&lt;="&amp;F$5,'Time Off Log'!$J$5:$J$504,"&gt;="&amp;F$5,'Time Off Log'!$E$5:$E$504,"Approved")&gt;0,"U",IF(COUNTIFS('Time Off Log'!$A$5:$A$504,$B10,'Time Off Log'!$C$5:$C$504,"&lt;="&amp;F$5,'Time Off Log'!$J$5:$J$504,"&gt;="&amp;F$5,'Time Off Log'!$E$5:$E$504,"Pending")&gt;0,"?",""))))))</f>
        <v/>
      </c>
      <c r="G10" s="44">
        <f>IF(OR(G$5="",$B10=""),"",IF(OR(WEEKDAY(G$5,2)&gt;5,COUNTIF(Holidays!$A$5:$A$40,G$5)&gt;0),"",IF(COUNTIFS('Time Off Log'!$A$5:$A$504,$B10,'Time Off Log'!$C$5:$C$504,"&lt;="&amp;G$5,'Time Off Log'!$J$5:$J$504,"&gt;="&amp;G$5,'Time Off Log'!$B$5:$B$504,"PTO",'Time Off Log'!$E$5:$E$504,"Approved")&gt;0,"P",IF(COUNTIFS('Time Off Log'!$A$5:$A$504,$B10,'Time Off Log'!$C$5:$C$504,"&lt;="&amp;G$5,'Time Off Log'!$J$5:$J$504,"&gt;="&amp;G$5,'Time Off Log'!$B$5:$B$504,"Sick",'Time Off Log'!$E$5:$E$504,"Approved")&gt;0,"S",IF(COUNTIFS('Time Off Log'!$A$5:$A$504,$B10,'Time Off Log'!$C$5:$C$504,"&lt;="&amp;G$5,'Time Off Log'!$J$5:$J$504,"&gt;="&amp;G$5,'Time Off Log'!$E$5:$E$504,"Approved")&gt;0,"U",IF(COUNTIFS('Time Off Log'!$A$5:$A$504,$B10,'Time Off Log'!$C$5:$C$504,"&lt;="&amp;G$5,'Time Off Log'!$J$5:$J$504,"&gt;="&amp;G$5,'Time Off Log'!$E$5:$E$504,"Pending")&gt;0,"?",""))))))</f>
        <v/>
      </c>
      <c r="H10" s="44">
        <f>IF(OR(H$5="",$B10=""),"",IF(OR(WEEKDAY(H$5,2)&gt;5,COUNTIF(Holidays!$A$5:$A$40,H$5)&gt;0),"",IF(COUNTIFS('Time Off Log'!$A$5:$A$504,$B10,'Time Off Log'!$C$5:$C$504,"&lt;="&amp;H$5,'Time Off Log'!$J$5:$J$504,"&gt;="&amp;H$5,'Time Off Log'!$B$5:$B$504,"PTO",'Time Off Log'!$E$5:$E$504,"Approved")&gt;0,"P",IF(COUNTIFS('Time Off Log'!$A$5:$A$504,$B10,'Time Off Log'!$C$5:$C$504,"&lt;="&amp;H$5,'Time Off Log'!$J$5:$J$504,"&gt;="&amp;H$5,'Time Off Log'!$B$5:$B$504,"Sick",'Time Off Log'!$E$5:$E$504,"Approved")&gt;0,"S",IF(COUNTIFS('Time Off Log'!$A$5:$A$504,$B10,'Time Off Log'!$C$5:$C$504,"&lt;="&amp;H$5,'Time Off Log'!$J$5:$J$504,"&gt;="&amp;H$5,'Time Off Log'!$E$5:$E$504,"Approved")&gt;0,"U",IF(COUNTIFS('Time Off Log'!$A$5:$A$504,$B10,'Time Off Log'!$C$5:$C$504,"&lt;="&amp;H$5,'Time Off Log'!$J$5:$J$504,"&gt;="&amp;H$5,'Time Off Log'!$E$5:$E$504,"Pending")&gt;0,"?",""))))))</f>
        <v/>
      </c>
      <c r="I10" s="44">
        <f>IF(OR(I$5="",$B10=""),"",IF(OR(WEEKDAY(I$5,2)&gt;5,COUNTIF(Holidays!$A$5:$A$40,I$5)&gt;0),"",IF(COUNTIFS('Time Off Log'!$A$5:$A$504,$B10,'Time Off Log'!$C$5:$C$504,"&lt;="&amp;I$5,'Time Off Log'!$J$5:$J$504,"&gt;="&amp;I$5,'Time Off Log'!$B$5:$B$504,"PTO",'Time Off Log'!$E$5:$E$504,"Approved")&gt;0,"P",IF(COUNTIFS('Time Off Log'!$A$5:$A$504,$B10,'Time Off Log'!$C$5:$C$504,"&lt;="&amp;I$5,'Time Off Log'!$J$5:$J$504,"&gt;="&amp;I$5,'Time Off Log'!$B$5:$B$504,"Sick",'Time Off Log'!$E$5:$E$504,"Approved")&gt;0,"S",IF(COUNTIFS('Time Off Log'!$A$5:$A$504,$B10,'Time Off Log'!$C$5:$C$504,"&lt;="&amp;I$5,'Time Off Log'!$J$5:$J$504,"&gt;="&amp;I$5,'Time Off Log'!$E$5:$E$504,"Approved")&gt;0,"U",IF(COUNTIFS('Time Off Log'!$A$5:$A$504,$B10,'Time Off Log'!$C$5:$C$504,"&lt;="&amp;I$5,'Time Off Log'!$J$5:$J$504,"&gt;="&amp;I$5,'Time Off Log'!$E$5:$E$504,"Pending")&gt;0,"?",""))))))</f>
        <v/>
      </c>
      <c r="J10" s="44">
        <f>IF(OR(J$5="",$B10=""),"",IF(OR(WEEKDAY(J$5,2)&gt;5,COUNTIF(Holidays!$A$5:$A$40,J$5)&gt;0),"",IF(COUNTIFS('Time Off Log'!$A$5:$A$504,$B10,'Time Off Log'!$C$5:$C$504,"&lt;="&amp;J$5,'Time Off Log'!$J$5:$J$504,"&gt;="&amp;J$5,'Time Off Log'!$B$5:$B$504,"PTO",'Time Off Log'!$E$5:$E$504,"Approved")&gt;0,"P",IF(COUNTIFS('Time Off Log'!$A$5:$A$504,$B10,'Time Off Log'!$C$5:$C$504,"&lt;="&amp;J$5,'Time Off Log'!$J$5:$J$504,"&gt;="&amp;J$5,'Time Off Log'!$B$5:$B$504,"Sick",'Time Off Log'!$E$5:$E$504,"Approved")&gt;0,"S",IF(COUNTIFS('Time Off Log'!$A$5:$A$504,$B10,'Time Off Log'!$C$5:$C$504,"&lt;="&amp;J$5,'Time Off Log'!$J$5:$J$504,"&gt;="&amp;J$5,'Time Off Log'!$E$5:$E$504,"Approved")&gt;0,"U",IF(COUNTIFS('Time Off Log'!$A$5:$A$504,$B10,'Time Off Log'!$C$5:$C$504,"&lt;="&amp;J$5,'Time Off Log'!$J$5:$J$504,"&gt;="&amp;J$5,'Time Off Log'!$E$5:$E$504,"Pending")&gt;0,"?",""))))))</f>
        <v/>
      </c>
      <c r="K10" s="44">
        <f>IF(OR(K$5="",$B10=""),"",IF(OR(WEEKDAY(K$5,2)&gt;5,COUNTIF(Holidays!$A$5:$A$40,K$5)&gt;0),"",IF(COUNTIFS('Time Off Log'!$A$5:$A$504,$B10,'Time Off Log'!$C$5:$C$504,"&lt;="&amp;K$5,'Time Off Log'!$J$5:$J$504,"&gt;="&amp;K$5,'Time Off Log'!$B$5:$B$504,"PTO",'Time Off Log'!$E$5:$E$504,"Approved")&gt;0,"P",IF(COUNTIFS('Time Off Log'!$A$5:$A$504,$B10,'Time Off Log'!$C$5:$C$504,"&lt;="&amp;K$5,'Time Off Log'!$J$5:$J$504,"&gt;="&amp;K$5,'Time Off Log'!$B$5:$B$504,"Sick",'Time Off Log'!$E$5:$E$504,"Approved")&gt;0,"S",IF(COUNTIFS('Time Off Log'!$A$5:$A$504,$B10,'Time Off Log'!$C$5:$C$504,"&lt;="&amp;K$5,'Time Off Log'!$J$5:$J$504,"&gt;="&amp;K$5,'Time Off Log'!$E$5:$E$504,"Approved")&gt;0,"U",IF(COUNTIFS('Time Off Log'!$A$5:$A$504,$B10,'Time Off Log'!$C$5:$C$504,"&lt;="&amp;K$5,'Time Off Log'!$J$5:$J$504,"&gt;="&amp;K$5,'Time Off Log'!$E$5:$E$504,"Pending")&gt;0,"?",""))))))</f>
        <v/>
      </c>
      <c r="L10" s="44">
        <f>IF(OR(L$5="",$B10=""),"",IF(OR(WEEKDAY(L$5,2)&gt;5,COUNTIF(Holidays!$A$5:$A$40,L$5)&gt;0),"",IF(COUNTIFS('Time Off Log'!$A$5:$A$504,$B10,'Time Off Log'!$C$5:$C$504,"&lt;="&amp;L$5,'Time Off Log'!$J$5:$J$504,"&gt;="&amp;L$5,'Time Off Log'!$B$5:$B$504,"PTO",'Time Off Log'!$E$5:$E$504,"Approved")&gt;0,"P",IF(COUNTIFS('Time Off Log'!$A$5:$A$504,$B10,'Time Off Log'!$C$5:$C$504,"&lt;="&amp;L$5,'Time Off Log'!$J$5:$J$504,"&gt;="&amp;L$5,'Time Off Log'!$B$5:$B$504,"Sick",'Time Off Log'!$E$5:$E$504,"Approved")&gt;0,"S",IF(COUNTIFS('Time Off Log'!$A$5:$A$504,$B10,'Time Off Log'!$C$5:$C$504,"&lt;="&amp;L$5,'Time Off Log'!$J$5:$J$504,"&gt;="&amp;L$5,'Time Off Log'!$E$5:$E$504,"Approved")&gt;0,"U",IF(COUNTIFS('Time Off Log'!$A$5:$A$504,$B10,'Time Off Log'!$C$5:$C$504,"&lt;="&amp;L$5,'Time Off Log'!$J$5:$J$504,"&gt;="&amp;L$5,'Time Off Log'!$E$5:$E$504,"Pending")&gt;0,"?",""))))))</f>
        <v/>
      </c>
      <c r="M10" s="44">
        <f>IF(OR(M$5="",$B10=""),"",IF(OR(WEEKDAY(M$5,2)&gt;5,COUNTIF(Holidays!$A$5:$A$40,M$5)&gt;0),"",IF(COUNTIFS('Time Off Log'!$A$5:$A$504,$B10,'Time Off Log'!$C$5:$C$504,"&lt;="&amp;M$5,'Time Off Log'!$J$5:$J$504,"&gt;="&amp;M$5,'Time Off Log'!$B$5:$B$504,"PTO",'Time Off Log'!$E$5:$E$504,"Approved")&gt;0,"P",IF(COUNTIFS('Time Off Log'!$A$5:$A$504,$B10,'Time Off Log'!$C$5:$C$504,"&lt;="&amp;M$5,'Time Off Log'!$J$5:$J$504,"&gt;="&amp;M$5,'Time Off Log'!$B$5:$B$504,"Sick",'Time Off Log'!$E$5:$E$504,"Approved")&gt;0,"S",IF(COUNTIFS('Time Off Log'!$A$5:$A$504,$B10,'Time Off Log'!$C$5:$C$504,"&lt;="&amp;M$5,'Time Off Log'!$J$5:$J$504,"&gt;="&amp;M$5,'Time Off Log'!$E$5:$E$504,"Approved")&gt;0,"U",IF(COUNTIFS('Time Off Log'!$A$5:$A$504,$B10,'Time Off Log'!$C$5:$C$504,"&lt;="&amp;M$5,'Time Off Log'!$J$5:$J$504,"&gt;="&amp;M$5,'Time Off Log'!$E$5:$E$504,"Pending")&gt;0,"?",""))))))</f>
        <v/>
      </c>
      <c r="N10" s="44">
        <f>IF(OR(N$5="",$B10=""),"",IF(OR(WEEKDAY(N$5,2)&gt;5,COUNTIF(Holidays!$A$5:$A$40,N$5)&gt;0),"",IF(COUNTIFS('Time Off Log'!$A$5:$A$504,$B10,'Time Off Log'!$C$5:$C$504,"&lt;="&amp;N$5,'Time Off Log'!$J$5:$J$504,"&gt;="&amp;N$5,'Time Off Log'!$B$5:$B$504,"PTO",'Time Off Log'!$E$5:$E$504,"Approved")&gt;0,"P",IF(COUNTIFS('Time Off Log'!$A$5:$A$504,$B10,'Time Off Log'!$C$5:$C$504,"&lt;="&amp;N$5,'Time Off Log'!$J$5:$J$504,"&gt;="&amp;N$5,'Time Off Log'!$B$5:$B$504,"Sick",'Time Off Log'!$E$5:$E$504,"Approved")&gt;0,"S",IF(COUNTIFS('Time Off Log'!$A$5:$A$504,$B10,'Time Off Log'!$C$5:$C$504,"&lt;="&amp;N$5,'Time Off Log'!$J$5:$J$504,"&gt;="&amp;N$5,'Time Off Log'!$E$5:$E$504,"Approved")&gt;0,"U",IF(COUNTIFS('Time Off Log'!$A$5:$A$504,$B10,'Time Off Log'!$C$5:$C$504,"&lt;="&amp;N$5,'Time Off Log'!$J$5:$J$504,"&gt;="&amp;N$5,'Time Off Log'!$E$5:$E$504,"Pending")&gt;0,"?",""))))))</f>
        <v/>
      </c>
      <c r="O10" s="44">
        <f>IF(OR(O$5="",$B10=""),"",IF(OR(WEEKDAY(O$5,2)&gt;5,COUNTIF(Holidays!$A$5:$A$40,O$5)&gt;0),"",IF(COUNTIFS('Time Off Log'!$A$5:$A$504,$B10,'Time Off Log'!$C$5:$C$504,"&lt;="&amp;O$5,'Time Off Log'!$J$5:$J$504,"&gt;="&amp;O$5,'Time Off Log'!$B$5:$B$504,"PTO",'Time Off Log'!$E$5:$E$504,"Approved")&gt;0,"P",IF(COUNTIFS('Time Off Log'!$A$5:$A$504,$B10,'Time Off Log'!$C$5:$C$504,"&lt;="&amp;O$5,'Time Off Log'!$J$5:$J$504,"&gt;="&amp;O$5,'Time Off Log'!$B$5:$B$504,"Sick",'Time Off Log'!$E$5:$E$504,"Approved")&gt;0,"S",IF(COUNTIFS('Time Off Log'!$A$5:$A$504,$B10,'Time Off Log'!$C$5:$C$504,"&lt;="&amp;O$5,'Time Off Log'!$J$5:$J$504,"&gt;="&amp;O$5,'Time Off Log'!$E$5:$E$504,"Approved")&gt;0,"U",IF(COUNTIFS('Time Off Log'!$A$5:$A$504,$B10,'Time Off Log'!$C$5:$C$504,"&lt;="&amp;O$5,'Time Off Log'!$J$5:$J$504,"&gt;="&amp;O$5,'Time Off Log'!$E$5:$E$504,"Pending")&gt;0,"?",""))))))</f>
        <v/>
      </c>
      <c r="P10" s="44">
        <f>IF(OR(P$5="",$B10=""),"",IF(OR(WEEKDAY(P$5,2)&gt;5,COUNTIF(Holidays!$A$5:$A$40,P$5)&gt;0),"",IF(COUNTIFS('Time Off Log'!$A$5:$A$504,$B10,'Time Off Log'!$C$5:$C$504,"&lt;="&amp;P$5,'Time Off Log'!$J$5:$J$504,"&gt;="&amp;P$5,'Time Off Log'!$B$5:$B$504,"PTO",'Time Off Log'!$E$5:$E$504,"Approved")&gt;0,"P",IF(COUNTIFS('Time Off Log'!$A$5:$A$504,$B10,'Time Off Log'!$C$5:$C$504,"&lt;="&amp;P$5,'Time Off Log'!$J$5:$J$504,"&gt;="&amp;P$5,'Time Off Log'!$B$5:$B$504,"Sick",'Time Off Log'!$E$5:$E$504,"Approved")&gt;0,"S",IF(COUNTIFS('Time Off Log'!$A$5:$A$504,$B10,'Time Off Log'!$C$5:$C$504,"&lt;="&amp;P$5,'Time Off Log'!$J$5:$J$504,"&gt;="&amp;P$5,'Time Off Log'!$E$5:$E$504,"Approved")&gt;0,"U",IF(COUNTIFS('Time Off Log'!$A$5:$A$504,$B10,'Time Off Log'!$C$5:$C$504,"&lt;="&amp;P$5,'Time Off Log'!$J$5:$J$504,"&gt;="&amp;P$5,'Time Off Log'!$E$5:$E$504,"Pending")&gt;0,"?",""))))))</f>
        <v/>
      </c>
      <c r="Q10" s="44">
        <f>IF(OR(Q$5="",$B10=""),"",IF(OR(WEEKDAY(Q$5,2)&gt;5,COUNTIF(Holidays!$A$5:$A$40,Q$5)&gt;0),"",IF(COUNTIFS('Time Off Log'!$A$5:$A$504,$B10,'Time Off Log'!$C$5:$C$504,"&lt;="&amp;Q$5,'Time Off Log'!$J$5:$J$504,"&gt;="&amp;Q$5,'Time Off Log'!$B$5:$B$504,"PTO",'Time Off Log'!$E$5:$E$504,"Approved")&gt;0,"P",IF(COUNTIFS('Time Off Log'!$A$5:$A$504,$B10,'Time Off Log'!$C$5:$C$504,"&lt;="&amp;Q$5,'Time Off Log'!$J$5:$J$504,"&gt;="&amp;Q$5,'Time Off Log'!$B$5:$B$504,"Sick",'Time Off Log'!$E$5:$E$504,"Approved")&gt;0,"S",IF(COUNTIFS('Time Off Log'!$A$5:$A$504,$B10,'Time Off Log'!$C$5:$C$504,"&lt;="&amp;Q$5,'Time Off Log'!$J$5:$J$504,"&gt;="&amp;Q$5,'Time Off Log'!$E$5:$E$504,"Approved")&gt;0,"U",IF(COUNTIFS('Time Off Log'!$A$5:$A$504,$B10,'Time Off Log'!$C$5:$C$504,"&lt;="&amp;Q$5,'Time Off Log'!$J$5:$J$504,"&gt;="&amp;Q$5,'Time Off Log'!$E$5:$E$504,"Pending")&gt;0,"?",""))))))</f>
        <v/>
      </c>
      <c r="R10" s="44">
        <f>IF(OR(R$5="",$B10=""),"",IF(OR(WEEKDAY(R$5,2)&gt;5,COUNTIF(Holidays!$A$5:$A$40,R$5)&gt;0),"",IF(COUNTIFS('Time Off Log'!$A$5:$A$504,$B10,'Time Off Log'!$C$5:$C$504,"&lt;="&amp;R$5,'Time Off Log'!$J$5:$J$504,"&gt;="&amp;R$5,'Time Off Log'!$B$5:$B$504,"PTO",'Time Off Log'!$E$5:$E$504,"Approved")&gt;0,"P",IF(COUNTIFS('Time Off Log'!$A$5:$A$504,$B10,'Time Off Log'!$C$5:$C$504,"&lt;="&amp;R$5,'Time Off Log'!$J$5:$J$504,"&gt;="&amp;R$5,'Time Off Log'!$B$5:$B$504,"Sick",'Time Off Log'!$E$5:$E$504,"Approved")&gt;0,"S",IF(COUNTIFS('Time Off Log'!$A$5:$A$504,$B10,'Time Off Log'!$C$5:$C$504,"&lt;="&amp;R$5,'Time Off Log'!$J$5:$J$504,"&gt;="&amp;R$5,'Time Off Log'!$E$5:$E$504,"Approved")&gt;0,"U",IF(COUNTIFS('Time Off Log'!$A$5:$A$504,$B10,'Time Off Log'!$C$5:$C$504,"&lt;="&amp;R$5,'Time Off Log'!$J$5:$J$504,"&gt;="&amp;R$5,'Time Off Log'!$E$5:$E$504,"Pending")&gt;0,"?",""))))))</f>
        <v/>
      </c>
      <c r="S10" s="44">
        <f>IF(OR(S$5="",$B10=""),"",IF(OR(WEEKDAY(S$5,2)&gt;5,COUNTIF(Holidays!$A$5:$A$40,S$5)&gt;0),"",IF(COUNTIFS('Time Off Log'!$A$5:$A$504,$B10,'Time Off Log'!$C$5:$C$504,"&lt;="&amp;S$5,'Time Off Log'!$J$5:$J$504,"&gt;="&amp;S$5,'Time Off Log'!$B$5:$B$504,"PTO",'Time Off Log'!$E$5:$E$504,"Approved")&gt;0,"P",IF(COUNTIFS('Time Off Log'!$A$5:$A$504,$B10,'Time Off Log'!$C$5:$C$504,"&lt;="&amp;S$5,'Time Off Log'!$J$5:$J$504,"&gt;="&amp;S$5,'Time Off Log'!$B$5:$B$504,"Sick",'Time Off Log'!$E$5:$E$504,"Approved")&gt;0,"S",IF(COUNTIFS('Time Off Log'!$A$5:$A$504,$B10,'Time Off Log'!$C$5:$C$504,"&lt;="&amp;S$5,'Time Off Log'!$J$5:$J$504,"&gt;="&amp;S$5,'Time Off Log'!$E$5:$E$504,"Approved")&gt;0,"U",IF(COUNTIFS('Time Off Log'!$A$5:$A$504,$B10,'Time Off Log'!$C$5:$C$504,"&lt;="&amp;S$5,'Time Off Log'!$J$5:$J$504,"&gt;="&amp;S$5,'Time Off Log'!$E$5:$E$504,"Pending")&gt;0,"?",""))))))</f>
        <v/>
      </c>
      <c r="T10" s="44">
        <f>IF(OR(T$5="",$B10=""),"",IF(OR(WEEKDAY(T$5,2)&gt;5,COUNTIF(Holidays!$A$5:$A$40,T$5)&gt;0),"",IF(COUNTIFS('Time Off Log'!$A$5:$A$504,$B10,'Time Off Log'!$C$5:$C$504,"&lt;="&amp;T$5,'Time Off Log'!$J$5:$J$504,"&gt;="&amp;T$5,'Time Off Log'!$B$5:$B$504,"PTO",'Time Off Log'!$E$5:$E$504,"Approved")&gt;0,"P",IF(COUNTIFS('Time Off Log'!$A$5:$A$504,$B10,'Time Off Log'!$C$5:$C$504,"&lt;="&amp;T$5,'Time Off Log'!$J$5:$J$504,"&gt;="&amp;T$5,'Time Off Log'!$B$5:$B$504,"Sick",'Time Off Log'!$E$5:$E$504,"Approved")&gt;0,"S",IF(COUNTIFS('Time Off Log'!$A$5:$A$504,$B10,'Time Off Log'!$C$5:$C$504,"&lt;="&amp;T$5,'Time Off Log'!$J$5:$J$504,"&gt;="&amp;T$5,'Time Off Log'!$E$5:$E$504,"Approved")&gt;0,"U",IF(COUNTIFS('Time Off Log'!$A$5:$A$504,$B10,'Time Off Log'!$C$5:$C$504,"&lt;="&amp;T$5,'Time Off Log'!$J$5:$J$504,"&gt;="&amp;T$5,'Time Off Log'!$E$5:$E$504,"Pending")&gt;0,"?",""))))))</f>
        <v/>
      </c>
      <c r="U10" s="44">
        <f>IF(OR(U$5="",$B10=""),"",IF(OR(WEEKDAY(U$5,2)&gt;5,COUNTIF(Holidays!$A$5:$A$40,U$5)&gt;0),"",IF(COUNTIFS('Time Off Log'!$A$5:$A$504,$B10,'Time Off Log'!$C$5:$C$504,"&lt;="&amp;U$5,'Time Off Log'!$J$5:$J$504,"&gt;="&amp;U$5,'Time Off Log'!$B$5:$B$504,"PTO",'Time Off Log'!$E$5:$E$504,"Approved")&gt;0,"P",IF(COUNTIFS('Time Off Log'!$A$5:$A$504,$B10,'Time Off Log'!$C$5:$C$504,"&lt;="&amp;U$5,'Time Off Log'!$J$5:$J$504,"&gt;="&amp;U$5,'Time Off Log'!$B$5:$B$504,"Sick",'Time Off Log'!$E$5:$E$504,"Approved")&gt;0,"S",IF(COUNTIFS('Time Off Log'!$A$5:$A$504,$B10,'Time Off Log'!$C$5:$C$504,"&lt;="&amp;U$5,'Time Off Log'!$J$5:$J$504,"&gt;="&amp;U$5,'Time Off Log'!$E$5:$E$504,"Approved")&gt;0,"U",IF(COUNTIFS('Time Off Log'!$A$5:$A$504,$B10,'Time Off Log'!$C$5:$C$504,"&lt;="&amp;U$5,'Time Off Log'!$J$5:$J$504,"&gt;="&amp;U$5,'Time Off Log'!$E$5:$E$504,"Pending")&gt;0,"?",""))))))</f>
        <v/>
      </c>
      <c r="V10" s="44">
        <f>IF(OR(V$5="",$B10=""),"",IF(OR(WEEKDAY(V$5,2)&gt;5,COUNTIF(Holidays!$A$5:$A$40,V$5)&gt;0),"",IF(COUNTIFS('Time Off Log'!$A$5:$A$504,$B10,'Time Off Log'!$C$5:$C$504,"&lt;="&amp;V$5,'Time Off Log'!$J$5:$J$504,"&gt;="&amp;V$5,'Time Off Log'!$B$5:$B$504,"PTO",'Time Off Log'!$E$5:$E$504,"Approved")&gt;0,"P",IF(COUNTIFS('Time Off Log'!$A$5:$A$504,$B10,'Time Off Log'!$C$5:$C$504,"&lt;="&amp;V$5,'Time Off Log'!$J$5:$J$504,"&gt;="&amp;V$5,'Time Off Log'!$B$5:$B$504,"Sick",'Time Off Log'!$E$5:$E$504,"Approved")&gt;0,"S",IF(COUNTIFS('Time Off Log'!$A$5:$A$504,$B10,'Time Off Log'!$C$5:$C$504,"&lt;="&amp;V$5,'Time Off Log'!$J$5:$J$504,"&gt;="&amp;V$5,'Time Off Log'!$E$5:$E$504,"Approved")&gt;0,"U",IF(COUNTIFS('Time Off Log'!$A$5:$A$504,$B10,'Time Off Log'!$C$5:$C$504,"&lt;="&amp;V$5,'Time Off Log'!$J$5:$J$504,"&gt;="&amp;V$5,'Time Off Log'!$E$5:$E$504,"Pending")&gt;0,"?",""))))))</f>
        <v/>
      </c>
      <c r="W10" s="44">
        <f>IF(OR(W$5="",$B10=""),"",IF(OR(WEEKDAY(W$5,2)&gt;5,COUNTIF(Holidays!$A$5:$A$40,W$5)&gt;0),"",IF(COUNTIFS('Time Off Log'!$A$5:$A$504,$B10,'Time Off Log'!$C$5:$C$504,"&lt;="&amp;W$5,'Time Off Log'!$J$5:$J$504,"&gt;="&amp;W$5,'Time Off Log'!$B$5:$B$504,"PTO",'Time Off Log'!$E$5:$E$504,"Approved")&gt;0,"P",IF(COUNTIFS('Time Off Log'!$A$5:$A$504,$B10,'Time Off Log'!$C$5:$C$504,"&lt;="&amp;W$5,'Time Off Log'!$J$5:$J$504,"&gt;="&amp;W$5,'Time Off Log'!$B$5:$B$504,"Sick",'Time Off Log'!$E$5:$E$504,"Approved")&gt;0,"S",IF(COUNTIFS('Time Off Log'!$A$5:$A$504,$B10,'Time Off Log'!$C$5:$C$504,"&lt;="&amp;W$5,'Time Off Log'!$J$5:$J$504,"&gt;="&amp;W$5,'Time Off Log'!$E$5:$E$504,"Approved")&gt;0,"U",IF(COUNTIFS('Time Off Log'!$A$5:$A$504,$B10,'Time Off Log'!$C$5:$C$504,"&lt;="&amp;W$5,'Time Off Log'!$J$5:$J$504,"&gt;="&amp;W$5,'Time Off Log'!$E$5:$E$504,"Pending")&gt;0,"?",""))))))</f>
        <v/>
      </c>
      <c r="X10" s="44">
        <f>IF(OR(X$5="",$B10=""),"",IF(OR(WEEKDAY(X$5,2)&gt;5,COUNTIF(Holidays!$A$5:$A$40,X$5)&gt;0),"",IF(COUNTIFS('Time Off Log'!$A$5:$A$504,$B10,'Time Off Log'!$C$5:$C$504,"&lt;="&amp;X$5,'Time Off Log'!$J$5:$J$504,"&gt;="&amp;X$5,'Time Off Log'!$B$5:$B$504,"PTO",'Time Off Log'!$E$5:$E$504,"Approved")&gt;0,"P",IF(COUNTIFS('Time Off Log'!$A$5:$A$504,$B10,'Time Off Log'!$C$5:$C$504,"&lt;="&amp;X$5,'Time Off Log'!$J$5:$J$504,"&gt;="&amp;X$5,'Time Off Log'!$B$5:$B$504,"Sick",'Time Off Log'!$E$5:$E$504,"Approved")&gt;0,"S",IF(COUNTIFS('Time Off Log'!$A$5:$A$504,$B10,'Time Off Log'!$C$5:$C$504,"&lt;="&amp;X$5,'Time Off Log'!$J$5:$J$504,"&gt;="&amp;X$5,'Time Off Log'!$E$5:$E$504,"Approved")&gt;0,"U",IF(COUNTIFS('Time Off Log'!$A$5:$A$504,$B10,'Time Off Log'!$C$5:$C$504,"&lt;="&amp;X$5,'Time Off Log'!$J$5:$J$504,"&gt;="&amp;X$5,'Time Off Log'!$E$5:$E$504,"Pending")&gt;0,"?",""))))))</f>
        <v/>
      </c>
      <c r="Y10" s="44">
        <f>IF(OR(Y$5="",$B10=""),"",IF(OR(WEEKDAY(Y$5,2)&gt;5,COUNTIF(Holidays!$A$5:$A$40,Y$5)&gt;0),"",IF(COUNTIFS('Time Off Log'!$A$5:$A$504,$B10,'Time Off Log'!$C$5:$C$504,"&lt;="&amp;Y$5,'Time Off Log'!$J$5:$J$504,"&gt;="&amp;Y$5,'Time Off Log'!$B$5:$B$504,"PTO",'Time Off Log'!$E$5:$E$504,"Approved")&gt;0,"P",IF(COUNTIFS('Time Off Log'!$A$5:$A$504,$B10,'Time Off Log'!$C$5:$C$504,"&lt;="&amp;Y$5,'Time Off Log'!$J$5:$J$504,"&gt;="&amp;Y$5,'Time Off Log'!$B$5:$B$504,"Sick",'Time Off Log'!$E$5:$E$504,"Approved")&gt;0,"S",IF(COUNTIFS('Time Off Log'!$A$5:$A$504,$B10,'Time Off Log'!$C$5:$C$504,"&lt;="&amp;Y$5,'Time Off Log'!$J$5:$J$504,"&gt;="&amp;Y$5,'Time Off Log'!$E$5:$E$504,"Approved")&gt;0,"U",IF(COUNTIFS('Time Off Log'!$A$5:$A$504,$B10,'Time Off Log'!$C$5:$C$504,"&lt;="&amp;Y$5,'Time Off Log'!$J$5:$J$504,"&gt;="&amp;Y$5,'Time Off Log'!$E$5:$E$504,"Pending")&gt;0,"?",""))))))</f>
        <v/>
      </c>
      <c r="Z10" s="44">
        <f>IF(OR(Z$5="",$B10=""),"",IF(OR(WEEKDAY(Z$5,2)&gt;5,COUNTIF(Holidays!$A$5:$A$40,Z$5)&gt;0),"",IF(COUNTIFS('Time Off Log'!$A$5:$A$504,$B10,'Time Off Log'!$C$5:$C$504,"&lt;="&amp;Z$5,'Time Off Log'!$J$5:$J$504,"&gt;="&amp;Z$5,'Time Off Log'!$B$5:$B$504,"PTO",'Time Off Log'!$E$5:$E$504,"Approved")&gt;0,"P",IF(COUNTIFS('Time Off Log'!$A$5:$A$504,$B10,'Time Off Log'!$C$5:$C$504,"&lt;="&amp;Z$5,'Time Off Log'!$J$5:$J$504,"&gt;="&amp;Z$5,'Time Off Log'!$B$5:$B$504,"Sick",'Time Off Log'!$E$5:$E$504,"Approved")&gt;0,"S",IF(COUNTIFS('Time Off Log'!$A$5:$A$504,$B10,'Time Off Log'!$C$5:$C$504,"&lt;="&amp;Z$5,'Time Off Log'!$J$5:$J$504,"&gt;="&amp;Z$5,'Time Off Log'!$E$5:$E$504,"Approved")&gt;0,"U",IF(COUNTIFS('Time Off Log'!$A$5:$A$504,$B10,'Time Off Log'!$C$5:$C$504,"&lt;="&amp;Z$5,'Time Off Log'!$J$5:$J$504,"&gt;="&amp;Z$5,'Time Off Log'!$E$5:$E$504,"Pending")&gt;0,"?",""))))))</f>
        <v/>
      </c>
      <c r="AA10" s="44">
        <f>IF(OR(AA$5="",$B10=""),"",IF(OR(WEEKDAY(AA$5,2)&gt;5,COUNTIF(Holidays!$A$5:$A$40,AA$5)&gt;0),"",IF(COUNTIFS('Time Off Log'!$A$5:$A$504,$B10,'Time Off Log'!$C$5:$C$504,"&lt;="&amp;AA$5,'Time Off Log'!$J$5:$J$504,"&gt;="&amp;AA$5,'Time Off Log'!$B$5:$B$504,"PTO",'Time Off Log'!$E$5:$E$504,"Approved")&gt;0,"P",IF(COUNTIFS('Time Off Log'!$A$5:$A$504,$B10,'Time Off Log'!$C$5:$C$504,"&lt;="&amp;AA$5,'Time Off Log'!$J$5:$J$504,"&gt;="&amp;AA$5,'Time Off Log'!$B$5:$B$504,"Sick",'Time Off Log'!$E$5:$E$504,"Approved")&gt;0,"S",IF(COUNTIFS('Time Off Log'!$A$5:$A$504,$B10,'Time Off Log'!$C$5:$C$504,"&lt;="&amp;AA$5,'Time Off Log'!$J$5:$J$504,"&gt;="&amp;AA$5,'Time Off Log'!$E$5:$E$504,"Approved")&gt;0,"U",IF(COUNTIFS('Time Off Log'!$A$5:$A$504,$B10,'Time Off Log'!$C$5:$C$504,"&lt;="&amp;AA$5,'Time Off Log'!$J$5:$J$504,"&gt;="&amp;AA$5,'Time Off Log'!$E$5:$E$504,"Pending")&gt;0,"?",""))))))</f>
        <v/>
      </c>
      <c r="AB10" s="44">
        <f>IF(OR(AB$5="",$B10=""),"",IF(OR(WEEKDAY(AB$5,2)&gt;5,COUNTIF(Holidays!$A$5:$A$40,AB$5)&gt;0),"",IF(COUNTIFS('Time Off Log'!$A$5:$A$504,$B10,'Time Off Log'!$C$5:$C$504,"&lt;="&amp;AB$5,'Time Off Log'!$J$5:$J$504,"&gt;="&amp;AB$5,'Time Off Log'!$B$5:$B$504,"PTO",'Time Off Log'!$E$5:$E$504,"Approved")&gt;0,"P",IF(COUNTIFS('Time Off Log'!$A$5:$A$504,$B10,'Time Off Log'!$C$5:$C$504,"&lt;="&amp;AB$5,'Time Off Log'!$J$5:$J$504,"&gt;="&amp;AB$5,'Time Off Log'!$B$5:$B$504,"Sick",'Time Off Log'!$E$5:$E$504,"Approved")&gt;0,"S",IF(COUNTIFS('Time Off Log'!$A$5:$A$504,$B10,'Time Off Log'!$C$5:$C$504,"&lt;="&amp;AB$5,'Time Off Log'!$J$5:$J$504,"&gt;="&amp;AB$5,'Time Off Log'!$E$5:$E$504,"Approved")&gt;0,"U",IF(COUNTIFS('Time Off Log'!$A$5:$A$504,$B10,'Time Off Log'!$C$5:$C$504,"&lt;="&amp;AB$5,'Time Off Log'!$J$5:$J$504,"&gt;="&amp;AB$5,'Time Off Log'!$E$5:$E$504,"Pending")&gt;0,"?",""))))))</f>
        <v/>
      </c>
      <c r="AC10" s="44">
        <f>IF(OR(AC$5="",$B10=""),"",IF(OR(WEEKDAY(AC$5,2)&gt;5,COUNTIF(Holidays!$A$5:$A$40,AC$5)&gt;0),"",IF(COUNTIFS('Time Off Log'!$A$5:$A$504,$B10,'Time Off Log'!$C$5:$C$504,"&lt;="&amp;AC$5,'Time Off Log'!$J$5:$J$504,"&gt;="&amp;AC$5,'Time Off Log'!$B$5:$B$504,"PTO",'Time Off Log'!$E$5:$E$504,"Approved")&gt;0,"P",IF(COUNTIFS('Time Off Log'!$A$5:$A$504,$B10,'Time Off Log'!$C$5:$C$504,"&lt;="&amp;AC$5,'Time Off Log'!$J$5:$J$504,"&gt;="&amp;AC$5,'Time Off Log'!$B$5:$B$504,"Sick",'Time Off Log'!$E$5:$E$504,"Approved")&gt;0,"S",IF(COUNTIFS('Time Off Log'!$A$5:$A$504,$B10,'Time Off Log'!$C$5:$C$504,"&lt;="&amp;AC$5,'Time Off Log'!$J$5:$J$504,"&gt;="&amp;AC$5,'Time Off Log'!$E$5:$E$504,"Approved")&gt;0,"U",IF(COUNTIFS('Time Off Log'!$A$5:$A$504,$B10,'Time Off Log'!$C$5:$C$504,"&lt;="&amp;AC$5,'Time Off Log'!$J$5:$J$504,"&gt;="&amp;AC$5,'Time Off Log'!$E$5:$E$504,"Pending")&gt;0,"?",""))))))</f>
        <v/>
      </c>
      <c r="AD10" s="44">
        <f>IF(OR(AD$5="",$B10=""),"",IF(OR(WEEKDAY(AD$5,2)&gt;5,COUNTIF(Holidays!$A$5:$A$40,AD$5)&gt;0),"",IF(COUNTIFS('Time Off Log'!$A$5:$A$504,$B10,'Time Off Log'!$C$5:$C$504,"&lt;="&amp;AD$5,'Time Off Log'!$J$5:$J$504,"&gt;="&amp;AD$5,'Time Off Log'!$B$5:$B$504,"PTO",'Time Off Log'!$E$5:$E$504,"Approved")&gt;0,"P",IF(COUNTIFS('Time Off Log'!$A$5:$A$504,$B10,'Time Off Log'!$C$5:$C$504,"&lt;="&amp;AD$5,'Time Off Log'!$J$5:$J$504,"&gt;="&amp;AD$5,'Time Off Log'!$B$5:$B$504,"Sick",'Time Off Log'!$E$5:$E$504,"Approved")&gt;0,"S",IF(COUNTIFS('Time Off Log'!$A$5:$A$504,$B10,'Time Off Log'!$C$5:$C$504,"&lt;="&amp;AD$5,'Time Off Log'!$J$5:$J$504,"&gt;="&amp;AD$5,'Time Off Log'!$E$5:$E$504,"Approved")&gt;0,"U",IF(COUNTIFS('Time Off Log'!$A$5:$A$504,$B10,'Time Off Log'!$C$5:$C$504,"&lt;="&amp;AD$5,'Time Off Log'!$J$5:$J$504,"&gt;="&amp;AD$5,'Time Off Log'!$E$5:$E$504,"Pending")&gt;0,"?",""))))))</f>
        <v/>
      </c>
      <c r="AE10" s="44">
        <f>IF(OR(AE$5="",$B10=""),"",IF(OR(WEEKDAY(AE$5,2)&gt;5,COUNTIF(Holidays!$A$5:$A$40,AE$5)&gt;0),"",IF(COUNTIFS('Time Off Log'!$A$5:$A$504,$B10,'Time Off Log'!$C$5:$C$504,"&lt;="&amp;AE$5,'Time Off Log'!$J$5:$J$504,"&gt;="&amp;AE$5,'Time Off Log'!$B$5:$B$504,"PTO",'Time Off Log'!$E$5:$E$504,"Approved")&gt;0,"P",IF(COUNTIFS('Time Off Log'!$A$5:$A$504,$B10,'Time Off Log'!$C$5:$C$504,"&lt;="&amp;AE$5,'Time Off Log'!$J$5:$J$504,"&gt;="&amp;AE$5,'Time Off Log'!$B$5:$B$504,"Sick",'Time Off Log'!$E$5:$E$504,"Approved")&gt;0,"S",IF(COUNTIFS('Time Off Log'!$A$5:$A$504,$B10,'Time Off Log'!$C$5:$C$504,"&lt;="&amp;AE$5,'Time Off Log'!$J$5:$J$504,"&gt;="&amp;AE$5,'Time Off Log'!$E$5:$E$504,"Approved")&gt;0,"U",IF(COUNTIFS('Time Off Log'!$A$5:$A$504,$B10,'Time Off Log'!$C$5:$C$504,"&lt;="&amp;AE$5,'Time Off Log'!$J$5:$J$504,"&gt;="&amp;AE$5,'Time Off Log'!$E$5:$E$504,"Pending")&gt;0,"?",""))))))</f>
        <v/>
      </c>
      <c r="AF10" s="44">
        <f>IF(OR(AF$5="",$B10=""),"",IF(OR(WEEKDAY(AF$5,2)&gt;5,COUNTIF(Holidays!$A$5:$A$40,AF$5)&gt;0),"",IF(COUNTIFS('Time Off Log'!$A$5:$A$504,$B10,'Time Off Log'!$C$5:$C$504,"&lt;="&amp;AF$5,'Time Off Log'!$J$5:$J$504,"&gt;="&amp;AF$5,'Time Off Log'!$B$5:$B$504,"PTO",'Time Off Log'!$E$5:$E$504,"Approved")&gt;0,"P",IF(COUNTIFS('Time Off Log'!$A$5:$A$504,$B10,'Time Off Log'!$C$5:$C$504,"&lt;="&amp;AF$5,'Time Off Log'!$J$5:$J$504,"&gt;="&amp;AF$5,'Time Off Log'!$B$5:$B$504,"Sick",'Time Off Log'!$E$5:$E$504,"Approved")&gt;0,"S",IF(COUNTIFS('Time Off Log'!$A$5:$A$504,$B10,'Time Off Log'!$C$5:$C$504,"&lt;="&amp;AF$5,'Time Off Log'!$J$5:$J$504,"&gt;="&amp;AF$5,'Time Off Log'!$E$5:$E$504,"Approved")&gt;0,"U",IF(COUNTIFS('Time Off Log'!$A$5:$A$504,$B10,'Time Off Log'!$C$5:$C$504,"&lt;="&amp;AF$5,'Time Off Log'!$J$5:$J$504,"&gt;="&amp;AF$5,'Time Off Log'!$E$5:$E$504,"Pending")&gt;0,"?",""))))))</f>
        <v/>
      </c>
      <c r="AG10" s="44">
        <f>IF(OR(AG$5="",$B10=""),"",IF(OR(WEEKDAY(AG$5,2)&gt;5,COUNTIF(Holidays!$A$5:$A$40,AG$5)&gt;0),"",IF(COUNTIFS('Time Off Log'!$A$5:$A$504,$B10,'Time Off Log'!$C$5:$C$504,"&lt;="&amp;AG$5,'Time Off Log'!$J$5:$J$504,"&gt;="&amp;AG$5,'Time Off Log'!$B$5:$B$504,"PTO",'Time Off Log'!$E$5:$E$504,"Approved")&gt;0,"P",IF(COUNTIFS('Time Off Log'!$A$5:$A$504,$B10,'Time Off Log'!$C$5:$C$504,"&lt;="&amp;AG$5,'Time Off Log'!$J$5:$J$504,"&gt;="&amp;AG$5,'Time Off Log'!$B$5:$B$504,"Sick",'Time Off Log'!$E$5:$E$504,"Approved")&gt;0,"S",IF(COUNTIFS('Time Off Log'!$A$5:$A$504,$B10,'Time Off Log'!$C$5:$C$504,"&lt;="&amp;AG$5,'Time Off Log'!$J$5:$J$504,"&gt;="&amp;AG$5,'Time Off Log'!$E$5:$E$504,"Approved")&gt;0,"U",IF(COUNTIFS('Time Off Log'!$A$5:$A$504,$B10,'Time Off Log'!$C$5:$C$504,"&lt;="&amp;AG$5,'Time Off Log'!$J$5:$J$504,"&gt;="&amp;AG$5,'Time Off Log'!$E$5:$E$504,"Pending")&gt;0,"?",""))))))</f>
        <v/>
      </c>
    </row>
    <row r="11">
      <c r="A11" s="24" t="n">
        <v>6</v>
      </c>
      <c r="B11" s="24">
        <f>IF(Employees!B10="","",Employees!B10)</f>
        <v/>
      </c>
      <c r="C11" s="44">
        <f>IF(OR(C$5="",$B11=""),"",IF(OR(WEEKDAY(C$5,2)&gt;5,COUNTIF(Holidays!$A$5:$A$40,C$5)&gt;0),"",IF(COUNTIFS('Time Off Log'!$A$5:$A$504,$B11,'Time Off Log'!$C$5:$C$504,"&lt;="&amp;C$5,'Time Off Log'!$J$5:$J$504,"&gt;="&amp;C$5,'Time Off Log'!$B$5:$B$504,"PTO",'Time Off Log'!$E$5:$E$504,"Approved")&gt;0,"P",IF(COUNTIFS('Time Off Log'!$A$5:$A$504,$B11,'Time Off Log'!$C$5:$C$504,"&lt;="&amp;C$5,'Time Off Log'!$J$5:$J$504,"&gt;="&amp;C$5,'Time Off Log'!$B$5:$B$504,"Sick",'Time Off Log'!$E$5:$E$504,"Approved")&gt;0,"S",IF(COUNTIFS('Time Off Log'!$A$5:$A$504,$B11,'Time Off Log'!$C$5:$C$504,"&lt;="&amp;C$5,'Time Off Log'!$J$5:$J$504,"&gt;="&amp;C$5,'Time Off Log'!$E$5:$E$504,"Approved")&gt;0,"U",IF(COUNTIFS('Time Off Log'!$A$5:$A$504,$B11,'Time Off Log'!$C$5:$C$504,"&lt;="&amp;C$5,'Time Off Log'!$J$5:$J$504,"&gt;="&amp;C$5,'Time Off Log'!$E$5:$E$504,"Pending")&gt;0,"?",""))))))</f>
        <v/>
      </c>
      <c r="D11" s="44">
        <f>IF(OR(D$5="",$B11=""),"",IF(OR(WEEKDAY(D$5,2)&gt;5,COUNTIF(Holidays!$A$5:$A$40,D$5)&gt;0),"",IF(COUNTIFS('Time Off Log'!$A$5:$A$504,$B11,'Time Off Log'!$C$5:$C$504,"&lt;="&amp;D$5,'Time Off Log'!$J$5:$J$504,"&gt;="&amp;D$5,'Time Off Log'!$B$5:$B$504,"PTO",'Time Off Log'!$E$5:$E$504,"Approved")&gt;0,"P",IF(COUNTIFS('Time Off Log'!$A$5:$A$504,$B11,'Time Off Log'!$C$5:$C$504,"&lt;="&amp;D$5,'Time Off Log'!$J$5:$J$504,"&gt;="&amp;D$5,'Time Off Log'!$B$5:$B$504,"Sick",'Time Off Log'!$E$5:$E$504,"Approved")&gt;0,"S",IF(COUNTIFS('Time Off Log'!$A$5:$A$504,$B11,'Time Off Log'!$C$5:$C$504,"&lt;="&amp;D$5,'Time Off Log'!$J$5:$J$504,"&gt;="&amp;D$5,'Time Off Log'!$E$5:$E$504,"Approved")&gt;0,"U",IF(COUNTIFS('Time Off Log'!$A$5:$A$504,$B11,'Time Off Log'!$C$5:$C$504,"&lt;="&amp;D$5,'Time Off Log'!$J$5:$J$504,"&gt;="&amp;D$5,'Time Off Log'!$E$5:$E$504,"Pending")&gt;0,"?",""))))))</f>
        <v/>
      </c>
      <c r="E11" s="44">
        <f>IF(OR(E$5="",$B11=""),"",IF(OR(WEEKDAY(E$5,2)&gt;5,COUNTIF(Holidays!$A$5:$A$40,E$5)&gt;0),"",IF(COUNTIFS('Time Off Log'!$A$5:$A$504,$B11,'Time Off Log'!$C$5:$C$504,"&lt;="&amp;E$5,'Time Off Log'!$J$5:$J$504,"&gt;="&amp;E$5,'Time Off Log'!$B$5:$B$504,"PTO",'Time Off Log'!$E$5:$E$504,"Approved")&gt;0,"P",IF(COUNTIFS('Time Off Log'!$A$5:$A$504,$B11,'Time Off Log'!$C$5:$C$504,"&lt;="&amp;E$5,'Time Off Log'!$J$5:$J$504,"&gt;="&amp;E$5,'Time Off Log'!$B$5:$B$504,"Sick",'Time Off Log'!$E$5:$E$504,"Approved")&gt;0,"S",IF(COUNTIFS('Time Off Log'!$A$5:$A$504,$B11,'Time Off Log'!$C$5:$C$504,"&lt;="&amp;E$5,'Time Off Log'!$J$5:$J$504,"&gt;="&amp;E$5,'Time Off Log'!$E$5:$E$504,"Approved")&gt;0,"U",IF(COUNTIFS('Time Off Log'!$A$5:$A$504,$B11,'Time Off Log'!$C$5:$C$504,"&lt;="&amp;E$5,'Time Off Log'!$J$5:$J$504,"&gt;="&amp;E$5,'Time Off Log'!$E$5:$E$504,"Pending")&gt;0,"?",""))))))</f>
        <v/>
      </c>
      <c r="F11" s="44">
        <f>IF(OR(F$5="",$B11=""),"",IF(OR(WEEKDAY(F$5,2)&gt;5,COUNTIF(Holidays!$A$5:$A$40,F$5)&gt;0),"",IF(COUNTIFS('Time Off Log'!$A$5:$A$504,$B11,'Time Off Log'!$C$5:$C$504,"&lt;="&amp;F$5,'Time Off Log'!$J$5:$J$504,"&gt;="&amp;F$5,'Time Off Log'!$B$5:$B$504,"PTO",'Time Off Log'!$E$5:$E$504,"Approved")&gt;0,"P",IF(COUNTIFS('Time Off Log'!$A$5:$A$504,$B11,'Time Off Log'!$C$5:$C$504,"&lt;="&amp;F$5,'Time Off Log'!$J$5:$J$504,"&gt;="&amp;F$5,'Time Off Log'!$B$5:$B$504,"Sick",'Time Off Log'!$E$5:$E$504,"Approved")&gt;0,"S",IF(COUNTIFS('Time Off Log'!$A$5:$A$504,$B11,'Time Off Log'!$C$5:$C$504,"&lt;="&amp;F$5,'Time Off Log'!$J$5:$J$504,"&gt;="&amp;F$5,'Time Off Log'!$E$5:$E$504,"Approved")&gt;0,"U",IF(COUNTIFS('Time Off Log'!$A$5:$A$504,$B11,'Time Off Log'!$C$5:$C$504,"&lt;="&amp;F$5,'Time Off Log'!$J$5:$J$504,"&gt;="&amp;F$5,'Time Off Log'!$E$5:$E$504,"Pending")&gt;0,"?",""))))))</f>
        <v/>
      </c>
      <c r="G11" s="44">
        <f>IF(OR(G$5="",$B11=""),"",IF(OR(WEEKDAY(G$5,2)&gt;5,COUNTIF(Holidays!$A$5:$A$40,G$5)&gt;0),"",IF(COUNTIFS('Time Off Log'!$A$5:$A$504,$B11,'Time Off Log'!$C$5:$C$504,"&lt;="&amp;G$5,'Time Off Log'!$J$5:$J$504,"&gt;="&amp;G$5,'Time Off Log'!$B$5:$B$504,"PTO",'Time Off Log'!$E$5:$E$504,"Approved")&gt;0,"P",IF(COUNTIFS('Time Off Log'!$A$5:$A$504,$B11,'Time Off Log'!$C$5:$C$504,"&lt;="&amp;G$5,'Time Off Log'!$J$5:$J$504,"&gt;="&amp;G$5,'Time Off Log'!$B$5:$B$504,"Sick",'Time Off Log'!$E$5:$E$504,"Approved")&gt;0,"S",IF(COUNTIFS('Time Off Log'!$A$5:$A$504,$B11,'Time Off Log'!$C$5:$C$504,"&lt;="&amp;G$5,'Time Off Log'!$J$5:$J$504,"&gt;="&amp;G$5,'Time Off Log'!$E$5:$E$504,"Approved")&gt;0,"U",IF(COUNTIFS('Time Off Log'!$A$5:$A$504,$B11,'Time Off Log'!$C$5:$C$504,"&lt;="&amp;G$5,'Time Off Log'!$J$5:$J$504,"&gt;="&amp;G$5,'Time Off Log'!$E$5:$E$504,"Pending")&gt;0,"?",""))))))</f>
        <v/>
      </c>
      <c r="H11" s="44">
        <f>IF(OR(H$5="",$B11=""),"",IF(OR(WEEKDAY(H$5,2)&gt;5,COUNTIF(Holidays!$A$5:$A$40,H$5)&gt;0),"",IF(COUNTIFS('Time Off Log'!$A$5:$A$504,$B11,'Time Off Log'!$C$5:$C$504,"&lt;="&amp;H$5,'Time Off Log'!$J$5:$J$504,"&gt;="&amp;H$5,'Time Off Log'!$B$5:$B$504,"PTO",'Time Off Log'!$E$5:$E$504,"Approved")&gt;0,"P",IF(COUNTIFS('Time Off Log'!$A$5:$A$504,$B11,'Time Off Log'!$C$5:$C$504,"&lt;="&amp;H$5,'Time Off Log'!$J$5:$J$504,"&gt;="&amp;H$5,'Time Off Log'!$B$5:$B$504,"Sick",'Time Off Log'!$E$5:$E$504,"Approved")&gt;0,"S",IF(COUNTIFS('Time Off Log'!$A$5:$A$504,$B11,'Time Off Log'!$C$5:$C$504,"&lt;="&amp;H$5,'Time Off Log'!$J$5:$J$504,"&gt;="&amp;H$5,'Time Off Log'!$E$5:$E$504,"Approved")&gt;0,"U",IF(COUNTIFS('Time Off Log'!$A$5:$A$504,$B11,'Time Off Log'!$C$5:$C$504,"&lt;="&amp;H$5,'Time Off Log'!$J$5:$J$504,"&gt;="&amp;H$5,'Time Off Log'!$E$5:$E$504,"Pending")&gt;0,"?",""))))))</f>
        <v/>
      </c>
      <c r="I11" s="44">
        <f>IF(OR(I$5="",$B11=""),"",IF(OR(WEEKDAY(I$5,2)&gt;5,COUNTIF(Holidays!$A$5:$A$40,I$5)&gt;0),"",IF(COUNTIFS('Time Off Log'!$A$5:$A$504,$B11,'Time Off Log'!$C$5:$C$504,"&lt;="&amp;I$5,'Time Off Log'!$J$5:$J$504,"&gt;="&amp;I$5,'Time Off Log'!$B$5:$B$504,"PTO",'Time Off Log'!$E$5:$E$504,"Approved")&gt;0,"P",IF(COUNTIFS('Time Off Log'!$A$5:$A$504,$B11,'Time Off Log'!$C$5:$C$504,"&lt;="&amp;I$5,'Time Off Log'!$J$5:$J$504,"&gt;="&amp;I$5,'Time Off Log'!$B$5:$B$504,"Sick",'Time Off Log'!$E$5:$E$504,"Approved")&gt;0,"S",IF(COUNTIFS('Time Off Log'!$A$5:$A$504,$B11,'Time Off Log'!$C$5:$C$504,"&lt;="&amp;I$5,'Time Off Log'!$J$5:$J$504,"&gt;="&amp;I$5,'Time Off Log'!$E$5:$E$504,"Approved")&gt;0,"U",IF(COUNTIFS('Time Off Log'!$A$5:$A$504,$B11,'Time Off Log'!$C$5:$C$504,"&lt;="&amp;I$5,'Time Off Log'!$J$5:$J$504,"&gt;="&amp;I$5,'Time Off Log'!$E$5:$E$504,"Pending")&gt;0,"?",""))))))</f>
        <v/>
      </c>
      <c r="J11" s="44">
        <f>IF(OR(J$5="",$B11=""),"",IF(OR(WEEKDAY(J$5,2)&gt;5,COUNTIF(Holidays!$A$5:$A$40,J$5)&gt;0),"",IF(COUNTIFS('Time Off Log'!$A$5:$A$504,$B11,'Time Off Log'!$C$5:$C$504,"&lt;="&amp;J$5,'Time Off Log'!$J$5:$J$504,"&gt;="&amp;J$5,'Time Off Log'!$B$5:$B$504,"PTO",'Time Off Log'!$E$5:$E$504,"Approved")&gt;0,"P",IF(COUNTIFS('Time Off Log'!$A$5:$A$504,$B11,'Time Off Log'!$C$5:$C$504,"&lt;="&amp;J$5,'Time Off Log'!$J$5:$J$504,"&gt;="&amp;J$5,'Time Off Log'!$B$5:$B$504,"Sick",'Time Off Log'!$E$5:$E$504,"Approved")&gt;0,"S",IF(COUNTIFS('Time Off Log'!$A$5:$A$504,$B11,'Time Off Log'!$C$5:$C$504,"&lt;="&amp;J$5,'Time Off Log'!$J$5:$J$504,"&gt;="&amp;J$5,'Time Off Log'!$E$5:$E$504,"Approved")&gt;0,"U",IF(COUNTIFS('Time Off Log'!$A$5:$A$504,$B11,'Time Off Log'!$C$5:$C$504,"&lt;="&amp;J$5,'Time Off Log'!$J$5:$J$504,"&gt;="&amp;J$5,'Time Off Log'!$E$5:$E$504,"Pending")&gt;0,"?",""))))))</f>
        <v/>
      </c>
      <c r="K11" s="44">
        <f>IF(OR(K$5="",$B11=""),"",IF(OR(WEEKDAY(K$5,2)&gt;5,COUNTIF(Holidays!$A$5:$A$40,K$5)&gt;0),"",IF(COUNTIFS('Time Off Log'!$A$5:$A$504,$B11,'Time Off Log'!$C$5:$C$504,"&lt;="&amp;K$5,'Time Off Log'!$J$5:$J$504,"&gt;="&amp;K$5,'Time Off Log'!$B$5:$B$504,"PTO",'Time Off Log'!$E$5:$E$504,"Approved")&gt;0,"P",IF(COUNTIFS('Time Off Log'!$A$5:$A$504,$B11,'Time Off Log'!$C$5:$C$504,"&lt;="&amp;K$5,'Time Off Log'!$J$5:$J$504,"&gt;="&amp;K$5,'Time Off Log'!$B$5:$B$504,"Sick",'Time Off Log'!$E$5:$E$504,"Approved")&gt;0,"S",IF(COUNTIFS('Time Off Log'!$A$5:$A$504,$B11,'Time Off Log'!$C$5:$C$504,"&lt;="&amp;K$5,'Time Off Log'!$J$5:$J$504,"&gt;="&amp;K$5,'Time Off Log'!$E$5:$E$504,"Approved")&gt;0,"U",IF(COUNTIFS('Time Off Log'!$A$5:$A$504,$B11,'Time Off Log'!$C$5:$C$504,"&lt;="&amp;K$5,'Time Off Log'!$J$5:$J$504,"&gt;="&amp;K$5,'Time Off Log'!$E$5:$E$504,"Pending")&gt;0,"?",""))))))</f>
        <v/>
      </c>
      <c r="L11" s="44">
        <f>IF(OR(L$5="",$B11=""),"",IF(OR(WEEKDAY(L$5,2)&gt;5,COUNTIF(Holidays!$A$5:$A$40,L$5)&gt;0),"",IF(COUNTIFS('Time Off Log'!$A$5:$A$504,$B11,'Time Off Log'!$C$5:$C$504,"&lt;="&amp;L$5,'Time Off Log'!$J$5:$J$504,"&gt;="&amp;L$5,'Time Off Log'!$B$5:$B$504,"PTO",'Time Off Log'!$E$5:$E$504,"Approved")&gt;0,"P",IF(COUNTIFS('Time Off Log'!$A$5:$A$504,$B11,'Time Off Log'!$C$5:$C$504,"&lt;="&amp;L$5,'Time Off Log'!$J$5:$J$504,"&gt;="&amp;L$5,'Time Off Log'!$B$5:$B$504,"Sick",'Time Off Log'!$E$5:$E$504,"Approved")&gt;0,"S",IF(COUNTIFS('Time Off Log'!$A$5:$A$504,$B11,'Time Off Log'!$C$5:$C$504,"&lt;="&amp;L$5,'Time Off Log'!$J$5:$J$504,"&gt;="&amp;L$5,'Time Off Log'!$E$5:$E$504,"Approved")&gt;0,"U",IF(COUNTIFS('Time Off Log'!$A$5:$A$504,$B11,'Time Off Log'!$C$5:$C$504,"&lt;="&amp;L$5,'Time Off Log'!$J$5:$J$504,"&gt;="&amp;L$5,'Time Off Log'!$E$5:$E$504,"Pending")&gt;0,"?",""))))))</f>
        <v/>
      </c>
      <c r="M11" s="44">
        <f>IF(OR(M$5="",$B11=""),"",IF(OR(WEEKDAY(M$5,2)&gt;5,COUNTIF(Holidays!$A$5:$A$40,M$5)&gt;0),"",IF(COUNTIFS('Time Off Log'!$A$5:$A$504,$B11,'Time Off Log'!$C$5:$C$504,"&lt;="&amp;M$5,'Time Off Log'!$J$5:$J$504,"&gt;="&amp;M$5,'Time Off Log'!$B$5:$B$504,"PTO",'Time Off Log'!$E$5:$E$504,"Approved")&gt;0,"P",IF(COUNTIFS('Time Off Log'!$A$5:$A$504,$B11,'Time Off Log'!$C$5:$C$504,"&lt;="&amp;M$5,'Time Off Log'!$J$5:$J$504,"&gt;="&amp;M$5,'Time Off Log'!$B$5:$B$504,"Sick",'Time Off Log'!$E$5:$E$504,"Approved")&gt;0,"S",IF(COUNTIFS('Time Off Log'!$A$5:$A$504,$B11,'Time Off Log'!$C$5:$C$504,"&lt;="&amp;M$5,'Time Off Log'!$J$5:$J$504,"&gt;="&amp;M$5,'Time Off Log'!$E$5:$E$504,"Approved")&gt;0,"U",IF(COUNTIFS('Time Off Log'!$A$5:$A$504,$B11,'Time Off Log'!$C$5:$C$504,"&lt;="&amp;M$5,'Time Off Log'!$J$5:$J$504,"&gt;="&amp;M$5,'Time Off Log'!$E$5:$E$504,"Pending")&gt;0,"?",""))))))</f>
        <v/>
      </c>
      <c r="N11" s="44">
        <f>IF(OR(N$5="",$B11=""),"",IF(OR(WEEKDAY(N$5,2)&gt;5,COUNTIF(Holidays!$A$5:$A$40,N$5)&gt;0),"",IF(COUNTIFS('Time Off Log'!$A$5:$A$504,$B11,'Time Off Log'!$C$5:$C$504,"&lt;="&amp;N$5,'Time Off Log'!$J$5:$J$504,"&gt;="&amp;N$5,'Time Off Log'!$B$5:$B$504,"PTO",'Time Off Log'!$E$5:$E$504,"Approved")&gt;0,"P",IF(COUNTIFS('Time Off Log'!$A$5:$A$504,$B11,'Time Off Log'!$C$5:$C$504,"&lt;="&amp;N$5,'Time Off Log'!$J$5:$J$504,"&gt;="&amp;N$5,'Time Off Log'!$B$5:$B$504,"Sick",'Time Off Log'!$E$5:$E$504,"Approved")&gt;0,"S",IF(COUNTIFS('Time Off Log'!$A$5:$A$504,$B11,'Time Off Log'!$C$5:$C$504,"&lt;="&amp;N$5,'Time Off Log'!$J$5:$J$504,"&gt;="&amp;N$5,'Time Off Log'!$E$5:$E$504,"Approved")&gt;0,"U",IF(COUNTIFS('Time Off Log'!$A$5:$A$504,$B11,'Time Off Log'!$C$5:$C$504,"&lt;="&amp;N$5,'Time Off Log'!$J$5:$J$504,"&gt;="&amp;N$5,'Time Off Log'!$E$5:$E$504,"Pending")&gt;0,"?",""))))))</f>
        <v/>
      </c>
      <c r="O11" s="44">
        <f>IF(OR(O$5="",$B11=""),"",IF(OR(WEEKDAY(O$5,2)&gt;5,COUNTIF(Holidays!$A$5:$A$40,O$5)&gt;0),"",IF(COUNTIFS('Time Off Log'!$A$5:$A$504,$B11,'Time Off Log'!$C$5:$C$504,"&lt;="&amp;O$5,'Time Off Log'!$J$5:$J$504,"&gt;="&amp;O$5,'Time Off Log'!$B$5:$B$504,"PTO",'Time Off Log'!$E$5:$E$504,"Approved")&gt;0,"P",IF(COUNTIFS('Time Off Log'!$A$5:$A$504,$B11,'Time Off Log'!$C$5:$C$504,"&lt;="&amp;O$5,'Time Off Log'!$J$5:$J$504,"&gt;="&amp;O$5,'Time Off Log'!$B$5:$B$504,"Sick",'Time Off Log'!$E$5:$E$504,"Approved")&gt;0,"S",IF(COUNTIFS('Time Off Log'!$A$5:$A$504,$B11,'Time Off Log'!$C$5:$C$504,"&lt;="&amp;O$5,'Time Off Log'!$J$5:$J$504,"&gt;="&amp;O$5,'Time Off Log'!$E$5:$E$504,"Approved")&gt;0,"U",IF(COUNTIFS('Time Off Log'!$A$5:$A$504,$B11,'Time Off Log'!$C$5:$C$504,"&lt;="&amp;O$5,'Time Off Log'!$J$5:$J$504,"&gt;="&amp;O$5,'Time Off Log'!$E$5:$E$504,"Pending")&gt;0,"?",""))))))</f>
        <v/>
      </c>
      <c r="P11" s="44">
        <f>IF(OR(P$5="",$B11=""),"",IF(OR(WEEKDAY(P$5,2)&gt;5,COUNTIF(Holidays!$A$5:$A$40,P$5)&gt;0),"",IF(COUNTIFS('Time Off Log'!$A$5:$A$504,$B11,'Time Off Log'!$C$5:$C$504,"&lt;="&amp;P$5,'Time Off Log'!$J$5:$J$504,"&gt;="&amp;P$5,'Time Off Log'!$B$5:$B$504,"PTO",'Time Off Log'!$E$5:$E$504,"Approved")&gt;0,"P",IF(COUNTIFS('Time Off Log'!$A$5:$A$504,$B11,'Time Off Log'!$C$5:$C$504,"&lt;="&amp;P$5,'Time Off Log'!$J$5:$J$504,"&gt;="&amp;P$5,'Time Off Log'!$B$5:$B$504,"Sick",'Time Off Log'!$E$5:$E$504,"Approved")&gt;0,"S",IF(COUNTIFS('Time Off Log'!$A$5:$A$504,$B11,'Time Off Log'!$C$5:$C$504,"&lt;="&amp;P$5,'Time Off Log'!$J$5:$J$504,"&gt;="&amp;P$5,'Time Off Log'!$E$5:$E$504,"Approved")&gt;0,"U",IF(COUNTIFS('Time Off Log'!$A$5:$A$504,$B11,'Time Off Log'!$C$5:$C$504,"&lt;="&amp;P$5,'Time Off Log'!$J$5:$J$504,"&gt;="&amp;P$5,'Time Off Log'!$E$5:$E$504,"Pending")&gt;0,"?",""))))))</f>
        <v/>
      </c>
      <c r="Q11" s="44">
        <f>IF(OR(Q$5="",$B11=""),"",IF(OR(WEEKDAY(Q$5,2)&gt;5,COUNTIF(Holidays!$A$5:$A$40,Q$5)&gt;0),"",IF(COUNTIFS('Time Off Log'!$A$5:$A$504,$B11,'Time Off Log'!$C$5:$C$504,"&lt;="&amp;Q$5,'Time Off Log'!$J$5:$J$504,"&gt;="&amp;Q$5,'Time Off Log'!$B$5:$B$504,"PTO",'Time Off Log'!$E$5:$E$504,"Approved")&gt;0,"P",IF(COUNTIFS('Time Off Log'!$A$5:$A$504,$B11,'Time Off Log'!$C$5:$C$504,"&lt;="&amp;Q$5,'Time Off Log'!$J$5:$J$504,"&gt;="&amp;Q$5,'Time Off Log'!$B$5:$B$504,"Sick",'Time Off Log'!$E$5:$E$504,"Approved")&gt;0,"S",IF(COUNTIFS('Time Off Log'!$A$5:$A$504,$B11,'Time Off Log'!$C$5:$C$504,"&lt;="&amp;Q$5,'Time Off Log'!$J$5:$J$504,"&gt;="&amp;Q$5,'Time Off Log'!$E$5:$E$504,"Approved")&gt;0,"U",IF(COUNTIFS('Time Off Log'!$A$5:$A$504,$B11,'Time Off Log'!$C$5:$C$504,"&lt;="&amp;Q$5,'Time Off Log'!$J$5:$J$504,"&gt;="&amp;Q$5,'Time Off Log'!$E$5:$E$504,"Pending")&gt;0,"?",""))))))</f>
        <v/>
      </c>
      <c r="R11" s="44">
        <f>IF(OR(R$5="",$B11=""),"",IF(OR(WEEKDAY(R$5,2)&gt;5,COUNTIF(Holidays!$A$5:$A$40,R$5)&gt;0),"",IF(COUNTIFS('Time Off Log'!$A$5:$A$504,$B11,'Time Off Log'!$C$5:$C$504,"&lt;="&amp;R$5,'Time Off Log'!$J$5:$J$504,"&gt;="&amp;R$5,'Time Off Log'!$B$5:$B$504,"PTO",'Time Off Log'!$E$5:$E$504,"Approved")&gt;0,"P",IF(COUNTIFS('Time Off Log'!$A$5:$A$504,$B11,'Time Off Log'!$C$5:$C$504,"&lt;="&amp;R$5,'Time Off Log'!$J$5:$J$504,"&gt;="&amp;R$5,'Time Off Log'!$B$5:$B$504,"Sick",'Time Off Log'!$E$5:$E$504,"Approved")&gt;0,"S",IF(COUNTIFS('Time Off Log'!$A$5:$A$504,$B11,'Time Off Log'!$C$5:$C$504,"&lt;="&amp;R$5,'Time Off Log'!$J$5:$J$504,"&gt;="&amp;R$5,'Time Off Log'!$E$5:$E$504,"Approved")&gt;0,"U",IF(COUNTIFS('Time Off Log'!$A$5:$A$504,$B11,'Time Off Log'!$C$5:$C$504,"&lt;="&amp;R$5,'Time Off Log'!$J$5:$J$504,"&gt;="&amp;R$5,'Time Off Log'!$E$5:$E$504,"Pending")&gt;0,"?",""))))))</f>
        <v/>
      </c>
      <c r="S11" s="44">
        <f>IF(OR(S$5="",$B11=""),"",IF(OR(WEEKDAY(S$5,2)&gt;5,COUNTIF(Holidays!$A$5:$A$40,S$5)&gt;0),"",IF(COUNTIFS('Time Off Log'!$A$5:$A$504,$B11,'Time Off Log'!$C$5:$C$504,"&lt;="&amp;S$5,'Time Off Log'!$J$5:$J$504,"&gt;="&amp;S$5,'Time Off Log'!$B$5:$B$504,"PTO",'Time Off Log'!$E$5:$E$504,"Approved")&gt;0,"P",IF(COUNTIFS('Time Off Log'!$A$5:$A$504,$B11,'Time Off Log'!$C$5:$C$504,"&lt;="&amp;S$5,'Time Off Log'!$J$5:$J$504,"&gt;="&amp;S$5,'Time Off Log'!$B$5:$B$504,"Sick",'Time Off Log'!$E$5:$E$504,"Approved")&gt;0,"S",IF(COUNTIFS('Time Off Log'!$A$5:$A$504,$B11,'Time Off Log'!$C$5:$C$504,"&lt;="&amp;S$5,'Time Off Log'!$J$5:$J$504,"&gt;="&amp;S$5,'Time Off Log'!$E$5:$E$504,"Approved")&gt;0,"U",IF(COUNTIFS('Time Off Log'!$A$5:$A$504,$B11,'Time Off Log'!$C$5:$C$504,"&lt;="&amp;S$5,'Time Off Log'!$J$5:$J$504,"&gt;="&amp;S$5,'Time Off Log'!$E$5:$E$504,"Pending")&gt;0,"?",""))))))</f>
        <v/>
      </c>
      <c r="T11" s="44">
        <f>IF(OR(T$5="",$B11=""),"",IF(OR(WEEKDAY(T$5,2)&gt;5,COUNTIF(Holidays!$A$5:$A$40,T$5)&gt;0),"",IF(COUNTIFS('Time Off Log'!$A$5:$A$504,$B11,'Time Off Log'!$C$5:$C$504,"&lt;="&amp;T$5,'Time Off Log'!$J$5:$J$504,"&gt;="&amp;T$5,'Time Off Log'!$B$5:$B$504,"PTO",'Time Off Log'!$E$5:$E$504,"Approved")&gt;0,"P",IF(COUNTIFS('Time Off Log'!$A$5:$A$504,$B11,'Time Off Log'!$C$5:$C$504,"&lt;="&amp;T$5,'Time Off Log'!$J$5:$J$504,"&gt;="&amp;T$5,'Time Off Log'!$B$5:$B$504,"Sick",'Time Off Log'!$E$5:$E$504,"Approved")&gt;0,"S",IF(COUNTIFS('Time Off Log'!$A$5:$A$504,$B11,'Time Off Log'!$C$5:$C$504,"&lt;="&amp;T$5,'Time Off Log'!$J$5:$J$504,"&gt;="&amp;T$5,'Time Off Log'!$E$5:$E$504,"Approved")&gt;0,"U",IF(COUNTIFS('Time Off Log'!$A$5:$A$504,$B11,'Time Off Log'!$C$5:$C$504,"&lt;="&amp;T$5,'Time Off Log'!$J$5:$J$504,"&gt;="&amp;T$5,'Time Off Log'!$E$5:$E$504,"Pending")&gt;0,"?",""))))))</f>
        <v/>
      </c>
      <c r="U11" s="44">
        <f>IF(OR(U$5="",$B11=""),"",IF(OR(WEEKDAY(U$5,2)&gt;5,COUNTIF(Holidays!$A$5:$A$40,U$5)&gt;0),"",IF(COUNTIFS('Time Off Log'!$A$5:$A$504,$B11,'Time Off Log'!$C$5:$C$504,"&lt;="&amp;U$5,'Time Off Log'!$J$5:$J$504,"&gt;="&amp;U$5,'Time Off Log'!$B$5:$B$504,"PTO",'Time Off Log'!$E$5:$E$504,"Approved")&gt;0,"P",IF(COUNTIFS('Time Off Log'!$A$5:$A$504,$B11,'Time Off Log'!$C$5:$C$504,"&lt;="&amp;U$5,'Time Off Log'!$J$5:$J$504,"&gt;="&amp;U$5,'Time Off Log'!$B$5:$B$504,"Sick",'Time Off Log'!$E$5:$E$504,"Approved")&gt;0,"S",IF(COUNTIFS('Time Off Log'!$A$5:$A$504,$B11,'Time Off Log'!$C$5:$C$504,"&lt;="&amp;U$5,'Time Off Log'!$J$5:$J$504,"&gt;="&amp;U$5,'Time Off Log'!$E$5:$E$504,"Approved")&gt;0,"U",IF(COUNTIFS('Time Off Log'!$A$5:$A$504,$B11,'Time Off Log'!$C$5:$C$504,"&lt;="&amp;U$5,'Time Off Log'!$J$5:$J$504,"&gt;="&amp;U$5,'Time Off Log'!$E$5:$E$504,"Pending")&gt;0,"?",""))))))</f>
        <v/>
      </c>
      <c r="V11" s="44">
        <f>IF(OR(V$5="",$B11=""),"",IF(OR(WEEKDAY(V$5,2)&gt;5,COUNTIF(Holidays!$A$5:$A$40,V$5)&gt;0),"",IF(COUNTIFS('Time Off Log'!$A$5:$A$504,$B11,'Time Off Log'!$C$5:$C$504,"&lt;="&amp;V$5,'Time Off Log'!$J$5:$J$504,"&gt;="&amp;V$5,'Time Off Log'!$B$5:$B$504,"PTO",'Time Off Log'!$E$5:$E$504,"Approved")&gt;0,"P",IF(COUNTIFS('Time Off Log'!$A$5:$A$504,$B11,'Time Off Log'!$C$5:$C$504,"&lt;="&amp;V$5,'Time Off Log'!$J$5:$J$504,"&gt;="&amp;V$5,'Time Off Log'!$B$5:$B$504,"Sick",'Time Off Log'!$E$5:$E$504,"Approved")&gt;0,"S",IF(COUNTIFS('Time Off Log'!$A$5:$A$504,$B11,'Time Off Log'!$C$5:$C$504,"&lt;="&amp;V$5,'Time Off Log'!$J$5:$J$504,"&gt;="&amp;V$5,'Time Off Log'!$E$5:$E$504,"Approved")&gt;0,"U",IF(COUNTIFS('Time Off Log'!$A$5:$A$504,$B11,'Time Off Log'!$C$5:$C$504,"&lt;="&amp;V$5,'Time Off Log'!$J$5:$J$504,"&gt;="&amp;V$5,'Time Off Log'!$E$5:$E$504,"Pending")&gt;0,"?",""))))))</f>
        <v/>
      </c>
      <c r="W11" s="44">
        <f>IF(OR(W$5="",$B11=""),"",IF(OR(WEEKDAY(W$5,2)&gt;5,COUNTIF(Holidays!$A$5:$A$40,W$5)&gt;0),"",IF(COUNTIFS('Time Off Log'!$A$5:$A$504,$B11,'Time Off Log'!$C$5:$C$504,"&lt;="&amp;W$5,'Time Off Log'!$J$5:$J$504,"&gt;="&amp;W$5,'Time Off Log'!$B$5:$B$504,"PTO",'Time Off Log'!$E$5:$E$504,"Approved")&gt;0,"P",IF(COUNTIFS('Time Off Log'!$A$5:$A$504,$B11,'Time Off Log'!$C$5:$C$504,"&lt;="&amp;W$5,'Time Off Log'!$J$5:$J$504,"&gt;="&amp;W$5,'Time Off Log'!$B$5:$B$504,"Sick",'Time Off Log'!$E$5:$E$504,"Approved")&gt;0,"S",IF(COUNTIFS('Time Off Log'!$A$5:$A$504,$B11,'Time Off Log'!$C$5:$C$504,"&lt;="&amp;W$5,'Time Off Log'!$J$5:$J$504,"&gt;="&amp;W$5,'Time Off Log'!$E$5:$E$504,"Approved")&gt;0,"U",IF(COUNTIFS('Time Off Log'!$A$5:$A$504,$B11,'Time Off Log'!$C$5:$C$504,"&lt;="&amp;W$5,'Time Off Log'!$J$5:$J$504,"&gt;="&amp;W$5,'Time Off Log'!$E$5:$E$504,"Pending")&gt;0,"?",""))))))</f>
        <v/>
      </c>
      <c r="X11" s="44">
        <f>IF(OR(X$5="",$B11=""),"",IF(OR(WEEKDAY(X$5,2)&gt;5,COUNTIF(Holidays!$A$5:$A$40,X$5)&gt;0),"",IF(COUNTIFS('Time Off Log'!$A$5:$A$504,$B11,'Time Off Log'!$C$5:$C$504,"&lt;="&amp;X$5,'Time Off Log'!$J$5:$J$504,"&gt;="&amp;X$5,'Time Off Log'!$B$5:$B$504,"PTO",'Time Off Log'!$E$5:$E$504,"Approved")&gt;0,"P",IF(COUNTIFS('Time Off Log'!$A$5:$A$504,$B11,'Time Off Log'!$C$5:$C$504,"&lt;="&amp;X$5,'Time Off Log'!$J$5:$J$504,"&gt;="&amp;X$5,'Time Off Log'!$B$5:$B$504,"Sick",'Time Off Log'!$E$5:$E$504,"Approved")&gt;0,"S",IF(COUNTIFS('Time Off Log'!$A$5:$A$504,$B11,'Time Off Log'!$C$5:$C$504,"&lt;="&amp;X$5,'Time Off Log'!$J$5:$J$504,"&gt;="&amp;X$5,'Time Off Log'!$E$5:$E$504,"Approved")&gt;0,"U",IF(COUNTIFS('Time Off Log'!$A$5:$A$504,$B11,'Time Off Log'!$C$5:$C$504,"&lt;="&amp;X$5,'Time Off Log'!$J$5:$J$504,"&gt;="&amp;X$5,'Time Off Log'!$E$5:$E$504,"Pending")&gt;0,"?",""))))))</f>
        <v/>
      </c>
      <c r="Y11" s="44">
        <f>IF(OR(Y$5="",$B11=""),"",IF(OR(WEEKDAY(Y$5,2)&gt;5,COUNTIF(Holidays!$A$5:$A$40,Y$5)&gt;0),"",IF(COUNTIFS('Time Off Log'!$A$5:$A$504,$B11,'Time Off Log'!$C$5:$C$504,"&lt;="&amp;Y$5,'Time Off Log'!$J$5:$J$504,"&gt;="&amp;Y$5,'Time Off Log'!$B$5:$B$504,"PTO",'Time Off Log'!$E$5:$E$504,"Approved")&gt;0,"P",IF(COUNTIFS('Time Off Log'!$A$5:$A$504,$B11,'Time Off Log'!$C$5:$C$504,"&lt;="&amp;Y$5,'Time Off Log'!$J$5:$J$504,"&gt;="&amp;Y$5,'Time Off Log'!$B$5:$B$504,"Sick",'Time Off Log'!$E$5:$E$504,"Approved")&gt;0,"S",IF(COUNTIFS('Time Off Log'!$A$5:$A$504,$B11,'Time Off Log'!$C$5:$C$504,"&lt;="&amp;Y$5,'Time Off Log'!$J$5:$J$504,"&gt;="&amp;Y$5,'Time Off Log'!$E$5:$E$504,"Approved")&gt;0,"U",IF(COUNTIFS('Time Off Log'!$A$5:$A$504,$B11,'Time Off Log'!$C$5:$C$504,"&lt;="&amp;Y$5,'Time Off Log'!$J$5:$J$504,"&gt;="&amp;Y$5,'Time Off Log'!$E$5:$E$504,"Pending")&gt;0,"?",""))))))</f>
        <v/>
      </c>
      <c r="Z11" s="44">
        <f>IF(OR(Z$5="",$B11=""),"",IF(OR(WEEKDAY(Z$5,2)&gt;5,COUNTIF(Holidays!$A$5:$A$40,Z$5)&gt;0),"",IF(COUNTIFS('Time Off Log'!$A$5:$A$504,$B11,'Time Off Log'!$C$5:$C$504,"&lt;="&amp;Z$5,'Time Off Log'!$J$5:$J$504,"&gt;="&amp;Z$5,'Time Off Log'!$B$5:$B$504,"PTO",'Time Off Log'!$E$5:$E$504,"Approved")&gt;0,"P",IF(COUNTIFS('Time Off Log'!$A$5:$A$504,$B11,'Time Off Log'!$C$5:$C$504,"&lt;="&amp;Z$5,'Time Off Log'!$J$5:$J$504,"&gt;="&amp;Z$5,'Time Off Log'!$B$5:$B$504,"Sick",'Time Off Log'!$E$5:$E$504,"Approved")&gt;0,"S",IF(COUNTIFS('Time Off Log'!$A$5:$A$504,$B11,'Time Off Log'!$C$5:$C$504,"&lt;="&amp;Z$5,'Time Off Log'!$J$5:$J$504,"&gt;="&amp;Z$5,'Time Off Log'!$E$5:$E$504,"Approved")&gt;0,"U",IF(COUNTIFS('Time Off Log'!$A$5:$A$504,$B11,'Time Off Log'!$C$5:$C$504,"&lt;="&amp;Z$5,'Time Off Log'!$J$5:$J$504,"&gt;="&amp;Z$5,'Time Off Log'!$E$5:$E$504,"Pending")&gt;0,"?",""))))))</f>
        <v/>
      </c>
      <c r="AA11" s="44">
        <f>IF(OR(AA$5="",$B11=""),"",IF(OR(WEEKDAY(AA$5,2)&gt;5,COUNTIF(Holidays!$A$5:$A$40,AA$5)&gt;0),"",IF(COUNTIFS('Time Off Log'!$A$5:$A$504,$B11,'Time Off Log'!$C$5:$C$504,"&lt;="&amp;AA$5,'Time Off Log'!$J$5:$J$504,"&gt;="&amp;AA$5,'Time Off Log'!$B$5:$B$504,"PTO",'Time Off Log'!$E$5:$E$504,"Approved")&gt;0,"P",IF(COUNTIFS('Time Off Log'!$A$5:$A$504,$B11,'Time Off Log'!$C$5:$C$504,"&lt;="&amp;AA$5,'Time Off Log'!$J$5:$J$504,"&gt;="&amp;AA$5,'Time Off Log'!$B$5:$B$504,"Sick",'Time Off Log'!$E$5:$E$504,"Approved")&gt;0,"S",IF(COUNTIFS('Time Off Log'!$A$5:$A$504,$B11,'Time Off Log'!$C$5:$C$504,"&lt;="&amp;AA$5,'Time Off Log'!$J$5:$J$504,"&gt;="&amp;AA$5,'Time Off Log'!$E$5:$E$504,"Approved")&gt;0,"U",IF(COUNTIFS('Time Off Log'!$A$5:$A$504,$B11,'Time Off Log'!$C$5:$C$504,"&lt;="&amp;AA$5,'Time Off Log'!$J$5:$J$504,"&gt;="&amp;AA$5,'Time Off Log'!$E$5:$E$504,"Pending")&gt;0,"?",""))))))</f>
        <v/>
      </c>
      <c r="AB11" s="44">
        <f>IF(OR(AB$5="",$B11=""),"",IF(OR(WEEKDAY(AB$5,2)&gt;5,COUNTIF(Holidays!$A$5:$A$40,AB$5)&gt;0),"",IF(COUNTIFS('Time Off Log'!$A$5:$A$504,$B11,'Time Off Log'!$C$5:$C$504,"&lt;="&amp;AB$5,'Time Off Log'!$J$5:$J$504,"&gt;="&amp;AB$5,'Time Off Log'!$B$5:$B$504,"PTO",'Time Off Log'!$E$5:$E$504,"Approved")&gt;0,"P",IF(COUNTIFS('Time Off Log'!$A$5:$A$504,$B11,'Time Off Log'!$C$5:$C$504,"&lt;="&amp;AB$5,'Time Off Log'!$J$5:$J$504,"&gt;="&amp;AB$5,'Time Off Log'!$B$5:$B$504,"Sick",'Time Off Log'!$E$5:$E$504,"Approved")&gt;0,"S",IF(COUNTIFS('Time Off Log'!$A$5:$A$504,$B11,'Time Off Log'!$C$5:$C$504,"&lt;="&amp;AB$5,'Time Off Log'!$J$5:$J$504,"&gt;="&amp;AB$5,'Time Off Log'!$E$5:$E$504,"Approved")&gt;0,"U",IF(COUNTIFS('Time Off Log'!$A$5:$A$504,$B11,'Time Off Log'!$C$5:$C$504,"&lt;="&amp;AB$5,'Time Off Log'!$J$5:$J$504,"&gt;="&amp;AB$5,'Time Off Log'!$E$5:$E$504,"Pending")&gt;0,"?",""))))))</f>
        <v/>
      </c>
      <c r="AC11" s="44">
        <f>IF(OR(AC$5="",$B11=""),"",IF(OR(WEEKDAY(AC$5,2)&gt;5,COUNTIF(Holidays!$A$5:$A$40,AC$5)&gt;0),"",IF(COUNTIFS('Time Off Log'!$A$5:$A$504,$B11,'Time Off Log'!$C$5:$C$504,"&lt;="&amp;AC$5,'Time Off Log'!$J$5:$J$504,"&gt;="&amp;AC$5,'Time Off Log'!$B$5:$B$504,"PTO",'Time Off Log'!$E$5:$E$504,"Approved")&gt;0,"P",IF(COUNTIFS('Time Off Log'!$A$5:$A$504,$B11,'Time Off Log'!$C$5:$C$504,"&lt;="&amp;AC$5,'Time Off Log'!$J$5:$J$504,"&gt;="&amp;AC$5,'Time Off Log'!$B$5:$B$504,"Sick",'Time Off Log'!$E$5:$E$504,"Approved")&gt;0,"S",IF(COUNTIFS('Time Off Log'!$A$5:$A$504,$B11,'Time Off Log'!$C$5:$C$504,"&lt;="&amp;AC$5,'Time Off Log'!$J$5:$J$504,"&gt;="&amp;AC$5,'Time Off Log'!$E$5:$E$504,"Approved")&gt;0,"U",IF(COUNTIFS('Time Off Log'!$A$5:$A$504,$B11,'Time Off Log'!$C$5:$C$504,"&lt;="&amp;AC$5,'Time Off Log'!$J$5:$J$504,"&gt;="&amp;AC$5,'Time Off Log'!$E$5:$E$504,"Pending")&gt;0,"?",""))))))</f>
        <v/>
      </c>
      <c r="AD11" s="44">
        <f>IF(OR(AD$5="",$B11=""),"",IF(OR(WEEKDAY(AD$5,2)&gt;5,COUNTIF(Holidays!$A$5:$A$40,AD$5)&gt;0),"",IF(COUNTIFS('Time Off Log'!$A$5:$A$504,$B11,'Time Off Log'!$C$5:$C$504,"&lt;="&amp;AD$5,'Time Off Log'!$J$5:$J$504,"&gt;="&amp;AD$5,'Time Off Log'!$B$5:$B$504,"PTO",'Time Off Log'!$E$5:$E$504,"Approved")&gt;0,"P",IF(COUNTIFS('Time Off Log'!$A$5:$A$504,$B11,'Time Off Log'!$C$5:$C$504,"&lt;="&amp;AD$5,'Time Off Log'!$J$5:$J$504,"&gt;="&amp;AD$5,'Time Off Log'!$B$5:$B$504,"Sick",'Time Off Log'!$E$5:$E$504,"Approved")&gt;0,"S",IF(COUNTIFS('Time Off Log'!$A$5:$A$504,$B11,'Time Off Log'!$C$5:$C$504,"&lt;="&amp;AD$5,'Time Off Log'!$J$5:$J$504,"&gt;="&amp;AD$5,'Time Off Log'!$E$5:$E$504,"Approved")&gt;0,"U",IF(COUNTIFS('Time Off Log'!$A$5:$A$504,$B11,'Time Off Log'!$C$5:$C$504,"&lt;="&amp;AD$5,'Time Off Log'!$J$5:$J$504,"&gt;="&amp;AD$5,'Time Off Log'!$E$5:$E$504,"Pending")&gt;0,"?",""))))))</f>
        <v/>
      </c>
      <c r="AE11" s="44">
        <f>IF(OR(AE$5="",$B11=""),"",IF(OR(WEEKDAY(AE$5,2)&gt;5,COUNTIF(Holidays!$A$5:$A$40,AE$5)&gt;0),"",IF(COUNTIFS('Time Off Log'!$A$5:$A$504,$B11,'Time Off Log'!$C$5:$C$504,"&lt;="&amp;AE$5,'Time Off Log'!$J$5:$J$504,"&gt;="&amp;AE$5,'Time Off Log'!$B$5:$B$504,"PTO",'Time Off Log'!$E$5:$E$504,"Approved")&gt;0,"P",IF(COUNTIFS('Time Off Log'!$A$5:$A$504,$B11,'Time Off Log'!$C$5:$C$504,"&lt;="&amp;AE$5,'Time Off Log'!$J$5:$J$504,"&gt;="&amp;AE$5,'Time Off Log'!$B$5:$B$504,"Sick",'Time Off Log'!$E$5:$E$504,"Approved")&gt;0,"S",IF(COUNTIFS('Time Off Log'!$A$5:$A$504,$B11,'Time Off Log'!$C$5:$C$504,"&lt;="&amp;AE$5,'Time Off Log'!$J$5:$J$504,"&gt;="&amp;AE$5,'Time Off Log'!$E$5:$E$504,"Approved")&gt;0,"U",IF(COUNTIFS('Time Off Log'!$A$5:$A$504,$B11,'Time Off Log'!$C$5:$C$504,"&lt;="&amp;AE$5,'Time Off Log'!$J$5:$J$504,"&gt;="&amp;AE$5,'Time Off Log'!$E$5:$E$504,"Pending")&gt;0,"?",""))))))</f>
        <v/>
      </c>
      <c r="AF11" s="44">
        <f>IF(OR(AF$5="",$B11=""),"",IF(OR(WEEKDAY(AF$5,2)&gt;5,COUNTIF(Holidays!$A$5:$A$40,AF$5)&gt;0),"",IF(COUNTIFS('Time Off Log'!$A$5:$A$504,$B11,'Time Off Log'!$C$5:$C$504,"&lt;="&amp;AF$5,'Time Off Log'!$J$5:$J$504,"&gt;="&amp;AF$5,'Time Off Log'!$B$5:$B$504,"PTO",'Time Off Log'!$E$5:$E$504,"Approved")&gt;0,"P",IF(COUNTIFS('Time Off Log'!$A$5:$A$504,$B11,'Time Off Log'!$C$5:$C$504,"&lt;="&amp;AF$5,'Time Off Log'!$J$5:$J$504,"&gt;="&amp;AF$5,'Time Off Log'!$B$5:$B$504,"Sick",'Time Off Log'!$E$5:$E$504,"Approved")&gt;0,"S",IF(COUNTIFS('Time Off Log'!$A$5:$A$504,$B11,'Time Off Log'!$C$5:$C$504,"&lt;="&amp;AF$5,'Time Off Log'!$J$5:$J$504,"&gt;="&amp;AF$5,'Time Off Log'!$E$5:$E$504,"Approved")&gt;0,"U",IF(COUNTIFS('Time Off Log'!$A$5:$A$504,$B11,'Time Off Log'!$C$5:$C$504,"&lt;="&amp;AF$5,'Time Off Log'!$J$5:$J$504,"&gt;="&amp;AF$5,'Time Off Log'!$E$5:$E$504,"Pending")&gt;0,"?",""))))))</f>
        <v/>
      </c>
      <c r="AG11" s="44">
        <f>IF(OR(AG$5="",$B11=""),"",IF(OR(WEEKDAY(AG$5,2)&gt;5,COUNTIF(Holidays!$A$5:$A$40,AG$5)&gt;0),"",IF(COUNTIFS('Time Off Log'!$A$5:$A$504,$B11,'Time Off Log'!$C$5:$C$504,"&lt;="&amp;AG$5,'Time Off Log'!$J$5:$J$504,"&gt;="&amp;AG$5,'Time Off Log'!$B$5:$B$504,"PTO",'Time Off Log'!$E$5:$E$504,"Approved")&gt;0,"P",IF(COUNTIFS('Time Off Log'!$A$5:$A$504,$B11,'Time Off Log'!$C$5:$C$504,"&lt;="&amp;AG$5,'Time Off Log'!$J$5:$J$504,"&gt;="&amp;AG$5,'Time Off Log'!$B$5:$B$504,"Sick",'Time Off Log'!$E$5:$E$504,"Approved")&gt;0,"S",IF(COUNTIFS('Time Off Log'!$A$5:$A$504,$B11,'Time Off Log'!$C$5:$C$504,"&lt;="&amp;AG$5,'Time Off Log'!$J$5:$J$504,"&gt;="&amp;AG$5,'Time Off Log'!$E$5:$E$504,"Approved")&gt;0,"U",IF(COUNTIFS('Time Off Log'!$A$5:$A$504,$B11,'Time Off Log'!$C$5:$C$504,"&lt;="&amp;AG$5,'Time Off Log'!$J$5:$J$504,"&gt;="&amp;AG$5,'Time Off Log'!$E$5:$E$504,"Pending")&gt;0,"?",""))))))</f>
        <v/>
      </c>
    </row>
    <row r="12">
      <c r="A12" s="24" t="n">
        <v>7</v>
      </c>
      <c r="B12" s="24">
        <f>IF(Employees!B11="","",Employees!B11)</f>
        <v/>
      </c>
      <c r="C12" s="44">
        <f>IF(OR(C$5="",$B12=""),"",IF(OR(WEEKDAY(C$5,2)&gt;5,COUNTIF(Holidays!$A$5:$A$40,C$5)&gt;0),"",IF(COUNTIFS('Time Off Log'!$A$5:$A$504,$B12,'Time Off Log'!$C$5:$C$504,"&lt;="&amp;C$5,'Time Off Log'!$J$5:$J$504,"&gt;="&amp;C$5,'Time Off Log'!$B$5:$B$504,"PTO",'Time Off Log'!$E$5:$E$504,"Approved")&gt;0,"P",IF(COUNTIFS('Time Off Log'!$A$5:$A$504,$B12,'Time Off Log'!$C$5:$C$504,"&lt;="&amp;C$5,'Time Off Log'!$J$5:$J$504,"&gt;="&amp;C$5,'Time Off Log'!$B$5:$B$504,"Sick",'Time Off Log'!$E$5:$E$504,"Approved")&gt;0,"S",IF(COUNTIFS('Time Off Log'!$A$5:$A$504,$B12,'Time Off Log'!$C$5:$C$504,"&lt;="&amp;C$5,'Time Off Log'!$J$5:$J$504,"&gt;="&amp;C$5,'Time Off Log'!$E$5:$E$504,"Approved")&gt;0,"U",IF(COUNTIFS('Time Off Log'!$A$5:$A$504,$B12,'Time Off Log'!$C$5:$C$504,"&lt;="&amp;C$5,'Time Off Log'!$J$5:$J$504,"&gt;="&amp;C$5,'Time Off Log'!$E$5:$E$504,"Pending")&gt;0,"?",""))))))</f>
        <v/>
      </c>
      <c r="D12" s="44">
        <f>IF(OR(D$5="",$B12=""),"",IF(OR(WEEKDAY(D$5,2)&gt;5,COUNTIF(Holidays!$A$5:$A$40,D$5)&gt;0),"",IF(COUNTIFS('Time Off Log'!$A$5:$A$504,$B12,'Time Off Log'!$C$5:$C$504,"&lt;="&amp;D$5,'Time Off Log'!$J$5:$J$504,"&gt;="&amp;D$5,'Time Off Log'!$B$5:$B$504,"PTO",'Time Off Log'!$E$5:$E$504,"Approved")&gt;0,"P",IF(COUNTIFS('Time Off Log'!$A$5:$A$504,$B12,'Time Off Log'!$C$5:$C$504,"&lt;="&amp;D$5,'Time Off Log'!$J$5:$J$504,"&gt;="&amp;D$5,'Time Off Log'!$B$5:$B$504,"Sick",'Time Off Log'!$E$5:$E$504,"Approved")&gt;0,"S",IF(COUNTIFS('Time Off Log'!$A$5:$A$504,$B12,'Time Off Log'!$C$5:$C$504,"&lt;="&amp;D$5,'Time Off Log'!$J$5:$J$504,"&gt;="&amp;D$5,'Time Off Log'!$E$5:$E$504,"Approved")&gt;0,"U",IF(COUNTIFS('Time Off Log'!$A$5:$A$504,$B12,'Time Off Log'!$C$5:$C$504,"&lt;="&amp;D$5,'Time Off Log'!$J$5:$J$504,"&gt;="&amp;D$5,'Time Off Log'!$E$5:$E$504,"Pending")&gt;0,"?",""))))))</f>
        <v/>
      </c>
      <c r="E12" s="44">
        <f>IF(OR(E$5="",$B12=""),"",IF(OR(WEEKDAY(E$5,2)&gt;5,COUNTIF(Holidays!$A$5:$A$40,E$5)&gt;0),"",IF(COUNTIFS('Time Off Log'!$A$5:$A$504,$B12,'Time Off Log'!$C$5:$C$504,"&lt;="&amp;E$5,'Time Off Log'!$J$5:$J$504,"&gt;="&amp;E$5,'Time Off Log'!$B$5:$B$504,"PTO",'Time Off Log'!$E$5:$E$504,"Approved")&gt;0,"P",IF(COUNTIFS('Time Off Log'!$A$5:$A$504,$B12,'Time Off Log'!$C$5:$C$504,"&lt;="&amp;E$5,'Time Off Log'!$J$5:$J$504,"&gt;="&amp;E$5,'Time Off Log'!$B$5:$B$504,"Sick",'Time Off Log'!$E$5:$E$504,"Approved")&gt;0,"S",IF(COUNTIFS('Time Off Log'!$A$5:$A$504,$B12,'Time Off Log'!$C$5:$C$504,"&lt;="&amp;E$5,'Time Off Log'!$J$5:$J$504,"&gt;="&amp;E$5,'Time Off Log'!$E$5:$E$504,"Approved")&gt;0,"U",IF(COUNTIFS('Time Off Log'!$A$5:$A$504,$B12,'Time Off Log'!$C$5:$C$504,"&lt;="&amp;E$5,'Time Off Log'!$J$5:$J$504,"&gt;="&amp;E$5,'Time Off Log'!$E$5:$E$504,"Pending")&gt;0,"?",""))))))</f>
        <v/>
      </c>
      <c r="F12" s="44">
        <f>IF(OR(F$5="",$B12=""),"",IF(OR(WEEKDAY(F$5,2)&gt;5,COUNTIF(Holidays!$A$5:$A$40,F$5)&gt;0),"",IF(COUNTIFS('Time Off Log'!$A$5:$A$504,$B12,'Time Off Log'!$C$5:$C$504,"&lt;="&amp;F$5,'Time Off Log'!$J$5:$J$504,"&gt;="&amp;F$5,'Time Off Log'!$B$5:$B$504,"PTO",'Time Off Log'!$E$5:$E$504,"Approved")&gt;0,"P",IF(COUNTIFS('Time Off Log'!$A$5:$A$504,$B12,'Time Off Log'!$C$5:$C$504,"&lt;="&amp;F$5,'Time Off Log'!$J$5:$J$504,"&gt;="&amp;F$5,'Time Off Log'!$B$5:$B$504,"Sick",'Time Off Log'!$E$5:$E$504,"Approved")&gt;0,"S",IF(COUNTIFS('Time Off Log'!$A$5:$A$504,$B12,'Time Off Log'!$C$5:$C$504,"&lt;="&amp;F$5,'Time Off Log'!$J$5:$J$504,"&gt;="&amp;F$5,'Time Off Log'!$E$5:$E$504,"Approved")&gt;0,"U",IF(COUNTIFS('Time Off Log'!$A$5:$A$504,$B12,'Time Off Log'!$C$5:$C$504,"&lt;="&amp;F$5,'Time Off Log'!$J$5:$J$504,"&gt;="&amp;F$5,'Time Off Log'!$E$5:$E$504,"Pending")&gt;0,"?",""))))))</f>
        <v/>
      </c>
      <c r="G12" s="44">
        <f>IF(OR(G$5="",$B12=""),"",IF(OR(WEEKDAY(G$5,2)&gt;5,COUNTIF(Holidays!$A$5:$A$40,G$5)&gt;0),"",IF(COUNTIFS('Time Off Log'!$A$5:$A$504,$B12,'Time Off Log'!$C$5:$C$504,"&lt;="&amp;G$5,'Time Off Log'!$J$5:$J$504,"&gt;="&amp;G$5,'Time Off Log'!$B$5:$B$504,"PTO",'Time Off Log'!$E$5:$E$504,"Approved")&gt;0,"P",IF(COUNTIFS('Time Off Log'!$A$5:$A$504,$B12,'Time Off Log'!$C$5:$C$504,"&lt;="&amp;G$5,'Time Off Log'!$J$5:$J$504,"&gt;="&amp;G$5,'Time Off Log'!$B$5:$B$504,"Sick",'Time Off Log'!$E$5:$E$504,"Approved")&gt;0,"S",IF(COUNTIFS('Time Off Log'!$A$5:$A$504,$B12,'Time Off Log'!$C$5:$C$504,"&lt;="&amp;G$5,'Time Off Log'!$J$5:$J$504,"&gt;="&amp;G$5,'Time Off Log'!$E$5:$E$504,"Approved")&gt;0,"U",IF(COUNTIFS('Time Off Log'!$A$5:$A$504,$B12,'Time Off Log'!$C$5:$C$504,"&lt;="&amp;G$5,'Time Off Log'!$J$5:$J$504,"&gt;="&amp;G$5,'Time Off Log'!$E$5:$E$504,"Pending")&gt;0,"?",""))))))</f>
        <v/>
      </c>
      <c r="H12" s="44">
        <f>IF(OR(H$5="",$B12=""),"",IF(OR(WEEKDAY(H$5,2)&gt;5,COUNTIF(Holidays!$A$5:$A$40,H$5)&gt;0),"",IF(COUNTIFS('Time Off Log'!$A$5:$A$504,$B12,'Time Off Log'!$C$5:$C$504,"&lt;="&amp;H$5,'Time Off Log'!$J$5:$J$504,"&gt;="&amp;H$5,'Time Off Log'!$B$5:$B$504,"PTO",'Time Off Log'!$E$5:$E$504,"Approved")&gt;0,"P",IF(COUNTIFS('Time Off Log'!$A$5:$A$504,$B12,'Time Off Log'!$C$5:$C$504,"&lt;="&amp;H$5,'Time Off Log'!$J$5:$J$504,"&gt;="&amp;H$5,'Time Off Log'!$B$5:$B$504,"Sick",'Time Off Log'!$E$5:$E$504,"Approved")&gt;0,"S",IF(COUNTIFS('Time Off Log'!$A$5:$A$504,$B12,'Time Off Log'!$C$5:$C$504,"&lt;="&amp;H$5,'Time Off Log'!$J$5:$J$504,"&gt;="&amp;H$5,'Time Off Log'!$E$5:$E$504,"Approved")&gt;0,"U",IF(COUNTIFS('Time Off Log'!$A$5:$A$504,$B12,'Time Off Log'!$C$5:$C$504,"&lt;="&amp;H$5,'Time Off Log'!$J$5:$J$504,"&gt;="&amp;H$5,'Time Off Log'!$E$5:$E$504,"Pending")&gt;0,"?",""))))))</f>
        <v/>
      </c>
      <c r="I12" s="44">
        <f>IF(OR(I$5="",$B12=""),"",IF(OR(WEEKDAY(I$5,2)&gt;5,COUNTIF(Holidays!$A$5:$A$40,I$5)&gt;0),"",IF(COUNTIFS('Time Off Log'!$A$5:$A$504,$B12,'Time Off Log'!$C$5:$C$504,"&lt;="&amp;I$5,'Time Off Log'!$J$5:$J$504,"&gt;="&amp;I$5,'Time Off Log'!$B$5:$B$504,"PTO",'Time Off Log'!$E$5:$E$504,"Approved")&gt;0,"P",IF(COUNTIFS('Time Off Log'!$A$5:$A$504,$B12,'Time Off Log'!$C$5:$C$504,"&lt;="&amp;I$5,'Time Off Log'!$J$5:$J$504,"&gt;="&amp;I$5,'Time Off Log'!$B$5:$B$504,"Sick",'Time Off Log'!$E$5:$E$504,"Approved")&gt;0,"S",IF(COUNTIFS('Time Off Log'!$A$5:$A$504,$B12,'Time Off Log'!$C$5:$C$504,"&lt;="&amp;I$5,'Time Off Log'!$J$5:$J$504,"&gt;="&amp;I$5,'Time Off Log'!$E$5:$E$504,"Approved")&gt;0,"U",IF(COUNTIFS('Time Off Log'!$A$5:$A$504,$B12,'Time Off Log'!$C$5:$C$504,"&lt;="&amp;I$5,'Time Off Log'!$J$5:$J$504,"&gt;="&amp;I$5,'Time Off Log'!$E$5:$E$504,"Pending")&gt;0,"?",""))))))</f>
        <v/>
      </c>
      <c r="J12" s="44">
        <f>IF(OR(J$5="",$B12=""),"",IF(OR(WEEKDAY(J$5,2)&gt;5,COUNTIF(Holidays!$A$5:$A$40,J$5)&gt;0),"",IF(COUNTIFS('Time Off Log'!$A$5:$A$504,$B12,'Time Off Log'!$C$5:$C$504,"&lt;="&amp;J$5,'Time Off Log'!$J$5:$J$504,"&gt;="&amp;J$5,'Time Off Log'!$B$5:$B$504,"PTO",'Time Off Log'!$E$5:$E$504,"Approved")&gt;0,"P",IF(COUNTIFS('Time Off Log'!$A$5:$A$504,$B12,'Time Off Log'!$C$5:$C$504,"&lt;="&amp;J$5,'Time Off Log'!$J$5:$J$504,"&gt;="&amp;J$5,'Time Off Log'!$B$5:$B$504,"Sick",'Time Off Log'!$E$5:$E$504,"Approved")&gt;0,"S",IF(COUNTIFS('Time Off Log'!$A$5:$A$504,$B12,'Time Off Log'!$C$5:$C$504,"&lt;="&amp;J$5,'Time Off Log'!$J$5:$J$504,"&gt;="&amp;J$5,'Time Off Log'!$E$5:$E$504,"Approved")&gt;0,"U",IF(COUNTIFS('Time Off Log'!$A$5:$A$504,$B12,'Time Off Log'!$C$5:$C$504,"&lt;="&amp;J$5,'Time Off Log'!$J$5:$J$504,"&gt;="&amp;J$5,'Time Off Log'!$E$5:$E$504,"Pending")&gt;0,"?",""))))))</f>
        <v/>
      </c>
      <c r="K12" s="44">
        <f>IF(OR(K$5="",$B12=""),"",IF(OR(WEEKDAY(K$5,2)&gt;5,COUNTIF(Holidays!$A$5:$A$40,K$5)&gt;0),"",IF(COUNTIFS('Time Off Log'!$A$5:$A$504,$B12,'Time Off Log'!$C$5:$C$504,"&lt;="&amp;K$5,'Time Off Log'!$J$5:$J$504,"&gt;="&amp;K$5,'Time Off Log'!$B$5:$B$504,"PTO",'Time Off Log'!$E$5:$E$504,"Approved")&gt;0,"P",IF(COUNTIFS('Time Off Log'!$A$5:$A$504,$B12,'Time Off Log'!$C$5:$C$504,"&lt;="&amp;K$5,'Time Off Log'!$J$5:$J$504,"&gt;="&amp;K$5,'Time Off Log'!$B$5:$B$504,"Sick",'Time Off Log'!$E$5:$E$504,"Approved")&gt;0,"S",IF(COUNTIFS('Time Off Log'!$A$5:$A$504,$B12,'Time Off Log'!$C$5:$C$504,"&lt;="&amp;K$5,'Time Off Log'!$J$5:$J$504,"&gt;="&amp;K$5,'Time Off Log'!$E$5:$E$504,"Approved")&gt;0,"U",IF(COUNTIFS('Time Off Log'!$A$5:$A$504,$B12,'Time Off Log'!$C$5:$C$504,"&lt;="&amp;K$5,'Time Off Log'!$J$5:$J$504,"&gt;="&amp;K$5,'Time Off Log'!$E$5:$E$504,"Pending")&gt;0,"?",""))))))</f>
        <v/>
      </c>
      <c r="L12" s="44">
        <f>IF(OR(L$5="",$B12=""),"",IF(OR(WEEKDAY(L$5,2)&gt;5,COUNTIF(Holidays!$A$5:$A$40,L$5)&gt;0),"",IF(COUNTIFS('Time Off Log'!$A$5:$A$504,$B12,'Time Off Log'!$C$5:$C$504,"&lt;="&amp;L$5,'Time Off Log'!$J$5:$J$504,"&gt;="&amp;L$5,'Time Off Log'!$B$5:$B$504,"PTO",'Time Off Log'!$E$5:$E$504,"Approved")&gt;0,"P",IF(COUNTIFS('Time Off Log'!$A$5:$A$504,$B12,'Time Off Log'!$C$5:$C$504,"&lt;="&amp;L$5,'Time Off Log'!$J$5:$J$504,"&gt;="&amp;L$5,'Time Off Log'!$B$5:$B$504,"Sick",'Time Off Log'!$E$5:$E$504,"Approved")&gt;0,"S",IF(COUNTIFS('Time Off Log'!$A$5:$A$504,$B12,'Time Off Log'!$C$5:$C$504,"&lt;="&amp;L$5,'Time Off Log'!$J$5:$J$504,"&gt;="&amp;L$5,'Time Off Log'!$E$5:$E$504,"Approved")&gt;0,"U",IF(COUNTIFS('Time Off Log'!$A$5:$A$504,$B12,'Time Off Log'!$C$5:$C$504,"&lt;="&amp;L$5,'Time Off Log'!$J$5:$J$504,"&gt;="&amp;L$5,'Time Off Log'!$E$5:$E$504,"Pending")&gt;0,"?",""))))))</f>
        <v/>
      </c>
      <c r="M12" s="44">
        <f>IF(OR(M$5="",$B12=""),"",IF(OR(WEEKDAY(M$5,2)&gt;5,COUNTIF(Holidays!$A$5:$A$40,M$5)&gt;0),"",IF(COUNTIFS('Time Off Log'!$A$5:$A$504,$B12,'Time Off Log'!$C$5:$C$504,"&lt;="&amp;M$5,'Time Off Log'!$J$5:$J$504,"&gt;="&amp;M$5,'Time Off Log'!$B$5:$B$504,"PTO",'Time Off Log'!$E$5:$E$504,"Approved")&gt;0,"P",IF(COUNTIFS('Time Off Log'!$A$5:$A$504,$B12,'Time Off Log'!$C$5:$C$504,"&lt;="&amp;M$5,'Time Off Log'!$J$5:$J$504,"&gt;="&amp;M$5,'Time Off Log'!$B$5:$B$504,"Sick",'Time Off Log'!$E$5:$E$504,"Approved")&gt;0,"S",IF(COUNTIFS('Time Off Log'!$A$5:$A$504,$B12,'Time Off Log'!$C$5:$C$504,"&lt;="&amp;M$5,'Time Off Log'!$J$5:$J$504,"&gt;="&amp;M$5,'Time Off Log'!$E$5:$E$504,"Approved")&gt;0,"U",IF(COUNTIFS('Time Off Log'!$A$5:$A$504,$B12,'Time Off Log'!$C$5:$C$504,"&lt;="&amp;M$5,'Time Off Log'!$J$5:$J$504,"&gt;="&amp;M$5,'Time Off Log'!$E$5:$E$504,"Pending")&gt;0,"?",""))))))</f>
        <v/>
      </c>
      <c r="N12" s="44">
        <f>IF(OR(N$5="",$B12=""),"",IF(OR(WEEKDAY(N$5,2)&gt;5,COUNTIF(Holidays!$A$5:$A$40,N$5)&gt;0),"",IF(COUNTIFS('Time Off Log'!$A$5:$A$504,$B12,'Time Off Log'!$C$5:$C$504,"&lt;="&amp;N$5,'Time Off Log'!$J$5:$J$504,"&gt;="&amp;N$5,'Time Off Log'!$B$5:$B$504,"PTO",'Time Off Log'!$E$5:$E$504,"Approved")&gt;0,"P",IF(COUNTIFS('Time Off Log'!$A$5:$A$504,$B12,'Time Off Log'!$C$5:$C$504,"&lt;="&amp;N$5,'Time Off Log'!$J$5:$J$504,"&gt;="&amp;N$5,'Time Off Log'!$B$5:$B$504,"Sick",'Time Off Log'!$E$5:$E$504,"Approved")&gt;0,"S",IF(COUNTIFS('Time Off Log'!$A$5:$A$504,$B12,'Time Off Log'!$C$5:$C$504,"&lt;="&amp;N$5,'Time Off Log'!$J$5:$J$504,"&gt;="&amp;N$5,'Time Off Log'!$E$5:$E$504,"Approved")&gt;0,"U",IF(COUNTIFS('Time Off Log'!$A$5:$A$504,$B12,'Time Off Log'!$C$5:$C$504,"&lt;="&amp;N$5,'Time Off Log'!$J$5:$J$504,"&gt;="&amp;N$5,'Time Off Log'!$E$5:$E$504,"Pending")&gt;0,"?",""))))))</f>
        <v/>
      </c>
      <c r="O12" s="44">
        <f>IF(OR(O$5="",$B12=""),"",IF(OR(WEEKDAY(O$5,2)&gt;5,COUNTIF(Holidays!$A$5:$A$40,O$5)&gt;0),"",IF(COUNTIFS('Time Off Log'!$A$5:$A$504,$B12,'Time Off Log'!$C$5:$C$504,"&lt;="&amp;O$5,'Time Off Log'!$J$5:$J$504,"&gt;="&amp;O$5,'Time Off Log'!$B$5:$B$504,"PTO",'Time Off Log'!$E$5:$E$504,"Approved")&gt;0,"P",IF(COUNTIFS('Time Off Log'!$A$5:$A$504,$B12,'Time Off Log'!$C$5:$C$504,"&lt;="&amp;O$5,'Time Off Log'!$J$5:$J$504,"&gt;="&amp;O$5,'Time Off Log'!$B$5:$B$504,"Sick",'Time Off Log'!$E$5:$E$504,"Approved")&gt;0,"S",IF(COUNTIFS('Time Off Log'!$A$5:$A$504,$B12,'Time Off Log'!$C$5:$C$504,"&lt;="&amp;O$5,'Time Off Log'!$J$5:$J$504,"&gt;="&amp;O$5,'Time Off Log'!$E$5:$E$504,"Approved")&gt;0,"U",IF(COUNTIFS('Time Off Log'!$A$5:$A$504,$B12,'Time Off Log'!$C$5:$C$504,"&lt;="&amp;O$5,'Time Off Log'!$J$5:$J$504,"&gt;="&amp;O$5,'Time Off Log'!$E$5:$E$504,"Pending")&gt;0,"?",""))))))</f>
        <v/>
      </c>
      <c r="P12" s="44">
        <f>IF(OR(P$5="",$B12=""),"",IF(OR(WEEKDAY(P$5,2)&gt;5,COUNTIF(Holidays!$A$5:$A$40,P$5)&gt;0),"",IF(COUNTIFS('Time Off Log'!$A$5:$A$504,$B12,'Time Off Log'!$C$5:$C$504,"&lt;="&amp;P$5,'Time Off Log'!$J$5:$J$504,"&gt;="&amp;P$5,'Time Off Log'!$B$5:$B$504,"PTO",'Time Off Log'!$E$5:$E$504,"Approved")&gt;0,"P",IF(COUNTIFS('Time Off Log'!$A$5:$A$504,$B12,'Time Off Log'!$C$5:$C$504,"&lt;="&amp;P$5,'Time Off Log'!$J$5:$J$504,"&gt;="&amp;P$5,'Time Off Log'!$B$5:$B$504,"Sick",'Time Off Log'!$E$5:$E$504,"Approved")&gt;0,"S",IF(COUNTIFS('Time Off Log'!$A$5:$A$504,$B12,'Time Off Log'!$C$5:$C$504,"&lt;="&amp;P$5,'Time Off Log'!$J$5:$J$504,"&gt;="&amp;P$5,'Time Off Log'!$E$5:$E$504,"Approved")&gt;0,"U",IF(COUNTIFS('Time Off Log'!$A$5:$A$504,$B12,'Time Off Log'!$C$5:$C$504,"&lt;="&amp;P$5,'Time Off Log'!$J$5:$J$504,"&gt;="&amp;P$5,'Time Off Log'!$E$5:$E$504,"Pending")&gt;0,"?",""))))))</f>
        <v/>
      </c>
      <c r="Q12" s="44">
        <f>IF(OR(Q$5="",$B12=""),"",IF(OR(WEEKDAY(Q$5,2)&gt;5,COUNTIF(Holidays!$A$5:$A$40,Q$5)&gt;0),"",IF(COUNTIFS('Time Off Log'!$A$5:$A$504,$B12,'Time Off Log'!$C$5:$C$504,"&lt;="&amp;Q$5,'Time Off Log'!$J$5:$J$504,"&gt;="&amp;Q$5,'Time Off Log'!$B$5:$B$504,"PTO",'Time Off Log'!$E$5:$E$504,"Approved")&gt;0,"P",IF(COUNTIFS('Time Off Log'!$A$5:$A$504,$B12,'Time Off Log'!$C$5:$C$504,"&lt;="&amp;Q$5,'Time Off Log'!$J$5:$J$504,"&gt;="&amp;Q$5,'Time Off Log'!$B$5:$B$504,"Sick",'Time Off Log'!$E$5:$E$504,"Approved")&gt;0,"S",IF(COUNTIFS('Time Off Log'!$A$5:$A$504,$B12,'Time Off Log'!$C$5:$C$504,"&lt;="&amp;Q$5,'Time Off Log'!$J$5:$J$504,"&gt;="&amp;Q$5,'Time Off Log'!$E$5:$E$504,"Approved")&gt;0,"U",IF(COUNTIFS('Time Off Log'!$A$5:$A$504,$B12,'Time Off Log'!$C$5:$C$504,"&lt;="&amp;Q$5,'Time Off Log'!$J$5:$J$504,"&gt;="&amp;Q$5,'Time Off Log'!$E$5:$E$504,"Pending")&gt;0,"?",""))))))</f>
        <v/>
      </c>
      <c r="R12" s="44">
        <f>IF(OR(R$5="",$B12=""),"",IF(OR(WEEKDAY(R$5,2)&gt;5,COUNTIF(Holidays!$A$5:$A$40,R$5)&gt;0),"",IF(COUNTIFS('Time Off Log'!$A$5:$A$504,$B12,'Time Off Log'!$C$5:$C$504,"&lt;="&amp;R$5,'Time Off Log'!$J$5:$J$504,"&gt;="&amp;R$5,'Time Off Log'!$B$5:$B$504,"PTO",'Time Off Log'!$E$5:$E$504,"Approved")&gt;0,"P",IF(COUNTIFS('Time Off Log'!$A$5:$A$504,$B12,'Time Off Log'!$C$5:$C$504,"&lt;="&amp;R$5,'Time Off Log'!$J$5:$J$504,"&gt;="&amp;R$5,'Time Off Log'!$B$5:$B$504,"Sick",'Time Off Log'!$E$5:$E$504,"Approved")&gt;0,"S",IF(COUNTIFS('Time Off Log'!$A$5:$A$504,$B12,'Time Off Log'!$C$5:$C$504,"&lt;="&amp;R$5,'Time Off Log'!$J$5:$J$504,"&gt;="&amp;R$5,'Time Off Log'!$E$5:$E$504,"Approved")&gt;0,"U",IF(COUNTIFS('Time Off Log'!$A$5:$A$504,$B12,'Time Off Log'!$C$5:$C$504,"&lt;="&amp;R$5,'Time Off Log'!$J$5:$J$504,"&gt;="&amp;R$5,'Time Off Log'!$E$5:$E$504,"Pending")&gt;0,"?",""))))))</f>
        <v/>
      </c>
      <c r="S12" s="44">
        <f>IF(OR(S$5="",$B12=""),"",IF(OR(WEEKDAY(S$5,2)&gt;5,COUNTIF(Holidays!$A$5:$A$40,S$5)&gt;0),"",IF(COUNTIFS('Time Off Log'!$A$5:$A$504,$B12,'Time Off Log'!$C$5:$C$504,"&lt;="&amp;S$5,'Time Off Log'!$J$5:$J$504,"&gt;="&amp;S$5,'Time Off Log'!$B$5:$B$504,"PTO",'Time Off Log'!$E$5:$E$504,"Approved")&gt;0,"P",IF(COUNTIFS('Time Off Log'!$A$5:$A$504,$B12,'Time Off Log'!$C$5:$C$504,"&lt;="&amp;S$5,'Time Off Log'!$J$5:$J$504,"&gt;="&amp;S$5,'Time Off Log'!$B$5:$B$504,"Sick",'Time Off Log'!$E$5:$E$504,"Approved")&gt;0,"S",IF(COUNTIFS('Time Off Log'!$A$5:$A$504,$B12,'Time Off Log'!$C$5:$C$504,"&lt;="&amp;S$5,'Time Off Log'!$J$5:$J$504,"&gt;="&amp;S$5,'Time Off Log'!$E$5:$E$504,"Approved")&gt;0,"U",IF(COUNTIFS('Time Off Log'!$A$5:$A$504,$B12,'Time Off Log'!$C$5:$C$504,"&lt;="&amp;S$5,'Time Off Log'!$J$5:$J$504,"&gt;="&amp;S$5,'Time Off Log'!$E$5:$E$504,"Pending")&gt;0,"?",""))))))</f>
        <v/>
      </c>
      <c r="T12" s="44">
        <f>IF(OR(T$5="",$B12=""),"",IF(OR(WEEKDAY(T$5,2)&gt;5,COUNTIF(Holidays!$A$5:$A$40,T$5)&gt;0),"",IF(COUNTIFS('Time Off Log'!$A$5:$A$504,$B12,'Time Off Log'!$C$5:$C$504,"&lt;="&amp;T$5,'Time Off Log'!$J$5:$J$504,"&gt;="&amp;T$5,'Time Off Log'!$B$5:$B$504,"PTO",'Time Off Log'!$E$5:$E$504,"Approved")&gt;0,"P",IF(COUNTIFS('Time Off Log'!$A$5:$A$504,$B12,'Time Off Log'!$C$5:$C$504,"&lt;="&amp;T$5,'Time Off Log'!$J$5:$J$504,"&gt;="&amp;T$5,'Time Off Log'!$B$5:$B$504,"Sick",'Time Off Log'!$E$5:$E$504,"Approved")&gt;0,"S",IF(COUNTIFS('Time Off Log'!$A$5:$A$504,$B12,'Time Off Log'!$C$5:$C$504,"&lt;="&amp;T$5,'Time Off Log'!$J$5:$J$504,"&gt;="&amp;T$5,'Time Off Log'!$E$5:$E$504,"Approved")&gt;0,"U",IF(COUNTIFS('Time Off Log'!$A$5:$A$504,$B12,'Time Off Log'!$C$5:$C$504,"&lt;="&amp;T$5,'Time Off Log'!$J$5:$J$504,"&gt;="&amp;T$5,'Time Off Log'!$E$5:$E$504,"Pending")&gt;0,"?",""))))))</f>
        <v/>
      </c>
      <c r="U12" s="44">
        <f>IF(OR(U$5="",$B12=""),"",IF(OR(WEEKDAY(U$5,2)&gt;5,COUNTIF(Holidays!$A$5:$A$40,U$5)&gt;0),"",IF(COUNTIFS('Time Off Log'!$A$5:$A$504,$B12,'Time Off Log'!$C$5:$C$504,"&lt;="&amp;U$5,'Time Off Log'!$J$5:$J$504,"&gt;="&amp;U$5,'Time Off Log'!$B$5:$B$504,"PTO",'Time Off Log'!$E$5:$E$504,"Approved")&gt;0,"P",IF(COUNTIFS('Time Off Log'!$A$5:$A$504,$B12,'Time Off Log'!$C$5:$C$504,"&lt;="&amp;U$5,'Time Off Log'!$J$5:$J$504,"&gt;="&amp;U$5,'Time Off Log'!$B$5:$B$504,"Sick",'Time Off Log'!$E$5:$E$504,"Approved")&gt;0,"S",IF(COUNTIFS('Time Off Log'!$A$5:$A$504,$B12,'Time Off Log'!$C$5:$C$504,"&lt;="&amp;U$5,'Time Off Log'!$J$5:$J$504,"&gt;="&amp;U$5,'Time Off Log'!$E$5:$E$504,"Approved")&gt;0,"U",IF(COUNTIFS('Time Off Log'!$A$5:$A$504,$B12,'Time Off Log'!$C$5:$C$504,"&lt;="&amp;U$5,'Time Off Log'!$J$5:$J$504,"&gt;="&amp;U$5,'Time Off Log'!$E$5:$E$504,"Pending")&gt;0,"?",""))))))</f>
        <v/>
      </c>
      <c r="V12" s="44">
        <f>IF(OR(V$5="",$B12=""),"",IF(OR(WEEKDAY(V$5,2)&gt;5,COUNTIF(Holidays!$A$5:$A$40,V$5)&gt;0),"",IF(COUNTIFS('Time Off Log'!$A$5:$A$504,$B12,'Time Off Log'!$C$5:$C$504,"&lt;="&amp;V$5,'Time Off Log'!$J$5:$J$504,"&gt;="&amp;V$5,'Time Off Log'!$B$5:$B$504,"PTO",'Time Off Log'!$E$5:$E$504,"Approved")&gt;0,"P",IF(COUNTIFS('Time Off Log'!$A$5:$A$504,$B12,'Time Off Log'!$C$5:$C$504,"&lt;="&amp;V$5,'Time Off Log'!$J$5:$J$504,"&gt;="&amp;V$5,'Time Off Log'!$B$5:$B$504,"Sick",'Time Off Log'!$E$5:$E$504,"Approved")&gt;0,"S",IF(COUNTIFS('Time Off Log'!$A$5:$A$504,$B12,'Time Off Log'!$C$5:$C$504,"&lt;="&amp;V$5,'Time Off Log'!$J$5:$J$504,"&gt;="&amp;V$5,'Time Off Log'!$E$5:$E$504,"Approved")&gt;0,"U",IF(COUNTIFS('Time Off Log'!$A$5:$A$504,$B12,'Time Off Log'!$C$5:$C$504,"&lt;="&amp;V$5,'Time Off Log'!$J$5:$J$504,"&gt;="&amp;V$5,'Time Off Log'!$E$5:$E$504,"Pending")&gt;0,"?",""))))))</f>
        <v/>
      </c>
      <c r="W12" s="44">
        <f>IF(OR(W$5="",$B12=""),"",IF(OR(WEEKDAY(W$5,2)&gt;5,COUNTIF(Holidays!$A$5:$A$40,W$5)&gt;0),"",IF(COUNTIFS('Time Off Log'!$A$5:$A$504,$B12,'Time Off Log'!$C$5:$C$504,"&lt;="&amp;W$5,'Time Off Log'!$J$5:$J$504,"&gt;="&amp;W$5,'Time Off Log'!$B$5:$B$504,"PTO",'Time Off Log'!$E$5:$E$504,"Approved")&gt;0,"P",IF(COUNTIFS('Time Off Log'!$A$5:$A$504,$B12,'Time Off Log'!$C$5:$C$504,"&lt;="&amp;W$5,'Time Off Log'!$J$5:$J$504,"&gt;="&amp;W$5,'Time Off Log'!$B$5:$B$504,"Sick",'Time Off Log'!$E$5:$E$504,"Approved")&gt;0,"S",IF(COUNTIFS('Time Off Log'!$A$5:$A$504,$B12,'Time Off Log'!$C$5:$C$504,"&lt;="&amp;W$5,'Time Off Log'!$J$5:$J$504,"&gt;="&amp;W$5,'Time Off Log'!$E$5:$E$504,"Approved")&gt;0,"U",IF(COUNTIFS('Time Off Log'!$A$5:$A$504,$B12,'Time Off Log'!$C$5:$C$504,"&lt;="&amp;W$5,'Time Off Log'!$J$5:$J$504,"&gt;="&amp;W$5,'Time Off Log'!$E$5:$E$504,"Pending")&gt;0,"?",""))))))</f>
        <v/>
      </c>
      <c r="X12" s="44">
        <f>IF(OR(X$5="",$B12=""),"",IF(OR(WEEKDAY(X$5,2)&gt;5,COUNTIF(Holidays!$A$5:$A$40,X$5)&gt;0),"",IF(COUNTIFS('Time Off Log'!$A$5:$A$504,$B12,'Time Off Log'!$C$5:$C$504,"&lt;="&amp;X$5,'Time Off Log'!$J$5:$J$504,"&gt;="&amp;X$5,'Time Off Log'!$B$5:$B$504,"PTO",'Time Off Log'!$E$5:$E$504,"Approved")&gt;0,"P",IF(COUNTIFS('Time Off Log'!$A$5:$A$504,$B12,'Time Off Log'!$C$5:$C$504,"&lt;="&amp;X$5,'Time Off Log'!$J$5:$J$504,"&gt;="&amp;X$5,'Time Off Log'!$B$5:$B$504,"Sick",'Time Off Log'!$E$5:$E$504,"Approved")&gt;0,"S",IF(COUNTIFS('Time Off Log'!$A$5:$A$504,$B12,'Time Off Log'!$C$5:$C$504,"&lt;="&amp;X$5,'Time Off Log'!$J$5:$J$504,"&gt;="&amp;X$5,'Time Off Log'!$E$5:$E$504,"Approved")&gt;0,"U",IF(COUNTIFS('Time Off Log'!$A$5:$A$504,$B12,'Time Off Log'!$C$5:$C$504,"&lt;="&amp;X$5,'Time Off Log'!$J$5:$J$504,"&gt;="&amp;X$5,'Time Off Log'!$E$5:$E$504,"Pending")&gt;0,"?",""))))))</f>
        <v/>
      </c>
      <c r="Y12" s="44">
        <f>IF(OR(Y$5="",$B12=""),"",IF(OR(WEEKDAY(Y$5,2)&gt;5,COUNTIF(Holidays!$A$5:$A$40,Y$5)&gt;0),"",IF(COUNTIFS('Time Off Log'!$A$5:$A$504,$B12,'Time Off Log'!$C$5:$C$504,"&lt;="&amp;Y$5,'Time Off Log'!$J$5:$J$504,"&gt;="&amp;Y$5,'Time Off Log'!$B$5:$B$504,"PTO",'Time Off Log'!$E$5:$E$504,"Approved")&gt;0,"P",IF(COUNTIFS('Time Off Log'!$A$5:$A$504,$B12,'Time Off Log'!$C$5:$C$504,"&lt;="&amp;Y$5,'Time Off Log'!$J$5:$J$504,"&gt;="&amp;Y$5,'Time Off Log'!$B$5:$B$504,"Sick",'Time Off Log'!$E$5:$E$504,"Approved")&gt;0,"S",IF(COUNTIFS('Time Off Log'!$A$5:$A$504,$B12,'Time Off Log'!$C$5:$C$504,"&lt;="&amp;Y$5,'Time Off Log'!$J$5:$J$504,"&gt;="&amp;Y$5,'Time Off Log'!$E$5:$E$504,"Approved")&gt;0,"U",IF(COUNTIFS('Time Off Log'!$A$5:$A$504,$B12,'Time Off Log'!$C$5:$C$504,"&lt;="&amp;Y$5,'Time Off Log'!$J$5:$J$504,"&gt;="&amp;Y$5,'Time Off Log'!$E$5:$E$504,"Pending")&gt;0,"?",""))))))</f>
        <v/>
      </c>
      <c r="Z12" s="44">
        <f>IF(OR(Z$5="",$B12=""),"",IF(OR(WEEKDAY(Z$5,2)&gt;5,COUNTIF(Holidays!$A$5:$A$40,Z$5)&gt;0),"",IF(COUNTIFS('Time Off Log'!$A$5:$A$504,$B12,'Time Off Log'!$C$5:$C$504,"&lt;="&amp;Z$5,'Time Off Log'!$J$5:$J$504,"&gt;="&amp;Z$5,'Time Off Log'!$B$5:$B$504,"PTO",'Time Off Log'!$E$5:$E$504,"Approved")&gt;0,"P",IF(COUNTIFS('Time Off Log'!$A$5:$A$504,$B12,'Time Off Log'!$C$5:$C$504,"&lt;="&amp;Z$5,'Time Off Log'!$J$5:$J$504,"&gt;="&amp;Z$5,'Time Off Log'!$B$5:$B$504,"Sick",'Time Off Log'!$E$5:$E$504,"Approved")&gt;0,"S",IF(COUNTIFS('Time Off Log'!$A$5:$A$504,$B12,'Time Off Log'!$C$5:$C$504,"&lt;="&amp;Z$5,'Time Off Log'!$J$5:$J$504,"&gt;="&amp;Z$5,'Time Off Log'!$E$5:$E$504,"Approved")&gt;0,"U",IF(COUNTIFS('Time Off Log'!$A$5:$A$504,$B12,'Time Off Log'!$C$5:$C$504,"&lt;="&amp;Z$5,'Time Off Log'!$J$5:$J$504,"&gt;="&amp;Z$5,'Time Off Log'!$E$5:$E$504,"Pending")&gt;0,"?",""))))))</f>
        <v/>
      </c>
      <c r="AA12" s="44">
        <f>IF(OR(AA$5="",$B12=""),"",IF(OR(WEEKDAY(AA$5,2)&gt;5,COUNTIF(Holidays!$A$5:$A$40,AA$5)&gt;0),"",IF(COUNTIFS('Time Off Log'!$A$5:$A$504,$B12,'Time Off Log'!$C$5:$C$504,"&lt;="&amp;AA$5,'Time Off Log'!$J$5:$J$504,"&gt;="&amp;AA$5,'Time Off Log'!$B$5:$B$504,"PTO",'Time Off Log'!$E$5:$E$504,"Approved")&gt;0,"P",IF(COUNTIFS('Time Off Log'!$A$5:$A$504,$B12,'Time Off Log'!$C$5:$C$504,"&lt;="&amp;AA$5,'Time Off Log'!$J$5:$J$504,"&gt;="&amp;AA$5,'Time Off Log'!$B$5:$B$504,"Sick",'Time Off Log'!$E$5:$E$504,"Approved")&gt;0,"S",IF(COUNTIFS('Time Off Log'!$A$5:$A$504,$B12,'Time Off Log'!$C$5:$C$504,"&lt;="&amp;AA$5,'Time Off Log'!$J$5:$J$504,"&gt;="&amp;AA$5,'Time Off Log'!$E$5:$E$504,"Approved")&gt;0,"U",IF(COUNTIFS('Time Off Log'!$A$5:$A$504,$B12,'Time Off Log'!$C$5:$C$504,"&lt;="&amp;AA$5,'Time Off Log'!$J$5:$J$504,"&gt;="&amp;AA$5,'Time Off Log'!$E$5:$E$504,"Pending")&gt;0,"?",""))))))</f>
        <v/>
      </c>
      <c r="AB12" s="44">
        <f>IF(OR(AB$5="",$B12=""),"",IF(OR(WEEKDAY(AB$5,2)&gt;5,COUNTIF(Holidays!$A$5:$A$40,AB$5)&gt;0),"",IF(COUNTIFS('Time Off Log'!$A$5:$A$504,$B12,'Time Off Log'!$C$5:$C$504,"&lt;="&amp;AB$5,'Time Off Log'!$J$5:$J$504,"&gt;="&amp;AB$5,'Time Off Log'!$B$5:$B$504,"PTO",'Time Off Log'!$E$5:$E$504,"Approved")&gt;0,"P",IF(COUNTIFS('Time Off Log'!$A$5:$A$504,$B12,'Time Off Log'!$C$5:$C$504,"&lt;="&amp;AB$5,'Time Off Log'!$J$5:$J$504,"&gt;="&amp;AB$5,'Time Off Log'!$B$5:$B$504,"Sick",'Time Off Log'!$E$5:$E$504,"Approved")&gt;0,"S",IF(COUNTIFS('Time Off Log'!$A$5:$A$504,$B12,'Time Off Log'!$C$5:$C$504,"&lt;="&amp;AB$5,'Time Off Log'!$J$5:$J$504,"&gt;="&amp;AB$5,'Time Off Log'!$E$5:$E$504,"Approved")&gt;0,"U",IF(COUNTIFS('Time Off Log'!$A$5:$A$504,$B12,'Time Off Log'!$C$5:$C$504,"&lt;="&amp;AB$5,'Time Off Log'!$J$5:$J$504,"&gt;="&amp;AB$5,'Time Off Log'!$E$5:$E$504,"Pending")&gt;0,"?",""))))))</f>
        <v/>
      </c>
      <c r="AC12" s="44">
        <f>IF(OR(AC$5="",$B12=""),"",IF(OR(WEEKDAY(AC$5,2)&gt;5,COUNTIF(Holidays!$A$5:$A$40,AC$5)&gt;0),"",IF(COUNTIFS('Time Off Log'!$A$5:$A$504,$B12,'Time Off Log'!$C$5:$C$504,"&lt;="&amp;AC$5,'Time Off Log'!$J$5:$J$504,"&gt;="&amp;AC$5,'Time Off Log'!$B$5:$B$504,"PTO",'Time Off Log'!$E$5:$E$504,"Approved")&gt;0,"P",IF(COUNTIFS('Time Off Log'!$A$5:$A$504,$B12,'Time Off Log'!$C$5:$C$504,"&lt;="&amp;AC$5,'Time Off Log'!$J$5:$J$504,"&gt;="&amp;AC$5,'Time Off Log'!$B$5:$B$504,"Sick",'Time Off Log'!$E$5:$E$504,"Approved")&gt;0,"S",IF(COUNTIFS('Time Off Log'!$A$5:$A$504,$B12,'Time Off Log'!$C$5:$C$504,"&lt;="&amp;AC$5,'Time Off Log'!$J$5:$J$504,"&gt;="&amp;AC$5,'Time Off Log'!$E$5:$E$504,"Approved")&gt;0,"U",IF(COUNTIFS('Time Off Log'!$A$5:$A$504,$B12,'Time Off Log'!$C$5:$C$504,"&lt;="&amp;AC$5,'Time Off Log'!$J$5:$J$504,"&gt;="&amp;AC$5,'Time Off Log'!$E$5:$E$504,"Pending")&gt;0,"?",""))))))</f>
        <v/>
      </c>
      <c r="AD12" s="44">
        <f>IF(OR(AD$5="",$B12=""),"",IF(OR(WEEKDAY(AD$5,2)&gt;5,COUNTIF(Holidays!$A$5:$A$40,AD$5)&gt;0),"",IF(COUNTIFS('Time Off Log'!$A$5:$A$504,$B12,'Time Off Log'!$C$5:$C$504,"&lt;="&amp;AD$5,'Time Off Log'!$J$5:$J$504,"&gt;="&amp;AD$5,'Time Off Log'!$B$5:$B$504,"PTO",'Time Off Log'!$E$5:$E$504,"Approved")&gt;0,"P",IF(COUNTIFS('Time Off Log'!$A$5:$A$504,$B12,'Time Off Log'!$C$5:$C$504,"&lt;="&amp;AD$5,'Time Off Log'!$J$5:$J$504,"&gt;="&amp;AD$5,'Time Off Log'!$B$5:$B$504,"Sick",'Time Off Log'!$E$5:$E$504,"Approved")&gt;0,"S",IF(COUNTIFS('Time Off Log'!$A$5:$A$504,$B12,'Time Off Log'!$C$5:$C$504,"&lt;="&amp;AD$5,'Time Off Log'!$J$5:$J$504,"&gt;="&amp;AD$5,'Time Off Log'!$E$5:$E$504,"Approved")&gt;0,"U",IF(COUNTIFS('Time Off Log'!$A$5:$A$504,$B12,'Time Off Log'!$C$5:$C$504,"&lt;="&amp;AD$5,'Time Off Log'!$J$5:$J$504,"&gt;="&amp;AD$5,'Time Off Log'!$E$5:$E$504,"Pending")&gt;0,"?",""))))))</f>
        <v/>
      </c>
      <c r="AE12" s="44">
        <f>IF(OR(AE$5="",$B12=""),"",IF(OR(WEEKDAY(AE$5,2)&gt;5,COUNTIF(Holidays!$A$5:$A$40,AE$5)&gt;0),"",IF(COUNTIFS('Time Off Log'!$A$5:$A$504,$B12,'Time Off Log'!$C$5:$C$504,"&lt;="&amp;AE$5,'Time Off Log'!$J$5:$J$504,"&gt;="&amp;AE$5,'Time Off Log'!$B$5:$B$504,"PTO",'Time Off Log'!$E$5:$E$504,"Approved")&gt;0,"P",IF(COUNTIFS('Time Off Log'!$A$5:$A$504,$B12,'Time Off Log'!$C$5:$C$504,"&lt;="&amp;AE$5,'Time Off Log'!$J$5:$J$504,"&gt;="&amp;AE$5,'Time Off Log'!$B$5:$B$504,"Sick",'Time Off Log'!$E$5:$E$504,"Approved")&gt;0,"S",IF(COUNTIFS('Time Off Log'!$A$5:$A$504,$B12,'Time Off Log'!$C$5:$C$504,"&lt;="&amp;AE$5,'Time Off Log'!$J$5:$J$504,"&gt;="&amp;AE$5,'Time Off Log'!$E$5:$E$504,"Approved")&gt;0,"U",IF(COUNTIFS('Time Off Log'!$A$5:$A$504,$B12,'Time Off Log'!$C$5:$C$504,"&lt;="&amp;AE$5,'Time Off Log'!$J$5:$J$504,"&gt;="&amp;AE$5,'Time Off Log'!$E$5:$E$504,"Pending")&gt;0,"?",""))))))</f>
        <v/>
      </c>
      <c r="AF12" s="44">
        <f>IF(OR(AF$5="",$B12=""),"",IF(OR(WEEKDAY(AF$5,2)&gt;5,COUNTIF(Holidays!$A$5:$A$40,AF$5)&gt;0),"",IF(COUNTIFS('Time Off Log'!$A$5:$A$504,$B12,'Time Off Log'!$C$5:$C$504,"&lt;="&amp;AF$5,'Time Off Log'!$J$5:$J$504,"&gt;="&amp;AF$5,'Time Off Log'!$B$5:$B$504,"PTO",'Time Off Log'!$E$5:$E$504,"Approved")&gt;0,"P",IF(COUNTIFS('Time Off Log'!$A$5:$A$504,$B12,'Time Off Log'!$C$5:$C$504,"&lt;="&amp;AF$5,'Time Off Log'!$J$5:$J$504,"&gt;="&amp;AF$5,'Time Off Log'!$B$5:$B$504,"Sick",'Time Off Log'!$E$5:$E$504,"Approved")&gt;0,"S",IF(COUNTIFS('Time Off Log'!$A$5:$A$504,$B12,'Time Off Log'!$C$5:$C$504,"&lt;="&amp;AF$5,'Time Off Log'!$J$5:$J$504,"&gt;="&amp;AF$5,'Time Off Log'!$E$5:$E$504,"Approved")&gt;0,"U",IF(COUNTIFS('Time Off Log'!$A$5:$A$504,$B12,'Time Off Log'!$C$5:$C$504,"&lt;="&amp;AF$5,'Time Off Log'!$J$5:$J$504,"&gt;="&amp;AF$5,'Time Off Log'!$E$5:$E$504,"Pending")&gt;0,"?",""))))))</f>
        <v/>
      </c>
      <c r="AG12" s="44">
        <f>IF(OR(AG$5="",$B12=""),"",IF(OR(WEEKDAY(AG$5,2)&gt;5,COUNTIF(Holidays!$A$5:$A$40,AG$5)&gt;0),"",IF(COUNTIFS('Time Off Log'!$A$5:$A$504,$B12,'Time Off Log'!$C$5:$C$504,"&lt;="&amp;AG$5,'Time Off Log'!$J$5:$J$504,"&gt;="&amp;AG$5,'Time Off Log'!$B$5:$B$504,"PTO",'Time Off Log'!$E$5:$E$504,"Approved")&gt;0,"P",IF(COUNTIFS('Time Off Log'!$A$5:$A$504,$B12,'Time Off Log'!$C$5:$C$504,"&lt;="&amp;AG$5,'Time Off Log'!$J$5:$J$504,"&gt;="&amp;AG$5,'Time Off Log'!$B$5:$B$504,"Sick",'Time Off Log'!$E$5:$E$504,"Approved")&gt;0,"S",IF(COUNTIFS('Time Off Log'!$A$5:$A$504,$B12,'Time Off Log'!$C$5:$C$504,"&lt;="&amp;AG$5,'Time Off Log'!$J$5:$J$504,"&gt;="&amp;AG$5,'Time Off Log'!$E$5:$E$504,"Approved")&gt;0,"U",IF(COUNTIFS('Time Off Log'!$A$5:$A$504,$B12,'Time Off Log'!$C$5:$C$504,"&lt;="&amp;AG$5,'Time Off Log'!$J$5:$J$504,"&gt;="&amp;AG$5,'Time Off Log'!$E$5:$E$504,"Pending")&gt;0,"?",""))))))</f>
        <v/>
      </c>
    </row>
    <row r="13">
      <c r="A13" s="24" t="n">
        <v>8</v>
      </c>
      <c r="B13" s="24">
        <f>IF(Employees!B12="","",Employees!B12)</f>
        <v/>
      </c>
      <c r="C13" s="44">
        <f>IF(OR(C$5="",$B13=""),"",IF(OR(WEEKDAY(C$5,2)&gt;5,COUNTIF(Holidays!$A$5:$A$40,C$5)&gt;0),"",IF(COUNTIFS('Time Off Log'!$A$5:$A$504,$B13,'Time Off Log'!$C$5:$C$504,"&lt;="&amp;C$5,'Time Off Log'!$J$5:$J$504,"&gt;="&amp;C$5,'Time Off Log'!$B$5:$B$504,"PTO",'Time Off Log'!$E$5:$E$504,"Approved")&gt;0,"P",IF(COUNTIFS('Time Off Log'!$A$5:$A$504,$B13,'Time Off Log'!$C$5:$C$504,"&lt;="&amp;C$5,'Time Off Log'!$J$5:$J$504,"&gt;="&amp;C$5,'Time Off Log'!$B$5:$B$504,"Sick",'Time Off Log'!$E$5:$E$504,"Approved")&gt;0,"S",IF(COUNTIFS('Time Off Log'!$A$5:$A$504,$B13,'Time Off Log'!$C$5:$C$504,"&lt;="&amp;C$5,'Time Off Log'!$J$5:$J$504,"&gt;="&amp;C$5,'Time Off Log'!$E$5:$E$504,"Approved")&gt;0,"U",IF(COUNTIFS('Time Off Log'!$A$5:$A$504,$B13,'Time Off Log'!$C$5:$C$504,"&lt;="&amp;C$5,'Time Off Log'!$J$5:$J$504,"&gt;="&amp;C$5,'Time Off Log'!$E$5:$E$504,"Pending")&gt;0,"?",""))))))</f>
        <v/>
      </c>
      <c r="D13" s="44">
        <f>IF(OR(D$5="",$B13=""),"",IF(OR(WEEKDAY(D$5,2)&gt;5,COUNTIF(Holidays!$A$5:$A$40,D$5)&gt;0),"",IF(COUNTIFS('Time Off Log'!$A$5:$A$504,$B13,'Time Off Log'!$C$5:$C$504,"&lt;="&amp;D$5,'Time Off Log'!$J$5:$J$504,"&gt;="&amp;D$5,'Time Off Log'!$B$5:$B$504,"PTO",'Time Off Log'!$E$5:$E$504,"Approved")&gt;0,"P",IF(COUNTIFS('Time Off Log'!$A$5:$A$504,$B13,'Time Off Log'!$C$5:$C$504,"&lt;="&amp;D$5,'Time Off Log'!$J$5:$J$504,"&gt;="&amp;D$5,'Time Off Log'!$B$5:$B$504,"Sick",'Time Off Log'!$E$5:$E$504,"Approved")&gt;0,"S",IF(COUNTIFS('Time Off Log'!$A$5:$A$504,$B13,'Time Off Log'!$C$5:$C$504,"&lt;="&amp;D$5,'Time Off Log'!$J$5:$J$504,"&gt;="&amp;D$5,'Time Off Log'!$E$5:$E$504,"Approved")&gt;0,"U",IF(COUNTIFS('Time Off Log'!$A$5:$A$504,$B13,'Time Off Log'!$C$5:$C$504,"&lt;="&amp;D$5,'Time Off Log'!$J$5:$J$504,"&gt;="&amp;D$5,'Time Off Log'!$E$5:$E$504,"Pending")&gt;0,"?",""))))))</f>
        <v/>
      </c>
      <c r="E13" s="44">
        <f>IF(OR(E$5="",$B13=""),"",IF(OR(WEEKDAY(E$5,2)&gt;5,COUNTIF(Holidays!$A$5:$A$40,E$5)&gt;0),"",IF(COUNTIFS('Time Off Log'!$A$5:$A$504,$B13,'Time Off Log'!$C$5:$C$504,"&lt;="&amp;E$5,'Time Off Log'!$J$5:$J$504,"&gt;="&amp;E$5,'Time Off Log'!$B$5:$B$504,"PTO",'Time Off Log'!$E$5:$E$504,"Approved")&gt;0,"P",IF(COUNTIFS('Time Off Log'!$A$5:$A$504,$B13,'Time Off Log'!$C$5:$C$504,"&lt;="&amp;E$5,'Time Off Log'!$J$5:$J$504,"&gt;="&amp;E$5,'Time Off Log'!$B$5:$B$504,"Sick",'Time Off Log'!$E$5:$E$504,"Approved")&gt;0,"S",IF(COUNTIFS('Time Off Log'!$A$5:$A$504,$B13,'Time Off Log'!$C$5:$C$504,"&lt;="&amp;E$5,'Time Off Log'!$J$5:$J$504,"&gt;="&amp;E$5,'Time Off Log'!$E$5:$E$504,"Approved")&gt;0,"U",IF(COUNTIFS('Time Off Log'!$A$5:$A$504,$B13,'Time Off Log'!$C$5:$C$504,"&lt;="&amp;E$5,'Time Off Log'!$J$5:$J$504,"&gt;="&amp;E$5,'Time Off Log'!$E$5:$E$504,"Pending")&gt;0,"?",""))))))</f>
        <v/>
      </c>
      <c r="F13" s="44">
        <f>IF(OR(F$5="",$B13=""),"",IF(OR(WEEKDAY(F$5,2)&gt;5,COUNTIF(Holidays!$A$5:$A$40,F$5)&gt;0),"",IF(COUNTIFS('Time Off Log'!$A$5:$A$504,$B13,'Time Off Log'!$C$5:$C$504,"&lt;="&amp;F$5,'Time Off Log'!$J$5:$J$504,"&gt;="&amp;F$5,'Time Off Log'!$B$5:$B$504,"PTO",'Time Off Log'!$E$5:$E$504,"Approved")&gt;0,"P",IF(COUNTIFS('Time Off Log'!$A$5:$A$504,$B13,'Time Off Log'!$C$5:$C$504,"&lt;="&amp;F$5,'Time Off Log'!$J$5:$J$504,"&gt;="&amp;F$5,'Time Off Log'!$B$5:$B$504,"Sick",'Time Off Log'!$E$5:$E$504,"Approved")&gt;0,"S",IF(COUNTIFS('Time Off Log'!$A$5:$A$504,$B13,'Time Off Log'!$C$5:$C$504,"&lt;="&amp;F$5,'Time Off Log'!$J$5:$J$504,"&gt;="&amp;F$5,'Time Off Log'!$E$5:$E$504,"Approved")&gt;0,"U",IF(COUNTIFS('Time Off Log'!$A$5:$A$504,$B13,'Time Off Log'!$C$5:$C$504,"&lt;="&amp;F$5,'Time Off Log'!$J$5:$J$504,"&gt;="&amp;F$5,'Time Off Log'!$E$5:$E$504,"Pending")&gt;0,"?",""))))))</f>
        <v/>
      </c>
      <c r="G13" s="44">
        <f>IF(OR(G$5="",$B13=""),"",IF(OR(WEEKDAY(G$5,2)&gt;5,COUNTIF(Holidays!$A$5:$A$40,G$5)&gt;0),"",IF(COUNTIFS('Time Off Log'!$A$5:$A$504,$B13,'Time Off Log'!$C$5:$C$504,"&lt;="&amp;G$5,'Time Off Log'!$J$5:$J$504,"&gt;="&amp;G$5,'Time Off Log'!$B$5:$B$504,"PTO",'Time Off Log'!$E$5:$E$504,"Approved")&gt;0,"P",IF(COUNTIFS('Time Off Log'!$A$5:$A$504,$B13,'Time Off Log'!$C$5:$C$504,"&lt;="&amp;G$5,'Time Off Log'!$J$5:$J$504,"&gt;="&amp;G$5,'Time Off Log'!$B$5:$B$504,"Sick",'Time Off Log'!$E$5:$E$504,"Approved")&gt;0,"S",IF(COUNTIFS('Time Off Log'!$A$5:$A$504,$B13,'Time Off Log'!$C$5:$C$504,"&lt;="&amp;G$5,'Time Off Log'!$J$5:$J$504,"&gt;="&amp;G$5,'Time Off Log'!$E$5:$E$504,"Approved")&gt;0,"U",IF(COUNTIFS('Time Off Log'!$A$5:$A$504,$B13,'Time Off Log'!$C$5:$C$504,"&lt;="&amp;G$5,'Time Off Log'!$J$5:$J$504,"&gt;="&amp;G$5,'Time Off Log'!$E$5:$E$504,"Pending")&gt;0,"?",""))))))</f>
        <v/>
      </c>
      <c r="H13" s="44">
        <f>IF(OR(H$5="",$B13=""),"",IF(OR(WEEKDAY(H$5,2)&gt;5,COUNTIF(Holidays!$A$5:$A$40,H$5)&gt;0),"",IF(COUNTIFS('Time Off Log'!$A$5:$A$504,$B13,'Time Off Log'!$C$5:$C$504,"&lt;="&amp;H$5,'Time Off Log'!$J$5:$J$504,"&gt;="&amp;H$5,'Time Off Log'!$B$5:$B$504,"PTO",'Time Off Log'!$E$5:$E$504,"Approved")&gt;0,"P",IF(COUNTIFS('Time Off Log'!$A$5:$A$504,$B13,'Time Off Log'!$C$5:$C$504,"&lt;="&amp;H$5,'Time Off Log'!$J$5:$J$504,"&gt;="&amp;H$5,'Time Off Log'!$B$5:$B$504,"Sick",'Time Off Log'!$E$5:$E$504,"Approved")&gt;0,"S",IF(COUNTIFS('Time Off Log'!$A$5:$A$504,$B13,'Time Off Log'!$C$5:$C$504,"&lt;="&amp;H$5,'Time Off Log'!$J$5:$J$504,"&gt;="&amp;H$5,'Time Off Log'!$E$5:$E$504,"Approved")&gt;0,"U",IF(COUNTIFS('Time Off Log'!$A$5:$A$504,$B13,'Time Off Log'!$C$5:$C$504,"&lt;="&amp;H$5,'Time Off Log'!$J$5:$J$504,"&gt;="&amp;H$5,'Time Off Log'!$E$5:$E$504,"Pending")&gt;0,"?",""))))))</f>
        <v/>
      </c>
      <c r="I13" s="44">
        <f>IF(OR(I$5="",$B13=""),"",IF(OR(WEEKDAY(I$5,2)&gt;5,COUNTIF(Holidays!$A$5:$A$40,I$5)&gt;0),"",IF(COUNTIFS('Time Off Log'!$A$5:$A$504,$B13,'Time Off Log'!$C$5:$C$504,"&lt;="&amp;I$5,'Time Off Log'!$J$5:$J$504,"&gt;="&amp;I$5,'Time Off Log'!$B$5:$B$504,"PTO",'Time Off Log'!$E$5:$E$504,"Approved")&gt;0,"P",IF(COUNTIFS('Time Off Log'!$A$5:$A$504,$B13,'Time Off Log'!$C$5:$C$504,"&lt;="&amp;I$5,'Time Off Log'!$J$5:$J$504,"&gt;="&amp;I$5,'Time Off Log'!$B$5:$B$504,"Sick",'Time Off Log'!$E$5:$E$504,"Approved")&gt;0,"S",IF(COUNTIFS('Time Off Log'!$A$5:$A$504,$B13,'Time Off Log'!$C$5:$C$504,"&lt;="&amp;I$5,'Time Off Log'!$J$5:$J$504,"&gt;="&amp;I$5,'Time Off Log'!$E$5:$E$504,"Approved")&gt;0,"U",IF(COUNTIFS('Time Off Log'!$A$5:$A$504,$B13,'Time Off Log'!$C$5:$C$504,"&lt;="&amp;I$5,'Time Off Log'!$J$5:$J$504,"&gt;="&amp;I$5,'Time Off Log'!$E$5:$E$504,"Pending")&gt;0,"?",""))))))</f>
        <v/>
      </c>
      <c r="J13" s="44">
        <f>IF(OR(J$5="",$B13=""),"",IF(OR(WEEKDAY(J$5,2)&gt;5,COUNTIF(Holidays!$A$5:$A$40,J$5)&gt;0),"",IF(COUNTIFS('Time Off Log'!$A$5:$A$504,$B13,'Time Off Log'!$C$5:$C$504,"&lt;="&amp;J$5,'Time Off Log'!$J$5:$J$504,"&gt;="&amp;J$5,'Time Off Log'!$B$5:$B$504,"PTO",'Time Off Log'!$E$5:$E$504,"Approved")&gt;0,"P",IF(COUNTIFS('Time Off Log'!$A$5:$A$504,$B13,'Time Off Log'!$C$5:$C$504,"&lt;="&amp;J$5,'Time Off Log'!$J$5:$J$504,"&gt;="&amp;J$5,'Time Off Log'!$B$5:$B$504,"Sick",'Time Off Log'!$E$5:$E$504,"Approved")&gt;0,"S",IF(COUNTIFS('Time Off Log'!$A$5:$A$504,$B13,'Time Off Log'!$C$5:$C$504,"&lt;="&amp;J$5,'Time Off Log'!$J$5:$J$504,"&gt;="&amp;J$5,'Time Off Log'!$E$5:$E$504,"Approved")&gt;0,"U",IF(COUNTIFS('Time Off Log'!$A$5:$A$504,$B13,'Time Off Log'!$C$5:$C$504,"&lt;="&amp;J$5,'Time Off Log'!$J$5:$J$504,"&gt;="&amp;J$5,'Time Off Log'!$E$5:$E$504,"Pending")&gt;0,"?",""))))))</f>
        <v/>
      </c>
      <c r="K13" s="44">
        <f>IF(OR(K$5="",$B13=""),"",IF(OR(WEEKDAY(K$5,2)&gt;5,COUNTIF(Holidays!$A$5:$A$40,K$5)&gt;0),"",IF(COUNTIFS('Time Off Log'!$A$5:$A$504,$B13,'Time Off Log'!$C$5:$C$504,"&lt;="&amp;K$5,'Time Off Log'!$J$5:$J$504,"&gt;="&amp;K$5,'Time Off Log'!$B$5:$B$504,"PTO",'Time Off Log'!$E$5:$E$504,"Approved")&gt;0,"P",IF(COUNTIFS('Time Off Log'!$A$5:$A$504,$B13,'Time Off Log'!$C$5:$C$504,"&lt;="&amp;K$5,'Time Off Log'!$J$5:$J$504,"&gt;="&amp;K$5,'Time Off Log'!$B$5:$B$504,"Sick",'Time Off Log'!$E$5:$E$504,"Approved")&gt;0,"S",IF(COUNTIFS('Time Off Log'!$A$5:$A$504,$B13,'Time Off Log'!$C$5:$C$504,"&lt;="&amp;K$5,'Time Off Log'!$J$5:$J$504,"&gt;="&amp;K$5,'Time Off Log'!$E$5:$E$504,"Approved")&gt;0,"U",IF(COUNTIFS('Time Off Log'!$A$5:$A$504,$B13,'Time Off Log'!$C$5:$C$504,"&lt;="&amp;K$5,'Time Off Log'!$J$5:$J$504,"&gt;="&amp;K$5,'Time Off Log'!$E$5:$E$504,"Pending")&gt;0,"?",""))))))</f>
        <v/>
      </c>
      <c r="L13" s="44">
        <f>IF(OR(L$5="",$B13=""),"",IF(OR(WEEKDAY(L$5,2)&gt;5,COUNTIF(Holidays!$A$5:$A$40,L$5)&gt;0),"",IF(COUNTIFS('Time Off Log'!$A$5:$A$504,$B13,'Time Off Log'!$C$5:$C$504,"&lt;="&amp;L$5,'Time Off Log'!$J$5:$J$504,"&gt;="&amp;L$5,'Time Off Log'!$B$5:$B$504,"PTO",'Time Off Log'!$E$5:$E$504,"Approved")&gt;0,"P",IF(COUNTIFS('Time Off Log'!$A$5:$A$504,$B13,'Time Off Log'!$C$5:$C$504,"&lt;="&amp;L$5,'Time Off Log'!$J$5:$J$504,"&gt;="&amp;L$5,'Time Off Log'!$B$5:$B$504,"Sick",'Time Off Log'!$E$5:$E$504,"Approved")&gt;0,"S",IF(COUNTIFS('Time Off Log'!$A$5:$A$504,$B13,'Time Off Log'!$C$5:$C$504,"&lt;="&amp;L$5,'Time Off Log'!$J$5:$J$504,"&gt;="&amp;L$5,'Time Off Log'!$E$5:$E$504,"Approved")&gt;0,"U",IF(COUNTIFS('Time Off Log'!$A$5:$A$504,$B13,'Time Off Log'!$C$5:$C$504,"&lt;="&amp;L$5,'Time Off Log'!$J$5:$J$504,"&gt;="&amp;L$5,'Time Off Log'!$E$5:$E$504,"Pending")&gt;0,"?",""))))))</f>
        <v/>
      </c>
      <c r="M13" s="44">
        <f>IF(OR(M$5="",$B13=""),"",IF(OR(WEEKDAY(M$5,2)&gt;5,COUNTIF(Holidays!$A$5:$A$40,M$5)&gt;0),"",IF(COUNTIFS('Time Off Log'!$A$5:$A$504,$B13,'Time Off Log'!$C$5:$C$504,"&lt;="&amp;M$5,'Time Off Log'!$J$5:$J$504,"&gt;="&amp;M$5,'Time Off Log'!$B$5:$B$504,"PTO",'Time Off Log'!$E$5:$E$504,"Approved")&gt;0,"P",IF(COUNTIFS('Time Off Log'!$A$5:$A$504,$B13,'Time Off Log'!$C$5:$C$504,"&lt;="&amp;M$5,'Time Off Log'!$J$5:$J$504,"&gt;="&amp;M$5,'Time Off Log'!$B$5:$B$504,"Sick",'Time Off Log'!$E$5:$E$504,"Approved")&gt;0,"S",IF(COUNTIFS('Time Off Log'!$A$5:$A$504,$B13,'Time Off Log'!$C$5:$C$504,"&lt;="&amp;M$5,'Time Off Log'!$J$5:$J$504,"&gt;="&amp;M$5,'Time Off Log'!$E$5:$E$504,"Approved")&gt;0,"U",IF(COUNTIFS('Time Off Log'!$A$5:$A$504,$B13,'Time Off Log'!$C$5:$C$504,"&lt;="&amp;M$5,'Time Off Log'!$J$5:$J$504,"&gt;="&amp;M$5,'Time Off Log'!$E$5:$E$504,"Pending")&gt;0,"?",""))))))</f>
        <v/>
      </c>
      <c r="N13" s="44">
        <f>IF(OR(N$5="",$B13=""),"",IF(OR(WEEKDAY(N$5,2)&gt;5,COUNTIF(Holidays!$A$5:$A$40,N$5)&gt;0),"",IF(COUNTIFS('Time Off Log'!$A$5:$A$504,$B13,'Time Off Log'!$C$5:$C$504,"&lt;="&amp;N$5,'Time Off Log'!$J$5:$J$504,"&gt;="&amp;N$5,'Time Off Log'!$B$5:$B$504,"PTO",'Time Off Log'!$E$5:$E$504,"Approved")&gt;0,"P",IF(COUNTIFS('Time Off Log'!$A$5:$A$504,$B13,'Time Off Log'!$C$5:$C$504,"&lt;="&amp;N$5,'Time Off Log'!$J$5:$J$504,"&gt;="&amp;N$5,'Time Off Log'!$B$5:$B$504,"Sick",'Time Off Log'!$E$5:$E$504,"Approved")&gt;0,"S",IF(COUNTIFS('Time Off Log'!$A$5:$A$504,$B13,'Time Off Log'!$C$5:$C$504,"&lt;="&amp;N$5,'Time Off Log'!$J$5:$J$504,"&gt;="&amp;N$5,'Time Off Log'!$E$5:$E$504,"Approved")&gt;0,"U",IF(COUNTIFS('Time Off Log'!$A$5:$A$504,$B13,'Time Off Log'!$C$5:$C$504,"&lt;="&amp;N$5,'Time Off Log'!$J$5:$J$504,"&gt;="&amp;N$5,'Time Off Log'!$E$5:$E$504,"Pending")&gt;0,"?",""))))))</f>
        <v/>
      </c>
      <c r="O13" s="44">
        <f>IF(OR(O$5="",$B13=""),"",IF(OR(WEEKDAY(O$5,2)&gt;5,COUNTIF(Holidays!$A$5:$A$40,O$5)&gt;0),"",IF(COUNTIFS('Time Off Log'!$A$5:$A$504,$B13,'Time Off Log'!$C$5:$C$504,"&lt;="&amp;O$5,'Time Off Log'!$J$5:$J$504,"&gt;="&amp;O$5,'Time Off Log'!$B$5:$B$504,"PTO",'Time Off Log'!$E$5:$E$504,"Approved")&gt;0,"P",IF(COUNTIFS('Time Off Log'!$A$5:$A$504,$B13,'Time Off Log'!$C$5:$C$504,"&lt;="&amp;O$5,'Time Off Log'!$J$5:$J$504,"&gt;="&amp;O$5,'Time Off Log'!$B$5:$B$504,"Sick",'Time Off Log'!$E$5:$E$504,"Approved")&gt;0,"S",IF(COUNTIFS('Time Off Log'!$A$5:$A$504,$B13,'Time Off Log'!$C$5:$C$504,"&lt;="&amp;O$5,'Time Off Log'!$J$5:$J$504,"&gt;="&amp;O$5,'Time Off Log'!$E$5:$E$504,"Approved")&gt;0,"U",IF(COUNTIFS('Time Off Log'!$A$5:$A$504,$B13,'Time Off Log'!$C$5:$C$504,"&lt;="&amp;O$5,'Time Off Log'!$J$5:$J$504,"&gt;="&amp;O$5,'Time Off Log'!$E$5:$E$504,"Pending")&gt;0,"?",""))))))</f>
        <v/>
      </c>
      <c r="P13" s="44">
        <f>IF(OR(P$5="",$B13=""),"",IF(OR(WEEKDAY(P$5,2)&gt;5,COUNTIF(Holidays!$A$5:$A$40,P$5)&gt;0),"",IF(COUNTIFS('Time Off Log'!$A$5:$A$504,$B13,'Time Off Log'!$C$5:$C$504,"&lt;="&amp;P$5,'Time Off Log'!$J$5:$J$504,"&gt;="&amp;P$5,'Time Off Log'!$B$5:$B$504,"PTO",'Time Off Log'!$E$5:$E$504,"Approved")&gt;0,"P",IF(COUNTIFS('Time Off Log'!$A$5:$A$504,$B13,'Time Off Log'!$C$5:$C$504,"&lt;="&amp;P$5,'Time Off Log'!$J$5:$J$504,"&gt;="&amp;P$5,'Time Off Log'!$B$5:$B$504,"Sick",'Time Off Log'!$E$5:$E$504,"Approved")&gt;0,"S",IF(COUNTIFS('Time Off Log'!$A$5:$A$504,$B13,'Time Off Log'!$C$5:$C$504,"&lt;="&amp;P$5,'Time Off Log'!$J$5:$J$504,"&gt;="&amp;P$5,'Time Off Log'!$E$5:$E$504,"Approved")&gt;0,"U",IF(COUNTIFS('Time Off Log'!$A$5:$A$504,$B13,'Time Off Log'!$C$5:$C$504,"&lt;="&amp;P$5,'Time Off Log'!$J$5:$J$504,"&gt;="&amp;P$5,'Time Off Log'!$E$5:$E$504,"Pending")&gt;0,"?",""))))))</f>
        <v/>
      </c>
      <c r="Q13" s="44">
        <f>IF(OR(Q$5="",$B13=""),"",IF(OR(WEEKDAY(Q$5,2)&gt;5,COUNTIF(Holidays!$A$5:$A$40,Q$5)&gt;0),"",IF(COUNTIFS('Time Off Log'!$A$5:$A$504,$B13,'Time Off Log'!$C$5:$C$504,"&lt;="&amp;Q$5,'Time Off Log'!$J$5:$J$504,"&gt;="&amp;Q$5,'Time Off Log'!$B$5:$B$504,"PTO",'Time Off Log'!$E$5:$E$504,"Approved")&gt;0,"P",IF(COUNTIFS('Time Off Log'!$A$5:$A$504,$B13,'Time Off Log'!$C$5:$C$504,"&lt;="&amp;Q$5,'Time Off Log'!$J$5:$J$504,"&gt;="&amp;Q$5,'Time Off Log'!$B$5:$B$504,"Sick",'Time Off Log'!$E$5:$E$504,"Approved")&gt;0,"S",IF(COUNTIFS('Time Off Log'!$A$5:$A$504,$B13,'Time Off Log'!$C$5:$C$504,"&lt;="&amp;Q$5,'Time Off Log'!$J$5:$J$504,"&gt;="&amp;Q$5,'Time Off Log'!$E$5:$E$504,"Approved")&gt;0,"U",IF(COUNTIFS('Time Off Log'!$A$5:$A$504,$B13,'Time Off Log'!$C$5:$C$504,"&lt;="&amp;Q$5,'Time Off Log'!$J$5:$J$504,"&gt;="&amp;Q$5,'Time Off Log'!$E$5:$E$504,"Pending")&gt;0,"?",""))))))</f>
        <v/>
      </c>
      <c r="R13" s="44">
        <f>IF(OR(R$5="",$B13=""),"",IF(OR(WEEKDAY(R$5,2)&gt;5,COUNTIF(Holidays!$A$5:$A$40,R$5)&gt;0),"",IF(COUNTIFS('Time Off Log'!$A$5:$A$504,$B13,'Time Off Log'!$C$5:$C$504,"&lt;="&amp;R$5,'Time Off Log'!$J$5:$J$504,"&gt;="&amp;R$5,'Time Off Log'!$B$5:$B$504,"PTO",'Time Off Log'!$E$5:$E$504,"Approved")&gt;0,"P",IF(COUNTIFS('Time Off Log'!$A$5:$A$504,$B13,'Time Off Log'!$C$5:$C$504,"&lt;="&amp;R$5,'Time Off Log'!$J$5:$J$504,"&gt;="&amp;R$5,'Time Off Log'!$B$5:$B$504,"Sick",'Time Off Log'!$E$5:$E$504,"Approved")&gt;0,"S",IF(COUNTIFS('Time Off Log'!$A$5:$A$504,$B13,'Time Off Log'!$C$5:$C$504,"&lt;="&amp;R$5,'Time Off Log'!$J$5:$J$504,"&gt;="&amp;R$5,'Time Off Log'!$E$5:$E$504,"Approved")&gt;0,"U",IF(COUNTIFS('Time Off Log'!$A$5:$A$504,$B13,'Time Off Log'!$C$5:$C$504,"&lt;="&amp;R$5,'Time Off Log'!$J$5:$J$504,"&gt;="&amp;R$5,'Time Off Log'!$E$5:$E$504,"Pending")&gt;0,"?",""))))))</f>
        <v/>
      </c>
      <c r="S13" s="44">
        <f>IF(OR(S$5="",$B13=""),"",IF(OR(WEEKDAY(S$5,2)&gt;5,COUNTIF(Holidays!$A$5:$A$40,S$5)&gt;0),"",IF(COUNTIFS('Time Off Log'!$A$5:$A$504,$B13,'Time Off Log'!$C$5:$C$504,"&lt;="&amp;S$5,'Time Off Log'!$J$5:$J$504,"&gt;="&amp;S$5,'Time Off Log'!$B$5:$B$504,"PTO",'Time Off Log'!$E$5:$E$504,"Approved")&gt;0,"P",IF(COUNTIFS('Time Off Log'!$A$5:$A$504,$B13,'Time Off Log'!$C$5:$C$504,"&lt;="&amp;S$5,'Time Off Log'!$J$5:$J$504,"&gt;="&amp;S$5,'Time Off Log'!$B$5:$B$504,"Sick",'Time Off Log'!$E$5:$E$504,"Approved")&gt;0,"S",IF(COUNTIFS('Time Off Log'!$A$5:$A$504,$B13,'Time Off Log'!$C$5:$C$504,"&lt;="&amp;S$5,'Time Off Log'!$J$5:$J$504,"&gt;="&amp;S$5,'Time Off Log'!$E$5:$E$504,"Approved")&gt;0,"U",IF(COUNTIFS('Time Off Log'!$A$5:$A$504,$B13,'Time Off Log'!$C$5:$C$504,"&lt;="&amp;S$5,'Time Off Log'!$J$5:$J$504,"&gt;="&amp;S$5,'Time Off Log'!$E$5:$E$504,"Pending")&gt;0,"?",""))))))</f>
        <v/>
      </c>
      <c r="T13" s="44">
        <f>IF(OR(T$5="",$B13=""),"",IF(OR(WEEKDAY(T$5,2)&gt;5,COUNTIF(Holidays!$A$5:$A$40,T$5)&gt;0),"",IF(COUNTIFS('Time Off Log'!$A$5:$A$504,$B13,'Time Off Log'!$C$5:$C$504,"&lt;="&amp;T$5,'Time Off Log'!$J$5:$J$504,"&gt;="&amp;T$5,'Time Off Log'!$B$5:$B$504,"PTO",'Time Off Log'!$E$5:$E$504,"Approved")&gt;0,"P",IF(COUNTIFS('Time Off Log'!$A$5:$A$504,$B13,'Time Off Log'!$C$5:$C$504,"&lt;="&amp;T$5,'Time Off Log'!$J$5:$J$504,"&gt;="&amp;T$5,'Time Off Log'!$B$5:$B$504,"Sick",'Time Off Log'!$E$5:$E$504,"Approved")&gt;0,"S",IF(COUNTIFS('Time Off Log'!$A$5:$A$504,$B13,'Time Off Log'!$C$5:$C$504,"&lt;="&amp;T$5,'Time Off Log'!$J$5:$J$504,"&gt;="&amp;T$5,'Time Off Log'!$E$5:$E$504,"Approved")&gt;0,"U",IF(COUNTIFS('Time Off Log'!$A$5:$A$504,$B13,'Time Off Log'!$C$5:$C$504,"&lt;="&amp;T$5,'Time Off Log'!$J$5:$J$504,"&gt;="&amp;T$5,'Time Off Log'!$E$5:$E$504,"Pending")&gt;0,"?",""))))))</f>
        <v/>
      </c>
      <c r="U13" s="44">
        <f>IF(OR(U$5="",$B13=""),"",IF(OR(WEEKDAY(U$5,2)&gt;5,COUNTIF(Holidays!$A$5:$A$40,U$5)&gt;0),"",IF(COUNTIFS('Time Off Log'!$A$5:$A$504,$B13,'Time Off Log'!$C$5:$C$504,"&lt;="&amp;U$5,'Time Off Log'!$J$5:$J$504,"&gt;="&amp;U$5,'Time Off Log'!$B$5:$B$504,"PTO",'Time Off Log'!$E$5:$E$504,"Approved")&gt;0,"P",IF(COUNTIFS('Time Off Log'!$A$5:$A$504,$B13,'Time Off Log'!$C$5:$C$504,"&lt;="&amp;U$5,'Time Off Log'!$J$5:$J$504,"&gt;="&amp;U$5,'Time Off Log'!$B$5:$B$504,"Sick",'Time Off Log'!$E$5:$E$504,"Approved")&gt;0,"S",IF(COUNTIFS('Time Off Log'!$A$5:$A$504,$B13,'Time Off Log'!$C$5:$C$504,"&lt;="&amp;U$5,'Time Off Log'!$J$5:$J$504,"&gt;="&amp;U$5,'Time Off Log'!$E$5:$E$504,"Approved")&gt;0,"U",IF(COUNTIFS('Time Off Log'!$A$5:$A$504,$B13,'Time Off Log'!$C$5:$C$504,"&lt;="&amp;U$5,'Time Off Log'!$J$5:$J$504,"&gt;="&amp;U$5,'Time Off Log'!$E$5:$E$504,"Pending")&gt;0,"?",""))))))</f>
        <v/>
      </c>
      <c r="V13" s="44">
        <f>IF(OR(V$5="",$B13=""),"",IF(OR(WEEKDAY(V$5,2)&gt;5,COUNTIF(Holidays!$A$5:$A$40,V$5)&gt;0),"",IF(COUNTIFS('Time Off Log'!$A$5:$A$504,$B13,'Time Off Log'!$C$5:$C$504,"&lt;="&amp;V$5,'Time Off Log'!$J$5:$J$504,"&gt;="&amp;V$5,'Time Off Log'!$B$5:$B$504,"PTO",'Time Off Log'!$E$5:$E$504,"Approved")&gt;0,"P",IF(COUNTIFS('Time Off Log'!$A$5:$A$504,$B13,'Time Off Log'!$C$5:$C$504,"&lt;="&amp;V$5,'Time Off Log'!$J$5:$J$504,"&gt;="&amp;V$5,'Time Off Log'!$B$5:$B$504,"Sick",'Time Off Log'!$E$5:$E$504,"Approved")&gt;0,"S",IF(COUNTIFS('Time Off Log'!$A$5:$A$504,$B13,'Time Off Log'!$C$5:$C$504,"&lt;="&amp;V$5,'Time Off Log'!$J$5:$J$504,"&gt;="&amp;V$5,'Time Off Log'!$E$5:$E$504,"Approved")&gt;0,"U",IF(COUNTIFS('Time Off Log'!$A$5:$A$504,$B13,'Time Off Log'!$C$5:$C$504,"&lt;="&amp;V$5,'Time Off Log'!$J$5:$J$504,"&gt;="&amp;V$5,'Time Off Log'!$E$5:$E$504,"Pending")&gt;0,"?",""))))))</f>
        <v/>
      </c>
      <c r="W13" s="44">
        <f>IF(OR(W$5="",$B13=""),"",IF(OR(WEEKDAY(W$5,2)&gt;5,COUNTIF(Holidays!$A$5:$A$40,W$5)&gt;0),"",IF(COUNTIFS('Time Off Log'!$A$5:$A$504,$B13,'Time Off Log'!$C$5:$C$504,"&lt;="&amp;W$5,'Time Off Log'!$J$5:$J$504,"&gt;="&amp;W$5,'Time Off Log'!$B$5:$B$504,"PTO",'Time Off Log'!$E$5:$E$504,"Approved")&gt;0,"P",IF(COUNTIFS('Time Off Log'!$A$5:$A$504,$B13,'Time Off Log'!$C$5:$C$504,"&lt;="&amp;W$5,'Time Off Log'!$J$5:$J$504,"&gt;="&amp;W$5,'Time Off Log'!$B$5:$B$504,"Sick",'Time Off Log'!$E$5:$E$504,"Approved")&gt;0,"S",IF(COUNTIFS('Time Off Log'!$A$5:$A$504,$B13,'Time Off Log'!$C$5:$C$504,"&lt;="&amp;W$5,'Time Off Log'!$J$5:$J$504,"&gt;="&amp;W$5,'Time Off Log'!$E$5:$E$504,"Approved")&gt;0,"U",IF(COUNTIFS('Time Off Log'!$A$5:$A$504,$B13,'Time Off Log'!$C$5:$C$504,"&lt;="&amp;W$5,'Time Off Log'!$J$5:$J$504,"&gt;="&amp;W$5,'Time Off Log'!$E$5:$E$504,"Pending")&gt;0,"?",""))))))</f>
        <v/>
      </c>
      <c r="X13" s="44">
        <f>IF(OR(X$5="",$B13=""),"",IF(OR(WEEKDAY(X$5,2)&gt;5,COUNTIF(Holidays!$A$5:$A$40,X$5)&gt;0),"",IF(COUNTIFS('Time Off Log'!$A$5:$A$504,$B13,'Time Off Log'!$C$5:$C$504,"&lt;="&amp;X$5,'Time Off Log'!$J$5:$J$504,"&gt;="&amp;X$5,'Time Off Log'!$B$5:$B$504,"PTO",'Time Off Log'!$E$5:$E$504,"Approved")&gt;0,"P",IF(COUNTIFS('Time Off Log'!$A$5:$A$504,$B13,'Time Off Log'!$C$5:$C$504,"&lt;="&amp;X$5,'Time Off Log'!$J$5:$J$504,"&gt;="&amp;X$5,'Time Off Log'!$B$5:$B$504,"Sick",'Time Off Log'!$E$5:$E$504,"Approved")&gt;0,"S",IF(COUNTIFS('Time Off Log'!$A$5:$A$504,$B13,'Time Off Log'!$C$5:$C$504,"&lt;="&amp;X$5,'Time Off Log'!$J$5:$J$504,"&gt;="&amp;X$5,'Time Off Log'!$E$5:$E$504,"Approved")&gt;0,"U",IF(COUNTIFS('Time Off Log'!$A$5:$A$504,$B13,'Time Off Log'!$C$5:$C$504,"&lt;="&amp;X$5,'Time Off Log'!$J$5:$J$504,"&gt;="&amp;X$5,'Time Off Log'!$E$5:$E$504,"Pending")&gt;0,"?",""))))))</f>
        <v/>
      </c>
      <c r="Y13" s="44">
        <f>IF(OR(Y$5="",$B13=""),"",IF(OR(WEEKDAY(Y$5,2)&gt;5,COUNTIF(Holidays!$A$5:$A$40,Y$5)&gt;0),"",IF(COUNTIFS('Time Off Log'!$A$5:$A$504,$B13,'Time Off Log'!$C$5:$C$504,"&lt;="&amp;Y$5,'Time Off Log'!$J$5:$J$504,"&gt;="&amp;Y$5,'Time Off Log'!$B$5:$B$504,"PTO",'Time Off Log'!$E$5:$E$504,"Approved")&gt;0,"P",IF(COUNTIFS('Time Off Log'!$A$5:$A$504,$B13,'Time Off Log'!$C$5:$C$504,"&lt;="&amp;Y$5,'Time Off Log'!$J$5:$J$504,"&gt;="&amp;Y$5,'Time Off Log'!$B$5:$B$504,"Sick",'Time Off Log'!$E$5:$E$504,"Approved")&gt;0,"S",IF(COUNTIFS('Time Off Log'!$A$5:$A$504,$B13,'Time Off Log'!$C$5:$C$504,"&lt;="&amp;Y$5,'Time Off Log'!$J$5:$J$504,"&gt;="&amp;Y$5,'Time Off Log'!$E$5:$E$504,"Approved")&gt;0,"U",IF(COUNTIFS('Time Off Log'!$A$5:$A$504,$B13,'Time Off Log'!$C$5:$C$504,"&lt;="&amp;Y$5,'Time Off Log'!$J$5:$J$504,"&gt;="&amp;Y$5,'Time Off Log'!$E$5:$E$504,"Pending")&gt;0,"?",""))))))</f>
        <v/>
      </c>
      <c r="Z13" s="44">
        <f>IF(OR(Z$5="",$B13=""),"",IF(OR(WEEKDAY(Z$5,2)&gt;5,COUNTIF(Holidays!$A$5:$A$40,Z$5)&gt;0),"",IF(COUNTIFS('Time Off Log'!$A$5:$A$504,$B13,'Time Off Log'!$C$5:$C$504,"&lt;="&amp;Z$5,'Time Off Log'!$J$5:$J$504,"&gt;="&amp;Z$5,'Time Off Log'!$B$5:$B$504,"PTO",'Time Off Log'!$E$5:$E$504,"Approved")&gt;0,"P",IF(COUNTIFS('Time Off Log'!$A$5:$A$504,$B13,'Time Off Log'!$C$5:$C$504,"&lt;="&amp;Z$5,'Time Off Log'!$J$5:$J$504,"&gt;="&amp;Z$5,'Time Off Log'!$B$5:$B$504,"Sick",'Time Off Log'!$E$5:$E$504,"Approved")&gt;0,"S",IF(COUNTIFS('Time Off Log'!$A$5:$A$504,$B13,'Time Off Log'!$C$5:$C$504,"&lt;="&amp;Z$5,'Time Off Log'!$J$5:$J$504,"&gt;="&amp;Z$5,'Time Off Log'!$E$5:$E$504,"Approved")&gt;0,"U",IF(COUNTIFS('Time Off Log'!$A$5:$A$504,$B13,'Time Off Log'!$C$5:$C$504,"&lt;="&amp;Z$5,'Time Off Log'!$J$5:$J$504,"&gt;="&amp;Z$5,'Time Off Log'!$E$5:$E$504,"Pending")&gt;0,"?",""))))))</f>
        <v/>
      </c>
      <c r="AA13" s="44">
        <f>IF(OR(AA$5="",$B13=""),"",IF(OR(WEEKDAY(AA$5,2)&gt;5,COUNTIF(Holidays!$A$5:$A$40,AA$5)&gt;0),"",IF(COUNTIFS('Time Off Log'!$A$5:$A$504,$B13,'Time Off Log'!$C$5:$C$504,"&lt;="&amp;AA$5,'Time Off Log'!$J$5:$J$504,"&gt;="&amp;AA$5,'Time Off Log'!$B$5:$B$504,"PTO",'Time Off Log'!$E$5:$E$504,"Approved")&gt;0,"P",IF(COUNTIFS('Time Off Log'!$A$5:$A$504,$B13,'Time Off Log'!$C$5:$C$504,"&lt;="&amp;AA$5,'Time Off Log'!$J$5:$J$504,"&gt;="&amp;AA$5,'Time Off Log'!$B$5:$B$504,"Sick",'Time Off Log'!$E$5:$E$504,"Approved")&gt;0,"S",IF(COUNTIFS('Time Off Log'!$A$5:$A$504,$B13,'Time Off Log'!$C$5:$C$504,"&lt;="&amp;AA$5,'Time Off Log'!$J$5:$J$504,"&gt;="&amp;AA$5,'Time Off Log'!$E$5:$E$504,"Approved")&gt;0,"U",IF(COUNTIFS('Time Off Log'!$A$5:$A$504,$B13,'Time Off Log'!$C$5:$C$504,"&lt;="&amp;AA$5,'Time Off Log'!$J$5:$J$504,"&gt;="&amp;AA$5,'Time Off Log'!$E$5:$E$504,"Pending")&gt;0,"?",""))))))</f>
        <v/>
      </c>
      <c r="AB13" s="44">
        <f>IF(OR(AB$5="",$B13=""),"",IF(OR(WEEKDAY(AB$5,2)&gt;5,COUNTIF(Holidays!$A$5:$A$40,AB$5)&gt;0),"",IF(COUNTIFS('Time Off Log'!$A$5:$A$504,$B13,'Time Off Log'!$C$5:$C$504,"&lt;="&amp;AB$5,'Time Off Log'!$J$5:$J$504,"&gt;="&amp;AB$5,'Time Off Log'!$B$5:$B$504,"PTO",'Time Off Log'!$E$5:$E$504,"Approved")&gt;0,"P",IF(COUNTIFS('Time Off Log'!$A$5:$A$504,$B13,'Time Off Log'!$C$5:$C$504,"&lt;="&amp;AB$5,'Time Off Log'!$J$5:$J$504,"&gt;="&amp;AB$5,'Time Off Log'!$B$5:$B$504,"Sick",'Time Off Log'!$E$5:$E$504,"Approved")&gt;0,"S",IF(COUNTIFS('Time Off Log'!$A$5:$A$504,$B13,'Time Off Log'!$C$5:$C$504,"&lt;="&amp;AB$5,'Time Off Log'!$J$5:$J$504,"&gt;="&amp;AB$5,'Time Off Log'!$E$5:$E$504,"Approved")&gt;0,"U",IF(COUNTIFS('Time Off Log'!$A$5:$A$504,$B13,'Time Off Log'!$C$5:$C$504,"&lt;="&amp;AB$5,'Time Off Log'!$J$5:$J$504,"&gt;="&amp;AB$5,'Time Off Log'!$E$5:$E$504,"Pending")&gt;0,"?",""))))))</f>
        <v/>
      </c>
      <c r="AC13" s="44">
        <f>IF(OR(AC$5="",$B13=""),"",IF(OR(WEEKDAY(AC$5,2)&gt;5,COUNTIF(Holidays!$A$5:$A$40,AC$5)&gt;0),"",IF(COUNTIFS('Time Off Log'!$A$5:$A$504,$B13,'Time Off Log'!$C$5:$C$504,"&lt;="&amp;AC$5,'Time Off Log'!$J$5:$J$504,"&gt;="&amp;AC$5,'Time Off Log'!$B$5:$B$504,"PTO",'Time Off Log'!$E$5:$E$504,"Approved")&gt;0,"P",IF(COUNTIFS('Time Off Log'!$A$5:$A$504,$B13,'Time Off Log'!$C$5:$C$504,"&lt;="&amp;AC$5,'Time Off Log'!$J$5:$J$504,"&gt;="&amp;AC$5,'Time Off Log'!$B$5:$B$504,"Sick",'Time Off Log'!$E$5:$E$504,"Approved")&gt;0,"S",IF(COUNTIFS('Time Off Log'!$A$5:$A$504,$B13,'Time Off Log'!$C$5:$C$504,"&lt;="&amp;AC$5,'Time Off Log'!$J$5:$J$504,"&gt;="&amp;AC$5,'Time Off Log'!$E$5:$E$504,"Approved")&gt;0,"U",IF(COUNTIFS('Time Off Log'!$A$5:$A$504,$B13,'Time Off Log'!$C$5:$C$504,"&lt;="&amp;AC$5,'Time Off Log'!$J$5:$J$504,"&gt;="&amp;AC$5,'Time Off Log'!$E$5:$E$504,"Pending")&gt;0,"?",""))))))</f>
        <v/>
      </c>
      <c r="AD13" s="44">
        <f>IF(OR(AD$5="",$B13=""),"",IF(OR(WEEKDAY(AD$5,2)&gt;5,COUNTIF(Holidays!$A$5:$A$40,AD$5)&gt;0),"",IF(COUNTIFS('Time Off Log'!$A$5:$A$504,$B13,'Time Off Log'!$C$5:$C$504,"&lt;="&amp;AD$5,'Time Off Log'!$J$5:$J$504,"&gt;="&amp;AD$5,'Time Off Log'!$B$5:$B$504,"PTO",'Time Off Log'!$E$5:$E$504,"Approved")&gt;0,"P",IF(COUNTIFS('Time Off Log'!$A$5:$A$504,$B13,'Time Off Log'!$C$5:$C$504,"&lt;="&amp;AD$5,'Time Off Log'!$J$5:$J$504,"&gt;="&amp;AD$5,'Time Off Log'!$B$5:$B$504,"Sick",'Time Off Log'!$E$5:$E$504,"Approved")&gt;0,"S",IF(COUNTIFS('Time Off Log'!$A$5:$A$504,$B13,'Time Off Log'!$C$5:$C$504,"&lt;="&amp;AD$5,'Time Off Log'!$J$5:$J$504,"&gt;="&amp;AD$5,'Time Off Log'!$E$5:$E$504,"Approved")&gt;0,"U",IF(COUNTIFS('Time Off Log'!$A$5:$A$504,$B13,'Time Off Log'!$C$5:$C$504,"&lt;="&amp;AD$5,'Time Off Log'!$J$5:$J$504,"&gt;="&amp;AD$5,'Time Off Log'!$E$5:$E$504,"Pending")&gt;0,"?",""))))))</f>
        <v/>
      </c>
      <c r="AE13" s="44">
        <f>IF(OR(AE$5="",$B13=""),"",IF(OR(WEEKDAY(AE$5,2)&gt;5,COUNTIF(Holidays!$A$5:$A$40,AE$5)&gt;0),"",IF(COUNTIFS('Time Off Log'!$A$5:$A$504,$B13,'Time Off Log'!$C$5:$C$504,"&lt;="&amp;AE$5,'Time Off Log'!$J$5:$J$504,"&gt;="&amp;AE$5,'Time Off Log'!$B$5:$B$504,"PTO",'Time Off Log'!$E$5:$E$504,"Approved")&gt;0,"P",IF(COUNTIFS('Time Off Log'!$A$5:$A$504,$B13,'Time Off Log'!$C$5:$C$504,"&lt;="&amp;AE$5,'Time Off Log'!$J$5:$J$504,"&gt;="&amp;AE$5,'Time Off Log'!$B$5:$B$504,"Sick",'Time Off Log'!$E$5:$E$504,"Approved")&gt;0,"S",IF(COUNTIFS('Time Off Log'!$A$5:$A$504,$B13,'Time Off Log'!$C$5:$C$504,"&lt;="&amp;AE$5,'Time Off Log'!$J$5:$J$504,"&gt;="&amp;AE$5,'Time Off Log'!$E$5:$E$504,"Approved")&gt;0,"U",IF(COUNTIFS('Time Off Log'!$A$5:$A$504,$B13,'Time Off Log'!$C$5:$C$504,"&lt;="&amp;AE$5,'Time Off Log'!$J$5:$J$504,"&gt;="&amp;AE$5,'Time Off Log'!$E$5:$E$504,"Pending")&gt;0,"?",""))))))</f>
        <v/>
      </c>
      <c r="AF13" s="44">
        <f>IF(OR(AF$5="",$B13=""),"",IF(OR(WEEKDAY(AF$5,2)&gt;5,COUNTIF(Holidays!$A$5:$A$40,AF$5)&gt;0),"",IF(COUNTIFS('Time Off Log'!$A$5:$A$504,$B13,'Time Off Log'!$C$5:$C$504,"&lt;="&amp;AF$5,'Time Off Log'!$J$5:$J$504,"&gt;="&amp;AF$5,'Time Off Log'!$B$5:$B$504,"PTO",'Time Off Log'!$E$5:$E$504,"Approved")&gt;0,"P",IF(COUNTIFS('Time Off Log'!$A$5:$A$504,$B13,'Time Off Log'!$C$5:$C$504,"&lt;="&amp;AF$5,'Time Off Log'!$J$5:$J$504,"&gt;="&amp;AF$5,'Time Off Log'!$B$5:$B$504,"Sick",'Time Off Log'!$E$5:$E$504,"Approved")&gt;0,"S",IF(COUNTIFS('Time Off Log'!$A$5:$A$504,$B13,'Time Off Log'!$C$5:$C$504,"&lt;="&amp;AF$5,'Time Off Log'!$J$5:$J$504,"&gt;="&amp;AF$5,'Time Off Log'!$E$5:$E$504,"Approved")&gt;0,"U",IF(COUNTIFS('Time Off Log'!$A$5:$A$504,$B13,'Time Off Log'!$C$5:$C$504,"&lt;="&amp;AF$5,'Time Off Log'!$J$5:$J$504,"&gt;="&amp;AF$5,'Time Off Log'!$E$5:$E$504,"Pending")&gt;0,"?",""))))))</f>
        <v/>
      </c>
      <c r="AG13" s="44">
        <f>IF(OR(AG$5="",$B13=""),"",IF(OR(WEEKDAY(AG$5,2)&gt;5,COUNTIF(Holidays!$A$5:$A$40,AG$5)&gt;0),"",IF(COUNTIFS('Time Off Log'!$A$5:$A$504,$B13,'Time Off Log'!$C$5:$C$504,"&lt;="&amp;AG$5,'Time Off Log'!$J$5:$J$504,"&gt;="&amp;AG$5,'Time Off Log'!$B$5:$B$504,"PTO",'Time Off Log'!$E$5:$E$504,"Approved")&gt;0,"P",IF(COUNTIFS('Time Off Log'!$A$5:$A$504,$B13,'Time Off Log'!$C$5:$C$504,"&lt;="&amp;AG$5,'Time Off Log'!$J$5:$J$504,"&gt;="&amp;AG$5,'Time Off Log'!$B$5:$B$504,"Sick",'Time Off Log'!$E$5:$E$504,"Approved")&gt;0,"S",IF(COUNTIFS('Time Off Log'!$A$5:$A$504,$B13,'Time Off Log'!$C$5:$C$504,"&lt;="&amp;AG$5,'Time Off Log'!$J$5:$J$504,"&gt;="&amp;AG$5,'Time Off Log'!$E$5:$E$504,"Approved")&gt;0,"U",IF(COUNTIFS('Time Off Log'!$A$5:$A$504,$B13,'Time Off Log'!$C$5:$C$504,"&lt;="&amp;AG$5,'Time Off Log'!$J$5:$J$504,"&gt;="&amp;AG$5,'Time Off Log'!$E$5:$E$504,"Pending")&gt;0,"?",""))))))</f>
        <v/>
      </c>
    </row>
    <row r="14">
      <c r="A14" s="24" t="n">
        <v>9</v>
      </c>
      <c r="B14" s="24">
        <f>IF(Employees!B13="","",Employees!B13)</f>
        <v/>
      </c>
      <c r="C14" s="44">
        <f>IF(OR(C$5="",$B14=""),"",IF(OR(WEEKDAY(C$5,2)&gt;5,COUNTIF(Holidays!$A$5:$A$40,C$5)&gt;0),"",IF(COUNTIFS('Time Off Log'!$A$5:$A$504,$B14,'Time Off Log'!$C$5:$C$504,"&lt;="&amp;C$5,'Time Off Log'!$J$5:$J$504,"&gt;="&amp;C$5,'Time Off Log'!$B$5:$B$504,"PTO",'Time Off Log'!$E$5:$E$504,"Approved")&gt;0,"P",IF(COUNTIFS('Time Off Log'!$A$5:$A$504,$B14,'Time Off Log'!$C$5:$C$504,"&lt;="&amp;C$5,'Time Off Log'!$J$5:$J$504,"&gt;="&amp;C$5,'Time Off Log'!$B$5:$B$504,"Sick",'Time Off Log'!$E$5:$E$504,"Approved")&gt;0,"S",IF(COUNTIFS('Time Off Log'!$A$5:$A$504,$B14,'Time Off Log'!$C$5:$C$504,"&lt;="&amp;C$5,'Time Off Log'!$J$5:$J$504,"&gt;="&amp;C$5,'Time Off Log'!$E$5:$E$504,"Approved")&gt;0,"U",IF(COUNTIFS('Time Off Log'!$A$5:$A$504,$B14,'Time Off Log'!$C$5:$C$504,"&lt;="&amp;C$5,'Time Off Log'!$J$5:$J$504,"&gt;="&amp;C$5,'Time Off Log'!$E$5:$E$504,"Pending")&gt;0,"?",""))))))</f>
        <v/>
      </c>
      <c r="D14" s="44">
        <f>IF(OR(D$5="",$B14=""),"",IF(OR(WEEKDAY(D$5,2)&gt;5,COUNTIF(Holidays!$A$5:$A$40,D$5)&gt;0),"",IF(COUNTIFS('Time Off Log'!$A$5:$A$504,$B14,'Time Off Log'!$C$5:$C$504,"&lt;="&amp;D$5,'Time Off Log'!$J$5:$J$504,"&gt;="&amp;D$5,'Time Off Log'!$B$5:$B$504,"PTO",'Time Off Log'!$E$5:$E$504,"Approved")&gt;0,"P",IF(COUNTIFS('Time Off Log'!$A$5:$A$504,$B14,'Time Off Log'!$C$5:$C$504,"&lt;="&amp;D$5,'Time Off Log'!$J$5:$J$504,"&gt;="&amp;D$5,'Time Off Log'!$B$5:$B$504,"Sick",'Time Off Log'!$E$5:$E$504,"Approved")&gt;0,"S",IF(COUNTIFS('Time Off Log'!$A$5:$A$504,$B14,'Time Off Log'!$C$5:$C$504,"&lt;="&amp;D$5,'Time Off Log'!$J$5:$J$504,"&gt;="&amp;D$5,'Time Off Log'!$E$5:$E$504,"Approved")&gt;0,"U",IF(COUNTIFS('Time Off Log'!$A$5:$A$504,$B14,'Time Off Log'!$C$5:$C$504,"&lt;="&amp;D$5,'Time Off Log'!$J$5:$J$504,"&gt;="&amp;D$5,'Time Off Log'!$E$5:$E$504,"Pending")&gt;0,"?",""))))))</f>
        <v/>
      </c>
      <c r="E14" s="44">
        <f>IF(OR(E$5="",$B14=""),"",IF(OR(WEEKDAY(E$5,2)&gt;5,COUNTIF(Holidays!$A$5:$A$40,E$5)&gt;0),"",IF(COUNTIFS('Time Off Log'!$A$5:$A$504,$B14,'Time Off Log'!$C$5:$C$504,"&lt;="&amp;E$5,'Time Off Log'!$J$5:$J$504,"&gt;="&amp;E$5,'Time Off Log'!$B$5:$B$504,"PTO",'Time Off Log'!$E$5:$E$504,"Approved")&gt;0,"P",IF(COUNTIFS('Time Off Log'!$A$5:$A$504,$B14,'Time Off Log'!$C$5:$C$504,"&lt;="&amp;E$5,'Time Off Log'!$J$5:$J$504,"&gt;="&amp;E$5,'Time Off Log'!$B$5:$B$504,"Sick",'Time Off Log'!$E$5:$E$504,"Approved")&gt;0,"S",IF(COUNTIFS('Time Off Log'!$A$5:$A$504,$B14,'Time Off Log'!$C$5:$C$504,"&lt;="&amp;E$5,'Time Off Log'!$J$5:$J$504,"&gt;="&amp;E$5,'Time Off Log'!$E$5:$E$504,"Approved")&gt;0,"U",IF(COUNTIFS('Time Off Log'!$A$5:$A$504,$B14,'Time Off Log'!$C$5:$C$504,"&lt;="&amp;E$5,'Time Off Log'!$J$5:$J$504,"&gt;="&amp;E$5,'Time Off Log'!$E$5:$E$504,"Pending")&gt;0,"?",""))))))</f>
        <v/>
      </c>
      <c r="F14" s="44">
        <f>IF(OR(F$5="",$B14=""),"",IF(OR(WEEKDAY(F$5,2)&gt;5,COUNTIF(Holidays!$A$5:$A$40,F$5)&gt;0),"",IF(COUNTIFS('Time Off Log'!$A$5:$A$504,$B14,'Time Off Log'!$C$5:$C$504,"&lt;="&amp;F$5,'Time Off Log'!$J$5:$J$504,"&gt;="&amp;F$5,'Time Off Log'!$B$5:$B$504,"PTO",'Time Off Log'!$E$5:$E$504,"Approved")&gt;0,"P",IF(COUNTIFS('Time Off Log'!$A$5:$A$504,$B14,'Time Off Log'!$C$5:$C$504,"&lt;="&amp;F$5,'Time Off Log'!$J$5:$J$504,"&gt;="&amp;F$5,'Time Off Log'!$B$5:$B$504,"Sick",'Time Off Log'!$E$5:$E$504,"Approved")&gt;0,"S",IF(COUNTIFS('Time Off Log'!$A$5:$A$504,$B14,'Time Off Log'!$C$5:$C$504,"&lt;="&amp;F$5,'Time Off Log'!$J$5:$J$504,"&gt;="&amp;F$5,'Time Off Log'!$E$5:$E$504,"Approved")&gt;0,"U",IF(COUNTIFS('Time Off Log'!$A$5:$A$504,$B14,'Time Off Log'!$C$5:$C$504,"&lt;="&amp;F$5,'Time Off Log'!$J$5:$J$504,"&gt;="&amp;F$5,'Time Off Log'!$E$5:$E$504,"Pending")&gt;0,"?",""))))))</f>
        <v/>
      </c>
      <c r="G14" s="44">
        <f>IF(OR(G$5="",$B14=""),"",IF(OR(WEEKDAY(G$5,2)&gt;5,COUNTIF(Holidays!$A$5:$A$40,G$5)&gt;0),"",IF(COUNTIFS('Time Off Log'!$A$5:$A$504,$B14,'Time Off Log'!$C$5:$C$504,"&lt;="&amp;G$5,'Time Off Log'!$J$5:$J$504,"&gt;="&amp;G$5,'Time Off Log'!$B$5:$B$504,"PTO",'Time Off Log'!$E$5:$E$504,"Approved")&gt;0,"P",IF(COUNTIFS('Time Off Log'!$A$5:$A$504,$B14,'Time Off Log'!$C$5:$C$504,"&lt;="&amp;G$5,'Time Off Log'!$J$5:$J$504,"&gt;="&amp;G$5,'Time Off Log'!$B$5:$B$504,"Sick",'Time Off Log'!$E$5:$E$504,"Approved")&gt;0,"S",IF(COUNTIFS('Time Off Log'!$A$5:$A$504,$B14,'Time Off Log'!$C$5:$C$504,"&lt;="&amp;G$5,'Time Off Log'!$J$5:$J$504,"&gt;="&amp;G$5,'Time Off Log'!$E$5:$E$504,"Approved")&gt;0,"U",IF(COUNTIFS('Time Off Log'!$A$5:$A$504,$B14,'Time Off Log'!$C$5:$C$504,"&lt;="&amp;G$5,'Time Off Log'!$J$5:$J$504,"&gt;="&amp;G$5,'Time Off Log'!$E$5:$E$504,"Pending")&gt;0,"?",""))))))</f>
        <v/>
      </c>
      <c r="H14" s="44">
        <f>IF(OR(H$5="",$B14=""),"",IF(OR(WEEKDAY(H$5,2)&gt;5,COUNTIF(Holidays!$A$5:$A$40,H$5)&gt;0),"",IF(COUNTIFS('Time Off Log'!$A$5:$A$504,$B14,'Time Off Log'!$C$5:$C$504,"&lt;="&amp;H$5,'Time Off Log'!$J$5:$J$504,"&gt;="&amp;H$5,'Time Off Log'!$B$5:$B$504,"PTO",'Time Off Log'!$E$5:$E$504,"Approved")&gt;0,"P",IF(COUNTIFS('Time Off Log'!$A$5:$A$504,$B14,'Time Off Log'!$C$5:$C$504,"&lt;="&amp;H$5,'Time Off Log'!$J$5:$J$504,"&gt;="&amp;H$5,'Time Off Log'!$B$5:$B$504,"Sick",'Time Off Log'!$E$5:$E$504,"Approved")&gt;0,"S",IF(COUNTIFS('Time Off Log'!$A$5:$A$504,$B14,'Time Off Log'!$C$5:$C$504,"&lt;="&amp;H$5,'Time Off Log'!$J$5:$J$504,"&gt;="&amp;H$5,'Time Off Log'!$E$5:$E$504,"Approved")&gt;0,"U",IF(COUNTIFS('Time Off Log'!$A$5:$A$504,$B14,'Time Off Log'!$C$5:$C$504,"&lt;="&amp;H$5,'Time Off Log'!$J$5:$J$504,"&gt;="&amp;H$5,'Time Off Log'!$E$5:$E$504,"Pending")&gt;0,"?",""))))))</f>
        <v/>
      </c>
      <c r="I14" s="44">
        <f>IF(OR(I$5="",$B14=""),"",IF(OR(WEEKDAY(I$5,2)&gt;5,COUNTIF(Holidays!$A$5:$A$40,I$5)&gt;0),"",IF(COUNTIFS('Time Off Log'!$A$5:$A$504,$B14,'Time Off Log'!$C$5:$C$504,"&lt;="&amp;I$5,'Time Off Log'!$J$5:$J$504,"&gt;="&amp;I$5,'Time Off Log'!$B$5:$B$504,"PTO",'Time Off Log'!$E$5:$E$504,"Approved")&gt;0,"P",IF(COUNTIFS('Time Off Log'!$A$5:$A$504,$B14,'Time Off Log'!$C$5:$C$504,"&lt;="&amp;I$5,'Time Off Log'!$J$5:$J$504,"&gt;="&amp;I$5,'Time Off Log'!$B$5:$B$504,"Sick",'Time Off Log'!$E$5:$E$504,"Approved")&gt;0,"S",IF(COUNTIFS('Time Off Log'!$A$5:$A$504,$B14,'Time Off Log'!$C$5:$C$504,"&lt;="&amp;I$5,'Time Off Log'!$J$5:$J$504,"&gt;="&amp;I$5,'Time Off Log'!$E$5:$E$504,"Approved")&gt;0,"U",IF(COUNTIFS('Time Off Log'!$A$5:$A$504,$B14,'Time Off Log'!$C$5:$C$504,"&lt;="&amp;I$5,'Time Off Log'!$J$5:$J$504,"&gt;="&amp;I$5,'Time Off Log'!$E$5:$E$504,"Pending")&gt;0,"?",""))))))</f>
        <v/>
      </c>
      <c r="J14" s="44">
        <f>IF(OR(J$5="",$B14=""),"",IF(OR(WEEKDAY(J$5,2)&gt;5,COUNTIF(Holidays!$A$5:$A$40,J$5)&gt;0),"",IF(COUNTIFS('Time Off Log'!$A$5:$A$504,$B14,'Time Off Log'!$C$5:$C$504,"&lt;="&amp;J$5,'Time Off Log'!$J$5:$J$504,"&gt;="&amp;J$5,'Time Off Log'!$B$5:$B$504,"PTO",'Time Off Log'!$E$5:$E$504,"Approved")&gt;0,"P",IF(COUNTIFS('Time Off Log'!$A$5:$A$504,$B14,'Time Off Log'!$C$5:$C$504,"&lt;="&amp;J$5,'Time Off Log'!$J$5:$J$504,"&gt;="&amp;J$5,'Time Off Log'!$B$5:$B$504,"Sick",'Time Off Log'!$E$5:$E$504,"Approved")&gt;0,"S",IF(COUNTIFS('Time Off Log'!$A$5:$A$504,$B14,'Time Off Log'!$C$5:$C$504,"&lt;="&amp;J$5,'Time Off Log'!$J$5:$J$504,"&gt;="&amp;J$5,'Time Off Log'!$E$5:$E$504,"Approved")&gt;0,"U",IF(COUNTIFS('Time Off Log'!$A$5:$A$504,$B14,'Time Off Log'!$C$5:$C$504,"&lt;="&amp;J$5,'Time Off Log'!$J$5:$J$504,"&gt;="&amp;J$5,'Time Off Log'!$E$5:$E$504,"Pending")&gt;0,"?",""))))))</f>
        <v/>
      </c>
      <c r="K14" s="44">
        <f>IF(OR(K$5="",$B14=""),"",IF(OR(WEEKDAY(K$5,2)&gt;5,COUNTIF(Holidays!$A$5:$A$40,K$5)&gt;0),"",IF(COUNTIFS('Time Off Log'!$A$5:$A$504,$B14,'Time Off Log'!$C$5:$C$504,"&lt;="&amp;K$5,'Time Off Log'!$J$5:$J$504,"&gt;="&amp;K$5,'Time Off Log'!$B$5:$B$504,"PTO",'Time Off Log'!$E$5:$E$504,"Approved")&gt;0,"P",IF(COUNTIFS('Time Off Log'!$A$5:$A$504,$B14,'Time Off Log'!$C$5:$C$504,"&lt;="&amp;K$5,'Time Off Log'!$J$5:$J$504,"&gt;="&amp;K$5,'Time Off Log'!$B$5:$B$504,"Sick",'Time Off Log'!$E$5:$E$504,"Approved")&gt;0,"S",IF(COUNTIFS('Time Off Log'!$A$5:$A$504,$B14,'Time Off Log'!$C$5:$C$504,"&lt;="&amp;K$5,'Time Off Log'!$J$5:$J$504,"&gt;="&amp;K$5,'Time Off Log'!$E$5:$E$504,"Approved")&gt;0,"U",IF(COUNTIFS('Time Off Log'!$A$5:$A$504,$B14,'Time Off Log'!$C$5:$C$504,"&lt;="&amp;K$5,'Time Off Log'!$J$5:$J$504,"&gt;="&amp;K$5,'Time Off Log'!$E$5:$E$504,"Pending")&gt;0,"?",""))))))</f>
        <v/>
      </c>
      <c r="L14" s="44">
        <f>IF(OR(L$5="",$B14=""),"",IF(OR(WEEKDAY(L$5,2)&gt;5,COUNTIF(Holidays!$A$5:$A$40,L$5)&gt;0),"",IF(COUNTIFS('Time Off Log'!$A$5:$A$504,$B14,'Time Off Log'!$C$5:$C$504,"&lt;="&amp;L$5,'Time Off Log'!$J$5:$J$504,"&gt;="&amp;L$5,'Time Off Log'!$B$5:$B$504,"PTO",'Time Off Log'!$E$5:$E$504,"Approved")&gt;0,"P",IF(COUNTIFS('Time Off Log'!$A$5:$A$504,$B14,'Time Off Log'!$C$5:$C$504,"&lt;="&amp;L$5,'Time Off Log'!$J$5:$J$504,"&gt;="&amp;L$5,'Time Off Log'!$B$5:$B$504,"Sick",'Time Off Log'!$E$5:$E$504,"Approved")&gt;0,"S",IF(COUNTIFS('Time Off Log'!$A$5:$A$504,$B14,'Time Off Log'!$C$5:$C$504,"&lt;="&amp;L$5,'Time Off Log'!$J$5:$J$504,"&gt;="&amp;L$5,'Time Off Log'!$E$5:$E$504,"Approved")&gt;0,"U",IF(COUNTIFS('Time Off Log'!$A$5:$A$504,$B14,'Time Off Log'!$C$5:$C$504,"&lt;="&amp;L$5,'Time Off Log'!$J$5:$J$504,"&gt;="&amp;L$5,'Time Off Log'!$E$5:$E$504,"Pending")&gt;0,"?",""))))))</f>
        <v/>
      </c>
      <c r="M14" s="44">
        <f>IF(OR(M$5="",$B14=""),"",IF(OR(WEEKDAY(M$5,2)&gt;5,COUNTIF(Holidays!$A$5:$A$40,M$5)&gt;0),"",IF(COUNTIFS('Time Off Log'!$A$5:$A$504,$B14,'Time Off Log'!$C$5:$C$504,"&lt;="&amp;M$5,'Time Off Log'!$J$5:$J$504,"&gt;="&amp;M$5,'Time Off Log'!$B$5:$B$504,"PTO",'Time Off Log'!$E$5:$E$504,"Approved")&gt;0,"P",IF(COUNTIFS('Time Off Log'!$A$5:$A$504,$B14,'Time Off Log'!$C$5:$C$504,"&lt;="&amp;M$5,'Time Off Log'!$J$5:$J$504,"&gt;="&amp;M$5,'Time Off Log'!$B$5:$B$504,"Sick",'Time Off Log'!$E$5:$E$504,"Approved")&gt;0,"S",IF(COUNTIFS('Time Off Log'!$A$5:$A$504,$B14,'Time Off Log'!$C$5:$C$504,"&lt;="&amp;M$5,'Time Off Log'!$J$5:$J$504,"&gt;="&amp;M$5,'Time Off Log'!$E$5:$E$504,"Approved")&gt;0,"U",IF(COUNTIFS('Time Off Log'!$A$5:$A$504,$B14,'Time Off Log'!$C$5:$C$504,"&lt;="&amp;M$5,'Time Off Log'!$J$5:$J$504,"&gt;="&amp;M$5,'Time Off Log'!$E$5:$E$504,"Pending")&gt;0,"?",""))))))</f>
        <v/>
      </c>
      <c r="N14" s="44">
        <f>IF(OR(N$5="",$B14=""),"",IF(OR(WEEKDAY(N$5,2)&gt;5,COUNTIF(Holidays!$A$5:$A$40,N$5)&gt;0),"",IF(COUNTIFS('Time Off Log'!$A$5:$A$504,$B14,'Time Off Log'!$C$5:$C$504,"&lt;="&amp;N$5,'Time Off Log'!$J$5:$J$504,"&gt;="&amp;N$5,'Time Off Log'!$B$5:$B$504,"PTO",'Time Off Log'!$E$5:$E$504,"Approved")&gt;0,"P",IF(COUNTIFS('Time Off Log'!$A$5:$A$504,$B14,'Time Off Log'!$C$5:$C$504,"&lt;="&amp;N$5,'Time Off Log'!$J$5:$J$504,"&gt;="&amp;N$5,'Time Off Log'!$B$5:$B$504,"Sick",'Time Off Log'!$E$5:$E$504,"Approved")&gt;0,"S",IF(COUNTIFS('Time Off Log'!$A$5:$A$504,$B14,'Time Off Log'!$C$5:$C$504,"&lt;="&amp;N$5,'Time Off Log'!$J$5:$J$504,"&gt;="&amp;N$5,'Time Off Log'!$E$5:$E$504,"Approved")&gt;0,"U",IF(COUNTIFS('Time Off Log'!$A$5:$A$504,$B14,'Time Off Log'!$C$5:$C$504,"&lt;="&amp;N$5,'Time Off Log'!$J$5:$J$504,"&gt;="&amp;N$5,'Time Off Log'!$E$5:$E$504,"Pending")&gt;0,"?",""))))))</f>
        <v/>
      </c>
      <c r="O14" s="44">
        <f>IF(OR(O$5="",$B14=""),"",IF(OR(WEEKDAY(O$5,2)&gt;5,COUNTIF(Holidays!$A$5:$A$40,O$5)&gt;0),"",IF(COUNTIFS('Time Off Log'!$A$5:$A$504,$B14,'Time Off Log'!$C$5:$C$504,"&lt;="&amp;O$5,'Time Off Log'!$J$5:$J$504,"&gt;="&amp;O$5,'Time Off Log'!$B$5:$B$504,"PTO",'Time Off Log'!$E$5:$E$504,"Approved")&gt;0,"P",IF(COUNTIFS('Time Off Log'!$A$5:$A$504,$B14,'Time Off Log'!$C$5:$C$504,"&lt;="&amp;O$5,'Time Off Log'!$J$5:$J$504,"&gt;="&amp;O$5,'Time Off Log'!$B$5:$B$504,"Sick",'Time Off Log'!$E$5:$E$504,"Approved")&gt;0,"S",IF(COUNTIFS('Time Off Log'!$A$5:$A$504,$B14,'Time Off Log'!$C$5:$C$504,"&lt;="&amp;O$5,'Time Off Log'!$J$5:$J$504,"&gt;="&amp;O$5,'Time Off Log'!$E$5:$E$504,"Approved")&gt;0,"U",IF(COUNTIFS('Time Off Log'!$A$5:$A$504,$B14,'Time Off Log'!$C$5:$C$504,"&lt;="&amp;O$5,'Time Off Log'!$J$5:$J$504,"&gt;="&amp;O$5,'Time Off Log'!$E$5:$E$504,"Pending")&gt;0,"?",""))))))</f>
        <v/>
      </c>
      <c r="P14" s="44">
        <f>IF(OR(P$5="",$B14=""),"",IF(OR(WEEKDAY(P$5,2)&gt;5,COUNTIF(Holidays!$A$5:$A$40,P$5)&gt;0),"",IF(COUNTIFS('Time Off Log'!$A$5:$A$504,$B14,'Time Off Log'!$C$5:$C$504,"&lt;="&amp;P$5,'Time Off Log'!$J$5:$J$504,"&gt;="&amp;P$5,'Time Off Log'!$B$5:$B$504,"PTO",'Time Off Log'!$E$5:$E$504,"Approved")&gt;0,"P",IF(COUNTIFS('Time Off Log'!$A$5:$A$504,$B14,'Time Off Log'!$C$5:$C$504,"&lt;="&amp;P$5,'Time Off Log'!$J$5:$J$504,"&gt;="&amp;P$5,'Time Off Log'!$B$5:$B$504,"Sick",'Time Off Log'!$E$5:$E$504,"Approved")&gt;0,"S",IF(COUNTIFS('Time Off Log'!$A$5:$A$504,$B14,'Time Off Log'!$C$5:$C$504,"&lt;="&amp;P$5,'Time Off Log'!$J$5:$J$504,"&gt;="&amp;P$5,'Time Off Log'!$E$5:$E$504,"Approved")&gt;0,"U",IF(COUNTIFS('Time Off Log'!$A$5:$A$504,$B14,'Time Off Log'!$C$5:$C$504,"&lt;="&amp;P$5,'Time Off Log'!$J$5:$J$504,"&gt;="&amp;P$5,'Time Off Log'!$E$5:$E$504,"Pending")&gt;0,"?",""))))))</f>
        <v/>
      </c>
      <c r="Q14" s="44">
        <f>IF(OR(Q$5="",$B14=""),"",IF(OR(WEEKDAY(Q$5,2)&gt;5,COUNTIF(Holidays!$A$5:$A$40,Q$5)&gt;0),"",IF(COUNTIFS('Time Off Log'!$A$5:$A$504,$B14,'Time Off Log'!$C$5:$C$504,"&lt;="&amp;Q$5,'Time Off Log'!$J$5:$J$504,"&gt;="&amp;Q$5,'Time Off Log'!$B$5:$B$504,"PTO",'Time Off Log'!$E$5:$E$504,"Approved")&gt;0,"P",IF(COUNTIFS('Time Off Log'!$A$5:$A$504,$B14,'Time Off Log'!$C$5:$C$504,"&lt;="&amp;Q$5,'Time Off Log'!$J$5:$J$504,"&gt;="&amp;Q$5,'Time Off Log'!$B$5:$B$504,"Sick",'Time Off Log'!$E$5:$E$504,"Approved")&gt;0,"S",IF(COUNTIFS('Time Off Log'!$A$5:$A$504,$B14,'Time Off Log'!$C$5:$C$504,"&lt;="&amp;Q$5,'Time Off Log'!$J$5:$J$504,"&gt;="&amp;Q$5,'Time Off Log'!$E$5:$E$504,"Approved")&gt;0,"U",IF(COUNTIFS('Time Off Log'!$A$5:$A$504,$B14,'Time Off Log'!$C$5:$C$504,"&lt;="&amp;Q$5,'Time Off Log'!$J$5:$J$504,"&gt;="&amp;Q$5,'Time Off Log'!$E$5:$E$504,"Pending")&gt;0,"?",""))))))</f>
        <v/>
      </c>
      <c r="R14" s="44">
        <f>IF(OR(R$5="",$B14=""),"",IF(OR(WEEKDAY(R$5,2)&gt;5,COUNTIF(Holidays!$A$5:$A$40,R$5)&gt;0),"",IF(COUNTIFS('Time Off Log'!$A$5:$A$504,$B14,'Time Off Log'!$C$5:$C$504,"&lt;="&amp;R$5,'Time Off Log'!$J$5:$J$504,"&gt;="&amp;R$5,'Time Off Log'!$B$5:$B$504,"PTO",'Time Off Log'!$E$5:$E$504,"Approved")&gt;0,"P",IF(COUNTIFS('Time Off Log'!$A$5:$A$504,$B14,'Time Off Log'!$C$5:$C$504,"&lt;="&amp;R$5,'Time Off Log'!$J$5:$J$504,"&gt;="&amp;R$5,'Time Off Log'!$B$5:$B$504,"Sick",'Time Off Log'!$E$5:$E$504,"Approved")&gt;0,"S",IF(COUNTIFS('Time Off Log'!$A$5:$A$504,$B14,'Time Off Log'!$C$5:$C$504,"&lt;="&amp;R$5,'Time Off Log'!$J$5:$J$504,"&gt;="&amp;R$5,'Time Off Log'!$E$5:$E$504,"Approved")&gt;0,"U",IF(COUNTIFS('Time Off Log'!$A$5:$A$504,$B14,'Time Off Log'!$C$5:$C$504,"&lt;="&amp;R$5,'Time Off Log'!$J$5:$J$504,"&gt;="&amp;R$5,'Time Off Log'!$E$5:$E$504,"Pending")&gt;0,"?",""))))))</f>
        <v/>
      </c>
      <c r="S14" s="44">
        <f>IF(OR(S$5="",$B14=""),"",IF(OR(WEEKDAY(S$5,2)&gt;5,COUNTIF(Holidays!$A$5:$A$40,S$5)&gt;0),"",IF(COUNTIFS('Time Off Log'!$A$5:$A$504,$B14,'Time Off Log'!$C$5:$C$504,"&lt;="&amp;S$5,'Time Off Log'!$J$5:$J$504,"&gt;="&amp;S$5,'Time Off Log'!$B$5:$B$504,"PTO",'Time Off Log'!$E$5:$E$504,"Approved")&gt;0,"P",IF(COUNTIFS('Time Off Log'!$A$5:$A$504,$B14,'Time Off Log'!$C$5:$C$504,"&lt;="&amp;S$5,'Time Off Log'!$J$5:$J$504,"&gt;="&amp;S$5,'Time Off Log'!$B$5:$B$504,"Sick",'Time Off Log'!$E$5:$E$504,"Approved")&gt;0,"S",IF(COUNTIFS('Time Off Log'!$A$5:$A$504,$B14,'Time Off Log'!$C$5:$C$504,"&lt;="&amp;S$5,'Time Off Log'!$J$5:$J$504,"&gt;="&amp;S$5,'Time Off Log'!$E$5:$E$504,"Approved")&gt;0,"U",IF(COUNTIFS('Time Off Log'!$A$5:$A$504,$B14,'Time Off Log'!$C$5:$C$504,"&lt;="&amp;S$5,'Time Off Log'!$J$5:$J$504,"&gt;="&amp;S$5,'Time Off Log'!$E$5:$E$504,"Pending")&gt;0,"?",""))))))</f>
        <v/>
      </c>
      <c r="T14" s="44">
        <f>IF(OR(T$5="",$B14=""),"",IF(OR(WEEKDAY(T$5,2)&gt;5,COUNTIF(Holidays!$A$5:$A$40,T$5)&gt;0),"",IF(COUNTIFS('Time Off Log'!$A$5:$A$504,$B14,'Time Off Log'!$C$5:$C$504,"&lt;="&amp;T$5,'Time Off Log'!$J$5:$J$504,"&gt;="&amp;T$5,'Time Off Log'!$B$5:$B$504,"PTO",'Time Off Log'!$E$5:$E$504,"Approved")&gt;0,"P",IF(COUNTIFS('Time Off Log'!$A$5:$A$504,$B14,'Time Off Log'!$C$5:$C$504,"&lt;="&amp;T$5,'Time Off Log'!$J$5:$J$504,"&gt;="&amp;T$5,'Time Off Log'!$B$5:$B$504,"Sick",'Time Off Log'!$E$5:$E$504,"Approved")&gt;0,"S",IF(COUNTIFS('Time Off Log'!$A$5:$A$504,$B14,'Time Off Log'!$C$5:$C$504,"&lt;="&amp;T$5,'Time Off Log'!$J$5:$J$504,"&gt;="&amp;T$5,'Time Off Log'!$E$5:$E$504,"Approved")&gt;0,"U",IF(COUNTIFS('Time Off Log'!$A$5:$A$504,$B14,'Time Off Log'!$C$5:$C$504,"&lt;="&amp;T$5,'Time Off Log'!$J$5:$J$504,"&gt;="&amp;T$5,'Time Off Log'!$E$5:$E$504,"Pending")&gt;0,"?",""))))))</f>
        <v/>
      </c>
      <c r="U14" s="44">
        <f>IF(OR(U$5="",$B14=""),"",IF(OR(WEEKDAY(U$5,2)&gt;5,COUNTIF(Holidays!$A$5:$A$40,U$5)&gt;0),"",IF(COUNTIFS('Time Off Log'!$A$5:$A$504,$B14,'Time Off Log'!$C$5:$C$504,"&lt;="&amp;U$5,'Time Off Log'!$J$5:$J$504,"&gt;="&amp;U$5,'Time Off Log'!$B$5:$B$504,"PTO",'Time Off Log'!$E$5:$E$504,"Approved")&gt;0,"P",IF(COUNTIFS('Time Off Log'!$A$5:$A$504,$B14,'Time Off Log'!$C$5:$C$504,"&lt;="&amp;U$5,'Time Off Log'!$J$5:$J$504,"&gt;="&amp;U$5,'Time Off Log'!$B$5:$B$504,"Sick",'Time Off Log'!$E$5:$E$504,"Approved")&gt;0,"S",IF(COUNTIFS('Time Off Log'!$A$5:$A$504,$B14,'Time Off Log'!$C$5:$C$504,"&lt;="&amp;U$5,'Time Off Log'!$J$5:$J$504,"&gt;="&amp;U$5,'Time Off Log'!$E$5:$E$504,"Approved")&gt;0,"U",IF(COUNTIFS('Time Off Log'!$A$5:$A$504,$B14,'Time Off Log'!$C$5:$C$504,"&lt;="&amp;U$5,'Time Off Log'!$J$5:$J$504,"&gt;="&amp;U$5,'Time Off Log'!$E$5:$E$504,"Pending")&gt;0,"?",""))))))</f>
        <v/>
      </c>
      <c r="V14" s="44">
        <f>IF(OR(V$5="",$B14=""),"",IF(OR(WEEKDAY(V$5,2)&gt;5,COUNTIF(Holidays!$A$5:$A$40,V$5)&gt;0),"",IF(COUNTIFS('Time Off Log'!$A$5:$A$504,$B14,'Time Off Log'!$C$5:$C$504,"&lt;="&amp;V$5,'Time Off Log'!$J$5:$J$504,"&gt;="&amp;V$5,'Time Off Log'!$B$5:$B$504,"PTO",'Time Off Log'!$E$5:$E$504,"Approved")&gt;0,"P",IF(COUNTIFS('Time Off Log'!$A$5:$A$504,$B14,'Time Off Log'!$C$5:$C$504,"&lt;="&amp;V$5,'Time Off Log'!$J$5:$J$504,"&gt;="&amp;V$5,'Time Off Log'!$B$5:$B$504,"Sick",'Time Off Log'!$E$5:$E$504,"Approved")&gt;0,"S",IF(COUNTIFS('Time Off Log'!$A$5:$A$504,$B14,'Time Off Log'!$C$5:$C$504,"&lt;="&amp;V$5,'Time Off Log'!$J$5:$J$504,"&gt;="&amp;V$5,'Time Off Log'!$E$5:$E$504,"Approved")&gt;0,"U",IF(COUNTIFS('Time Off Log'!$A$5:$A$504,$B14,'Time Off Log'!$C$5:$C$504,"&lt;="&amp;V$5,'Time Off Log'!$J$5:$J$504,"&gt;="&amp;V$5,'Time Off Log'!$E$5:$E$504,"Pending")&gt;0,"?",""))))))</f>
        <v/>
      </c>
      <c r="W14" s="44">
        <f>IF(OR(W$5="",$B14=""),"",IF(OR(WEEKDAY(W$5,2)&gt;5,COUNTIF(Holidays!$A$5:$A$40,W$5)&gt;0),"",IF(COUNTIFS('Time Off Log'!$A$5:$A$504,$B14,'Time Off Log'!$C$5:$C$504,"&lt;="&amp;W$5,'Time Off Log'!$J$5:$J$504,"&gt;="&amp;W$5,'Time Off Log'!$B$5:$B$504,"PTO",'Time Off Log'!$E$5:$E$504,"Approved")&gt;0,"P",IF(COUNTIFS('Time Off Log'!$A$5:$A$504,$B14,'Time Off Log'!$C$5:$C$504,"&lt;="&amp;W$5,'Time Off Log'!$J$5:$J$504,"&gt;="&amp;W$5,'Time Off Log'!$B$5:$B$504,"Sick",'Time Off Log'!$E$5:$E$504,"Approved")&gt;0,"S",IF(COUNTIFS('Time Off Log'!$A$5:$A$504,$B14,'Time Off Log'!$C$5:$C$504,"&lt;="&amp;W$5,'Time Off Log'!$J$5:$J$504,"&gt;="&amp;W$5,'Time Off Log'!$E$5:$E$504,"Approved")&gt;0,"U",IF(COUNTIFS('Time Off Log'!$A$5:$A$504,$B14,'Time Off Log'!$C$5:$C$504,"&lt;="&amp;W$5,'Time Off Log'!$J$5:$J$504,"&gt;="&amp;W$5,'Time Off Log'!$E$5:$E$504,"Pending")&gt;0,"?",""))))))</f>
        <v/>
      </c>
      <c r="X14" s="44">
        <f>IF(OR(X$5="",$B14=""),"",IF(OR(WEEKDAY(X$5,2)&gt;5,COUNTIF(Holidays!$A$5:$A$40,X$5)&gt;0),"",IF(COUNTIFS('Time Off Log'!$A$5:$A$504,$B14,'Time Off Log'!$C$5:$C$504,"&lt;="&amp;X$5,'Time Off Log'!$J$5:$J$504,"&gt;="&amp;X$5,'Time Off Log'!$B$5:$B$504,"PTO",'Time Off Log'!$E$5:$E$504,"Approved")&gt;0,"P",IF(COUNTIFS('Time Off Log'!$A$5:$A$504,$B14,'Time Off Log'!$C$5:$C$504,"&lt;="&amp;X$5,'Time Off Log'!$J$5:$J$504,"&gt;="&amp;X$5,'Time Off Log'!$B$5:$B$504,"Sick",'Time Off Log'!$E$5:$E$504,"Approved")&gt;0,"S",IF(COUNTIFS('Time Off Log'!$A$5:$A$504,$B14,'Time Off Log'!$C$5:$C$504,"&lt;="&amp;X$5,'Time Off Log'!$J$5:$J$504,"&gt;="&amp;X$5,'Time Off Log'!$E$5:$E$504,"Approved")&gt;0,"U",IF(COUNTIFS('Time Off Log'!$A$5:$A$504,$B14,'Time Off Log'!$C$5:$C$504,"&lt;="&amp;X$5,'Time Off Log'!$J$5:$J$504,"&gt;="&amp;X$5,'Time Off Log'!$E$5:$E$504,"Pending")&gt;0,"?",""))))))</f>
        <v/>
      </c>
      <c r="Y14" s="44">
        <f>IF(OR(Y$5="",$B14=""),"",IF(OR(WEEKDAY(Y$5,2)&gt;5,COUNTIF(Holidays!$A$5:$A$40,Y$5)&gt;0),"",IF(COUNTIFS('Time Off Log'!$A$5:$A$504,$B14,'Time Off Log'!$C$5:$C$504,"&lt;="&amp;Y$5,'Time Off Log'!$J$5:$J$504,"&gt;="&amp;Y$5,'Time Off Log'!$B$5:$B$504,"PTO",'Time Off Log'!$E$5:$E$504,"Approved")&gt;0,"P",IF(COUNTIFS('Time Off Log'!$A$5:$A$504,$B14,'Time Off Log'!$C$5:$C$504,"&lt;="&amp;Y$5,'Time Off Log'!$J$5:$J$504,"&gt;="&amp;Y$5,'Time Off Log'!$B$5:$B$504,"Sick",'Time Off Log'!$E$5:$E$504,"Approved")&gt;0,"S",IF(COUNTIFS('Time Off Log'!$A$5:$A$504,$B14,'Time Off Log'!$C$5:$C$504,"&lt;="&amp;Y$5,'Time Off Log'!$J$5:$J$504,"&gt;="&amp;Y$5,'Time Off Log'!$E$5:$E$504,"Approved")&gt;0,"U",IF(COUNTIFS('Time Off Log'!$A$5:$A$504,$B14,'Time Off Log'!$C$5:$C$504,"&lt;="&amp;Y$5,'Time Off Log'!$J$5:$J$504,"&gt;="&amp;Y$5,'Time Off Log'!$E$5:$E$504,"Pending")&gt;0,"?",""))))))</f>
        <v/>
      </c>
      <c r="Z14" s="44">
        <f>IF(OR(Z$5="",$B14=""),"",IF(OR(WEEKDAY(Z$5,2)&gt;5,COUNTIF(Holidays!$A$5:$A$40,Z$5)&gt;0),"",IF(COUNTIFS('Time Off Log'!$A$5:$A$504,$B14,'Time Off Log'!$C$5:$C$504,"&lt;="&amp;Z$5,'Time Off Log'!$J$5:$J$504,"&gt;="&amp;Z$5,'Time Off Log'!$B$5:$B$504,"PTO",'Time Off Log'!$E$5:$E$504,"Approved")&gt;0,"P",IF(COUNTIFS('Time Off Log'!$A$5:$A$504,$B14,'Time Off Log'!$C$5:$C$504,"&lt;="&amp;Z$5,'Time Off Log'!$J$5:$J$504,"&gt;="&amp;Z$5,'Time Off Log'!$B$5:$B$504,"Sick",'Time Off Log'!$E$5:$E$504,"Approved")&gt;0,"S",IF(COUNTIFS('Time Off Log'!$A$5:$A$504,$B14,'Time Off Log'!$C$5:$C$504,"&lt;="&amp;Z$5,'Time Off Log'!$J$5:$J$504,"&gt;="&amp;Z$5,'Time Off Log'!$E$5:$E$504,"Approved")&gt;0,"U",IF(COUNTIFS('Time Off Log'!$A$5:$A$504,$B14,'Time Off Log'!$C$5:$C$504,"&lt;="&amp;Z$5,'Time Off Log'!$J$5:$J$504,"&gt;="&amp;Z$5,'Time Off Log'!$E$5:$E$504,"Pending")&gt;0,"?",""))))))</f>
        <v/>
      </c>
      <c r="AA14" s="44">
        <f>IF(OR(AA$5="",$B14=""),"",IF(OR(WEEKDAY(AA$5,2)&gt;5,COUNTIF(Holidays!$A$5:$A$40,AA$5)&gt;0),"",IF(COUNTIFS('Time Off Log'!$A$5:$A$504,$B14,'Time Off Log'!$C$5:$C$504,"&lt;="&amp;AA$5,'Time Off Log'!$J$5:$J$504,"&gt;="&amp;AA$5,'Time Off Log'!$B$5:$B$504,"PTO",'Time Off Log'!$E$5:$E$504,"Approved")&gt;0,"P",IF(COUNTIFS('Time Off Log'!$A$5:$A$504,$B14,'Time Off Log'!$C$5:$C$504,"&lt;="&amp;AA$5,'Time Off Log'!$J$5:$J$504,"&gt;="&amp;AA$5,'Time Off Log'!$B$5:$B$504,"Sick",'Time Off Log'!$E$5:$E$504,"Approved")&gt;0,"S",IF(COUNTIFS('Time Off Log'!$A$5:$A$504,$B14,'Time Off Log'!$C$5:$C$504,"&lt;="&amp;AA$5,'Time Off Log'!$J$5:$J$504,"&gt;="&amp;AA$5,'Time Off Log'!$E$5:$E$504,"Approved")&gt;0,"U",IF(COUNTIFS('Time Off Log'!$A$5:$A$504,$B14,'Time Off Log'!$C$5:$C$504,"&lt;="&amp;AA$5,'Time Off Log'!$J$5:$J$504,"&gt;="&amp;AA$5,'Time Off Log'!$E$5:$E$504,"Pending")&gt;0,"?",""))))))</f>
        <v/>
      </c>
      <c r="AB14" s="44">
        <f>IF(OR(AB$5="",$B14=""),"",IF(OR(WEEKDAY(AB$5,2)&gt;5,COUNTIF(Holidays!$A$5:$A$40,AB$5)&gt;0),"",IF(COUNTIFS('Time Off Log'!$A$5:$A$504,$B14,'Time Off Log'!$C$5:$C$504,"&lt;="&amp;AB$5,'Time Off Log'!$J$5:$J$504,"&gt;="&amp;AB$5,'Time Off Log'!$B$5:$B$504,"PTO",'Time Off Log'!$E$5:$E$504,"Approved")&gt;0,"P",IF(COUNTIFS('Time Off Log'!$A$5:$A$504,$B14,'Time Off Log'!$C$5:$C$504,"&lt;="&amp;AB$5,'Time Off Log'!$J$5:$J$504,"&gt;="&amp;AB$5,'Time Off Log'!$B$5:$B$504,"Sick",'Time Off Log'!$E$5:$E$504,"Approved")&gt;0,"S",IF(COUNTIFS('Time Off Log'!$A$5:$A$504,$B14,'Time Off Log'!$C$5:$C$504,"&lt;="&amp;AB$5,'Time Off Log'!$J$5:$J$504,"&gt;="&amp;AB$5,'Time Off Log'!$E$5:$E$504,"Approved")&gt;0,"U",IF(COUNTIFS('Time Off Log'!$A$5:$A$504,$B14,'Time Off Log'!$C$5:$C$504,"&lt;="&amp;AB$5,'Time Off Log'!$J$5:$J$504,"&gt;="&amp;AB$5,'Time Off Log'!$E$5:$E$504,"Pending")&gt;0,"?",""))))))</f>
        <v/>
      </c>
      <c r="AC14" s="44">
        <f>IF(OR(AC$5="",$B14=""),"",IF(OR(WEEKDAY(AC$5,2)&gt;5,COUNTIF(Holidays!$A$5:$A$40,AC$5)&gt;0),"",IF(COUNTIFS('Time Off Log'!$A$5:$A$504,$B14,'Time Off Log'!$C$5:$C$504,"&lt;="&amp;AC$5,'Time Off Log'!$J$5:$J$504,"&gt;="&amp;AC$5,'Time Off Log'!$B$5:$B$504,"PTO",'Time Off Log'!$E$5:$E$504,"Approved")&gt;0,"P",IF(COUNTIFS('Time Off Log'!$A$5:$A$504,$B14,'Time Off Log'!$C$5:$C$504,"&lt;="&amp;AC$5,'Time Off Log'!$J$5:$J$504,"&gt;="&amp;AC$5,'Time Off Log'!$B$5:$B$504,"Sick",'Time Off Log'!$E$5:$E$504,"Approved")&gt;0,"S",IF(COUNTIFS('Time Off Log'!$A$5:$A$504,$B14,'Time Off Log'!$C$5:$C$504,"&lt;="&amp;AC$5,'Time Off Log'!$J$5:$J$504,"&gt;="&amp;AC$5,'Time Off Log'!$E$5:$E$504,"Approved")&gt;0,"U",IF(COUNTIFS('Time Off Log'!$A$5:$A$504,$B14,'Time Off Log'!$C$5:$C$504,"&lt;="&amp;AC$5,'Time Off Log'!$J$5:$J$504,"&gt;="&amp;AC$5,'Time Off Log'!$E$5:$E$504,"Pending")&gt;0,"?",""))))))</f>
        <v/>
      </c>
      <c r="AD14" s="44">
        <f>IF(OR(AD$5="",$B14=""),"",IF(OR(WEEKDAY(AD$5,2)&gt;5,COUNTIF(Holidays!$A$5:$A$40,AD$5)&gt;0),"",IF(COUNTIFS('Time Off Log'!$A$5:$A$504,$B14,'Time Off Log'!$C$5:$C$504,"&lt;="&amp;AD$5,'Time Off Log'!$J$5:$J$504,"&gt;="&amp;AD$5,'Time Off Log'!$B$5:$B$504,"PTO",'Time Off Log'!$E$5:$E$504,"Approved")&gt;0,"P",IF(COUNTIFS('Time Off Log'!$A$5:$A$504,$B14,'Time Off Log'!$C$5:$C$504,"&lt;="&amp;AD$5,'Time Off Log'!$J$5:$J$504,"&gt;="&amp;AD$5,'Time Off Log'!$B$5:$B$504,"Sick",'Time Off Log'!$E$5:$E$504,"Approved")&gt;0,"S",IF(COUNTIFS('Time Off Log'!$A$5:$A$504,$B14,'Time Off Log'!$C$5:$C$504,"&lt;="&amp;AD$5,'Time Off Log'!$J$5:$J$504,"&gt;="&amp;AD$5,'Time Off Log'!$E$5:$E$504,"Approved")&gt;0,"U",IF(COUNTIFS('Time Off Log'!$A$5:$A$504,$B14,'Time Off Log'!$C$5:$C$504,"&lt;="&amp;AD$5,'Time Off Log'!$J$5:$J$504,"&gt;="&amp;AD$5,'Time Off Log'!$E$5:$E$504,"Pending")&gt;0,"?",""))))))</f>
        <v/>
      </c>
      <c r="AE14" s="44">
        <f>IF(OR(AE$5="",$B14=""),"",IF(OR(WEEKDAY(AE$5,2)&gt;5,COUNTIF(Holidays!$A$5:$A$40,AE$5)&gt;0),"",IF(COUNTIFS('Time Off Log'!$A$5:$A$504,$B14,'Time Off Log'!$C$5:$C$504,"&lt;="&amp;AE$5,'Time Off Log'!$J$5:$J$504,"&gt;="&amp;AE$5,'Time Off Log'!$B$5:$B$504,"PTO",'Time Off Log'!$E$5:$E$504,"Approved")&gt;0,"P",IF(COUNTIFS('Time Off Log'!$A$5:$A$504,$B14,'Time Off Log'!$C$5:$C$504,"&lt;="&amp;AE$5,'Time Off Log'!$J$5:$J$504,"&gt;="&amp;AE$5,'Time Off Log'!$B$5:$B$504,"Sick",'Time Off Log'!$E$5:$E$504,"Approved")&gt;0,"S",IF(COUNTIFS('Time Off Log'!$A$5:$A$504,$B14,'Time Off Log'!$C$5:$C$504,"&lt;="&amp;AE$5,'Time Off Log'!$J$5:$J$504,"&gt;="&amp;AE$5,'Time Off Log'!$E$5:$E$504,"Approved")&gt;0,"U",IF(COUNTIFS('Time Off Log'!$A$5:$A$504,$B14,'Time Off Log'!$C$5:$C$504,"&lt;="&amp;AE$5,'Time Off Log'!$J$5:$J$504,"&gt;="&amp;AE$5,'Time Off Log'!$E$5:$E$504,"Pending")&gt;0,"?",""))))))</f>
        <v/>
      </c>
      <c r="AF14" s="44">
        <f>IF(OR(AF$5="",$B14=""),"",IF(OR(WEEKDAY(AF$5,2)&gt;5,COUNTIF(Holidays!$A$5:$A$40,AF$5)&gt;0),"",IF(COUNTIFS('Time Off Log'!$A$5:$A$504,$B14,'Time Off Log'!$C$5:$C$504,"&lt;="&amp;AF$5,'Time Off Log'!$J$5:$J$504,"&gt;="&amp;AF$5,'Time Off Log'!$B$5:$B$504,"PTO",'Time Off Log'!$E$5:$E$504,"Approved")&gt;0,"P",IF(COUNTIFS('Time Off Log'!$A$5:$A$504,$B14,'Time Off Log'!$C$5:$C$504,"&lt;="&amp;AF$5,'Time Off Log'!$J$5:$J$504,"&gt;="&amp;AF$5,'Time Off Log'!$B$5:$B$504,"Sick",'Time Off Log'!$E$5:$E$504,"Approved")&gt;0,"S",IF(COUNTIFS('Time Off Log'!$A$5:$A$504,$B14,'Time Off Log'!$C$5:$C$504,"&lt;="&amp;AF$5,'Time Off Log'!$J$5:$J$504,"&gt;="&amp;AF$5,'Time Off Log'!$E$5:$E$504,"Approved")&gt;0,"U",IF(COUNTIFS('Time Off Log'!$A$5:$A$504,$B14,'Time Off Log'!$C$5:$C$504,"&lt;="&amp;AF$5,'Time Off Log'!$J$5:$J$504,"&gt;="&amp;AF$5,'Time Off Log'!$E$5:$E$504,"Pending")&gt;0,"?",""))))))</f>
        <v/>
      </c>
      <c r="AG14" s="44">
        <f>IF(OR(AG$5="",$B14=""),"",IF(OR(WEEKDAY(AG$5,2)&gt;5,COUNTIF(Holidays!$A$5:$A$40,AG$5)&gt;0),"",IF(COUNTIFS('Time Off Log'!$A$5:$A$504,$B14,'Time Off Log'!$C$5:$C$504,"&lt;="&amp;AG$5,'Time Off Log'!$J$5:$J$504,"&gt;="&amp;AG$5,'Time Off Log'!$B$5:$B$504,"PTO",'Time Off Log'!$E$5:$E$504,"Approved")&gt;0,"P",IF(COUNTIFS('Time Off Log'!$A$5:$A$504,$B14,'Time Off Log'!$C$5:$C$504,"&lt;="&amp;AG$5,'Time Off Log'!$J$5:$J$504,"&gt;="&amp;AG$5,'Time Off Log'!$B$5:$B$504,"Sick",'Time Off Log'!$E$5:$E$504,"Approved")&gt;0,"S",IF(COUNTIFS('Time Off Log'!$A$5:$A$504,$B14,'Time Off Log'!$C$5:$C$504,"&lt;="&amp;AG$5,'Time Off Log'!$J$5:$J$504,"&gt;="&amp;AG$5,'Time Off Log'!$E$5:$E$504,"Approved")&gt;0,"U",IF(COUNTIFS('Time Off Log'!$A$5:$A$504,$B14,'Time Off Log'!$C$5:$C$504,"&lt;="&amp;AG$5,'Time Off Log'!$J$5:$J$504,"&gt;="&amp;AG$5,'Time Off Log'!$E$5:$E$504,"Pending")&gt;0,"?",""))))))</f>
        <v/>
      </c>
    </row>
    <row r="15">
      <c r="A15" s="24" t="n">
        <v>10</v>
      </c>
      <c r="B15" s="24">
        <f>IF(Employees!B14="","",Employees!B14)</f>
        <v/>
      </c>
      <c r="C15" s="44">
        <f>IF(OR(C$5="",$B15=""),"",IF(OR(WEEKDAY(C$5,2)&gt;5,COUNTIF(Holidays!$A$5:$A$40,C$5)&gt;0),"",IF(COUNTIFS('Time Off Log'!$A$5:$A$504,$B15,'Time Off Log'!$C$5:$C$504,"&lt;="&amp;C$5,'Time Off Log'!$J$5:$J$504,"&gt;="&amp;C$5,'Time Off Log'!$B$5:$B$504,"PTO",'Time Off Log'!$E$5:$E$504,"Approved")&gt;0,"P",IF(COUNTIFS('Time Off Log'!$A$5:$A$504,$B15,'Time Off Log'!$C$5:$C$504,"&lt;="&amp;C$5,'Time Off Log'!$J$5:$J$504,"&gt;="&amp;C$5,'Time Off Log'!$B$5:$B$504,"Sick",'Time Off Log'!$E$5:$E$504,"Approved")&gt;0,"S",IF(COUNTIFS('Time Off Log'!$A$5:$A$504,$B15,'Time Off Log'!$C$5:$C$504,"&lt;="&amp;C$5,'Time Off Log'!$J$5:$J$504,"&gt;="&amp;C$5,'Time Off Log'!$E$5:$E$504,"Approved")&gt;0,"U",IF(COUNTIFS('Time Off Log'!$A$5:$A$504,$B15,'Time Off Log'!$C$5:$C$504,"&lt;="&amp;C$5,'Time Off Log'!$J$5:$J$504,"&gt;="&amp;C$5,'Time Off Log'!$E$5:$E$504,"Pending")&gt;0,"?",""))))))</f>
        <v/>
      </c>
      <c r="D15" s="44">
        <f>IF(OR(D$5="",$B15=""),"",IF(OR(WEEKDAY(D$5,2)&gt;5,COUNTIF(Holidays!$A$5:$A$40,D$5)&gt;0),"",IF(COUNTIFS('Time Off Log'!$A$5:$A$504,$B15,'Time Off Log'!$C$5:$C$504,"&lt;="&amp;D$5,'Time Off Log'!$J$5:$J$504,"&gt;="&amp;D$5,'Time Off Log'!$B$5:$B$504,"PTO",'Time Off Log'!$E$5:$E$504,"Approved")&gt;0,"P",IF(COUNTIFS('Time Off Log'!$A$5:$A$504,$B15,'Time Off Log'!$C$5:$C$504,"&lt;="&amp;D$5,'Time Off Log'!$J$5:$J$504,"&gt;="&amp;D$5,'Time Off Log'!$B$5:$B$504,"Sick",'Time Off Log'!$E$5:$E$504,"Approved")&gt;0,"S",IF(COUNTIFS('Time Off Log'!$A$5:$A$504,$B15,'Time Off Log'!$C$5:$C$504,"&lt;="&amp;D$5,'Time Off Log'!$J$5:$J$504,"&gt;="&amp;D$5,'Time Off Log'!$E$5:$E$504,"Approved")&gt;0,"U",IF(COUNTIFS('Time Off Log'!$A$5:$A$504,$B15,'Time Off Log'!$C$5:$C$504,"&lt;="&amp;D$5,'Time Off Log'!$J$5:$J$504,"&gt;="&amp;D$5,'Time Off Log'!$E$5:$E$504,"Pending")&gt;0,"?",""))))))</f>
        <v/>
      </c>
      <c r="E15" s="44">
        <f>IF(OR(E$5="",$B15=""),"",IF(OR(WEEKDAY(E$5,2)&gt;5,COUNTIF(Holidays!$A$5:$A$40,E$5)&gt;0),"",IF(COUNTIFS('Time Off Log'!$A$5:$A$504,$B15,'Time Off Log'!$C$5:$C$504,"&lt;="&amp;E$5,'Time Off Log'!$J$5:$J$504,"&gt;="&amp;E$5,'Time Off Log'!$B$5:$B$504,"PTO",'Time Off Log'!$E$5:$E$504,"Approved")&gt;0,"P",IF(COUNTIFS('Time Off Log'!$A$5:$A$504,$B15,'Time Off Log'!$C$5:$C$504,"&lt;="&amp;E$5,'Time Off Log'!$J$5:$J$504,"&gt;="&amp;E$5,'Time Off Log'!$B$5:$B$504,"Sick",'Time Off Log'!$E$5:$E$504,"Approved")&gt;0,"S",IF(COUNTIFS('Time Off Log'!$A$5:$A$504,$B15,'Time Off Log'!$C$5:$C$504,"&lt;="&amp;E$5,'Time Off Log'!$J$5:$J$504,"&gt;="&amp;E$5,'Time Off Log'!$E$5:$E$504,"Approved")&gt;0,"U",IF(COUNTIFS('Time Off Log'!$A$5:$A$504,$B15,'Time Off Log'!$C$5:$C$504,"&lt;="&amp;E$5,'Time Off Log'!$J$5:$J$504,"&gt;="&amp;E$5,'Time Off Log'!$E$5:$E$504,"Pending")&gt;0,"?",""))))))</f>
        <v/>
      </c>
      <c r="F15" s="44">
        <f>IF(OR(F$5="",$B15=""),"",IF(OR(WEEKDAY(F$5,2)&gt;5,COUNTIF(Holidays!$A$5:$A$40,F$5)&gt;0),"",IF(COUNTIFS('Time Off Log'!$A$5:$A$504,$B15,'Time Off Log'!$C$5:$C$504,"&lt;="&amp;F$5,'Time Off Log'!$J$5:$J$504,"&gt;="&amp;F$5,'Time Off Log'!$B$5:$B$504,"PTO",'Time Off Log'!$E$5:$E$504,"Approved")&gt;0,"P",IF(COUNTIFS('Time Off Log'!$A$5:$A$504,$B15,'Time Off Log'!$C$5:$C$504,"&lt;="&amp;F$5,'Time Off Log'!$J$5:$J$504,"&gt;="&amp;F$5,'Time Off Log'!$B$5:$B$504,"Sick",'Time Off Log'!$E$5:$E$504,"Approved")&gt;0,"S",IF(COUNTIFS('Time Off Log'!$A$5:$A$504,$B15,'Time Off Log'!$C$5:$C$504,"&lt;="&amp;F$5,'Time Off Log'!$J$5:$J$504,"&gt;="&amp;F$5,'Time Off Log'!$E$5:$E$504,"Approved")&gt;0,"U",IF(COUNTIFS('Time Off Log'!$A$5:$A$504,$B15,'Time Off Log'!$C$5:$C$504,"&lt;="&amp;F$5,'Time Off Log'!$J$5:$J$504,"&gt;="&amp;F$5,'Time Off Log'!$E$5:$E$504,"Pending")&gt;0,"?",""))))))</f>
        <v/>
      </c>
      <c r="G15" s="44">
        <f>IF(OR(G$5="",$B15=""),"",IF(OR(WEEKDAY(G$5,2)&gt;5,COUNTIF(Holidays!$A$5:$A$40,G$5)&gt;0),"",IF(COUNTIFS('Time Off Log'!$A$5:$A$504,$B15,'Time Off Log'!$C$5:$C$504,"&lt;="&amp;G$5,'Time Off Log'!$J$5:$J$504,"&gt;="&amp;G$5,'Time Off Log'!$B$5:$B$504,"PTO",'Time Off Log'!$E$5:$E$504,"Approved")&gt;0,"P",IF(COUNTIFS('Time Off Log'!$A$5:$A$504,$B15,'Time Off Log'!$C$5:$C$504,"&lt;="&amp;G$5,'Time Off Log'!$J$5:$J$504,"&gt;="&amp;G$5,'Time Off Log'!$B$5:$B$504,"Sick",'Time Off Log'!$E$5:$E$504,"Approved")&gt;0,"S",IF(COUNTIFS('Time Off Log'!$A$5:$A$504,$B15,'Time Off Log'!$C$5:$C$504,"&lt;="&amp;G$5,'Time Off Log'!$J$5:$J$504,"&gt;="&amp;G$5,'Time Off Log'!$E$5:$E$504,"Approved")&gt;0,"U",IF(COUNTIFS('Time Off Log'!$A$5:$A$504,$B15,'Time Off Log'!$C$5:$C$504,"&lt;="&amp;G$5,'Time Off Log'!$J$5:$J$504,"&gt;="&amp;G$5,'Time Off Log'!$E$5:$E$504,"Pending")&gt;0,"?",""))))))</f>
        <v/>
      </c>
      <c r="H15" s="44">
        <f>IF(OR(H$5="",$B15=""),"",IF(OR(WEEKDAY(H$5,2)&gt;5,COUNTIF(Holidays!$A$5:$A$40,H$5)&gt;0),"",IF(COUNTIFS('Time Off Log'!$A$5:$A$504,$B15,'Time Off Log'!$C$5:$C$504,"&lt;="&amp;H$5,'Time Off Log'!$J$5:$J$504,"&gt;="&amp;H$5,'Time Off Log'!$B$5:$B$504,"PTO",'Time Off Log'!$E$5:$E$504,"Approved")&gt;0,"P",IF(COUNTIFS('Time Off Log'!$A$5:$A$504,$B15,'Time Off Log'!$C$5:$C$504,"&lt;="&amp;H$5,'Time Off Log'!$J$5:$J$504,"&gt;="&amp;H$5,'Time Off Log'!$B$5:$B$504,"Sick",'Time Off Log'!$E$5:$E$504,"Approved")&gt;0,"S",IF(COUNTIFS('Time Off Log'!$A$5:$A$504,$B15,'Time Off Log'!$C$5:$C$504,"&lt;="&amp;H$5,'Time Off Log'!$J$5:$J$504,"&gt;="&amp;H$5,'Time Off Log'!$E$5:$E$504,"Approved")&gt;0,"U",IF(COUNTIFS('Time Off Log'!$A$5:$A$504,$B15,'Time Off Log'!$C$5:$C$504,"&lt;="&amp;H$5,'Time Off Log'!$J$5:$J$504,"&gt;="&amp;H$5,'Time Off Log'!$E$5:$E$504,"Pending")&gt;0,"?",""))))))</f>
        <v/>
      </c>
      <c r="I15" s="44">
        <f>IF(OR(I$5="",$B15=""),"",IF(OR(WEEKDAY(I$5,2)&gt;5,COUNTIF(Holidays!$A$5:$A$40,I$5)&gt;0),"",IF(COUNTIFS('Time Off Log'!$A$5:$A$504,$B15,'Time Off Log'!$C$5:$C$504,"&lt;="&amp;I$5,'Time Off Log'!$J$5:$J$504,"&gt;="&amp;I$5,'Time Off Log'!$B$5:$B$504,"PTO",'Time Off Log'!$E$5:$E$504,"Approved")&gt;0,"P",IF(COUNTIFS('Time Off Log'!$A$5:$A$504,$B15,'Time Off Log'!$C$5:$C$504,"&lt;="&amp;I$5,'Time Off Log'!$J$5:$J$504,"&gt;="&amp;I$5,'Time Off Log'!$B$5:$B$504,"Sick",'Time Off Log'!$E$5:$E$504,"Approved")&gt;0,"S",IF(COUNTIFS('Time Off Log'!$A$5:$A$504,$B15,'Time Off Log'!$C$5:$C$504,"&lt;="&amp;I$5,'Time Off Log'!$J$5:$J$504,"&gt;="&amp;I$5,'Time Off Log'!$E$5:$E$504,"Approved")&gt;0,"U",IF(COUNTIFS('Time Off Log'!$A$5:$A$504,$B15,'Time Off Log'!$C$5:$C$504,"&lt;="&amp;I$5,'Time Off Log'!$J$5:$J$504,"&gt;="&amp;I$5,'Time Off Log'!$E$5:$E$504,"Pending")&gt;0,"?",""))))))</f>
        <v/>
      </c>
      <c r="J15" s="44">
        <f>IF(OR(J$5="",$B15=""),"",IF(OR(WEEKDAY(J$5,2)&gt;5,COUNTIF(Holidays!$A$5:$A$40,J$5)&gt;0),"",IF(COUNTIFS('Time Off Log'!$A$5:$A$504,$B15,'Time Off Log'!$C$5:$C$504,"&lt;="&amp;J$5,'Time Off Log'!$J$5:$J$504,"&gt;="&amp;J$5,'Time Off Log'!$B$5:$B$504,"PTO",'Time Off Log'!$E$5:$E$504,"Approved")&gt;0,"P",IF(COUNTIFS('Time Off Log'!$A$5:$A$504,$B15,'Time Off Log'!$C$5:$C$504,"&lt;="&amp;J$5,'Time Off Log'!$J$5:$J$504,"&gt;="&amp;J$5,'Time Off Log'!$B$5:$B$504,"Sick",'Time Off Log'!$E$5:$E$504,"Approved")&gt;0,"S",IF(COUNTIFS('Time Off Log'!$A$5:$A$504,$B15,'Time Off Log'!$C$5:$C$504,"&lt;="&amp;J$5,'Time Off Log'!$J$5:$J$504,"&gt;="&amp;J$5,'Time Off Log'!$E$5:$E$504,"Approved")&gt;0,"U",IF(COUNTIFS('Time Off Log'!$A$5:$A$504,$B15,'Time Off Log'!$C$5:$C$504,"&lt;="&amp;J$5,'Time Off Log'!$J$5:$J$504,"&gt;="&amp;J$5,'Time Off Log'!$E$5:$E$504,"Pending")&gt;0,"?",""))))))</f>
        <v/>
      </c>
      <c r="K15" s="44">
        <f>IF(OR(K$5="",$B15=""),"",IF(OR(WEEKDAY(K$5,2)&gt;5,COUNTIF(Holidays!$A$5:$A$40,K$5)&gt;0),"",IF(COUNTIFS('Time Off Log'!$A$5:$A$504,$B15,'Time Off Log'!$C$5:$C$504,"&lt;="&amp;K$5,'Time Off Log'!$J$5:$J$504,"&gt;="&amp;K$5,'Time Off Log'!$B$5:$B$504,"PTO",'Time Off Log'!$E$5:$E$504,"Approved")&gt;0,"P",IF(COUNTIFS('Time Off Log'!$A$5:$A$504,$B15,'Time Off Log'!$C$5:$C$504,"&lt;="&amp;K$5,'Time Off Log'!$J$5:$J$504,"&gt;="&amp;K$5,'Time Off Log'!$B$5:$B$504,"Sick",'Time Off Log'!$E$5:$E$504,"Approved")&gt;0,"S",IF(COUNTIFS('Time Off Log'!$A$5:$A$504,$B15,'Time Off Log'!$C$5:$C$504,"&lt;="&amp;K$5,'Time Off Log'!$J$5:$J$504,"&gt;="&amp;K$5,'Time Off Log'!$E$5:$E$504,"Approved")&gt;0,"U",IF(COUNTIFS('Time Off Log'!$A$5:$A$504,$B15,'Time Off Log'!$C$5:$C$504,"&lt;="&amp;K$5,'Time Off Log'!$J$5:$J$504,"&gt;="&amp;K$5,'Time Off Log'!$E$5:$E$504,"Pending")&gt;0,"?",""))))))</f>
        <v/>
      </c>
      <c r="L15" s="44">
        <f>IF(OR(L$5="",$B15=""),"",IF(OR(WEEKDAY(L$5,2)&gt;5,COUNTIF(Holidays!$A$5:$A$40,L$5)&gt;0),"",IF(COUNTIFS('Time Off Log'!$A$5:$A$504,$B15,'Time Off Log'!$C$5:$C$504,"&lt;="&amp;L$5,'Time Off Log'!$J$5:$J$504,"&gt;="&amp;L$5,'Time Off Log'!$B$5:$B$504,"PTO",'Time Off Log'!$E$5:$E$504,"Approved")&gt;0,"P",IF(COUNTIFS('Time Off Log'!$A$5:$A$504,$B15,'Time Off Log'!$C$5:$C$504,"&lt;="&amp;L$5,'Time Off Log'!$J$5:$J$504,"&gt;="&amp;L$5,'Time Off Log'!$B$5:$B$504,"Sick",'Time Off Log'!$E$5:$E$504,"Approved")&gt;0,"S",IF(COUNTIFS('Time Off Log'!$A$5:$A$504,$B15,'Time Off Log'!$C$5:$C$504,"&lt;="&amp;L$5,'Time Off Log'!$J$5:$J$504,"&gt;="&amp;L$5,'Time Off Log'!$E$5:$E$504,"Approved")&gt;0,"U",IF(COUNTIFS('Time Off Log'!$A$5:$A$504,$B15,'Time Off Log'!$C$5:$C$504,"&lt;="&amp;L$5,'Time Off Log'!$J$5:$J$504,"&gt;="&amp;L$5,'Time Off Log'!$E$5:$E$504,"Pending")&gt;0,"?",""))))))</f>
        <v/>
      </c>
      <c r="M15" s="44">
        <f>IF(OR(M$5="",$B15=""),"",IF(OR(WEEKDAY(M$5,2)&gt;5,COUNTIF(Holidays!$A$5:$A$40,M$5)&gt;0),"",IF(COUNTIFS('Time Off Log'!$A$5:$A$504,$B15,'Time Off Log'!$C$5:$C$504,"&lt;="&amp;M$5,'Time Off Log'!$J$5:$J$504,"&gt;="&amp;M$5,'Time Off Log'!$B$5:$B$504,"PTO",'Time Off Log'!$E$5:$E$504,"Approved")&gt;0,"P",IF(COUNTIFS('Time Off Log'!$A$5:$A$504,$B15,'Time Off Log'!$C$5:$C$504,"&lt;="&amp;M$5,'Time Off Log'!$J$5:$J$504,"&gt;="&amp;M$5,'Time Off Log'!$B$5:$B$504,"Sick",'Time Off Log'!$E$5:$E$504,"Approved")&gt;0,"S",IF(COUNTIFS('Time Off Log'!$A$5:$A$504,$B15,'Time Off Log'!$C$5:$C$504,"&lt;="&amp;M$5,'Time Off Log'!$J$5:$J$504,"&gt;="&amp;M$5,'Time Off Log'!$E$5:$E$504,"Approved")&gt;0,"U",IF(COUNTIFS('Time Off Log'!$A$5:$A$504,$B15,'Time Off Log'!$C$5:$C$504,"&lt;="&amp;M$5,'Time Off Log'!$J$5:$J$504,"&gt;="&amp;M$5,'Time Off Log'!$E$5:$E$504,"Pending")&gt;0,"?",""))))))</f>
        <v/>
      </c>
      <c r="N15" s="44">
        <f>IF(OR(N$5="",$B15=""),"",IF(OR(WEEKDAY(N$5,2)&gt;5,COUNTIF(Holidays!$A$5:$A$40,N$5)&gt;0),"",IF(COUNTIFS('Time Off Log'!$A$5:$A$504,$B15,'Time Off Log'!$C$5:$C$504,"&lt;="&amp;N$5,'Time Off Log'!$J$5:$J$504,"&gt;="&amp;N$5,'Time Off Log'!$B$5:$B$504,"PTO",'Time Off Log'!$E$5:$E$504,"Approved")&gt;0,"P",IF(COUNTIFS('Time Off Log'!$A$5:$A$504,$B15,'Time Off Log'!$C$5:$C$504,"&lt;="&amp;N$5,'Time Off Log'!$J$5:$J$504,"&gt;="&amp;N$5,'Time Off Log'!$B$5:$B$504,"Sick",'Time Off Log'!$E$5:$E$504,"Approved")&gt;0,"S",IF(COUNTIFS('Time Off Log'!$A$5:$A$504,$B15,'Time Off Log'!$C$5:$C$504,"&lt;="&amp;N$5,'Time Off Log'!$J$5:$J$504,"&gt;="&amp;N$5,'Time Off Log'!$E$5:$E$504,"Approved")&gt;0,"U",IF(COUNTIFS('Time Off Log'!$A$5:$A$504,$B15,'Time Off Log'!$C$5:$C$504,"&lt;="&amp;N$5,'Time Off Log'!$J$5:$J$504,"&gt;="&amp;N$5,'Time Off Log'!$E$5:$E$504,"Pending")&gt;0,"?",""))))))</f>
        <v/>
      </c>
      <c r="O15" s="44">
        <f>IF(OR(O$5="",$B15=""),"",IF(OR(WEEKDAY(O$5,2)&gt;5,COUNTIF(Holidays!$A$5:$A$40,O$5)&gt;0),"",IF(COUNTIFS('Time Off Log'!$A$5:$A$504,$B15,'Time Off Log'!$C$5:$C$504,"&lt;="&amp;O$5,'Time Off Log'!$J$5:$J$504,"&gt;="&amp;O$5,'Time Off Log'!$B$5:$B$504,"PTO",'Time Off Log'!$E$5:$E$504,"Approved")&gt;0,"P",IF(COUNTIFS('Time Off Log'!$A$5:$A$504,$B15,'Time Off Log'!$C$5:$C$504,"&lt;="&amp;O$5,'Time Off Log'!$J$5:$J$504,"&gt;="&amp;O$5,'Time Off Log'!$B$5:$B$504,"Sick",'Time Off Log'!$E$5:$E$504,"Approved")&gt;0,"S",IF(COUNTIFS('Time Off Log'!$A$5:$A$504,$B15,'Time Off Log'!$C$5:$C$504,"&lt;="&amp;O$5,'Time Off Log'!$J$5:$J$504,"&gt;="&amp;O$5,'Time Off Log'!$E$5:$E$504,"Approved")&gt;0,"U",IF(COUNTIFS('Time Off Log'!$A$5:$A$504,$B15,'Time Off Log'!$C$5:$C$504,"&lt;="&amp;O$5,'Time Off Log'!$J$5:$J$504,"&gt;="&amp;O$5,'Time Off Log'!$E$5:$E$504,"Pending")&gt;0,"?",""))))))</f>
        <v/>
      </c>
      <c r="P15" s="44">
        <f>IF(OR(P$5="",$B15=""),"",IF(OR(WEEKDAY(P$5,2)&gt;5,COUNTIF(Holidays!$A$5:$A$40,P$5)&gt;0),"",IF(COUNTIFS('Time Off Log'!$A$5:$A$504,$B15,'Time Off Log'!$C$5:$C$504,"&lt;="&amp;P$5,'Time Off Log'!$J$5:$J$504,"&gt;="&amp;P$5,'Time Off Log'!$B$5:$B$504,"PTO",'Time Off Log'!$E$5:$E$504,"Approved")&gt;0,"P",IF(COUNTIFS('Time Off Log'!$A$5:$A$504,$B15,'Time Off Log'!$C$5:$C$504,"&lt;="&amp;P$5,'Time Off Log'!$J$5:$J$504,"&gt;="&amp;P$5,'Time Off Log'!$B$5:$B$504,"Sick",'Time Off Log'!$E$5:$E$504,"Approved")&gt;0,"S",IF(COUNTIFS('Time Off Log'!$A$5:$A$504,$B15,'Time Off Log'!$C$5:$C$504,"&lt;="&amp;P$5,'Time Off Log'!$J$5:$J$504,"&gt;="&amp;P$5,'Time Off Log'!$E$5:$E$504,"Approved")&gt;0,"U",IF(COUNTIFS('Time Off Log'!$A$5:$A$504,$B15,'Time Off Log'!$C$5:$C$504,"&lt;="&amp;P$5,'Time Off Log'!$J$5:$J$504,"&gt;="&amp;P$5,'Time Off Log'!$E$5:$E$504,"Pending")&gt;0,"?",""))))))</f>
        <v/>
      </c>
      <c r="Q15" s="44">
        <f>IF(OR(Q$5="",$B15=""),"",IF(OR(WEEKDAY(Q$5,2)&gt;5,COUNTIF(Holidays!$A$5:$A$40,Q$5)&gt;0),"",IF(COUNTIFS('Time Off Log'!$A$5:$A$504,$B15,'Time Off Log'!$C$5:$C$504,"&lt;="&amp;Q$5,'Time Off Log'!$J$5:$J$504,"&gt;="&amp;Q$5,'Time Off Log'!$B$5:$B$504,"PTO",'Time Off Log'!$E$5:$E$504,"Approved")&gt;0,"P",IF(COUNTIFS('Time Off Log'!$A$5:$A$504,$B15,'Time Off Log'!$C$5:$C$504,"&lt;="&amp;Q$5,'Time Off Log'!$J$5:$J$504,"&gt;="&amp;Q$5,'Time Off Log'!$B$5:$B$504,"Sick",'Time Off Log'!$E$5:$E$504,"Approved")&gt;0,"S",IF(COUNTIFS('Time Off Log'!$A$5:$A$504,$B15,'Time Off Log'!$C$5:$C$504,"&lt;="&amp;Q$5,'Time Off Log'!$J$5:$J$504,"&gt;="&amp;Q$5,'Time Off Log'!$E$5:$E$504,"Approved")&gt;0,"U",IF(COUNTIFS('Time Off Log'!$A$5:$A$504,$B15,'Time Off Log'!$C$5:$C$504,"&lt;="&amp;Q$5,'Time Off Log'!$J$5:$J$504,"&gt;="&amp;Q$5,'Time Off Log'!$E$5:$E$504,"Pending")&gt;0,"?",""))))))</f>
        <v/>
      </c>
      <c r="R15" s="44">
        <f>IF(OR(R$5="",$B15=""),"",IF(OR(WEEKDAY(R$5,2)&gt;5,COUNTIF(Holidays!$A$5:$A$40,R$5)&gt;0),"",IF(COUNTIFS('Time Off Log'!$A$5:$A$504,$B15,'Time Off Log'!$C$5:$C$504,"&lt;="&amp;R$5,'Time Off Log'!$J$5:$J$504,"&gt;="&amp;R$5,'Time Off Log'!$B$5:$B$504,"PTO",'Time Off Log'!$E$5:$E$504,"Approved")&gt;0,"P",IF(COUNTIFS('Time Off Log'!$A$5:$A$504,$B15,'Time Off Log'!$C$5:$C$504,"&lt;="&amp;R$5,'Time Off Log'!$J$5:$J$504,"&gt;="&amp;R$5,'Time Off Log'!$B$5:$B$504,"Sick",'Time Off Log'!$E$5:$E$504,"Approved")&gt;0,"S",IF(COUNTIFS('Time Off Log'!$A$5:$A$504,$B15,'Time Off Log'!$C$5:$C$504,"&lt;="&amp;R$5,'Time Off Log'!$J$5:$J$504,"&gt;="&amp;R$5,'Time Off Log'!$E$5:$E$504,"Approved")&gt;0,"U",IF(COUNTIFS('Time Off Log'!$A$5:$A$504,$B15,'Time Off Log'!$C$5:$C$504,"&lt;="&amp;R$5,'Time Off Log'!$J$5:$J$504,"&gt;="&amp;R$5,'Time Off Log'!$E$5:$E$504,"Pending")&gt;0,"?",""))))))</f>
        <v/>
      </c>
      <c r="S15" s="44">
        <f>IF(OR(S$5="",$B15=""),"",IF(OR(WEEKDAY(S$5,2)&gt;5,COUNTIF(Holidays!$A$5:$A$40,S$5)&gt;0),"",IF(COUNTIFS('Time Off Log'!$A$5:$A$504,$B15,'Time Off Log'!$C$5:$C$504,"&lt;="&amp;S$5,'Time Off Log'!$J$5:$J$504,"&gt;="&amp;S$5,'Time Off Log'!$B$5:$B$504,"PTO",'Time Off Log'!$E$5:$E$504,"Approved")&gt;0,"P",IF(COUNTIFS('Time Off Log'!$A$5:$A$504,$B15,'Time Off Log'!$C$5:$C$504,"&lt;="&amp;S$5,'Time Off Log'!$J$5:$J$504,"&gt;="&amp;S$5,'Time Off Log'!$B$5:$B$504,"Sick",'Time Off Log'!$E$5:$E$504,"Approved")&gt;0,"S",IF(COUNTIFS('Time Off Log'!$A$5:$A$504,$B15,'Time Off Log'!$C$5:$C$504,"&lt;="&amp;S$5,'Time Off Log'!$J$5:$J$504,"&gt;="&amp;S$5,'Time Off Log'!$E$5:$E$504,"Approved")&gt;0,"U",IF(COUNTIFS('Time Off Log'!$A$5:$A$504,$B15,'Time Off Log'!$C$5:$C$504,"&lt;="&amp;S$5,'Time Off Log'!$J$5:$J$504,"&gt;="&amp;S$5,'Time Off Log'!$E$5:$E$504,"Pending")&gt;0,"?",""))))))</f>
        <v/>
      </c>
      <c r="T15" s="44">
        <f>IF(OR(T$5="",$B15=""),"",IF(OR(WEEKDAY(T$5,2)&gt;5,COUNTIF(Holidays!$A$5:$A$40,T$5)&gt;0),"",IF(COUNTIFS('Time Off Log'!$A$5:$A$504,$B15,'Time Off Log'!$C$5:$C$504,"&lt;="&amp;T$5,'Time Off Log'!$J$5:$J$504,"&gt;="&amp;T$5,'Time Off Log'!$B$5:$B$504,"PTO",'Time Off Log'!$E$5:$E$504,"Approved")&gt;0,"P",IF(COUNTIFS('Time Off Log'!$A$5:$A$504,$B15,'Time Off Log'!$C$5:$C$504,"&lt;="&amp;T$5,'Time Off Log'!$J$5:$J$504,"&gt;="&amp;T$5,'Time Off Log'!$B$5:$B$504,"Sick",'Time Off Log'!$E$5:$E$504,"Approved")&gt;0,"S",IF(COUNTIFS('Time Off Log'!$A$5:$A$504,$B15,'Time Off Log'!$C$5:$C$504,"&lt;="&amp;T$5,'Time Off Log'!$J$5:$J$504,"&gt;="&amp;T$5,'Time Off Log'!$E$5:$E$504,"Approved")&gt;0,"U",IF(COUNTIFS('Time Off Log'!$A$5:$A$504,$B15,'Time Off Log'!$C$5:$C$504,"&lt;="&amp;T$5,'Time Off Log'!$J$5:$J$504,"&gt;="&amp;T$5,'Time Off Log'!$E$5:$E$504,"Pending")&gt;0,"?",""))))))</f>
        <v/>
      </c>
      <c r="U15" s="44">
        <f>IF(OR(U$5="",$B15=""),"",IF(OR(WEEKDAY(U$5,2)&gt;5,COUNTIF(Holidays!$A$5:$A$40,U$5)&gt;0),"",IF(COUNTIFS('Time Off Log'!$A$5:$A$504,$B15,'Time Off Log'!$C$5:$C$504,"&lt;="&amp;U$5,'Time Off Log'!$J$5:$J$504,"&gt;="&amp;U$5,'Time Off Log'!$B$5:$B$504,"PTO",'Time Off Log'!$E$5:$E$504,"Approved")&gt;0,"P",IF(COUNTIFS('Time Off Log'!$A$5:$A$504,$B15,'Time Off Log'!$C$5:$C$504,"&lt;="&amp;U$5,'Time Off Log'!$J$5:$J$504,"&gt;="&amp;U$5,'Time Off Log'!$B$5:$B$504,"Sick",'Time Off Log'!$E$5:$E$504,"Approved")&gt;0,"S",IF(COUNTIFS('Time Off Log'!$A$5:$A$504,$B15,'Time Off Log'!$C$5:$C$504,"&lt;="&amp;U$5,'Time Off Log'!$J$5:$J$504,"&gt;="&amp;U$5,'Time Off Log'!$E$5:$E$504,"Approved")&gt;0,"U",IF(COUNTIFS('Time Off Log'!$A$5:$A$504,$B15,'Time Off Log'!$C$5:$C$504,"&lt;="&amp;U$5,'Time Off Log'!$J$5:$J$504,"&gt;="&amp;U$5,'Time Off Log'!$E$5:$E$504,"Pending")&gt;0,"?",""))))))</f>
        <v/>
      </c>
      <c r="V15" s="44">
        <f>IF(OR(V$5="",$B15=""),"",IF(OR(WEEKDAY(V$5,2)&gt;5,COUNTIF(Holidays!$A$5:$A$40,V$5)&gt;0),"",IF(COUNTIFS('Time Off Log'!$A$5:$A$504,$B15,'Time Off Log'!$C$5:$C$504,"&lt;="&amp;V$5,'Time Off Log'!$J$5:$J$504,"&gt;="&amp;V$5,'Time Off Log'!$B$5:$B$504,"PTO",'Time Off Log'!$E$5:$E$504,"Approved")&gt;0,"P",IF(COUNTIFS('Time Off Log'!$A$5:$A$504,$B15,'Time Off Log'!$C$5:$C$504,"&lt;="&amp;V$5,'Time Off Log'!$J$5:$J$504,"&gt;="&amp;V$5,'Time Off Log'!$B$5:$B$504,"Sick",'Time Off Log'!$E$5:$E$504,"Approved")&gt;0,"S",IF(COUNTIFS('Time Off Log'!$A$5:$A$504,$B15,'Time Off Log'!$C$5:$C$504,"&lt;="&amp;V$5,'Time Off Log'!$J$5:$J$504,"&gt;="&amp;V$5,'Time Off Log'!$E$5:$E$504,"Approved")&gt;0,"U",IF(COUNTIFS('Time Off Log'!$A$5:$A$504,$B15,'Time Off Log'!$C$5:$C$504,"&lt;="&amp;V$5,'Time Off Log'!$J$5:$J$504,"&gt;="&amp;V$5,'Time Off Log'!$E$5:$E$504,"Pending")&gt;0,"?",""))))))</f>
        <v/>
      </c>
      <c r="W15" s="44">
        <f>IF(OR(W$5="",$B15=""),"",IF(OR(WEEKDAY(W$5,2)&gt;5,COUNTIF(Holidays!$A$5:$A$40,W$5)&gt;0),"",IF(COUNTIFS('Time Off Log'!$A$5:$A$504,$B15,'Time Off Log'!$C$5:$C$504,"&lt;="&amp;W$5,'Time Off Log'!$J$5:$J$504,"&gt;="&amp;W$5,'Time Off Log'!$B$5:$B$504,"PTO",'Time Off Log'!$E$5:$E$504,"Approved")&gt;0,"P",IF(COUNTIFS('Time Off Log'!$A$5:$A$504,$B15,'Time Off Log'!$C$5:$C$504,"&lt;="&amp;W$5,'Time Off Log'!$J$5:$J$504,"&gt;="&amp;W$5,'Time Off Log'!$B$5:$B$504,"Sick",'Time Off Log'!$E$5:$E$504,"Approved")&gt;0,"S",IF(COUNTIFS('Time Off Log'!$A$5:$A$504,$B15,'Time Off Log'!$C$5:$C$504,"&lt;="&amp;W$5,'Time Off Log'!$J$5:$J$504,"&gt;="&amp;W$5,'Time Off Log'!$E$5:$E$504,"Approved")&gt;0,"U",IF(COUNTIFS('Time Off Log'!$A$5:$A$504,$B15,'Time Off Log'!$C$5:$C$504,"&lt;="&amp;W$5,'Time Off Log'!$J$5:$J$504,"&gt;="&amp;W$5,'Time Off Log'!$E$5:$E$504,"Pending")&gt;0,"?",""))))))</f>
        <v/>
      </c>
      <c r="X15" s="44">
        <f>IF(OR(X$5="",$B15=""),"",IF(OR(WEEKDAY(X$5,2)&gt;5,COUNTIF(Holidays!$A$5:$A$40,X$5)&gt;0),"",IF(COUNTIFS('Time Off Log'!$A$5:$A$504,$B15,'Time Off Log'!$C$5:$C$504,"&lt;="&amp;X$5,'Time Off Log'!$J$5:$J$504,"&gt;="&amp;X$5,'Time Off Log'!$B$5:$B$504,"PTO",'Time Off Log'!$E$5:$E$504,"Approved")&gt;0,"P",IF(COUNTIFS('Time Off Log'!$A$5:$A$504,$B15,'Time Off Log'!$C$5:$C$504,"&lt;="&amp;X$5,'Time Off Log'!$J$5:$J$504,"&gt;="&amp;X$5,'Time Off Log'!$B$5:$B$504,"Sick",'Time Off Log'!$E$5:$E$504,"Approved")&gt;0,"S",IF(COUNTIFS('Time Off Log'!$A$5:$A$504,$B15,'Time Off Log'!$C$5:$C$504,"&lt;="&amp;X$5,'Time Off Log'!$J$5:$J$504,"&gt;="&amp;X$5,'Time Off Log'!$E$5:$E$504,"Approved")&gt;0,"U",IF(COUNTIFS('Time Off Log'!$A$5:$A$504,$B15,'Time Off Log'!$C$5:$C$504,"&lt;="&amp;X$5,'Time Off Log'!$J$5:$J$504,"&gt;="&amp;X$5,'Time Off Log'!$E$5:$E$504,"Pending")&gt;0,"?",""))))))</f>
        <v/>
      </c>
      <c r="Y15" s="44">
        <f>IF(OR(Y$5="",$B15=""),"",IF(OR(WEEKDAY(Y$5,2)&gt;5,COUNTIF(Holidays!$A$5:$A$40,Y$5)&gt;0),"",IF(COUNTIFS('Time Off Log'!$A$5:$A$504,$B15,'Time Off Log'!$C$5:$C$504,"&lt;="&amp;Y$5,'Time Off Log'!$J$5:$J$504,"&gt;="&amp;Y$5,'Time Off Log'!$B$5:$B$504,"PTO",'Time Off Log'!$E$5:$E$504,"Approved")&gt;0,"P",IF(COUNTIFS('Time Off Log'!$A$5:$A$504,$B15,'Time Off Log'!$C$5:$C$504,"&lt;="&amp;Y$5,'Time Off Log'!$J$5:$J$504,"&gt;="&amp;Y$5,'Time Off Log'!$B$5:$B$504,"Sick",'Time Off Log'!$E$5:$E$504,"Approved")&gt;0,"S",IF(COUNTIFS('Time Off Log'!$A$5:$A$504,$B15,'Time Off Log'!$C$5:$C$504,"&lt;="&amp;Y$5,'Time Off Log'!$J$5:$J$504,"&gt;="&amp;Y$5,'Time Off Log'!$E$5:$E$504,"Approved")&gt;0,"U",IF(COUNTIFS('Time Off Log'!$A$5:$A$504,$B15,'Time Off Log'!$C$5:$C$504,"&lt;="&amp;Y$5,'Time Off Log'!$J$5:$J$504,"&gt;="&amp;Y$5,'Time Off Log'!$E$5:$E$504,"Pending")&gt;0,"?",""))))))</f>
        <v/>
      </c>
      <c r="Z15" s="44">
        <f>IF(OR(Z$5="",$B15=""),"",IF(OR(WEEKDAY(Z$5,2)&gt;5,COUNTIF(Holidays!$A$5:$A$40,Z$5)&gt;0),"",IF(COUNTIFS('Time Off Log'!$A$5:$A$504,$B15,'Time Off Log'!$C$5:$C$504,"&lt;="&amp;Z$5,'Time Off Log'!$J$5:$J$504,"&gt;="&amp;Z$5,'Time Off Log'!$B$5:$B$504,"PTO",'Time Off Log'!$E$5:$E$504,"Approved")&gt;0,"P",IF(COUNTIFS('Time Off Log'!$A$5:$A$504,$B15,'Time Off Log'!$C$5:$C$504,"&lt;="&amp;Z$5,'Time Off Log'!$J$5:$J$504,"&gt;="&amp;Z$5,'Time Off Log'!$B$5:$B$504,"Sick",'Time Off Log'!$E$5:$E$504,"Approved")&gt;0,"S",IF(COUNTIFS('Time Off Log'!$A$5:$A$504,$B15,'Time Off Log'!$C$5:$C$504,"&lt;="&amp;Z$5,'Time Off Log'!$J$5:$J$504,"&gt;="&amp;Z$5,'Time Off Log'!$E$5:$E$504,"Approved")&gt;0,"U",IF(COUNTIFS('Time Off Log'!$A$5:$A$504,$B15,'Time Off Log'!$C$5:$C$504,"&lt;="&amp;Z$5,'Time Off Log'!$J$5:$J$504,"&gt;="&amp;Z$5,'Time Off Log'!$E$5:$E$504,"Pending")&gt;0,"?",""))))))</f>
        <v/>
      </c>
      <c r="AA15" s="44">
        <f>IF(OR(AA$5="",$B15=""),"",IF(OR(WEEKDAY(AA$5,2)&gt;5,COUNTIF(Holidays!$A$5:$A$40,AA$5)&gt;0),"",IF(COUNTIFS('Time Off Log'!$A$5:$A$504,$B15,'Time Off Log'!$C$5:$C$504,"&lt;="&amp;AA$5,'Time Off Log'!$J$5:$J$504,"&gt;="&amp;AA$5,'Time Off Log'!$B$5:$B$504,"PTO",'Time Off Log'!$E$5:$E$504,"Approved")&gt;0,"P",IF(COUNTIFS('Time Off Log'!$A$5:$A$504,$B15,'Time Off Log'!$C$5:$C$504,"&lt;="&amp;AA$5,'Time Off Log'!$J$5:$J$504,"&gt;="&amp;AA$5,'Time Off Log'!$B$5:$B$504,"Sick",'Time Off Log'!$E$5:$E$504,"Approved")&gt;0,"S",IF(COUNTIFS('Time Off Log'!$A$5:$A$504,$B15,'Time Off Log'!$C$5:$C$504,"&lt;="&amp;AA$5,'Time Off Log'!$J$5:$J$504,"&gt;="&amp;AA$5,'Time Off Log'!$E$5:$E$504,"Approved")&gt;0,"U",IF(COUNTIFS('Time Off Log'!$A$5:$A$504,$B15,'Time Off Log'!$C$5:$C$504,"&lt;="&amp;AA$5,'Time Off Log'!$J$5:$J$504,"&gt;="&amp;AA$5,'Time Off Log'!$E$5:$E$504,"Pending")&gt;0,"?",""))))))</f>
        <v/>
      </c>
      <c r="AB15" s="44">
        <f>IF(OR(AB$5="",$B15=""),"",IF(OR(WEEKDAY(AB$5,2)&gt;5,COUNTIF(Holidays!$A$5:$A$40,AB$5)&gt;0),"",IF(COUNTIFS('Time Off Log'!$A$5:$A$504,$B15,'Time Off Log'!$C$5:$C$504,"&lt;="&amp;AB$5,'Time Off Log'!$J$5:$J$504,"&gt;="&amp;AB$5,'Time Off Log'!$B$5:$B$504,"PTO",'Time Off Log'!$E$5:$E$504,"Approved")&gt;0,"P",IF(COUNTIFS('Time Off Log'!$A$5:$A$504,$B15,'Time Off Log'!$C$5:$C$504,"&lt;="&amp;AB$5,'Time Off Log'!$J$5:$J$504,"&gt;="&amp;AB$5,'Time Off Log'!$B$5:$B$504,"Sick",'Time Off Log'!$E$5:$E$504,"Approved")&gt;0,"S",IF(COUNTIFS('Time Off Log'!$A$5:$A$504,$B15,'Time Off Log'!$C$5:$C$504,"&lt;="&amp;AB$5,'Time Off Log'!$J$5:$J$504,"&gt;="&amp;AB$5,'Time Off Log'!$E$5:$E$504,"Approved")&gt;0,"U",IF(COUNTIFS('Time Off Log'!$A$5:$A$504,$B15,'Time Off Log'!$C$5:$C$504,"&lt;="&amp;AB$5,'Time Off Log'!$J$5:$J$504,"&gt;="&amp;AB$5,'Time Off Log'!$E$5:$E$504,"Pending")&gt;0,"?",""))))))</f>
        <v/>
      </c>
      <c r="AC15" s="44">
        <f>IF(OR(AC$5="",$B15=""),"",IF(OR(WEEKDAY(AC$5,2)&gt;5,COUNTIF(Holidays!$A$5:$A$40,AC$5)&gt;0),"",IF(COUNTIFS('Time Off Log'!$A$5:$A$504,$B15,'Time Off Log'!$C$5:$C$504,"&lt;="&amp;AC$5,'Time Off Log'!$J$5:$J$504,"&gt;="&amp;AC$5,'Time Off Log'!$B$5:$B$504,"PTO",'Time Off Log'!$E$5:$E$504,"Approved")&gt;0,"P",IF(COUNTIFS('Time Off Log'!$A$5:$A$504,$B15,'Time Off Log'!$C$5:$C$504,"&lt;="&amp;AC$5,'Time Off Log'!$J$5:$J$504,"&gt;="&amp;AC$5,'Time Off Log'!$B$5:$B$504,"Sick",'Time Off Log'!$E$5:$E$504,"Approved")&gt;0,"S",IF(COUNTIFS('Time Off Log'!$A$5:$A$504,$B15,'Time Off Log'!$C$5:$C$504,"&lt;="&amp;AC$5,'Time Off Log'!$J$5:$J$504,"&gt;="&amp;AC$5,'Time Off Log'!$E$5:$E$504,"Approved")&gt;0,"U",IF(COUNTIFS('Time Off Log'!$A$5:$A$504,$B15,'Time Off Log'!$C$5:$C$504,"&lt;="&amp;AC$5,'Time Off Log'!$J$5:$J$504,"&gt;="&amp;AC$5,'Time Off Log'!$E$5:$E$504,"Pending")&gt;0,"?",""))))))</f>
        <v/>
      </c>
      <c r="AD15" s="44">
        <f>IF(OR(AD$5="",$B15=""),"",IF(OR(WEEKDAY(AD$5,2)&gt;5,COUNTIF(Holidays!$A$5:$A$40,AD$5)&gt;0),"",IF(COUNTIFS('Time Off Log'!$A$5:$A$504,$B15,'Time Off Log'!$C$5:$C$504,"&lt;="&amp;AD$5,'Time Off Log'!$J$5:$J$504,"&gt;="&amp;AD$5,'Time Off Log'!$B$5:$B$504,"PTO",'Time Off Log'!$E$5:$E$504,"Approved")&gt;0,"P",IF(COUNTIFS('Time Off Log'!$A$5:$A$504,$B15,'Time Off Log'!$C$5:$C$504,"&lt;="&amp;AD$5,'Time Off Log'!$J$5:$J$504,"&gt;="&amp;AD$5,'Time Off Log'!$B$5:$B$504,"Sick",'Time Off Log'!$E$5:$E$504,"Approved")&gt;0,"S",IF(COUNTIFS('Time Off Log'!$A$5:$A$504,$B15,'Time Off Log'!$C$5:$C$504,"&lt;="&amp;AD$5,'Time Off Log'!$J$5:$J$504,"&gt;="&amp;AD$5,'Time Off Log'!$E$5:$E$504,"Approved")&gt;0,"U",IF(COUNTIFS('Time Off Log'!$A$5:$A$504,$B15,'Time Off Log'!$C$5:$C$504,"&lt;="&amp;AD$5,'Time Off Log'!$J$5:$J$504,"&gt;="&amp;AD$5,'Time Off Log'!$E$5:$E$504,"Pending")&gt;0,"?",""))))))</f>
        <v/>
      </c>
      <c r="AE15" s="44">
        <f>IF(OR(AE$5="",$B15=""),"",IF(OR(WEEKDAY(AE$5,2)&gt;5,COUNTIF(Holidays!$A$5:$A$40,AE$5)&gt;0),"",IF(COUNTIFS('Time Off Log'!$A$5:$A$504,$B15,'Time Off Log'!$C$5:$C$504,"&lt;="&amp;AE$5,'Time Off Log'!$J$5:$J$504,"&gt;="&amp;AE$5,'Time Off Log'!$B$5:$B$504,"PTO",'Time Off Log'!$E$5:$E$504,"Approved")&gt;0,"P",IF(COUNTIFS('Time Off Log'!$A$5:$A$504,$B15,'Time Off Log'!$C$5:$C$504,"&lt;="&amp;AE$5,'Time Off Log'!$J$5:$J$504,"&gt;="&amp;AE$5,'Time Off Log'!$B$5:$B$504,"Sick",'Time Off Log'!$E$5:$E$504,"Approved")&gt;0,"S",IF(COUNTIFS('Time Off Log'!$A$5:$A$504,$B15,'Time Off Log'!$C$5:$C$504,"&lt;="&amp;AE$5,'Time Off Log'!$J$5:$J$504,"&gt;="&amp;AE$5,'Time Off Log'!$E$5:$E$504,"Approved")&gt;0,"U",IF(COUNTIFS('Time Off Log'!$A$5:$A$504,$B15,'Time Off Log'!$C$5:$C$504,"&lt;="&amp;AE$5,'Time Off Log'!$J$5:$J$504,"&gt;="&amp;AE$5,'Time Off Log'!$E$5:$E$504,"Pending")&gt;0,"?",""))))))</f>
        <v/>
      </c>
      <c r="AF15" s="44">
        <f>IF(OR(AF$5="",$B15=""),"",IF(OR(WEEKDAY(AF$5,2)&gt;5,COUNTIF(Holidays!$A$5:$A$40,AF$5)&gt;0),"",IF(COUNTIFS('Time Off Log'!$A$5:$A$504,$B15,'Time Off Log'!$C$5:$C$504,"&lt;="&amp;AF$5,'Time Off Log'!$J$5:$J$504,"&gt;="&amp;AF$5,'Time Off Log'!$B$5:$B$504,"PTO",'Time Off Log'!$E$5:$E$504,"Approved")&gt;0,"P",IF(COUNTIFS('Time Off Log'!$A$5:$A$504,$B15,'Time Off Log'!$C$5:$C$504,"&lt;="&amp;AF$5,'Time Off Log'!$J$5:$J$504,"&gt;="&amp;AF$5,'Time Off Log'!$B$5:$B$504,"Sick",'Time Off Log'!$E$5:$E$504,"Approved")&gt;0,"S",IF(COUNTIFS('Time Off Log'!$A$5:$A$504,$B15,'Time Off Log'!$C$5:$C$504,"&lt;="&amp;AF$5,'Time Off Log'!$J$5:$J$504,"&gt;="&amp;AF$5,'Time Off Log'!$E$5:$E$504,"Approved")&gt;0,"U",IF(COUNTIFS('Time Off Log'!$A$5:$A$504,$B15,'Time Off Log'!$C$5:$C$504,"&lt;="&amp;AF$5,'Time Off Log'!$J$5:$J$504,"&gt;="&amp;AF$5,'Time Off Log'!$E$5:$E$504,"Pending")&gt;0,"?",""))))))</f>
        <v/>
      </c>
      <c r="AG15" s="44">
        <f>IF(OR(AG$5="",$B15=""),"",IF(OR(WEEKDAY(AG$5,2)&gt;5,COUNTIF(Holidays!$A$5:$A$40,AG$5)&gt;0),"",IF(COUNTIFS('Time Off Log'!$A$5:$A$504,$B15,'Time Off Log'!$C$5:$C$504,"&lt;="&amp;AG$5,'Time Off Log'!$J$5:$J$504,"&gt;="&amp;AG$5,'Time Off Log'!$B$5:$B$504,"PTO",'Time Off Log'!$E$5:$E$504,"Approved")&gt;0,"P",IF(COUNTIFS('Time Off Log'!$A$5:$A$504,$B15,'Time Off Log'!$C$5:$C$504,"&lt;="&amp;AG$5,'Time Off Log'!$J$5:$J$504,"&gt;="&amp;AG$5,'Time Off Log'!$B$5:$B$504,"Sick",'Time Off Log'!$E$5:$E$504,"Approved")&gt;0,"S",IF(COUNTIFS('Time Off Log'!$A$5:$A$504,$B15,'Time Off Log'!$C$5:$C$504,"&lt;="&amp;AG$5,'Time Off Log'!$J$5:$J$504,"&gt;="&amp;AG$5,'Time Off Log'!$E$5:$E$504,"Approved")&gt;0,"U",IF(COUNTIFS('Time Off Log'!$A$5:$A$504,$B15,'Time Off Log'!$C$5:$C$504,"&lt;="&amp;AG$5,'Time Off Log'!$J$5:$J$504,"&gt;="&amp;AG$5,'Time Off Log'!$E$5:$E$504,"Pending")&gt;0,"?",""))))))</f>
        <v/>
      </c>
    </row>
    <row r="16">
      <c r="A16" s="24" t="n">
        <v>11</v>
      </c>
      <c r="B16" s="24">
        <f>IF(Employees!B15="","",Employees!B15)</f>
        <v/>
      </c>
      <c r="C16" s="44">
        <f>IF(OR(C$5="",$B16=""),"",IF(OR(WEEKDAY(C$5,2)&gt;5,COUNTIF(Holidays!$A$5:$A$40,C$5)&gt;0),"",IF(COUNTIFS('Time Off Log'!$A$5:$A$504,$B16,'Time Off Log'!$C$5:$C$504,"&lt;="&amp;C$5,'Time Off Log'!$J$5:$J$504,"&gt;="&amp;C$5,'Time Off Log'!$B$5:$B$504,"PTO",'Time Off Log'!$E$5:$E$504,"Approved")&gt;0,"P",IF(COUNTIFS('Time Off Log'!$A$5:$A$504,$B16,'Time Off Log'!$C$5:$C$504,"&lt;="&amp;C$5,'Time Off Log'!$J$5:$J$504,"&gt;="&amp;C$5,'Time Off Log'!$B$5:$B$504,"Sick",'Time Off Log'!$E$5:$E$504,"Approved")&gt;0,"S",IF(COUNTIFS('Time Off Log'!$A$5:$A$504,$B16,'Time Off Log'!$C$5:$C$504,"&lt;="&amp;C$5,'Time Off Log'!$J$5:$J$504,"&gt;="&amp;C$5,'Time Off Log'!$E$5:$E$504,"Approved")&gt;0,"U",IF(COUNTIFS('Time Off Log'!$A$5:$A$504,$B16,'Time Off Log'!$C$5:$C$504,"&lt;="&amp;C$5,'Time Off Log'!$J$5:$J$504,"&gt;="&amp;C$5,'Time Off Log'!$E$5:$E$504,"Pending")&gt;0,"?",""))))))</f>
        <v/>
      </c>
      <c r="D16" s="44">
        <f>IF(OR(D$5="",$B16=""),"",IF(OR(WEEKDAY(D$5,2)&gt;5,COUNTIF(Holidays!$A$5:$A$40,D$5)&gt;0),"",IF(COUNTIFS('Time Off Log'!$A$5:$A$504,$B16,'Time Off Log'!$C$5:$C$504,"&lt;="&amp;D$5,'Time Off Log'!$J$5:$J$504,"&gt;="&amp;D$5,'Time Off Log'!$B$5:$B$504,"PTO",'Time Off Log'!$E$5:$E$504,"Approved")&gt;0,"P",IF(COUNTIFS('Time Off Log'!$A$5:$A$504,$B16,'Time Off Log'!$C$5:$C$504,"&lt;="&amp;D$5,'Time Off Log'!$J$5:$J$504,"&gt;="&amp;D$5,'Time Off Log'!$B$5:$B$504,"Sick",'Time Off Log'!$E$5:$E$504,"Approved")&gt;0,"S",IF(COUNTIFS('Time Off Log'!$A$5:$A$504,$B16,'Time Off Log'!$C$5:$C$504,"&lt;="&amp;D$5,'Time Off Log'!$J$5:$J$504,"&gt;="&amp;D$5,'Time Off Log'!$E$5:$E$504,"Approved")&gt;0,"U",IF(COUNTIFS('Time Off Log'!$A$5:$A$504,$B16,'Time Off Log'!$C$5:$C$504,"&lt;="&amp;D$5,'Time Off Log'!$J$5:$J$504,"&gt;="&amp;D$5,'Time Off Log'!$E$5:$E$504,"Pending")&gt;0,"?",""))))))</f>
        <v/>
      </c>
      <c r="E16" s="44">
        <f>IF(OR(E$5="",$B16=""),"",IF(OR(WEEKDAY(E$5,2)&gt;5,COUNTIF(Holidays!$A$5:$A$40,E$5)&gt;0),"",IF(COUNTIFS('Time Off Log'!$A$5:$A$504,$B16,'Time Off Log'!$C$5:$C$504,"&lt;="&amp;E$5,'Time Off Log'!$J$5:$J$504,"&gt;="&amp;E$5,'Time Off Log'!$B$5:$B$504,"PTO",'Time Off Log'!$E$5:$E$504,"Approved")&gt;0,"P",IF(COUNTIFS('Time Off Log'!$A$5:$A$504,$B16,'Time Off Log'!$C$5:$C$504,"&lt;="&amp;E$5,'Time Off Log'!$J$5:$J$504,"&gt;="&amp;E$5,'Time Off Log'!$B$5:$B$504,"Sick",'Time Off Log'!$E$5:$E$504,"Approved")&gt;0,"S",IF(COUNTIFS('Time Off Log'!$A$5:$A$504,$B16,'Time Off Log'!$C$5:$C$504,"&lt;="&amp;E$5,'Time Off Log'!$J$5:$J$504,"&gt;="&amp;E$5,'Time Off Log'!$E$5:$E$504,"Approved")&gt;0,"U",IF(COUNTIFS('Time Off Log'!$A$5:$A$504,$B16,'Time Off Log'!$C$5:$C$504,"&lt;="&amp;E$5,'Time Off Log'!$J$5:$J$504,"&gt;="&amp;E$5,'Time Off Log'!$E$5:$E$504,"Pending")&gt;0,"?",""))))))</f>
        <v/>
      </c>
      <c r="F16" s="44">
        <f>IF(OR(F$5="",$B16=""),"",IF(OR(WEEKDAY(F$5,2)&gt;5,COUNTIF(Holidays!$A$5:$A$40,F$5)&gt;0),"",IF(COUNTIFS('Time Off Log'!$A$5:$A$504,$B16,'Time Off Log'!$C$5:$C$504,"&lt;="&amp;F$5,'Time Off Log'!$J$5:$J$504,"&gt;="&amp;F$5,'Time Off Log'!$B$5:$B$504,"PTO",'Time Off Log'!$E$5:$E$504,"Approved")&gt;0,"P",IF(COUNTIFS('Time Off Log'!$A$5:$A$504,$B16,'Time Off Log'!$C$5:$C$504,"&lt;="&amp;F$5,'Time Off Log'!$J$5:$J$504,"&gt;="&amp;F$5,'Time Off Log'!$B$5:$B$504,"Sick",'Time Off Log'!$E$5:$E$504,"Approved")&gt;0,"S",IF(COUNTIFS('Time Off Log'!$A$5:$A$504,$B16,'Time Off Log'!$C$5:$C$504,"&lt;="&amp;F$5,'Time Off Log'!$J$5:$J$504,"&gt;="&amp;F$5,'Time Off Log'!$E$5:$E$504,"Approved")&gt;0,"U",IF(COUNTIFS('Time Off Log'!$A$5:$A$504,$B16,'Time Off Log'!$C$5:$C$504,"&lt;="&amp;F$5,'Time Off Log'!$J$5:$J$504,"&gt;="&amp;F$5,'Time Off Log'!$E$5:$E$504,"Pending")&gt;0,"?",""))))))</f>
        <v/>
      </c>
      <c r="G16" s="44">
        <f>IF(OR(G$5="",$B16=""),"",IF(OR(WEEKDAY(G$5,2)&gt;5,COUNTIF(Holidays!$A$5:$A$40,G$5)&gt;0),"",IF(COUNTIFS('Time Off Log'!$A$5:$A$504,$B16,'Time Off Log'!$C$5:$C$504,"&lt;="&amp;G$5,'Time Off Log'!$J$5:$J$504,"&gt;="&amp;G$5,'Time Off Log'!$B$5:$B$504,"PTO",'Time Off Log'!$E$5:$E$504,"Approved")&gt;0,"P",IF(COUNTIFS('Time Off Log'!$A$5:$A$504,$B16,'Time Off Log'!$C$5:$C$504,"&lt;="&amp;G$5,'Time Off Log'!$J$5:$J$504,"&gt;="&amp;G$5,'Time Off Log'!$B$5:$B$504,"Sick",'Time Off Log'!$E$5:$E$504,"Approved")&gt;0,"S",IF(COUNTIFS('Time Off Log'!$A$5:$A$504,$B16,'Time Off Log'!$C$5:$C$504,"&lt;="&amp;G$5,'Time Off Log'!$J$5:$J$504,"&gt;="&amp;G$5,'Time Off Log'!$E$5:$E$504,"Approved")&gt;0,"U",IF(COUNTIFS('Time Off Log'!$A$5:$A$504,$B16,'Time Off Log'!$C$5:$C$504,"&lt;="&amp;G$5,'Time Off Log'!$J$5:$J$504,"&gt;="&amp;G$5,'Time Off Log'!$E$5:$E$504,"Pending")&gt;0,"?",""))))))</f>
        <v/>
      </c>
      <c r="H16" s="44">
        <f>IF(OR(H$5="",$B16=""),"",IF(OR(WEEKDAY(H$5,2)&gt;5,COUNTIF(Holidays!$A$5:$A$40,H$5)&gt;0),"",IF(COUNTIFS('Time Off Log'!$A$5:$A$504,$B16,'Time Off Log'!$C$5:$C$504,"&lt;="&amp;H$5,'Time Off Log'!$J$5:$J$504,"&gt;="&amp;H$5,'Time Off Log'!$B$5:$B$504,"PTO",'Time Off Log'!$E$5:$E$504,"Approved")&gt;0,"P",IF(COUNTIFS('Time Off Log'!$A$5:$A$504,$B16,'Time Off Log'!$C$5:$C$504,"&lt;="&amp;H$5,'Time Off Log'!$J$5:$J$504,"&gt;="&amp;H$5,'Time Off Log'!$B$5:$B$504,"Sick",'Time Off Log'!$E$5:$E$504,"Approved")&gt;0,"S",IF(COUNTIFS('Time Off Log'!$A$5:$A$504,$B16,'Time Off Log'!$C$5:$C$504,"&lt;="&amp;H$5,'Time Off Log'!$J$5:$J$504,"&gt;="&amp;H$5,'Time Off Log'!$E$5:$E$504,"Approved")&gt;0,"U",IF(COUNTIFS('Time Off Log'!$A$5:$A$504,$B16,'Time Off Log'!$C$5:$C$504,"&lt;="&amp;H$5,'Time Off Log'!$J$5:$J$504,"&gt;="&amp;H$5,'Time Off Log'!$E$5:$E$504,"Pending")&gt;0,"?",""))))))</f>
        <v/>
      </c>
      <c r="I16" s="44">
        <f>IF(OR(I$5="",$B16=""),"",IF(OR(WEEKDAY(I$5,2)&gt;5,COUNTIF(Holidays!$A$5:$A$40,I$5)&gt;0),"",IF(COUNTIFS('Time Off Log'!$A$5:$A$504,$B16,'Time Off Log'!$C$5:$C$504,"&lt;="&amp;I$5,'Time Off Log'!$J$5:$J$504,"&gt;="&amp;I$5,'Time Off Log'!$B$5:$B$504,"PTO",'Time Off Log'!$E$5:$E$504,"Approved")&gt;0,"P",IF(COUNTIFS('Time Off Log'!$A$5:$A$504,$B16,'Time Off Log'!$C$5:$C$504,"&lt;="&amp;I$5,'Time Off Log'!$J$5:$J$504,"&gt;="&amp;I$5,'Time Off Log'!$B$5:$B$504,"Sick",'Time Off Log'!$E$5:$E$504,"Approved")&gt;0,"S",IF(COUNTIFS('Time Off Log'!$A$5:$A$504,$B16,'Time Off Log'!$C$5:$C$504,"&lt;="&amp;I$5,'Time Off Log'!$J$5:$J$504,"&gt;="&amp;I$5,'Time Off Log'!$E$5:$E$504,"Approved")&gt;0,"U",IF(COUNTIFS('Time Off Log'!$A$5:$A$504,$B16,'Time Off Log'!$C$5:$C$504,"&lt;="&amp;I$5,'Time Off Log'!$J$5:$J$504,"&gt;="&amp;I$5,'Time Off Log'!$E$5:$E$504,"Pending")&gt;0,"?",""))))))</f>
        <v/>
      </c>
      <c r="J16" s="44">
        <f>IF(OR(J$5="",$B16=""),"",IF(OR(WEEKDAY(J$5,2)&gt;5,COUNTIF(Holidays!$A$5:$A$40,J$5)&gt;0),"",IF(COUNTIFS('Time Off Log'!$A$5:$A$504,$B16,'Time Off Log'!$C$5:$C$504,"&lt;="&amp;J$5,'Time Off Log'!$J$5:$J$504,"&gt;="&amp;J$5,'Time Off Log'!$B$5:$B$504,"PTO",'Time Off Log'!$E$5:$E$504,"Approved")&gt;0,"P",IF(COUNTIFS('Time Off Log'!$A$5:$A$504,$B16,'Time Off Log'!$C$5:$C$504,"&lt;="&amp;J$5,'Time Off Log'!$J$5:$J$504,"&gt;="&amp;J$5,'Time Off Log'!$B$5:$B$504,"Sick",'Time Off Log'!$E$5:$E$504,"Approved")&gt;0,"S",IF(COUNTIFS('Time Off Log'!$A$5:$A$504,$B16,'Time Off Log'!$C$5:$C$504,"&lt;="&amp;J$5,'Time Off Log'!$J$5:$J$504,"&gt;="&amp;J$5,'Time Off Log'!$E$5:$E$504,"Approved")&gt;0,"U",IF(COUNTIFS('Time Off Log'!$A$5:$A$504,$B16,'Time Off Log'!$C$5:$C$504,"&lt;="&amp;J$5,'Time Off Log'!$J$5:$J$504,"&gt;="&amp;J$5,'Time Off Log'!$E$5:$E$504,"Pending")&gt;0,"?",""))))))</f>
        <v/>
      </c>
      <c r="K16" s="44">
        <f>IF(OR(K$5="",$B16=""),"",IF(OR(WEEKDAY(K$5,2)&gt;5,COUNTIF(Holidays!$A$5:$A$40,K$5)&gt;0),"",IF(COUNTIFS('Time Off Log'!$A$5:$A$504,$B16,'Time Off Log'!$C$5:$C$504,"&lt;="&amp;K$5,'Time Off Log'!$J$5:$J$504,"&gt;="&amp;K$5,'Time Off Log'!$B$5:$B$504,"PTO",'Time Off Log'!$E$5:$E$504,"Approved")&gt;0,"P",IF(COUNTIFS('Time Off Log'!$A$5:$A$504,$B16,'Time Off Log'!$C$5:$C$504,"&lt;="&amp;K$5,'Time Off Log'!$J$5:$J$504,"&gt;="&amp;K$5,'Time Off Log'!$B$5:$B$504,"Sick",'Time Off Log'!$E$5:$E$504,"Approved")&gt;0,"S",IF(COUNTIFS('Time Off Log'!$A$5:$A$504,$B16,'Time Off Log'!$C$5:$C$504,"&lt;="&amp;K$5,'Time Off Log'!$J$5:$J$504,"&gt;="&amp;K$5,'Time Off Log'!$E$5:$E$504,"Approved")&gt;0,"U",IF(COUNTIFS('Time Off Log'!$A$5:$A$504,$B16,'Time Off Log'!$C$5:$C$504,"&lt;="&amp;K$5,'Time Off Log'!$J$5:$J$504,"&gt;="&amp;K$5,'Time Off Log'!$E$5:$E$504,"Pending")&gt;0,"?",""))))))</f>
        <v/>
      </c>
      <c r="L16" s="44">
        <f>IF(OR(L$5="",$B16=""),"",IF(OR(WEEKDAY(L$5,2)&gt;5,COUNTIF(Holidays!$A$5:$A$40,L$5)&gt;0),"",IF(COUNTIFS('Time Off Log'!$A$5:$A$504,$B16,'Time Off Log'!$C$5:$C$504,"&lt;="&amp;L$5,'Time Off Log'!$J$5:$J$504,"&gt;="&amp;L$5,'Time Off Log'!$B$5:$B$504,"PTO",'Time Off Log'!$E$5:$E$504,"Approved")&gt;0,"P",IF(COUNTIFS('Time Off Log'!$A$5:$A$504,$B16,'Time Off Log'!$C$5:$C$504,"&lt;="&amp;L$5,'Time Off Log'!$J$5:$J$504,"&gt;="&amp;L$5,'Time Off Log'!$B$5:$B$504,"Sick",'Time Off Log'!$E$5:$E$504,"Approved")&gt;0,"S",IF(COUNTIFS('Time Off Log'!$A$5:$A$504,$B16,'Time Off Log'!$C$5:$C$504,"&lt;="&amp;L$5,'Time Off Log'!$J$5:$J$504,"&gt;="&amp;L$5,'Time Off Log'!$E$5:$E$504,"Approved")&gt;0,"U",IF(COUNTIFS('Time Off Log'!$A$5:$A$504,$B16,'Time Off Log'!$C$5:$C$504,"&lt;="&amp;L$5,'Time Off Log'!$J$5:$J$504,"&gt;="&amp;L$5,'Time Off Log'!$E$5:$E$504,"Pending")&gt;0,"?",""))))))</f>
        <v/>
      </c>
      <c r="M16" s="44">
        <f>IF(OR(M$5="",$B16=""),"",IF(OR(WEEKDAY(M$5,2)&gt;5,COUNTIF(Holidays!$A$5:$A$40,M$5)&gt;0),"",IF(COUNTIFS('Time Off Log'!$A$5:$A$504,$B16,'Time Off Log'!$C$5:$C$504,"&lt;="&amp;M$5,'Time Off Log'!$J$5:$J$504,"&gt;="&amp;M$5,'Time Off Log'!$B$5:$B$504,"PTO",'Time Off Log'!$E$5:$E$504,"Approved")&gt;0,"P",IF(COUNTIFS('Time Off Log'!$A$5:$A$504,$B16,'Time Off Log'!$C$5:$C$504,"&lt;="&amp;M$5,'Time Off Log'!$J$5:$J$504,"&gt;="&amp;M$5,'Time Off Log'!$B$5:$B$504,"Sick",'Time Off Log'!$E$5:$E$504,"Approved")&gt;0,"S",IF(COUNTIFS('Time Off Log'!$A$5:$A$504,$B16,'Time Off Log'!$C$5:$C$504,"&lt;="&amp;M$5,'Time Off Log'!$J$5:$J$504,"&gt;="&amp;M$5,'Time Off Log'!$E$5:$E$504,"Approved")&gt;0,"U",IF(COUNTIFS('Time Off Log'!$A$5:$A$504,$B16,'Time Off Log'!$C$5:$C$504,"&lt;="&amp;M$5,'Time Off Log'!$J$5:$J$504,"&gt;="&amp;M$5,'Time Off Log'!$E$5:$E$504,"Pending")&gt;0,"?",""))))))</f>
        <v/>
      </c>
      <c r="N16" s="44">
        <f>IF(OR(N$5="",$B16=""),"",IF(OR(WEEKDAY(N$5,2)&gt;5,COUNTIF(Holidays!$A$5:$A$40,N$5)&gt;0),"",IF(COUNTIFS('Time Off Log'!$A$5:$A$504,$B16,'Time Off Log'!$C$5:$C$504,"&lt;="&amp;N$5,'Time Off Log'!$J$5:$J$504,"&gt;="&amp;N$5,'Time Off Log'!$B$5:$B$504,"PTO",'Time Off Log'!$E$5:$E$504,"Approved")&gt;0,"P",IF(COUNTIFS('Time Off Log'!$A$5:$A$504,$B16,'Time Off Log'!$C$5:$C$504,"&lt;="&amp;N$5,'Time Off Log'!$J$5:$J$504,"&gt;="&amp;N$5,'Time Off Log'!$B$5:$B$504,"Sick",'Time Off Log'!$E$5:$E$504,"Approved")&gt;0,"S",IF(COUNTIFS('Time Off Log'!$A$5:$A$504,$B16,'Time Off Log'!$C$5:$C$504,"&lt;="&amp;N$5,'Time Off Log'!$J$5:$J$504,"&gt;="&amp;N$5,'Time Off Log'!$E$5:$E$504,"Approved")&gt;0,"U",IF(COUNTIFS('Time Off Log'!$A$5:$A$504,$B16,'Time Off Log'!$C$5:$C$504,"&lt;="&amp;N$5,'Time Off Log'!$J$5:$J$504,"&gt;="&amp;N$5,'Time Off Log'!$E$5:$E$504,"Pending")&gt;0,"?",""))))))</f>
        <v/>
      </c>
      <c r="O16" s="44">
        <f>IF(OR(O$5="",$B16=""),"",IF(OR(WEEKDAY(O$5,2)&gt;5,COUNTIF(Holidays!$A$5:$A$40,O$5)&gt;0),"",IF(COUNTIFS('Time Off Log'!$A$5:$A$504,$B16,'Time Off Log'!$C$5:$C$504,"&lt;="&amp;O$5,'Time Off Log'!$J$5:$J$504,"&gt;="&amp;O$5,'Time Off Log'!$B$5:$B$504,"PTO",'Time Off Log'!$E$5:$E$504,"Approved")&gt;0,"P",IF(COUNTIFS('Time Off Log'!$A$5:$A$504,$B16,'Time Off Log'!$C$5:$C$504,"&lt;="&amp;O$5,'Time Off Log'!$J$5:$J$504,"&gt;="&amp;O$5,'Time Off Log'!$B$5:$B$504,"Sick",'Time Off Log'!$E$5:$E$504,"Approved")&gt;0,"S",IF(COUNTIFS('Time Off Log'!$A$5:$A$504,$B16,'Time Off Log'!$C$5:$C$504,"&lt;="&amp;O$5,'Time Off Log'!$J$5:$J$504,"&gt;="&amp;O$5,'Time Off Log'!$E$5:$E$504,"Approved")&gt;0,"U",IF(COUNTIFS('Time Off Log'!$A$5:$A$504,$B16,'Time Off Log'!$C$5:$C$504,"&lt;="&amp;O$5,'Time Off Log'!$J$5:$J$504,"&gt;="&amp;O$5,'Time Off Log'!$E$5:$E$504,"Pending")&gt;0,"?",""))))))</f>
        <v/>
      </c>
      <c r="P16" s="44">
        <f>IF(OR(P$5="",$B16=""),"",IF(OR(WEEKDAY(P$5,2)&gt;5,COUNTIF(Holidays!$A$5:$A$40,P$5)&gt;0),"",IF(COUNTIFS('Time Off Log'!$A$5:$A$504,$B16,'Time Off Log'!$C$5:$C$504,"&lt;="&amp;P$5,'Time Off Log'!$J$5:$J$504,"&gt;="&amp;P$5,'Time Off Log'!$B$5:$B$504,"PTO",'Time Off Log'!$E$5:$E$504,"Approved")&gt;0,"P",IF(COUNTIFS('Time Off Log'!$A$5:$A$504,$B16,'Time Off Log'!$C$5:$C$504,"&lt;="&amp;P$5,'Time Off Log'!$J$5:$J$504,"&gt;="&amp;P$5,'Time Off Log'!$B$5:$B$504,"Sick",'Time Off Log'!$E$5:$E$504,"Approved")&gt;0,"S",IF(COUNTIFS('Time Off Log'!$A$5:$A$504,$B16,'Time Off Log'!$C$5:$C$504,"&lt;="&amp;P$5,'Time Off Log'!$J$5:$J$504,"&gt;="&amp;P$5,'Time Off Log'!$E$5:$E$504,"Approved")&gt;0,"U",IF(COUNTIFS('Time Off Log'!$A$5:$A$504,$B16,'Time Off Log'!$C$5:$C$504,"&lt;="&amp;P$5,'Time Off Log'!$J$5:$J$504,"&gt;="&amp;P$5,'Time Off Log'!$E$5:$E$504,"Pending")&gt;0,"?",""))))))</f>
        <v/>
      </c>
      <c r="Q16" s="44">
        <f>IF(OR(Q$5="",$B16=""),"",IF(OR(WEEKDAY(Q$5,2)&gt;5,COUNTIF(Holidays!$A$5:$A$40,Q$5)&gt;0),"",IF(COUNTIFS('Time Off Log'!$A$5:$A$504,$B16,'Time Off Log'!$C$5:$C$504,"&lt;="&amp;Q$5,'Time Off Log'!$J$5:$J$504,"&gt;="&amp;Q$5,'Time Off Log'!$B$5:$B$504,"PTO",'Time Off Log'!$E$5:$E$504,"Approved")&gt;0,"P",IF(COUNTIFS('Time Off Log'!$A$5:$A$504,$B16,'Time Off Log'!$C$5:$C$504,"&lt;="&amp;Q$5,'Time Off Log'!$J$5:$J$504,"&gt;="&amp;Q$5,'Time Off Log'!$B$5:$B$504,"Sick",'Time Off Log'!$E$5:$E$504,"Approved")&gt;0,"S",IF(COUNTIFS('Time Off Log'!$A$5:$A$504,$B16,'Time Off Log'!$C$5:$C$504,"&lt;="&amp;Q$5,'Time Off Log'!$J$5:$J$504,"&gt;="&amp;Q$5,'Time Off Log'!$E$5:$E$504,"Approved")&gt;0,"U",IF(COUNTIFS('Time Off Log'!$A$5:$A$504,$B16,'Time Off Log'!$C$5:$C$504,"&lt;="&amp;Q$5,'Time Off Log'!$J$5:$J$504,"&gt;="&amp;Q$5,'Time Off Log'!$E$5:$E$504,"Pending")&gt;0,"?",""))))))</f>
        <v/>
      </c>
      <c r="R16" s="44">
        <f>IF(OR(R$5="",$B16=""),"",IF(OR(WEEKDAY(R$5,2)&gt;5,COUNTIF(Holidays!$A$5:$A$40,R$5)&gt;0),"",IF(COUNTIFS('Time Off Log'!$A$5:$A$504,$B16,'Time Off Log'!$C$5:$C$504,"&lt;="&amp;R$5,'Time Off Log'!$J$5:$J$504,"&gt;="&amp;R$5,'Time Off Log'!$B$5:$B$504,"PTO",'Time Off Log'!$E$5:$E$504,"Approved")&gt;0,"P",IF(COUNTIFS('Time Off Log'!$A$5:$A$504,$B16,'Time Off Log'!$C$5:$C$504,"&lt;="&amp;R$5,'Time Off Log'!$J$5:$J$504,"&gt;="&amp;R$5,'Time Off Log'!$B$5:$B$504,"Sick",'Time Off Log'!$E$5:$E$504,"Approved")&gt;0,"S",IF(COUNTIFS('Time Off Log'!$A$5:$A$504,$B16,'Time Off Log'!$C$5:$C$504,"&lt;="&amp;R$5,'Time Off Log'!$J$5:$J$504,"&gt;="&amp;R$5,'Time Off Log'!$E$5:$E$504,"Approved")&gt;0,"U",IF(COUNTIFS('Time Off Log'!$A$5:$A$504,$B16,'Time Off Log'!$C$5:$C$504,"&lt;="&amp;R$5,'Time Off Log'!$J$5:$J$504,"&gt;="&amp;R$5,'Time Off Log'!$E$5:$E$504,"Pending")&gt;0,"?",""))))))</f>
        <v/>
      </c>
      <c r="S16" s="44">
        <f>IF(OR(S$5="",$B16=""),"",IF(OR(WEEKDAY(S$5,2)&gt;5,COUNTIF(Holidays!$A$5:$A$40,S$5)&gt;0),"",IF(COUNTIFS('Time Off Log'!$A$5:$A$504,$B16,'Time Off Log'!$C$5:$C$504,"&lt;="&amp;S$5,'Time Off Log'!$J$5:$J$504,"&gt;="&amp;S$5,'Time Off Log'!$B$5:$B$504,"PTO",'Time Off Log'!$E$5:$E$504,"Approved")&gt;0,"P",IF(COUNTIFS('Time Off Log'!$A$5:$A$504,$B16,'Time Off Log'!$C$5:$C$504,"&lt;="&amp;S$5,'Time Off Log'!$J$5:$J$504,"&gt;="&amp;S$5,'Time Off Log'!$B$5:$B$504,"Sick",'Time Off Log'!$E$5:$E$504,"Approved")&gt;0,"S",IF(COUNTIFS('Time Off Log'!$A$5:$A$504,$B16,'Time Off Log'!$C$5:$C$504,"&lt;="&amp;S$5,'Time Off Log'!$J$5:$J$504,"&gt;="&amp;S$5,'Time Off Log'!$E$5:$E$504,"Approved")&gt;0,"U",IF(COUNTIFS('Time Off Log'!$A$5:$A$504,$B16,'Time Off Log'!$C$5:$C$504,"&lt;="&amp;S$5,'Time Off Log'!$J$5:$J$504,"&gt;="&amp;S$5,'Time Off Log'!$E$5:$E$504,"Pending")&gt;0,"?",""))))))</f>
        <v/>
      </c>
      <c r="T16" s="44">
        <f>IF(OR(T$5="",$B16=""),"",IF(OR(WEEKDAY(T$5,2)&gt;5,COUNTIF(Holidays!$A$5:$A$40,T$5)&gt;0),"",IF(COUNTIFS('Time Off Log'!$A$5:$A$504,$B16,'Time Off Log'!$C$5:$C$504,"&lt;="&amp;T$5,'Time Off Log'!$J$5:$J$504,"&gt;="&amp;T$5,'Time Off Log'!$B$5:$B$504,"PTO",'Time Off Log'!$E$5:$E$504,"Approved")&gt;0,"P",IF(COUNTIFS('Time Off Log'!$A$5:$A$504,$B16,'Time Off Log'!$C$5:$C$504,"&lt;="&amp;T$5,'Time Off Log'!$J$5:$J$504,"&gt;="&amp;T$5,'Time Off Log'!$B$5:$B$504,"Sick",'Time Off Log'!$E$5:$E$504,"Approved")&gt;0,"S",IF(COUNTIFS('Time Off Log'!$A$5:$A$504,$B16,'Time Off Log'!$C$5:$C$504,"&lt;="&amp;T$5,'Time Off Log'!$J$5:$J$504,"&gt;="&amp;T$5,'Time Off Log'!$E$5:$E$504,"Approved")&gt;0,"U",IF(COUNTIFS('Time Off Log'!$A$5:$A$504,$B16,'Time Off Log'!$C$5:$C$504,"&lt;="&amp;T$5,'Time Off Log'!$J$5:$J$504,"&gt;="&amp;T$5,'Time Off Log'!$E$5:$E$504,"Pending")&gt;0,"?",""))))))</f>
        <v/>
      </c>
      <c r="U16" s="44">
        <f>IF(OR(U$5="",$B16=""),"",IF(OR(WEEKDAY(U$5,2)&gt;5,COUNTIF(Holidays!$A$5:$A$40,U$5)&gt;0),"",IF(COUNTIFS('Time Off Log'!$A$5:$A$504,$B16,'Time Off Log'!$C$5:$C$504,"&lt;="&amp;U$5,'Time Off Log'!$J$5:$J$504,"&gt;="&amp;U$5,'Time Off Log'!$B$5:$B$504,"PTO",'Time Off Log'!$E$5:$E$504,"Approved")&gt;0,"P",IF(COUNTIFS('Time Off Log'!$A$5:$A$504,$B16,'Time Off Log'!$C$5:$C$504,"&lt;="&amp;U$5,'Time Off Log'!$J$5:$J$504,"&gt;="&amp;U$5,'Time Off Log'!$B$5:$B$504,"Sick",'Time Off Log'!$E$5:$E$504,"Approved")&gt;0,"S",IF(COUNTIFS('Time Off Log'!$A$5:$A$504,$B16,'Time Off Log'!$C$5:$C$504,"&lt;="&amp;U$5,'Time Off Log'!$J$5:$J$504,"&gt;="&amp;U$5,'Time Off Log'!$E$5:$E$504,"Approved")&gt;0,"U",IF(COUNTIFS('Time Off Log'!$A$5:$A$504,$B16,'Time Off Log'!$C$5:$C$504,"&lt;="&amp;U$5,'Time Off Log'!$J$5:$J$504,"&gt;="&amp;U$5,'Time Off Log'!$E$5:$E$504,"Pending")&gt;0,"?",""))))))</f>
        <v/>
      </c>
      <c r="V16" s="44">
        <f>IF(OR(V$5="",$B16=""),"",IF(OR(WEEKDAY(V$5,2)&gt;5,COUNTIF(Holidays!$A$5:$A$40,V$5)&gt;0),"",IF(COUNTIFS('Time Off Log'!$A$5:$A$504,$B16,'Time Off Log'!$C$5:$C$504,"&lt;="&amp;V$5,'Time Off Log'!$J$5:$J$504,"&gt;="&amp;V$5,'Time Off Log'!$B$5:$B$504,"PTO",'Time Off Log'!$E$5:$E$504,"Approved")&gt;0,"P",IF(COUNTIFS('Time Off Log'!$A$5:$A$504,$B16,'Time Off Log'!$C$5:$C$504,"&lt;="&amp;V$5,'Time Off Log'!$J$5:$J$504,"&gt;="&amp;V$5,'Time Off Log'!$B$5:$B$504,"Sick",'Time Off Log'!$E$5:$E$504,"Approved")&gt;0,"S",IF(COUNTIFS('Time Off Log'!$A$5:$A$504,$B16,'Time Off Log'!$C$5:$C$504,"&lt;="&amp;V$5,'Time Off Log'!$J$5:$J$504,"&gt;="&amp;V$5,'Time Off Log'!$E$5:$E$504,"Approved")&gt;0,"U",IF(COUNTIFS('Time Off Log'!$A$5:$A$504,$B16,'Time Off Log'!$C$5:$C$504,"&lt;="&amp;V$5,'Time Off Log'!$J$5:$J$504,"&gt;="&amp;V$5,'Time Off Log'!$E$5:$E$504,"Pending")&gt;0,"?",""))))))</f>
        <v/>
      </c>
      <c r="W16" s="44">
        <f>IF(OR(W$5="",$B16=""),"",IF(OR(WEEKDAY(W$5,2)&gt;5,COUNTIF(Holidays!$A$5:$A$40,W$5)&gt;0),"",IF(COUNTIFS('Time Off Log'!$A$5:$A$504,$B16,'Time Off Log'!$C$5:$C$504,"&lt;="&amp;W$5,'Time Off Log'!$J$5:$J$504,"&gt;="&amp;W$5,'Time Off Log'!$B$5:$B$504,"PTO",'Time Off Log'!$E$5:$E$504,"Approved")&gt;0,"P",IF(COUNTIFS('Time Off Log'!$A$5:$A$504,$B16,'Time Off Log'!$C$5:$C$504,"&lt;="&amp;W$5,'Time Off Log'!$J$5:$J$504,"&gt;="&amp;W$5,'Time Off Log'!$B$5:$B$504,"Sick",'Time Off Log'!$E$5:$E$504,"Approved")&gt;0,"S",IF(COUNTIFS('Time Off Log'!$A$5:$A$504,$B16,'Time Off Log'!$C$5:$C$504,"&lt;="&amp;W$5,'Time Off Log'!$J$5:$J$504,"&gt;="&amp;W$5,'Time Off Log'!$E$5:$E$504,"Approved")&gt;0,"U",IF(COUNTIFS('Time Off Log'!$A$5:$A$504,$B16,'Time Off Log'!$C$5:$C$504,"&lt;="&amp;W$5,'Time Off Log'!$J$5:$J$504,"&gt;="&amp;W$5,'Time Off Log'!$E$5:$E$504,"Pending")&gt;0,"?",""))))))</f>
        <v/>
      </c>
      <c r="X16" s="44">
        <f>IF(OR(X$5="",$B16=""),"",IF(OR(WEEKDAY(X$5,2)&gt;5,COUNTIF(Holidays!$A$5:$A$40,X$5)&gt;0),"",IF(COUNTIFS('Time Off Log'!$A$5:$A$504,$B16,'Time Off Log'!$C$5:$C$504,"&lt;="&amp;X$5,'Time Off Log'!$J$5:$J$504,"&gt;="&amp;X$5,'Time Off Log'!$B$5:$B$504,"PTO",'Time Off Log'!$E$5:$E$504,"Approved")&gt;0,"P",IF(COUNTIFS('Time Off Log'!$A$5:$A$504,$B16,'Time Off Log'!$C$5:$C$504,"&lt;="&amp;X$5,'Time Off Log'!$J$5:$J$504,"&gt;="&amp;X$5,'Time Off Log'!$B$5:$B$504,"Sick",'Time Off Log'!$E$5:$E$504,"Approved")&gt;0,"S",IF(COUNTIFS('Time Off Log'!$A$5:$A$504,$B16,'Time Off Log'!$C$5:$C$504,"&lt;="&amp;X$5,'Time Off Log'!$J$5:$J$504,"&gt;="&amp;X$5,'Time Off Log'!$E$5:$E$504,"Approved")&gt;0,"U",IF(COUNTIFS('Time Off Log'!$A$5:$A$504,$B16,'Time Off Log'!$C$5:$C$504,"&lt;="&amp;X$5,'Time Off Log'!$J$5:$J$504,"&gt;="&amp;X$5,'Time Off Log'!$E$5:$E$504,"Pending")&gt;0,"?",""))))))</f>
        <v/>
      </c>
      <c r="Y16" s="44">
        <f>IF(OR(Y$5="",$B16=""),"",IF(OR(WEEKDAY(Y$5,2)&gt;5,COUNTIF(Holidays!$A$5:$A$40,Y$5)&gt;0),"",IF(COUNTIFS('Time Off Log'!$A$5:$A$504,$B16,'Time Off Log'!$C$5:$C$504,"&lt;="&amp;Y$5,'Time Off Log'!$J$5:$J$504,"&gt;="&amp;Y$5,'Time Off Log'!$B$5:$B$504,"PTO",'Time Off Log'!$E$5:$E$504,"Approved")&gt;0,"P",IF(COUNTIFS('Time Off Log'!$A$5:$A$504,$B16,'Time Off Log'!$C$5:$C$504,"&lt;="&amp;Y$5,'Time Off Log'!$J$5:$J$504,"&gt;="&amp;Y$5,'Time Off Log'!$B$5:$B$504,"Sick",'Time Off Log'!$E$5:$E$504,"Approved")&gt;0,"S",IF(COUNTIFS('Time Off Log'!$A$5:$A$504,$B16,'Time Off Log'!$C$5:$C$504,"&lt;="&amp;Y$5,'Time Off Log'!$J$5:$J$504,"&gt;="&amp;Y$5,'Time Off Log'!$E$5:$E$504,"Approved")&gt;0,"U",IF(COUNTIFS('Time Off Log'!$A$5:$A$504,$B16,'Time Off Log'!$C$5:$C$504,"&lt;="&amp;Y$5,'Time Off Log'!$J$5:$J$504,"&gt;="&amp;Y$5,'Time Off Log'!$E$5:$E$504,"Pending")&gt;0,"?",""))))))</f>
        <v/>
      </c>
      <c r="Z16" s="44">
        <f>IF(OR(Z$5="",$B16=""),"",IF(OR(WEEKDAY(Z$5,2)&gt;5,COUNTIF(Holidays!$A$5:$A$40,Z$5)&gt;0),"",IF(COUNTIFS('Time Off Log'!$A$5:$A$504,$B16,'Time Off Log'!$C$5:$C$504,"&lt;="&amp;Z$5,'Time Off Log'!$J$5:$J$504,"&gt;="&amp;Z$5,'Time Off Log'!$B$5:$B$504,"PTO",'Time Off Log'!$E$5:$E$504,"Approved")&gt;0,"P",IF(COUNTIFS('Time Off Log'!$A$5:$A$504,$B16,'Time Off Log'!$C$5:$C$504,"&lt;="&amp;Z$5,'Time Off Log'!$J$5:$J$504,"&gt;="&amp;Z$5,'Time Off Log'!$B$5:$B$504,"Sick",'Time Off Log'!$E$5:$E$504,"Approved")&gt;0,"S",IF(COUNTIFS('Time Off Log'!$A$5:$A$504,$B16,'Time Off Log'!$C$5:$C$504,"&lt;="&amp;Z$5,'Time Off Log'!$J$5:$J$504,"&gt;="&amp;Z$5,'Time Off Log'!$E$5:$E$504,"Approved")&gt;0,"U",IF(COUNTIFS('Time Off Log'!$A$5:$A$504,$B16,'Time Off Log'!$C$5:$C$504,"&lt;="&amp;Z$5,'Time Off Log'!$J$5:$J$504,"&gt;="&amp;Z$5,'Time Off Log'!$E$5:$E$504,"Pending")&gt;0,"?",""))))))</f>
        <v/>
      </c>
      <c r="AA16" s="44">
        <f>IF(OR(AA$5="",$B16=""),"",IF(OR(WEEKDAY(AA$5,2)&gt;5,COUNTIF(Holidays!$A$5:$A$40,AA$5)&gt;0),"",IF(COUNTIFS('Time Off Log'!$A$5:$A$504,$B16,'Time Off Log'!$C$5:$C$504,"&lt;="&amp;AA$5,'Time Off Log'!$J$5:$J$504,"&gt;="&amp;AA$5,'Time Off Log'!$B$5:$B$504,"PTO",'Time Off Log'!$E$5:$E$504,"Approved")&gt;0,"P",IF(COUNTIFS('Time Off Log'!$A$5:$A$504,$B16,'Time Off Log'!$C$5:$C$504,"&lt;="&amp;AA$5,'Time Off Log'!$J$5:$J$504,"&gt;="&amp;AA$5,'Time Off Log'!$B$5:$B$504,"Sick",'Time Off Log'!$E$5:$E$504,"Approved")&gt;0,"S",IF(COUNTIFS('Time Off Log'!$A$5:$A$504,$B16,'Time Off Log'!$C$5:$C$504,"&lt;="&amp;AA$5,'Time Off Log'!$J$5:$J$504,"&gt;="&amp;AA$5,'Time Off Log'!$E$5:$E$504,"Approved")&gt;0,"U",IF(COUNTIFS('Time Off Log'!$A$5:$A$504,$B16,'Time Off Log'!$C$5:$C$504,"&lt;="&amp;AA$5,'Time Off Log'!$J$5:$J$504,"&gt;="&amp;AA$5,'Time Off Log'!$E$5:$E$504,"Pending")&gt;0,"?",""))))))</f>
        <v/>
      </c>
      <c r="AB16" s="44">
        <f>IF(OR(AB$5="",$B16=""),"",IF(OR(WEEKDAY(AB$5,2)&gt;5,COUNTIF(Holidays!$A$5:$A$40,AB$5)&gt;0),"",IF(COUNTIFS('Time Off Log'!$A$5:$A$504,$B16,'Time Off Log'!$C$5:$C$504,"&lt;="&amp;AB$5,'Time Off Log'!$J$5:$J$504,"&gt;="&amp;AB$5,'Time Off Log'!$B$5:$B$504,"PTO",'Time Off Log'!$E$5:$E$504,"Approved")&gt;0,"P",IF(COUNTIFS('Time Off Log'!$A$5:$A$504,$B16,'Time Off Log'!$C$5:$C$504,"&lt;="&amp;AB$5,'Time Off Log'!$J$5:$J$504,"&gt;="&amp;AB$5,'Time Off Log'!$B$5:$B$504,"Sick",'Time Off Log'!$E$5:$E$504,"Approved")&gt;0,"S",IF(COUNTIFS('Time Off Log'!$A$5:$A$504,$B16,'Time Off Log'!$C$5:$C$504,"&lt;="&amp;AB$5,'Time Off Log'!$J$5:$J$504,"&gt;="&amp;AB$5,'Time Off Log'!$E$5:$E$504,"Approved")&gt;0,"U",IF(COUNTIFS('Time Off Log'!$A$5:$A$504,$B16,'Time Off Log'!$C$5:$C$504,"&lt;="&amp;AB$5,'Time Off Log'!$J$5:$J$504,"&gt;="&amp;AB$5,'Time Off Log'!$E$5:$E$504,"Pending")&gt;0,"?",""))))))</f>
        <v/>
      </c>
      <c r="AC16" s="44">
        <f>IF(OR(AC$5="",$B16=""),"",IF(OR(WEEKDAY(AC$5,2)&gt;5,COUNTIF(Holidays!$A$5:$A$40,AC$5)&gt;0),"",IF(COUNTIFS('Time Off Log'!$A$5:$A$504,$B16,'Time Off Log'!$C$5:$C$504,"&lt;="&amp;AC$5,'Time Off Log'!$J$5:$J$504,"&gt;="&amp;AC$5,'Time Off Log'!$B$5:$B$504,"PTO",'Time Off Log'!$E$5:$E$504,"Approved")&gt;0,"P",IF(COUNTIFS('Time Off Log'!$A$5:$A$504,$B16,'Time Off Log'!$C$5:$C$504,"&lt;="&amp;AC$5,'Time Off Log'!$J$5:$J$504,"&gt;="&amp;AC$5,'Time Off Log'!$B$5:$B$504,"Sick",'Time Off Log'!$E$5:$E$504,"Approved")&gt;0,"S",IF(COUNTIFS('Time Off Log'!$A$5:$A$504,$B16,'Time Off Log'!$C$5:$C$504,"&lt;="&amp;AC$5,'Time Off Log'!$J$5:$J$504,"&gt;="&amp;AC$5,'Time Off Log'!$E$5:$E$504,"Approved")&gt;0,"U",IF(COUNTIFS('Time Off Log'!$A$5:$A$504,$B16,'Time Off Log'!$C$5:$C$504,"&lt;="&amp;AC$5,'Time Off Log'!$J$5:$J$504,"&gt;="&amp;AC$5,'Time Off Log'!$E$5:$E$504,"Pending")&gt;0,"?",""))))))</f>
        <v/>
      </c>
      <c r="AD16" s="44">
        <f>IF(OR(AD$5="",$B16=""),"",IF(OR(WEEKDAY(AD$5,2)&gt;5,COUNTIF(Holidays!$A$5:$A$40,AD$5)&gt;0),"",IF(COUNTIFS('Time Off Log'!$A$5:$A$504,$B16,'Time Off Log'!$C$5:$C$504,"&lt;="&amp;AD$5,'Time Off Log'!$J$5:$J$504,"&gt;="&amp;AD$5,'Time Off Log'!$B$5:$B$504,"PTO",'Time Off Log'!$E$5:$E$504,"Approved")&gt;0,"P",IF(COUNTIFS('Time Off Log'!$A$5:$A$504,$B16,'Time Off Log'!$C$5:$C$504,"&lt;="&amp;AD$5,'Time Off Log'!$J$5:$J$504,"&gt;="&amp;AD$5,'Time Off Log'!$B$5:$B$504,"Sick",'Time Off Log'!$E$5:$E$504,"Approved")&gt;0,"S",IF(COUNTIFS('Time Off Log'!$A$5:$A$504,$B16,'Time Off Log'!$C$5:$C$504,"&lt;="&amp;AD$5,'Time Off Log'!$J$5:$J$504,"&gt;="&amp;AD$5,'Time Off Log'!$E$5:$E$504,"Approved")&gt;0,"U",IF(COUNTIFS('Time Off Log'!$A$5:$A$504,$B16,'Time Off Log'!$C$5:$C$504,"&lt;="&amp;AD$5,'Time Off Log'!$J$5:$J$504,"&gt;="&amp;AD$5,'Time Off Log'!$E$5:$E$504,"Pending")&gt;0,"?",""))))))</f>
        <v/>
      </c>
      <c r="AE16" s="44">
        <f>IF(OR(AE$5="",$B16=""),"",IF(OR(WEEKDAY(AE$5,2)&gt;5,COUNTIF(Holidays!$A$5:$A$40,AE$5)&gt;0),"",IF(COUNTIFS('Time Off Log'!$A$5:$A$504,$B16,'Time Off Log'!$C$5:$C$504,"&lt;="&amp;AE$5,'Time Off Log'!$J$5:$J$504,"&gt;="&amp;AE$5,'Time Off Log'!$B$5:$B$504,"PTO",'Time Off Log'!$E$5:$E$504,"Approved")&gt;0,"P",IF(COUNTIFS('Time Off Log'!$A$5:$A$504,$B16,'Time Off Log'!$C$5:$C$504,"&lt;="&amp;AE$5,'Time Off Log'!$J$5:$J$504,"&gt;="&amp;AE$5,'Time Off Log'!$B$5:$B$504,"Sick",'Time Off Log'!$E$5:$E$504,"Approved")&gt;0,"S",IF(COUNTIFS('Time Off Log'!$A$5:$A$504,$B16,'Time Off Log'!$C$5:$C$504,"&lt;="&amp;AE$5,'Time Off Log'!$J$5:$J$504,"&gt;="&amp;AE$5,'Time Off Log'!$E$5:$E$504,"Approved")&gt;0,"U",IF(COUNTIFS('Time Off Log'!$A$5:$A$504,$B16,'Time Off Log'!$C$5:$C$504,"&lt;="&amp;AE$5,'Time Off Log'!$J$5:$J$504,"&gt;="&amp;AE$5,'Time Off Log'!$E$5:$E$504,"Pending")&gt;0,"?",""))))))</f>
        <v/>
      </c>
      <c r="AF16" s="44">
        <f>IF(OR(AF$5="",$B16=""),"",IF(OR(WEEKDAY(AF$5,2)&gt;5,COUNTIF(Holidays!$A$5:$A$40,AF$5)&gt;0),"",IF(COUNTIFS('Time Off Log'!$A$5:$A$504,$B16,'Time Off Log'!$C$5:$C$504,"&lt;="&amp;AF$5,'Time Off Log'!$J$5:$J$504,"&gt;="&amp;AF$5,'Time Off Log'!$B$5:$B$504,"PTO",'Time Off Log'!$E$5:$E$504,"Approved")&gt;0,"P",IF(COUNTIFS('Time Off Log'!$A$5:$A$504,$B16,'Time Off Log'!$C$5:$C$504,"&lt;="&amp;AF$5,'Time Off Log'!$J$5:$J$504,"&gt;="&amp;AF$5,'Time Off Log'!$B$5:$B$504,"Sick",'Time Off Log'!$E$5:$E$504,"Approved")&gt;0,"S",IF(COUNTIFS('Time Off Log'!$A$5:$A$504,$B16,'Time Off Log'!$C$5:$C$504,"&lt;="&amp;AF$5,'Time Off Log'!$J$5:$J$504,"&gt;="&amp;AF$5,'Time Off Log'!$E$5:$E$504,"Approved")&gt;0,"U",IF(COUNTIFS('Time Off Log'!$A$5:$A$504,$B16,'Time Off Log'!$C$5:$C$504,"&lt;="&amp;AF$5,'Time Off Log'!$J$5:$J$504,"&gt;="&amp;AF$5,'Time Off Log'!$E$5:$E$504,"Pending")&gt;0,"?",""))))))</f>
        <v/>
      </c>
      <c r="AG16" s="44">
        <f>IF(OR(AG$5="",$B16=""),"",IF(OR(WEEKDAY(AG$5,2)&gt;5,COUNTIF(Holidays!$A$5:$A$40,AG$5)&gt;0),"",IF(COUNTIFS('Time Off Log'!$A$5:$A$504,$B16,'Time Off Log'!$C$5:$C$504,"&lt;="&amp;AG$5,'Time Off Log'!$J$5:$J$504,"&gt;="&amp;AG$5,'Time Off Log'!$B$5:$B$504,"PTO",'Time Off Log'!$E$5:$E$504,"Approved")&gt;0,"P",IF(COUNTIFS('Time Off Log'!$A$5:$A$504,$B16,'Time Off Log'!$C$5:$C$504,"&lt;="&amp;AG$5,'Time Off Log'!$J$5:$J$504,"&gt;="&amp;AG$5,'Time Off Log'!$B$5:$B$504,"Sick",'Time Off Log'!$E$5:$E$504,"Approved")&gt;0,"S",IF(COUNTIFS('Time Off Log'!$A$5:$A$504,$B16,'Time Off Log'!$C$5:$C$504,"&lt;="&amp;AG$5,'Time Off Log'!$J$5:$J$504,"&gt;="&amp;AG$5,'Time Off Log'!$E$5:$E$504,"Approved")&gt;0,"U",IF(COUNTIFS('Time Off Log'!$A$5:$A$504,$B16,'Time Off Log'!$C$5:$C$504,"&lt;="&amp;AG$5,'Time Off Log'!$J$5:$J$504,"&gt;="&amp;AG$5,'Time Off Log'!$E$5:$E$504,"Pending")&gt;0,"?",""))))))</f>
        <v/>
      </c>
    </row>
    <row r="17">
      <c r="A17" s="24" t="n">
        <v>12</v>
      </c>
      <c r="B17" s="24">
        <f>IF(Employees!B16="","",Employees!B16)</f>
        <v/>
      </c>
      <c r="C17" s="44">
        <f>IF(OR(C$5="",$B17=""),"",IF(OR(WEEKDAY(C$5,2)&gt;5,COUNTIF(Holidays!$A$5:$A$40,C$5)&gt;0),"",IF(COUNTIFS('Time Off Log'!$A$5:$A$504,$B17,'Time Off Log'!$C$5:$C$504,"&lt;="&amp;C$5,'Time Off Log'!$J$5:$J$504,"&gt;="&amp;C$5,'Time Off Log'!$B$5:$B$504,"PTO",'Time Off Log'!$E$5:$E$504,"Approved")&gt;0,"P",IF(COUNTIFS('Time Off Log'!$A$5:$A$504,$B17,'Time Off Log'!$C$5:$C$504,"&lt;="&amp;C$5,'Time Off Log'!$J$5:$J$504,"&gt;="&amp;C$5,'Time Off Log'!$B$5:$B$504,"Sick",'Time Off Log'!$E$5:$E$504,"Approved")&gt;0,"S",IF(COUNTIFS('Time Off Log'!$A$5:$A$504,$B17,'Time Off Log'!$C$5:$C$504,"&lt;="&amp;C$5,'Time Off Log'!$J$5:$J$504,"&gt;="&amp;C$5,'Time Off Log'!$E$5:$E$504,"Approved")&gt;0,"U",IF(COUNTIFS('Time Off Log'!$A$5:$A$504,$B17,'Time Off Log'!$C$5:$C$504,"&lt;="&amp;C$5,'Time Off Log'!$J$5:$J$504,"&gt;="&amp;C$5,'Time Off Log'!$E$5:$E$504,"Pending")&gt;0,"?",""))))))</f>
        <v/>
      </c>
      <c r="D17" s="44">
        <f>IF(OR(D$5="",$B17=""),"",IF(OR(WEEKDAY(D$5,2)&gt;5,COUNTIF(Holidays!$A$5:$A$40,D$5)&gt;0),"",IF(COUNTIFS('Time Off Log'!$A$5:$A$504,$B17,'Time Off Log'!$C$5:$C$504,"&lt;="&amp;D$5,'Time Off Log'!$J$5:$J$504,"&gt;="&amp;D$5,'Time Off Log'!$B$5:$B$504,"PTO",'Time Off Log'!$E$5:$E$504,"Approved")&gt;0,"P",IF(COUNTIFS('Time Off Log'!$A$5:$A$504,$B17,'Time Off Log'!$C$5:$C$504,"&lt;="&amp;D$5,'Time Off Log'!$J$5:$J$504,"&gt;="&amp;D$5,'Time Off Log'!$B$5:$B$504,"Sick",'Time Off Log'!$E$5:$E$504,"Approved")&gt;0,"S",IF(COUNTIFS('Time Off Log'!$A$5:$A$504,$B17,'Time Off Log'!$C$5:$C$504,"&lt;="&amp;D$5,'Time Off Log'!$J$5:$J$504,"&gt;="&amp;D$5,'Time Off Log'!$E$5:$E$504,"Approved")&gt;0,"U",IF(COUNTIFS('Time Off Log'!$A$5:$A$504,$B17,'Time Off Log'!$C$5:$C$504,"&lt;="&amp;D$5,'Time Off Log'!$J$5:$J$504,"&gt;="&amp;D$5,'Time Off Log'!$E$5:$E$504,"Pending")&gt;0,"?",""))))))</f>
        <v/>
      </c>
      <c r="E17" s="44">
        <f>IF(OR(E$5="",$B17=""),"",IF(OR(WEEKDAY(E$5,2)&gt;5,COUNTIF(Holidays!$A$5:$A$40,E$5)&gt;0),"",IF(COUNTIFS('Time Off Log'!$A$5:$A$504,$B17,'Time Off Log'!$C$5:$C$504,"&lt;="&amp;E$5,'Time Off Log'!$J$5:$J$504,"&gt;="&amp;E$5,'Time Off Log'!$B$5:$B$504,"PTO",'Time Off Log'!$E$5:$E$504,"Approved")&gt;0,"P",IF(COUNTIFS('Time Off Log'!$A$5:$A$504,$B17,'Time Off Log'!$C$5:$C$504,"&lt;="&amp;E$5,'Time Off Log'!$J$5:$J$504,"&gt;="&amp;E$5,'Time Off Log'!$B$5:$B$504,"Sick",'Time Off Log'!$E$5:$E$504,"Approved")&gt;0,"S",IF(COUNTIFS('Time Off Log'!$A$5:$A$504,$B17,'Time Off Log'!$C$5:$C$504,"&lt;="&amp;E$5,'Time Off Log'!$J$5:$J$504,"&gt;="&amp;E$5,'Time Off Log'!$E$5:$E$504,"Approved")&gt;0,"U",IF(COUNTIFS('Time Off Log'!$A$5:$A$504,$B17,'Time Off Log'!$C$5:$C$504,"&lt;="&amp;E$5,'Time Off Log'!$J$5:$J$504,"&gt;="&amp;E$5,'Time Off Log'!$E$5:$E$504,"Pending")&gt;0,"?",""))))))</f>
        <v/>
      </c>
      <c r="F17" s="44">
        <f>IF(OR(F$5="",$B17=""),"",IF(OR(WEEKDAY(F$5,2)&gt;5,COUNTIF(Holidays!$A$5:$A$40,F$5)&gt;0),"",IF(COUNTIFS('Time Off Log'!$A$5:$A$504,$B17,'Time Off Log'!$C$5:$C$504,"&lt;="&amp;F$5,'Time Off Log'!$J$5:$J$504,"&gt;="&amp;F$5,'Time Off Log'!$B$5:$B$504,"PTO",'Time Off Log'!$E$5:$E$504,"Approved")&gt;0,"P",IF(COUNTIFS('Time Off Log'!$A$5:$A$504,$B17,'Time Off Log'!$C$5:$C$504,"&lt;="&amp;F$5,'Time Off Log'!$J$5:$J$504,"&gt;="&amp;F$5,'Time Off Log'!$B$5:$B$504,"Sick",'Time Off Log'!$E$5:$E$504,"Approved")&gt;0,"S",IF(COUNTIFS('Time Off Log'!$A$5:$A$504,$B17,'Time Off Log'!$C$5:$C$504,"&lt;="&amp;F$5,'Time Off Log'!$J$5:$J$504,"&gt;="&amp;F$5,'Time Off Log'!$E$5:$E$504,"Approved")&gt;0,"U",IF(COUNTIFS('Time Off Log'!$A$5:$A$504,$B17,'Time Off Log'!$C$5:$C$504,"&lt;="&amp;F$5,'Time Off Log'!$J$5:$J$504,"&gt;="&amp;F$5,'Time Off Log'!$E$5:$E$504,"Pending")&gt;0,"?",""))))))</f>
        <v/>
      </c>
      <c r="G17" s="44">
        <f>IF(OR(G$5="",$B17=""),"",IF(OR(WEEKDAY(G$5,2)&gt;5,COUNTIF(Holidays!$A$5:$A$40,G$5)&gt;0),"",IF(COUNTIFS('Time Off Log'!$A$5:$A$504,$B17,'Time Off Log'!$C$5:$C$504,"&lt;="&amp;G$5,'Time Off Log'!$J$5:$J$504,"&gt;="&amp;G$5,'Time Off Log'!$B$5:$B$504,"PTO",'Time Off Log'!$E$5:$E$504,"Approved")&gt;0,"P",IF(COUNTIFS('Time Off Log'!$A$5:$A$504,$B17,'Time Off Log'!$C$5:$C$504,"&lt;="&amp;G$5,'Time Off Log'!$J$5:$J$504,"&gt;="&amp;G$5,'Time Off Log'!$B$5:$B$504,"Sick",'Time Off Log'!$E$5:$E$504,"Approved")&gt;0,"S",IF(COUNTIFS('Time Off Log'!$A$5:$A$504,$B17,'Time Off Log'!$C$5:$C$504,"&lt;="&amp;G$5,'Time Off Log'!$J$5:$J$504,"&gt;="&amp;G$5,'Time Off Log'!$E$5:$E$504,"Approved")&gt;0,"U",IF(COUNTIFS('Time Off Log'!$A$5:$A$504,$B17,'Time Off Log'!$C$5:$C$504,"&lt;="&amp;G$5,'Time Off Log'!$J$5:$J$504,"&gt;="&amp;G$5,'Time Off Log'!$E$5:$E$504,"Pending")&gt;0,"?",""))))))</f>
        <v/>
      </c>
      <c r="H17" s="44">
        <f>IF(OR(H$5="",$B17=""),"",IF(OR(WEEKDAY(H$5,2)&gt;5,COUNTIF(Holidays!$A$5:$A$40,H$5)&gt;0),"",IF(COUNTIFS('Time Off Log'!$A$5:$A$504,$B17,'Time Off Log'!$C$5:$C$504,"&lt;="&amp;H$5,'Time Off Log'!$J$5:$J$504,"&gt;="&amp;H$5,'Time Off Log'!$B$5:$B$504,"PTO",'Time Off Log'!$E$5:$E$504,"Approved")&gt;0,"P",IF(COUNTIFS('Time Off Log'!$A$5:$A$504,$B17,'Time Off Log'!$C$5:$C$504,"&lt;="&amp;H$5,'Time Off Log'!$J$5:$J$504,"&gt;="&amp;H$5,'Time Off Log'!$B$5:$B$504,"Sick",'Time Off Log'!$E$5:$E$504,"Approved")&gt;0,"S",IF(COUNTIFS('Time Off Log'!$A$5:$A$504,$B17,'Time Off Log'!$C$5:$C$504,"&lt;="&amp;H$5,'Time Off Log'!$J$5:$J$504,"&gt;="&amp;H$5,'Time Off Log'!$E$5:$E$504,"Approved")&gt;0,"U",IF(COUNTIFS('Time Off Log'!$A$5:$A$504,$B17,'Time Off Log'!$C$5:$C$504,"&lt;="&amp;H$5,'Time Off Log'!$J$5:$J$504,"&gt;="&amp;H$5,'Time Off Log'!$E$5:$E$504,"Pending")&gt;0,"?",""))))))</f>
        <v/>
      </c>
      <c r="I17" s="44">
        <f>IF(OR(I$5="",$B17=""),"",IF(OR(WEEKDAY(I$5,2)&gt;5,COUNTIF(Holidays!$A$5:$A$40,I$5)&gt;0),"",IF(COUNTIFS('Time Off Log'!$A$5:$A$504,$B17,'Time Off Log'!$C$5:$C$504,"&lt;="&amp;I$5,'Time Off Log'!$J$5:$J$504,"&gt;="&amp;I$5,'Time Off Log'!$B$5:$B$504,"PTO",'Time Off Log'!$E$5:$E$504,"Approved")&gt;0,"P",IF(COUNTIFS('Time Off Log'!$A$5:$A$504,$B17,'Time Off Log'!$C$5:$C$504,"&lt;="&amp;I$5,'Time Off Log'!$J$5:$J$504,"&gt;="&amp;I$5,'Time Off Log'!$B$5:$B$504,"Sick",'Time Off Log'!$E$5:$E$504,"Approved")&gt;0,"S",IF(COUNTIFS('Time Off Log'!$A$5:$A$504,$B17,'Time Off Log'!$C$5:$C$504,"&lt;="&amp;I$5,'Time Off Log'!$J$5:$J$504,"&gt;="&amp;I$5,'Time Off Log'!$E$5:$E$504,"Approved")&gt;0,"U",IF(COUNTIFS('Time Off Log'!$A$5:$A$504,$B17,'Time Off Log'!$C$5:$C$504,"&lt;="&amp;I$5,'Time Off Log'!$J$5:$J$504,"&gt;="&amp;I$5,'Time Off Log'!$E$5:$E$504,"Pending")&gt;0,"?",""))))))</f>
        <v/>
      </c>
      <c r="J17" s="44">
        <f>IF(OR(J$5="",$B17=""),"",IF(OR(WEEKDAY(J$5,2)&gt;5,COUNTIF(Holidays!$A$5:$A$40,J$5)&gt;0),"",IF(COUNTIFS('Time Off Log'!$A$5:$A$504,$B17,'Time Off Log'!$C$5:$C$504,"&lt;="&amp;J$5,'Time Off Log'!$J$5:$J$504,"&gt;="&amp;J$5,'Time Off Log'!$B$5:$B$504,"PTO",'Time Off Log'!$E$5:$E$504,"Approved")&gt;0,"P",IF(COUNTIFS('Time Off Log'!$A$5:$A$504,$B17,'Time Off Log'!$C$5:$C$504,"&lt;="&amp;J$5,'Time Off Log'!$J$5:$J$504,"&gt;="&amp;J$5,'Time Off Log'!$B$5:$B$504,"Sick",'Time Off Log'!$E$5:$E$504,"Approved")&gt;0,"S",IF(COUNTIFS('Time Off Log'!$A$5:$A$504,$B17,'Time Off Log'!$C$5:$C$504,"&lt;="&amp;J$5,'Time Off Log'!$J$5:$J$504,"&gt;="&amp;J$5,'Time Off Log'!$E$5:$E$504,"Approved")&gt;0,"U",IF(COUNTIFS('Time Off Log'!$A$5:$A$504,$B17,'Time Off Log'!$C$5:$C$504,"&lt;="&amp;J$5,'Time Off Log'!$J$5:$J$504,"&gt;="&amp;J$5,'Time Off Log'!$E$5:$E$504,"Pending")&gt;0,"?",""))))))</f>
        <v/>
      </c>
      <c r="K17" s="44">
        <f>IF(OR(K$5="",$B17=""),"",IF(OR(WEEKDAY(K$5,2)&gt;5,COUNTIF(Holidays!$A$5:$A$40,K$5)&gt;0),"",IF(COUNTIFS('Time Off Log'!$A$5:$A$504,$B17,'Time Off Log'!$C$5:$C$504,"&lt;="&amp;K$5,'Time Off Log'!$J$5:$J$504,"&gt;="&amp;K$5,'Time Off Log'!$B$5:$B$504,"PTO",'Time Off Log'!$E$5:$E$504,"Approved")&gt;0,"P",IF(COUNTIFS('Time Off Log'!$A$5:$A$504,$B17,'Time Off Log'!$C$5:$C$504,"&lt;="&amp;K$5,'Time Off Log'!$J$5:$J$504,"&gt;="&amp;K$5,'Time Off Log'!$B$5:$B$504,"Sick",'Time Off Log'!$E$5:$E$504,"Approved")&gt;0,"S",IF(COUNTIFS('Time Off Log'!$A$5:$A$504,$B17,'Time Off Log'!$C$5:$C$504,"&lt;="&amp;K$5,'Time Off Log'!$J$5:$J$504,"&gt;="&amp;K$5,'Time Off Log'!$E$5:$E$504,"Approved")&gt;0,"U",IF(COUNTIFS('Time Off Log'!$A$5:$A$504,$B17,'Time Off Log'!$C$5:$C$504,"&lt;="&amp;K$5,'Time Off Log'!$J$5:$J$504,"&gt;="&amp;K$5,'Time Off Log'!$E$5:$E$504,"Pending")&gt;0,"?",""))))))</f>
        <v/>
      </c>
      <c r="L17" s="44">
        <f>IF(OR(L$5="",$B17=""),"",IF(OR(WEEKDAY(L$5,2)&gt;5,COUNTIF(Holidays!$A$5:$A$40,L$5)&gt;0),"",IF(COUNTIFS('Time Off Log'!$A$5:$A$504,$B17,'Time Off Log'!$C$5:$C$504,"&lt;="&amp;L$5,'Time Off Log'!$J$5:$J$504,"&gt;="&amp;L$5,'Time Off Log'!$B$5:$B$504,"PTO",'Time Off Log'!$E$5:$E$504,"Approved")&gt;0,"P",IF(COUNTIFS('Time Off Log'!$A$5:$A$504,$B17,'Time Off Log'!$C$5:$C$504,"&lt;="&amp;L$5,'Time Off Log'!$J$5:$J$504,"&gt;="&amp;L$5,'Time Off Log'!$B$5:$B$504,"Sick",'Time Off Log'!$E$5:$E$504,"Approved")&gt;0,"S",IF(COUNTIFS('Time Off Log'!$A$5:$A$504,$B17,'Time Off Log'!$C$5:$C$504,"&lt;="&amp;L$5,'Time Off Log'!$J$5:$J$504,"&gt;="&amp;L$5,'Time Off Log'!$E$5:$E$504,"Approved")&gt;0,"U",IF(COUNTIFS('Time Off Log'!$A$5:$A$504,$B17,'Time Off Log'!$C$5:$C$504,"&lt;="&amp;L$5,'Time Off Log'!$J$5:$J$504,"&gt;="&amp;L$5,'Time Off Log'!$E$5:$E$504,"Pending")&gt;0,"?",""))))))</f>
        <v/>
      </c>
      <c r="M17" s="44">
        <f>IF(OR(M$5="",$B17=""),"",IF(OR(WEEKDAY(M$5,2)&gt;5,COUNTIF(Holidays!$A$5:$A$40,M$5)&gt;0),"",IF(COUNTIFS('Time Off Log'!$A$5:$A$504,$B17,'Time Off Log'!$C$5:$C$504,"&lt;="&amp;M$5,'Time Off Log'!$J$5:$J$504,"&gt;="&amp;M$5,'Time Off Log'!$B$5:$B$504,"PTO",'Time Off Log'!$E$5:$E$504,"Approved")&gt;0,"P",IF(COUNTIFS('Time Off Log'!$A$5:$A$504,$B17,'Time Off Log'!$C$5:$C$504,"&lt;="&amp;M$5,'Time Off Log'!$J$5:$J$504,"&gt;="&amp;M$5,'Time Off Log'!$B$5:$B$504,"Sick",'Time Off Log'!$E$5:$E$504,"Approved")&gt;0,"S",IF(COUNTIFS('Time Off Log'!$A$5:$A$504,$B17,'Time Off Log'!$C$5:$C$504,"&lt;="&amp;M$5,'Time Off Log'!$J$5:$J$504,"&gt;="&amp;M$5,'Time Off Log'!$E$5:$E$504,"Approved")&gt;0,"U",IF(COUNTIFS('Time Off Log'!$A$5:$A$504,$B17,'Time Off Log'!$C$5:$C$504,"&lt;="&amp;M$5,'Time Off Log'!$J$5:$J$504,"&gt;="&amp;M$5,'Time Off Log'!$E$5:$E$504,"Pending")&gt;0,"?",""))))))</f>
        <v/>
      </c>
      <c r="N17" s="44">
        <f>IF(OR(N$5="",$B17=""),"",IF(OR(WEEKDAY(N$5,2)&gt;5,COUNTIF(Holidays!$A$5:$A$40,N$5)&gt;0),"",IF(COUNTIFS('Time Off Log'!$A$5:$A$504,$B17,'Time Off Log'!$C$5:$C$504,"&lt;="&amp;N$5,'Time Off Log'!$J$5:$J$504,"&gt;="&amp;N$5,'Time Off Log'!$B$5:$B$504,"PTO",'Time Off Log'!$E$5:$E$504,"Approved")&gt;0,"P",IF(COUNTIFS('Time Off Log'!$A$5:$A$504,$B17,'Time Off Log'!$C$5:$C$504,"&lt;="&amp;N$5,'Time Off Log'!$J$5:$J$504,"&gt;="&amp;N$5,'Time Off Log'!$B$5:$B$504,"Sick",'Time Off Log'!$E$5:$E$504,"Approved")&gt;0,"S",IF(COUNTIFS('Time Off Log'!$A$5:$A$504,$B17,'Time Off Log'!$C$5:$C$504,"&lt;="&amp;N$5,'Time Off Log'!$J$5:$J$504,"&gt;="&amp;N$5,'Time Off Log'!$E$5:$E$504,"Approved")&gt;0,"U",IF(COUNTIFS('Time Off Log'!$A$5:$A$504,$B17,'Time Off Log'!$C$5:$C$504,"&lt;="&amp;N$5,'Time Off Log'!$J$5:$J$504,"&gt;="&amp;N$5,'Time Off Log'!$E$5:$E$504,"Pending")&gt;0,"?",""))))))</f>
        <v/>
      </c>
      <c r="O17" s="44">
        <f>IF(OR(O$5="",$B17=""),"",IF(OR(WEEKDAY(O$5,2)&gt;5,COUNTIF(Holidays!$A$5:$A$40,O$5)&gt;0),"",IF(COUNTIFS('Time Off Log'!$A$5:$A$504,$B17,'Time Off Log'!$C$5:$C$504,"&lt;="&amp;O$5,'Time Off Log'!$J$5:$J$504,"&gt;="&amp;O$5,'Time Off Log'!$B$5:$B$504,"PTO",'Time Off Log'!$E$5:$E$504,"Approved")&gt;0,"P",IF(COUNTIFS('Time Off Log'!$A$5:$A$504,$B17,'Time Off Log'!$C$5:$C$504,"&lt;="&amp;O$5,'Time Off Log'!$J$5:$J$504,"&gt;="&amp;O$5,'Time Off Log'!$B$5:$B$504,"Sick",'Time Off Log'!$E$5:$E$504,"Approved")&gt;0,"S",IF(COUNTIFS('Time Off Log'!$A$5:$A$504,$B17,'Time Off Log'!$C$5:$C$504,"&lt;="&amp;O$5,'Time Off Log'!$J$5:$J$504,"&gt;="&amp;O$5,'Time Off Log'!$E$5:$E$504,"Approved")&gt;0,"U",IF(COUNTIFS('Time Off Log'!$A$5:$A$504,$B17,'Time Off Log'!$C$5:$C$504,"&lt;="&amp;O$5,'Time Off Log'!$J$5:$J$504,"&gt;="&amp;O$5,'Time Off Log'!$E$5:$E$504,"Pending")&gt;0,"?",""))))))</f>
        <v/>
      </c>
      <c r="P17" s="44">
        <f>IF(OR(P$5="",$B17=""),"",IF(OR(WEEKDAY(P$5,2)&gt;5,COUNTIF(Holidays!$A$5:$A$40,P$5)&gt;0),"",IF(COUNTIFS('Time Off Log'!$A$5:$A$504,$B17,'Time Off Log'!$C$5:$C$504,"&lt;="&amp;P$5,'Time Off Log'!$J$5:$J$504,"&gt;="&amp;P$5,'Time Off Log'!$B$5:$B$504,"PTO",'Time Off Log'!$E$5:$E$504,"Approved")&gt;0,"P",IF(COUNTIFS('Time Off Log'!$A$5:$A$504,$B17,'Time Off Log'!$C$5:$C$504,"&lt;="&amp;P$5,'Time Off Log'!$J$5:$J$504,"&gt;="&amp;P$5,'Time Off Log'!$B$5:$B$504,"Sick",'Time Off Log'!$E$5:$E$504,"Approved")&gt;0,"S",IF(COUNTIFS('Time Off Log'!$A$5:$A$504,$B17,'Time Off Log'!$C$5:$C$504,"&lt;="&amp;P$5,'Time Off Log'!$J$5:$J$504,"&gt;="&amp;P$5,'Time Off Log'!$E$5:$E$504,"Approved")&gt;0,"U",IF(COUNTIFS('Time Off Log'!$A$5:$A$504,$B17,'Time Off Log'!$C$5:$C$504,"&lt;="&amp;P$5,'Time Off Log'!$J$5:$J$504,"&gt;="&amp;P$5,'Time Off Log'!$E$5:$E$504,"Pending")&gt;0,"?",""))))))</f>
        <v/>
      </c>
      <c r="Q17" s="44">
        <f>IF(OR(Q$5="",$B17=""),"",IF(OR(WEEKDAY(Q$5,2)&gt;5,COUNTIF(Holidays!$A$5:$A$40,Q$5)&gt;0),"",IF(COUNTIFS('Time Off Log'!$A$5:$A$504,$B17,'Time Off Log'!$C$5:$C$504,"&lt;="&amp;Q$5,'Time Off Log'!$J$5:$J$504,"&gt;="&amp;Q$5,'Time Off Log'!$B$5:$B$504,"PTO",'Time Off Log'!$E$5:$E$504,"Approved")&gt;0,"P",IF(COUNTIFS('Time Off Log'!$A$5:$A$504,$B17,'Time Off Log'!$C$5:$C$504,"&lt;="&amp;Q$5,'Time Off Log'!$J$5:$J$504,"&gt;="&amp;Q$5,'Time Off Log'!$B$5:$B$504,"Sick",'Time Off Log'!$E$5:$E$504,"Approved")&gt;0,"S",IF(COUNTIFS('Time Off Log'!$A$5:$A$504,$B17,'Time Off Log'!$C$5:$C$504,"&lt;="&amp;Q$5,'Time Off Log'!$J$5:$J$504,"&gt;="&amp;Q$5,'Time Off Log'!$E$5:$E$504,"Approved")&gt;0,"U",IF(COUNTIFS('Time Off Log'!$A$5:$A$504,$B17,'Time Off Log'!$C$5:$C$504,"&lt;="&amp;Q$5,'Time Off Log'!$J$5:$J$504,"&gt;="&amp;Q$5,'Time Off Log'!$E$5:$E$504,"Pending")&gt;0,"?",""))))))</f>
        <v/>
      </c>
      <c r="R17" s="44">
        <f>IF(OR(R$5="",$B17=""),"",IF(OR(WEEKDAY(R$5,2)&gt;5,COUNTIF(Holidays!$A$5:$A$40,R$5)&gt;0),"",IF(COUNTIFS('Time Off Log'!$A$5:$A$504,$B17,'Time Off Log'!$C$5:$C$504,"&lt;="&amp;R$5,'Time Off Log'!$J$5:$J$504,"&gt;="&amp;R$5,'Time Off Log'!$B$5:$B$504,"PTO",'Time Off Log'!$E$5:$E$504,"Approved")&gt;0,"P",IF(COUNTIFS('Time Off Log'!$A$5:$A$504,$B17,'Time Off Log'!$C$5:$C$504,"&lt;="&amp;R$5,'Time Off Log'!$J$5:$J$504,"&gt;="&amp;R$5,'Time Off Log'!$B$5:$B$504,"Sick",'Time Off Log'!$E$5:$E$504,"Approved")&gt;0,"S",IF(COUNTIFS('Time Off Log'!$A$5:$A$504,$B17,'Time Off Log'!$C$5:$C$504,"&lt;="&amp;R$5,'Time Off Log'!$J$5:$J$504,"&gt;="&amp;R$5,'Time Off Log'!$E$5:$E$504,"Approved")&gt;0,"U",IF(COUNTIFS('Time Off Log'!$A$5:$A$504,$B17,'Time Off Log'!$C$5:$C$504,"&lt;="&amp;R$5,'Time Off Log'!$J$5:$J$504,"&gt;="&amp;R$5,'Time Off Log'!$E$5:$E$504,"Pending")&gt;0,"?",""))))))</f>
        <v/>
      </c>
      <c r="S17" s="44">
        <f>IF(OR(S$5="",$B17=""),"",IF(OR(WEEKDAY(S$5,2)&gt;5,COUNTIF(Holidays!$A$5:$A$40,S$5)&gt;0),"",IF(COUNTIFS('Time Off Log'!$A$5:$A$504,$B17,'Time Off Log'!$C$5:$C$504,"&lt;="&amp;S$5,'Time Off Log'!$J$5:$J$504,"&gt;="&amp;S$5,'Time Off Log'!$B$5:$B$504,"PTO",'Time Off Log'!$E$5:$E$504,"Approved")&gt;0,"P",IF(COUNTIFS('Time Off Log'!$A$5:$A$504,$B17,'Time Off Log'!$C$5:$C$504,"&lt;="&amp;S$5,'Time Off Log'!$J$5:$J$504,"&gt;="&amp;S$5,'Time Off Log'!$B$5:$B$504,"Sick",'Time Off Log'!$E$5:$E$504,"Approved")&gt;0,"S",IF(COUNTIFS('Time Off Log'!$A$5:$A$504,$B17,'Time Off Log'!$C$5:$C$504,"&lt;="&amp;S$5,'Time Off Log'!$J$5:$J$504,"&gt;="&amp;S$5,'Time Off Log'!$E$5:$E$504,"Approved")&gt;0,"U",IF(COUNTIFS('Time Off Log'!$A$5:$A$504,$B17,'Time Off Log'!$C$5:$C$504,"&lt;="&amp;S$5,'Time Off Log'!$J$5:$J$504,"&gt;="&amp;S$5,'Time Off Log'!$E$5:$E$504,"Pending")&gt;0,"?",""))))))</f>
        <v/>
      </c>
      <c r="T17" s="44">
        <f>IF(OR(T$5="",$B17=""),"",IF(OR(WEEKDAY(T$5,2)&gt;5,COUNTIF(Holidays!$A$5:$A$40,T$5)&gt;0),"",IF(COUNTIFS('Time Off Log'!$A$5:$A$504,$B17,'Time Off Log'!$C$5:$C$504,"&lt;="&amp;T$5,'Time Off Log'!$J$5:$J$504,"&gt;="&amp;T$5,'Time Off Log'!$B$5:$B$504,"PTO",'Time Off Log'!$E$5:$E$504,"Approved")&gt;0,"P",IF(COUNTIFS('Time Off Log'!$A$5:$A$504,$B17,'Time Off Log'!$C$5:$C$504,"&lt;="&amp;T$5,'Time Off Log'!$J$5:$J$504,"&gt;="&amp;T$5,'Time Off Log'!$B$5:$B$504,"Sick",'Time Off Log'!$E$5:$E$504,"Approved")&gt;0,"S",IF(COUNTIFS('Time Off Log'!$A$5:$A$504,$B17,'Time Off Log'!$C$5:$C$504,"&lt;="&amp;T$5,'Time Off Log'!$J$5:$J$504,"&gt;="&amp;T$5,'Time Off Log'!$E$5:$E$504,"Approved")&gt;0,"U",IF(COUNTIFS('Time Off Log'!$A$5:$A$504,$B17,'Time Off Log'!$C$5:$C$504,"&lt;="&amp;T$5,'Time Off Log'!$J$5:$J$504,"&gt;="&amp;T$5,'Time Off Log'!$E$5:$E$504,"Pending")&gt;0,"?",""))))))</f>
        <v/>
      </c>
      <c r="U17" s="44">
        <f>IF(OR(U$5="",$B17=""),"",IF(OR(WEEKDAY(U$5,2)&gt;5,COUNTIF(Holidays!$A$5:$A$40,U$5)&gt;0),"",IF(COUNTIFS('Time Off Log'!$A$5:$A$504,$B17,'Time Off Log'!$C$5:$C$504,"&lt;="&amp;U$5,'Time Off Log'!$J$5:$J$504,"&gt;="&amp;U$5,'Time Off Log'!$B$5:$B$504,"PTO",'Time Off Log'!$E$5:$E$504,"Approved")&gt;0,"P",IF(COUNTIFS('Time Off Log'!$A$5:$A$504,$B17,'Time Off Log'!$C$5:$C$504,"&lt;="&amp;U$5,'Time Off Log'!$J$5:$J$504,"&gt;="&amp;U$5,'Time Off Log'!$B$5:$B$504,"Sick",'Time Off Log'!$E$5:$E$504,"Approved")&gt;0,"S",IF(COUNTIFS('Time Off Log'!$A$5:$A$504,$B17,'Time Off Log'!$C$5:$C$504,"&lt;="&amp;U$5,'Time Off Log'!$J$5:$J$504,"&gt;="&amp;U$5,'Time Off Log'!$E$5:$E$504,"Approved")&gt;0,"U",IF(COUNTIFS('Time Off Log'!$A$5:$A$504,$B17,'Time Off Log'!$C$5:$C$504,"&lt;="&amp;U$5,'Time Off Log'!$J$5:$J$504,"&gt;="&amp;U$5,'Time Off Log'!$E$5:$E$504,"Pending")&gt;0,"?",""))))))</f>
        <v/>
      </c>
      <c r="V17" s="44">
        <f>IF(OR(V$5="",$B17=""),"",IF(OR(WEEKDAY(V$5,2)&gt;5,COUNTIF(Holidays!$A$5:$A$40,V$5)&gt;0),"",IF(COUNTIFS('Time Off Log'!$A$5:$A$504,$B17,'Time Off Log'!$C$5:$C$504,"&lt;="&amp;V$5,'Time Off Log'!$J$5:$J$504,"&gt;="&amp;V$5,'Time Off Log'!$B$5:$B$504,"PTO",'Time Off Log'!$E$5:$E$504,"Approved")&gt;0,"P",IF(COUNTIFS('Time Off Log'!$A$5:$A$504,$B17,'Time Off Log'!$C$5:$C$504,"&lt;="&amp;V$5,'Time Off Log'!$J$5:$J$504,"&gt;="&amp;V$5,'Time Off Log'!$B$5:$B$504,"Sick",'Time Off Log'!$E$5:$E$504,"Approved")&gt;0,"S",IF(COUNTIFS('Time Off Log'!$A$5:$A$504,$B17,'Time Off Log'!$C$5:$C$504,"&lt;="&amp;V$5,'Time Off Log'!$J$5:$J$504,"&gt;="&amp;V$5,'Time Off Log'!$E$5:$E$504,"Approved")&gt;0,"U",IF(COUNTIFS('Time Off Log'!$A$5:$A$504,$B17,'Time Off Log'!$C$5:$C$504,"&lt;="&amp;V$5,'Time Off Log'!$J$5:$J$504,"&gt;="&amp;V$5,'Time Off Log'!$E$5:$E$504,"Pending")&gt;0,"?",""))))))</f>
        <v/>
      </c>
      <c r="W17" s="44">
        <f>IF(OR(W$5="",$B17=""),"",IF(OR(WEEKDAY(W$5,2)&gt;5,COUNTIF(Holidays!$A$5:$A$40,W$5)&gt;0),"",IF(COUNTIFS('Time Off Log'!$A$5:$A$504,$B17,'Time Off Log'!$C$5:$C$504,"&lt;="&amp;W$5,'Time Off Log'!$J$5:$J$504,"&gt;="&amp;W$5,'Time Off Log'!$B$5:$B$504,"PTO",'Time Off Log'!$E$5:$E$504,"Approved")&gt;0,"P",IF(COUNTIFS('Time Off Log'!$A$5:$A$504,$B17,'Time Off Log'!$C$5:$C$504,"&lt;="&amp;W$5,'Time Off Log'!$J$5:$J$504,"&gt;="&amp;W$5,'Time Off Log'!$B$5:$B$504,"Sick",'Time Off Log'!$E$5:$E$504,"Approved")&gt;0,"S",IF(COUNTIFS('Time Off Log'!$A$5:$A$504,$B17,'Time Off Log'!$C$5:$C$504,"&lt;="&amp;W$5,'Time Off Log'!$J$5:$J$504,"&gt;="&amp;W$5,'Time Off Log'!$E$5:$E$504,"Approved")&gt;0,"U",IF(COUNTIFS('Time Off Log'!$A$5:$A$504,$B17,'Time Off Log'!$C$5:$C$504,"&lt;="&amp;W$5,'Time Off Log'!$J$5:$J$504,"&gt;="&amp;W$5,'Time Off Log'!$E$5:$E$504,"Pending")&gt;0,"?",""))))))</f>
        <v/>
      </c>
      <c r="X17" s="44">
        <f>IF(OR(X$5="",$B17=""),"",IF(OR(WEEKDAY(X$5,2)&gt;5,COUNTIF(Holidays!$A$5:$A$40,X$5)&gt;0),"",IF(COUNTIFS('Time Off Log'!$A$5:$A$504,$B17,'Time Off Log'!$C$5:$C$504,"&lt;="&amp;X$5,'Time Off Log'!$J$5:$J$504,"&gt;="&amp;X$5,'Time Off Log'!$B$5:$B$504,"PTO",'Time Off Log'!$E$5:$E$504,"Approved")&gt;0,"P",IF(COUNTIFS('Time Off Log'!$A$5:$A$504,$B17,'Time Off Log'!$C$5:$C$504,"&lt;="&amp;X$5,'Time Off Log'!$J$5:$J$504,"&gt;="&amp;X$5,'Time Off Log'!$B$5:$B$504,"Sick",'Time Off Log'!$E$5:$E$504,"Approved")&gt;0,"S",IF(COUNTIFS('Time Off Log'!$A$5:$A$504,$B17,'Time Off Log'!$C$5:$C$504,"&lt;="&amp;X$5,'Time Off Log'!$J$5:$J$504,"&gt;="&amp;X$5,'Time Off Log'!$E$5:$E$504,"Approved")&gt;0,"U",IF(COUNTIFS('Time Off Log'!$A$5:$A$504,$B17,'Time Off Log'!$C$5:$C$504,"&lt;="&amp;X$5,'Time Off Log'!$J$5:$J$504,"&gt;="&amp;X$5,'Time Off Log'!$E$5:$E$504,"Pending")&gt;0,"?",""))))))</f>
        <v/>
      </c>
      <c r="Y17" s="44">
        <f>IF(OR(Y$5="",$B17=""),"",IF(OR(WEEKDAY(Y$5,2)&gt;5,COUNTIF(Holidays!$A$5:$A$40,Y$5)&gt;0),"",IF(COUNTIFS('Time Off Log'!$A$5:$A$504,$B17,'Time Off Log'!$C$5:$C$504,"&lt;="&amp;Y$5,'Time Off Log'!$J$5:$J$504,"&gt;="&amp;Y$5,'Time Off Log'!$B$5:$B$504,"PTO",'Time Off Log'!$E$5:$E$504,"Approved")&gt;0,"P",IF(COUNTIFS('Time Off Log'!$A$5:$A$504,$B17,'Time Off Log'!$C$5:$C$504,"&lt;="&amp;Y$5,'Time Off Log'!$J$5:$J$504,"&gt;="&amp;Y$5,'Time Off Log'!$B$5:$B$504,"Sick",'Time Off Log'!$E$5:$E$504,"Approved")&gt;0,"S",IF(COUNTIFS('Time Off Log'!$A$5:$A$504,$B17,'Time Off Log'!$C$5:$C$504,"&lt;="&amp;Y$5,'Time Off Log'!$J$5:$J$504,"&gt;="&amp;Y$5,'Time Off Log'!$E$5:$E$504,"Approved")&gt;0,"U",IF(COUNTIFS('Time Off Log'!$A$5:$A$504,$B17,'Time Off Log'!$C$5:$C$504,"&lt;="&amp;Y$5,'Time Off Log'!$J$5:$J$504,"&gt;="&amp;Y$5,'Time Off Log'!$E$5:$E$504,"Pending")&gt;0,"?",""))))))</f>
        <v/>
      </c>
      <c r="Z17" s="44">
        <f>IF(OR(Z$5="",$B17=""),"",IF(OR(WEEKDAY(Z$5,2)&gt;5,COUNTIF(Holidays!$A$5:$A$40,Z$5)&gt;0),"",IF(COUNTIFS('Time Off Log'!$A$5:$A$504,$B17,'Time Off Log'!$C$5:$C$504,"&lt;="&amp;Z$5,'Time Off Log'!$J$5:$J$504,"&gt;="&amp;Z$5,'Time Off Log'!$B$5:$B$504,"PTO",'Time Off Log'!$E$5:$E$504,"Approved")&gt;0,"P",IF(COUNTIFS('Time Off Log'!$A$5:$A$504,$B17,'Time Off Log'!$C$5:$C$504,"&lt;="&amp;Z$5,'Time Off Log'!$J$5:$J$504,"&gt;="&amp;Z$5,'Time Off Log'!$B$5:$B$504,"Sick",'Time Off Log'!$E$5:$E$504,"Approved")&gt;0,"S",IF(COUNTIFS('Time Off Log'!$A$5:$A$504,$B17,'Time Off Log'!$C$5:$C$504,"&lt;="&amp;Z$5,'Time Off Log'!$J$5:$J$504,"&gt;="&amp;Z$5,'Time Off Log'!$E$5:$E$504,"Approved")&gt;0,"U",IF(COUNTIFS('Time Off Log'!$A$5:$A$504,$B17,'Time Off Log'!$C$5:$C$504,"&lt;="&amp;Z$5,'Time Off Log'!$J$5:$J$504,"&gt;="&amp;Z$5,'Time Off Log'!$E$5:$E$504,"Pending")&gt;0,"?",""))))))</f>
        <v/>
      </c>
      <c r="AA17" s="44">
        <f>IF(OR(AA$5="",$B17=""),"",IF(OR(WEEKDAY(AA$5,2)&gt;5,COUNTIF(Holidays!$A$5:$A$40,AA$5)&gt;0),"",IF(COUNTIFS('Time Off Log'!$A$5:$A$504,$B17,'Time Off Log'!$C$5:$C$504,"&lt;="&amp;AA$5,'Time Off Log'!$J$5:$J$504,"&gt;="&amp;AA$5,'Time Off Log'!$B$5:$B$504,"PTO",'Time Off Log'!$E$5:$E$504,"Approved")&gt;0,"P",IF(COUNTIFS('Time Off Log'!$A$5:$A$504,$B17,'Time Off Log'!$C$5:$C$504,"&lt;="&amp;AA$5,'Time Off Log'!$J$5:$J$504,"&gt;="&amp;AA$5,'Time Off Log'!$B$5:$B$504,"Sick",'Time Off Log'!$E$5:$E$504,"Approved")&gt;0,"S",IF(COUNTIFS('Time Off Log'!$A$5:$A$504,$B17,'Time Off Log'!$C$5:$C$504,"&lt;="&amp;AA$5,'Time Off Log'!$J$5:$J$504,"&gt;="&amp;AA$5,'Time Off Log'!$E$5:$E$504,"Approved")&gt;0,"U",IF(COUNTIFS('Time Off Log'!$A$5:$A$504,$B17,'Time Off Log'!$C$5:$C$504,"&lt;="&amp;AA$5,'Time Off Log'!$J$5:$J$504,"&gt;="&amp;AA$5,'Time Off Log'!$E$5:$E$504,"Pending")&gt;0,"?",""))))))</f>
        <v/>
      </c>
      <c r="AB17" s="44">
        <f>IF(OR(AB$5="",$B17=""),"",IF(OR(WEEKDAY(AB$5,2)&gt;5,COUNTIF(Holidays!$A$5:$A$40,AB$5)&gt;0),"",IF(COUNTIFS('Time Off Log'!$A$5:$A$504,$B17,'Time Off Log'!$C$5:$C$504,"&lt;="&amp;AB$5,'Time Off Log'!$J$5:$J$504,"&gt;="&amp;AB$5,'Time Off Log'!$B$5:$B$504,"PTO",'Time Off Log'!$E$5:$E$504,"Approved")&gt;0,"P",IF(COUNTIFS('Time Off Log'!$A$5:$A$504,$B17,'Time Off Log'!$C$5:$C$504,"&lt;="&amp;AB$5,'Time Off Log'!$J$5:$J$504,"&gt;="&amp;AB$5,'Time Off Log'!$B$5:$B$504,"Sick",'Time Off Log'!$E$5:$E$504,"Approved")&gt;0,"S",IF(COUNTIFS('Time Off Log'!$A$5:$A$504,$B17,'Time Off Log'!$C$5:$C$504,"&lt;="&amp;AB$5,'Time Off Log'!$J$5:$J$504,"&gt;="&amp;AB$5,'Time Off Log'!$E$5:$E$504,"Approved")&gt;0,"U",IF(COUNTIFS('Time Off Log'!$A$5:$A$504,$B17,'Time Off Log'!$C$5:$C$504,"&lt;="&amp;AB$5,'Time Off Log'!$J$5:$J$504,"&gt;="&amp;AB$5,'Time Off Log'!$E$5:$E$504,"Pending")&gt;0,"?",""))))))</f>
        <v/>
      </c>
      <c r="AC17" s="44">
        <f>IF(OR(AC$5="",$B17=""),"",IF(OR(WEEKDAY(AC$5,2)&gt;5,COUNTIF(Holidays!$A$5:$A$40,AC$5)&gt;0),"",IF(COUNTIFS('Time Off Log'!$A$5:$A$504,$B17,'Time Off Log'!$C$5:$C$504,"&lt;="&amp;AC$5,'Time Off Log'!$J$5:$J$504,"&gt;="&amp;AC$5,'Time Off Log'!$B$5:$B$504,"PTO",'Time Off Log'!$E$5:$E$504,"Approved")&gt;0,"P",IF(COUNTIFS('Time Off Log'!$A$5:$A$504,$B17,'Time Off Log'!$C$5:$C$504,"&lt;="&amp;AC$5,'Time Off Log'!$J$5:$J$504,"&gt;="&amp;AC$5,'Time Off Log'!$B$5:$B$504,"Sick",'Time Off Log'!$E$5:$E$504,"Approved")&gt;0,"S",IF(COUNTIFS('Time Off Log'!$A$5:$A$504,$B17,'Time Off Log'!$C$5:$C$504,"&lt;="&amp;AC$5,'Time Off Log'!$J$5:$J$504,"&gt;="&amp;AC$5,'Time Off Log'!$E$5:$E$504,"Approved")&gt;0,"U",IF(COUNTIFS('Time Off Log'!$A$5:$A$504,$B17,'Time Off Log'!$C$5:$C$504,"&lt;="&amp;AC$5,'Time Off Log'!$J$5:$J$504,"&gt;="&amp;AC$5,'Time Off Log'!$E$5:$E$504,"Pending")&gt;0,"?",""))))))</f>
        <v/>
      </c>
      <c r="AD17" s="44">
        <f>IF(OR(AD$5="",$B17=""),"",IF(OR(WEEKDAY(AD$5,2)&gt;5,COUNTIF(Holidays!$A$5:$A$40,AD$5)&gt;0),"",IF(COUNTIFS('Time Off Log'!$A$5:$A$504,$B17,'Time Off Log'!$C$5:$C$504,"&lt;="&amp;AD$5,'Time Off Log'!$J$5:$J$504,"&gt;="&amp;AD$5,'Time Off Log'!$B$5:$B$504,"PTO",'Time Off Log'!$E$5:$E$504,"Approved")&gt;0,"P",IF(COUNTIFS('Time Off Log'!$A$5:$A$504,$B17,'Time Off Log'!$C$5:$C$504,"&lt;="&amp;AD$5,'Time Off Log'!$J$5:$J$504,"&gt;="&amp;AD$5,'Time Off Log'!$B$5:$B$504,"Sick",'Time Off Log'!$E$5:$E$504,"Approved")&gt;0,"S",IF(COUNTIFS('Time Off Log'!$A$5:$A$504,$B17,'Time Off Log'!$C$5:$C$504,"&lt;="&amp;AD$5,'Time Off Log'!$J$5:$J$504,"&gt;="&amp;AD$5,'Time Off Log'!$E$5:$E$504,"Approved")&gt;0,"U",IF(COUNTIFS('Time Off Log'!$A$5:$A$504,$B17,'Time Off Log'!$C$5:$C$504,"&lt;="&amp;AD$5,'Time Off Log'!$J$5:$J$504,"&gt;="&amp;AD$5,'Time Off Log'!$E$5:$E$504,"Pending")&gt;0,"?",""))))))</f>
        <v/>
      </c>
      <c r="AE17" s="44">
        <f>IF(OR(AE$5="",$B17=""),"",IF(OR(WEEKDAY(AE$5,2)&gt;5,COUNTIF(Holidays!$A$5:$A$40,AE$5)&gt;0),"",IF(COUNTIFS('Time Off Log'!$A$5:$A$504,$B17,'Time Off Log'!$C$5:$C$504,"&lt;="&amp;AE$5,'Time Off Log'!$J$5:$J$504,"&gt;="&amp;AE$5,'Time Off Log'!$B$5:$B$504,"PTO",'Time Off Log'!$E$5:$E$504,"Approved")&gt;0,"P",IF(COUNTIFS('Time Off Log'!$A$5:$A$504,$B17,'Time Off Log'!$C$5:$C$504,"&lt;="&amp;AE$5,'Time Off Log'!$J$5:$J$504,"&gt;="&amp;AE$5,'Time Off Log'!$B$5:$B$504,"Sick",'Time Off Log'!$E$5:$E$504,"Approved")&gt;0,"S",IF(COUNTIFS('Time Off Log'!$A$5:$A$504,$B17,'Time Off Log'!$C$5:$C$504,"&lt;="&amp;AE$5,'Time Off Log'!$J$5:$J$504,"&gt;="&amp;AE$5,'Time Off Log'!$E$5:$E$504,"Approved")&gt;0,"U",IF(COUNTIFS('Time Off Log'!$A$5:$A$504,$B17,'Time Off Log'!$C$5:$C$504,"&lt;="&amp;AE$5,'Time Off Log'!$J$5:$J$504,"&gt;="&amp;AE$5,'Time Off Log'!$E$5:$E$504,"Pending")&gt;0,"?",""))))))</f>
        <v/>
      </c>
      <c r="AF17" s="44">
        <f>IF(OR(AF$5="",$B17=""),"",IF(OR(WEEKDAY(AF$5,2)&gt;5,COUNTIF(Holidays!$A$5:$A$40,AF$5)&gt;0),"",IF(COUNTIFS('Time Off Log'!$A$5:$A$504,$B17,'Time Off Log'!$C$5:$C$504,"&lt;="&amp;AF$5,'Time Off Log'!$J$5:$J$504,"&gt;="&amp;AF$5,'Time Off Log'!$B$5:$B$504,"PTO",'Time Off Log'!$E$5:$E$504,"Approved")&gt;0,"P",IF(COUNTIFS('Time Off Log'!$A$5:$A$504,$B17,'Time Off Log'!$C$5:$C$504,"&lt;="&amp;AF$5,'Time Off Log'!$J$5:$J$504,"&gt;="&amp;AF$5,'Time Off Log'!$B$5:$B$504,"Sick",'Time Off Log'!$E$5:$E$504,"Approved")&gt;0,"S",IF(COUNTIFS('Time Off Log'!$A$5:$A$504,$B17,'Time Off Log'!$C$5:$C$504,"&lt;="&amp;AF$5,'Time Off Log'!$J$5:$J$504,"&gt;="&amp;AF$5,'Time Off Log'!$E$5:$E$504,"Approved")&gt;0,"U",IF(COUNTIFS('Time Off Log'!$A$5:$A$504,$B17,'Time Off Log'!$C$5:$C$504,"&lt;="&amp;AF$5,'Time Off Log'!$J$5:$J$504,"&gt;="&amp;AF$5,'Time Off Log'!$E$5:$E$504,"Pending")&gt;0,"?",""))))))</f>
        <v/>
      </c>
      <c r="AG17" s="44">
        <f>IF(OR(AG$5="",$B17=""),"",IF(OR(WEEKDAY(AG$5,2)&gt;5,COUNTIF(Holidays!$A$5:$A$40,AG$5)&gt;0),"",IF(COUNTIFS('Time Off Log'!$A$5:$A$504,$B17,'Time Off Log'!$C$5:$C$504,"&lt;="&amp;AG$5,'Time Off Log'!$J$5:$J$504,"&gt;="&amp;AG$5,'Time Off Log'!$B$5:$B$504,"PTO",'Time Off Log'!$E$5:$E$504,"Approved")&gt;0,"P",IF(COUNTIFS('Time Off Log'!$A$5:$A$504,$B17,'Time Off Log'!$C$5:$C$504,"&lt;="&amp;AG$5,'Time Off Log'!$J$5:$J$504,"&gt;="&amp;AG$5,'Time Off Log'!$B$5:$B$504,"Sick",'Time Off Log'!$E$5:$E$504,"Approved")&gt;0,"S",IF(COUNTIFS('Time Off Log'!$A$5:$A$504,$B17,'Time Off Log'!$C$5:$C$504,"&lt;="&amp;AG$5,'Time Off Log'!$J$5:$J$504,"&gt;="&amp;AG$5,'Time Off Log'!$E$5:$E$504,"Approved")&gt;0,"U",IF(COUNTIFS('Time Off Log'!$A$5:$A$504,$B17,'Time Off Log'!$C$5:$C$504,"&lt;="&amp;AG$5,'Time Off Log'!$J$5:$J$504,"&gt;="&amp;AG$5,'Time Off Log'!$E$5:$E$504,"Pending")&gt;0,"?",""))))))</f>
        <v/>
      </c>
    </row>
    <row r="18">
      <c r="A18" s="24" t="n">
        <v>13</v>
      </c>
      <c r="B18" s="24">
        <f>IF(Employees!B17="","",Employees!B17)</f>
        <v/>
      </c>
      <c r="C18" s="44">
        <f>IF(OR(C$5="",$B18=""),"",IF(OR(WEEKDAY(C$5,2)&gt;5,COUNTIF(Holidays!$A$5:$A$40,C$5)&gt;0),"",IF(COUNTIFS('Time Off Log'!$A$5:$A$504,$B18,'Time Off Log'!$C$5:$C$504,"&lt;="&amp;C$5,'Time Off Log'!$J$5:$J$504,"&gt;="&amp;C$5,'Time Off Log'!$B$5:$B$504,"PTO",'Time Off Log'!$E$5:$E$504,"Approved")&gt;0,"P",IF(COUNTIFS('Time Off Log'!$A$5:$A$504,$B18,'Time Off Log'!$C$5:$C$504,"&lt;="&amp;C$5,'Time Off Log'!$J$5:$J$504,"&gt;="&amp;C$5,'Time Off Log'!$B$5:$B$504,"Sick",'Time Off Log'!$E$5:$E$504,"Approved")&gt;0,"S",IF(COUNTIFS('Time Off Log'!$A$5:$A$504,$B18,'Time Off Log'!$C$5:$C$504,"&lt;="&amp;C$5,'Time Off Log'!$J$5:$J$504,"&gt;="&amp;C$5,'Time Off Log'!$E$5:$E$504,"Approved")&gt;0,"U",IF(COUNTIFS('Time Off Log'!$A$5:$A$504,$B18,'Time Off Log'!$C$5:$C$504,"&lt;="&amp;C$5,'Time Off Log'!$J$5:$J$504,"&gt;="&amp;C$5,'Time Off Log'!$E$5:$E$504,"Pending")&gt;0,"?",""))))))</f>
        <v/>
      </c>
      <c r="D18" s="44">
        <f>IF(OR(D$5="",$B18=""),"",IF(OR(WEEKDAY(D$5,2)&gt;5,COUNTIF(Holidays!$A$5:$A$40,D$5)&gt;0),"",IF(COUNTIFS('Time Off Log'!$A$5:$A$504,$B18,'Time Off Log'!$C$5:$C$504,"&lt;="&amp;D$5,'Time Off Log'!$J$5:$J$504,"&gt;="&amp;D$5,'Time Off Log'!$B$5:$B$504,"PTO",'Time Off Log'!$E$5:$E$504,"Approved")&gt;0,"P",IF(COUNTIFS('Time Off Log'!$A$5:$A$504,$B18,'Time Off Log'!$C$5:$C$504,"&lt;="&amp;D$5,'Time Off Log'!$J$5:$J$504,"&gt;="&amp;D$5,'Time Off Log'!$B$5:$B$504,"Sick",'Time Off Log'!$E$5:$E$504,"Approved")&gt;0,"S",IF(COUNTIFS('Time Off Log'!$A$5:$A$504,$B18,'Time Off Log'!$C$5:$C$504,"&lt;="&amp;D$5,'Time Off Log'!$J$5:$J$504,"&gt;="&amp;D$5,'Time Off Log'!$E$5:$E$504,"Approved")&gt;0,"U",IF(COUNTIFS('Time Off Log'!$A$5:$A$504,$B18,'Time Off Log'!$C$5:$C$504,"&lt;="&amp;D$5,'Time Off Log'!$J$5:$J$504,"&gt;="&amp;D$5,'Time Off Log'!$E$5:$E$504,"Pending")&gt;0,"?",""))))))</f>
        <v/>
      </c>
      <c r="E18" s="44">
        <f>IF(OR(E$5="",$B18=""),"",IF(OR(WEEKDAY(E$5,2)&gt;5,COUNTIF(Holidays!$A$5:$A$40,E$5)&gt;0),"",IF(COUNTIFS('Time Off Log'!$A$5:$A$504,$B18,'Time Off Log'!$C$5:$C$504,"&lt;="&amp;E$5,'Time Off Log'!$J$5:$J$504,"&gt;="&amp;E$5,'Time Off Log'!$B$5:$B$504,"PTO",'Time Off Log'!$E$5:$E$504,"Approved")&gt;0,"P",IF(COUNTIFS('Time Off Log'!$A$5:$A$504,$B18,'Time Off Log'!$C$5:$C$504,"&lt;="&amp;E$5,'Time Off Log'!$J$5:$J$504,"&gt;="&amp;E$5,'Time Off Log'!$B$5:$B$504,"Sick",'Time Off Log'!$E$5:$E$504,"Approved")&gt;0,"S",IF(COUNTIFS('Time Off Log'!$A$5:$A$504,$B18,'Time Off Log'!$C$5:$C$504,"&lt;="&amp;E$5,'Time Off Log'!$J$5:$J$504,"&gt;="&amp;E$5,'Time Off Log'!$E$5:$E$504,"Approved")&gt;0,"U",IF(COUNTIFS('Time Off Log'!$A$5:$A$504,$B18,'Time Off Log'!$C$5:$C$504,"&lt;="&amp;E$5,'Time Off Log'!$J$5:$J$504,"&gt;="&amp;E$5,'Time Off Log'!$E$5:$E$504,"Pending")&gt;0,"?",""))))))</f>
        <v/>
      </c>
      <c r="F18" s="44">
        <f>IF(OR(F$5="",$B18=""),"",IF(OR(WEEKDAY(F$5,2)&gt;5,COUNTIF(Holidays!$A$5:$A$40,F$5)&gt;0),"",IF(COUNTIFS('Time Off Log'!$A$5:$A$504,$B18,'Time Off Log'!$C$5:$C$504,"&lt;="&amp;F$5,'Time Off Log'!$J$5:$J$504,"&gt;="&amp;F$5,'Time Off Log'!$B$5:$B$504,"PTO",'Time Off Log'!$E$5:$E$504,"Approved")&gt;0,"P",IF(COUNTIFS('Time Off Log'!$A$5:$A$504,$B18,'Time Off Log'!$C$5:$C$504,"&lt;="&amp;F$5,'Time Off Log'!$J$5:$J$504,"&gt;="&amp;F$5,'Time Off Log'!$B$5:$B$504,"Sick",'Time Off Log'!$E$5:$E$504,"Approved")&gt;0,"S",IF(COUNTIFS('Time Off Log'!$A$5:$A$504,$B18,'Time Off Log'!$C$5:$C$504,"&lt;="&amp;F$5,'Time Off Log'!$J$5:$J$504,"&gt;="&amp;F$5,'Time Off Log'!$E$5:$E$504,"Approved")&gt;0,"U",IF(COUNTIFS('Time Off Log'!$A$5:$A$504,$B18,'Time Off Log'!$C$5:$C$504,"&lt;="&amp;F$5,'Time Off Log'!$J$5:$J$504,"&gt;="&amp;F$5,'Time Off Log'!$E$5:$E$504,"Pending")&gt;0,"?",""))))))</f>
        <v/>
      </c>
      <c r="G18" s="44">
        <f>IF(OR(G$5="",$B18=""),"",IF(OR(WEEKDAY(G$5,2)&gt;5,COUNTIF(Holidays!$A$5:$A$40,G$5)&gt;0),"",IF(COUNTIFS('Time Off Log'!$A$5:$A$504,$B18,'Time Off Log'!$C$5:$C$504,"&lt;="&amp;G$5,'Time Off Log'!$J$5:$J$504,"&gt;="&amp;G$5,'Time Off Log'!$B$5:$B$504,"PTO",'Time Off Log'!$E$5:$E$504,"Approved")&gt;0,"P",IF(COUNTIFS('Time Off Log'!$A$5:$A$504,$B18,'Time Off Log'!$C$5:$C$504,"&lt;="&amp;G$5,'Time Off Log'!$J$5:$J$504,"&gt;="&amp;G$5,'Time Off Log'!$B$5:$B$504,"Sick",'Time Off Log'!$E$5:$E$504,"Approved")&gt;0,"S",IF(COUNTIFS('Time Off Log'!$A$5:$A$504,$B18,'Time Off Log'!$C$5:$C$504,"&lt;="&amp;G$5,'Time Off Log'!$J$5:$J$504,"&gt;="&amp;G$5,'Time Off Log'!$E$5:$E$504,"Approved")&gt;0,"U",IF(COUNTIFS('Time Off Log'!$A$5:$A$504,$B18,'Time Off Log'!$C$5:$C$504,"&lt;="&amp;G$5,'Time Off Log'!$J$5:$J$504,"&gt;="&amp;G$5,'Time Off Log'!$E$5:$E$504,"Pending")&gt;0,"?",""))))))</f>
        <v/>
      </c>
      <c r="H18" s="44">
        <f>IF(OR(H$5="",$B18=""),"",IF(OR(WEEKDAY(H$5,2)&gt;5,COUNTIF(Holidays!$A$5:$A$40,H$5)&gt;0),"",IF(COUNTIFS('Time Off Log'!$A$5:$A$504,$B18,'Time Off Log'!$C$5:$C$504,"&lt;="&amp;H$5,'Time Off Log'!$J$5:$J$504,"&gt;="&amp;H$5,'Time Off Log'!$B$5:$B$504,"PTO",'Time Off Log'!$E$5:$E$504,"Approved")&gt;0,"P",IF(COUNTIFS('Time Off Log'!$A$5:$A$504,$B18,'Time Off Log'!$C$5:$C$504,"&lt;="&amp;H$5,'Time Off Log'!$J$5:$J$504,"&gt;="&amp;H$5,'Time Off Log'!$B$5:$B$504,"Sick",'Time Off Log'!$E$5:$E$504,"Approved")&gt;0,"S",IF(COUNTIFS('Time Off Log'!$A$5:$A$504,$B18,'Time Off Log'!$C$5:$C$504,"&lt;="&amp;H$5,'Time Off Log'!$J$5:$J$504,"&gt;="&amp;H$5,'Time Off Log'!$E$5:$E$504,"Approved")&gt;0,"U",IF(COUNTIFS('Time Off Log'!$A$5:$A$504,$B18,'Time Off Log'!$C$5:$C$504,"&lt;="&amp;H$5,'Time Off Log'!$J$5:$J$504,"&gt;="&amp;H$5,'Time Off Log'!$E$5:$E$504,"Pending")&gt;0,"?",""))))))</f>
        <v/>
      </c>
      <c r="I18" s="44">
        <f>IF(OR(I$5="",$B18=""),"",IF(OR(WEEKDAY(I$5,2)&gt;5,COUNTIF(Holidays!$A$5:$A$40,I$5)&gt;0),"",IF(COUNTIFS('Time Off Log'!$A$5:$A$504,$B18,'Time Off Log'!$C$5:$C$504,"&lt;="&amp;I$5,'Time Off Log'!$J$5:$J$504,"&gt;="&amp;I$5,'Time Off Log'!$B$5:$B$504,"PTO",'Time Off Log'!$E$5:$E$504,"Approved")&gt;0,"P",IF(COUNTIFS('Time Off Log'!$A$5:$A$504,$B18,'Time Off Log'!$C$5:$C$504,"&lt;="&amp;I$5,'Time Off Log'!$J$5:$J$504,"&gt;="&amp;I$5,'Time Off Log'!$B$5:$B$504,"Sick",'Time Off Log'!$E$5:$E$504,"Approved")&gt;0,"S",IF(COUNTIFS('Time Off Log'!$A$5:$A$504,$B18,'Time Off Log'!$C$5:$C$504,"&lt;="&amp;I$5,'Time Off Log'!$J$5:$J$504,"&gt;="&amp;I$5,'Time Off Log'!$E$5:$E$504,"Approved")&gt;0,"U",IF(COUNTIFS('Time Off Log'!$A$5:$A$504,$B18,'Time Off Log'!$C$5:$C$504,"&lt;="&amp;I$5,'Time Off Log'!$J$5:$J$504,"&gt;="&amp;I$5,'Time Off Log'!$E$5:$E$504,"Pending")&gt;0,"?",""))))))</f>
        <v/>
      </c>
      <c r="J18" s="44">
        <f>IF(OR(J$5="",$B18=""),"",IF(OR(WEEKDAY(J$5,2)&gt;5,COUNTIF(Holidays!$A$5:$A$40,J$5)&gt;0),"",IF(COUNTIFS('Time Off Log'!$A$5:$A$504,$B18,'Time Off Log'!$C$5:$C$504,"&lt;="&amp;J$5,'Time Off Log'!$J$5:$J$504,"&gt;="&amp;J$5,'Time Off Log'!$B$5:$B$504,"PTO",'Time Off Log'!$E$5:$E$504,"Approved")&gt;0,"P",IF(COUNTIFS('Time Off Log'!$A$5:$A$504,$B18,'Time Off Log'!$C$5:$C$504,"&lt;="&amp;J$5,'Time Off Log'!$J$5:$J$504,"&gt;="&amp;J$5,'Time Off Log'!$B$5:$B$504,"Sick",'Time Off Log'!$E$5:$E$504,"Approved")&gt;0,"S",IF(COUNTIFS('Time Off Log'!$A$5:$A$504,$B18,'Time Off Log'!$C$5:$C$504,"&lt;="&amp;J$5,'Time Off Log'!$J$5:$J$504,"&gt;="&amp;J$5,'Time Off Log'!$E$5:$E$504,"Approved")&gt;0,"U",IF(COUNTIFS('Time Off Log'!$A$5:$A$504,$B18,'Time Off Log'!$C$5:$C$504,"&lt;="&amp;J$5,'Time Off Log'!$J$5:$J$504,"&gt;="&amp;J$5,'Time Off Log'!$E$5:$E$504,"Pending")&gt;0,"?",""))))))</f>
        <v/>
      </c>
      <c r="K18" s="44">
        <f>IF(OR(K$5="",$B18=""),"",IF(OR(WEEKDAY(K$5,2)&gt;5,COUNTIF(Holidays!$A$5:$A$40,K$5)&gt;0),"",IF(COUNTIFS('Time Off Log'!$A$5:$A$504,$B18,'Time Off Log'!$C$5:$C$504,"&lt;="&amp;K$5,'Time Off Log'!$J$5:$J$504,"&gt;="&amp;K$5,'Time Off Log'!$B$5:$B$504,"PTO",'Time Off Log'!$E$5:$E$504,"Approved")&gt;0,"P",IF(COUNTIFS('Time Off Log'!$A$5:$A$504,$B18,'Time Off Log'!$C$5:$C$504,"&lt;="&amp;K$5,'Time Off Log'!$J$5:$J$504,"&gt;="&amp;K$5,'Time Off Log'!$B$5:$B$504,"Sick",'Time Off Log'!$E$5:$E$504,"Approved")&gt;0,"S",IF(COUNTIFS('Time Off Log'!$A$5:$A$504,$B18,'Time Off Log'!$C$5:$C$504,"&lt;="&amp;K$5,'Time Off Log'!$J$5:$J$504,"&gt;="&amp;K$5,'Time Off Log'!$E$5:$E$504,"Approved")&gt;0,"U",IF(COUNTIFS('Time Off Log'!$A$5:$A$504,$B18,'Time Off Log'!$C$5:$C$504,"&lt;="&amp;K$5,'Time Off Log'!$J$5:$J$504,"&gt;="&amp;K$5,'Time Off Log'!$E$5:$E$504,"Pending")&gt;0,"?",""))))))</f>
        <v/>
      </c>
      <c r="L18" s="44">
        <f>IF(OR(L$5="",$B18=""),"",IF(OR(WEEKDAY(L$5,2)&gt;5,COUNTIF(Holidays!$A$5:$A$40,L$5)&gt;0),"",IF(COUNTIFS('Time Off Log'!$A$5:$A$504,$B18,'Time Off Log'!$C$5:$C$504,"&lt;="&amp;L$5,'Time Off Log'!$J$5:$J$504,"&gt;="&amp;L$5,'Time Off Log'!$B$5:$B$504,"PTO",'Time Off Log'!$E$5:$E$504,"Approved")&gt;0,"P",IF(COUNTIFS('Time Off Log'!$A$5:$A$504,$B18,'Time Off Log'!$C$5:$C$504,"&lt;="&amp;L$5,'Time Off Log'!$J$5:$J$504,"&gt;="&amp;L$5,'Time Off Log'!$B$5:$B$504,"Sick",'Time Off Log'!$E$5:$E$504,"Approved")&gt;0,"S",IF(COUNTIFS('Time Off Log'!$A$5:$A$504,$B18,'Time Off Log'!$C$5:$C$504,"&lt;="&amp;L$5,'Time Off Log'!$J$5:$J$504,"&gt;="&amp;L$5,'Time Off Log'!$E$5:$E$504,"Approved")&gt;0,"U",IF(COUNTIFS('Time Off Log'!$A$5:$A$504,$B18,'Time Off Log'!$C$5:$C$504,"&lt;="&amp;L$5,'Time Off Log'!$J$5:$J$504,"&gt;="&amp;L$5,'Time Off Log'!$E$5:$E$504,"Pending")&gt;0,"?",""))))))</f>
        <v/>
      </c>
      <c r="M18" s="44">
        <f>IF(OR(M$5="",$B18=""),"",IF(OR(WEEKDAY(M$5,2)&gt;5,COUNTIF(Holidays!$A$5:$A$40,M$5)&gt;0),"",IF(COUNTIFS('Time Off Log'!$A$5:$A$504,$B18,'Time Off Log'!$C$5:$C$504,"&lt;="&amp;M$5,'Time Off Log'!$J$5:$J$504,"&gt;="&amp;M$5,'Time Off Log'!$B$5:$B$504,"PTO",'Time Off Log'!$E$5:$E$504,"Approved")&gt;0,"P",IF(COUNTIFS('Time Off Log'!$A$5:$A$504,$B18,'Time Off Log'!$C$5:$C$504,"&lt;="&amp;M$5,'Time Off Log'!$J$5:$J$504,"&gt;="&amp;M$5,'Time Off Log'!$B$5:$B$504,"Sick",'Time Off Log'!$E$5:$E$504,"Approved")&gt;0,"S",IF(COUNTIFS('Time Off Log'!$A$5:$A$504,$B18,'Time Off Log'!$C$5:$C$504,"&lt;="&amp;M$5,'Time Off Log'!$J$5:$J$504,"&gt;="&amp;M$5,'Time Off Log'!$E$5:$E$504,"Approved")&gt;0,"U",IF(COUNTIFS('Time Off Log'!$A$5:$A$504,$B18,'Time Off Log'!$C$5:$C$504,"&lt;="&amp;M$5,'Time Off Log'!$J$5:$J$504,"&gt;="&amp;M$5,'Time Off Log'!$E$5:$E$504,"Pending")&gt;0,"?",""))))))</f>
        <v/>
      </c>
      <c r="N18" s="44">
        <f>IF(OR(N$5="",$B18=""),"",IF(OR(WEEKDAY(N$5,2)&gt;5,COUNTIF(Holidays!$A$5:$A$40,N$5)&gt;0),"",IF(COUNTIFS('Time Off Log'!$A$5:$A$504,$B18,'Time Off Log'!$C$5:$C$504,"&lt;="&amp;N$5,'Time Off Log'!$J$5:$J$504,"&gt;="&amp;N$5,'Time Off Log'!$B$5:$B$504,"PTO",'Time Off Log'!$E$5:$E$504,"Approved")&gt;0,"P",IF(COUNTIFS('Time Off Log'!$A$5:$A$504,$B18,'Time Off Log'!$C$5:$C$504,"&lt;="&amp;N$5,'Time Off Log'!$J$5:$J$504,"&gt;="&amp;N$5,'Time Off Log'!$B$5:$B$504,"Sick",'Time Off Log'!$E$5:$E$504,"Approved")&gt;0,"S",IF(COUNTIFS('Time Off Log'!$A$5:$A$504,$B18,'Time Off Log'!$C$5:$C$504,"&lt;="&amp;N$5,'Time Off Log'!$J$5:$J$504,"&gt;="&amp;N$5,'Time Off Log'!$E$5:$E$504,"Approved")&gt;0,"U",IF(COUNTIFS('Time Off Log'!$A$5:$A$504,$B18,'Time Off Log'!$C$5:$C$504,"&lt;="&amp;N$5,'Time Off Log'!$J$5:$J$504,"&gt;="&amp;N$5,'Time Off Log'!$E$5:$E$504,"Pending")&gt;0,"?",""))))))</f>
        <v/>
      </c>
      <c r="O18" s="44">
        <f>IF(OR(O$5="",$B18=""),"",IF(OR(WEEKDAY(O$5,2)&gt;5,COUNTIF(Holidays!$A$5:$A$40,O$5)&gt;0),"",IF(COUNTIFS('Time Off Log'!$A$5:$A$504,$B18,'Time Off Log'!$C$5:$C$504,"&lt;="&amp;O$5,'Time Off Log'!$J$5:$J$504,"&gt;="&amp;O$5,'Time Off Log'!$B$5:$B$504,"PTO",'Time Off Log'!$E$5:$E$504,"Approved")&gt;0,"P",IF(COUNTIFS('Time Off Log'!$A$5:$A$504,$B18,'Time Off Log'!$C$5:$C$504,"&lt;="&amp;O$5,'Time Off Log'!$J$5:$J$504,"&gt;="&amp;O$5,'Time Off Log'!$B$5:$B$504,"Sick",'Time Off Log'!$E$5:$E$504,"Approved")&gt;0,"S",IF(COUNTIFS('Time Off Log'!$A$5:$A$504,$B18,'Time Off Log'!$C$5:$C$504,"&lt;="&amp;O$5,'Time Off Log'!$J$5:$J$504,"&gt;="&amp;O$5,'Time Off Log'!$E$5:$E$504,"Approved")&gt;0,"U",IF(COUNTIFS('Time Off Log'!$A$5:$A$504,$B18,'Time Off Log'!$C$5:$C$504,"&lt;="&amp;O$5,'Time Off Log'!$J$5:$J$504,"&gt;="&amp;O$5,'Time Off Log'!$E$5:$E$504,"Pending")&gt;0,"?",""))))))</f>
        <v/>
      </c>
      <c r="P18" s="44">
        <f>IF(OR(P$5="",$B18=""),"",IF(OR(WEEKDAY(P$5,2)&gt;5,COUNTIF(Holidays!$A$5:$A$40,P$5)&gt;0),"",IF(COUNTIFS('Time Off Log'!$A$5:$A$504,$B18,'Time Off Log'!$C$5:$C$504,"&lt;="&amp;P$5,'Time Off Log'!$J$5:$J$504,"&gt;="&amp;P$5,'Time Off Log'!$B$5:$B$504,"PTO",'Time Off Log'!$E$5:$E$504,"Approved")&gt;0,"P",IF(COUNTIFS('Time Off Log'!$A$5:$A$504,$B18,'Time Off Log'!$C$5:$C$504,"&lt;="&amp;P$5,'Time Off Log'!$J$5:$J$504,"&gt;="&amp;P$5,'Time Off Log'!$B$5:$B$504,"Sick",'Time Off Log'!$E$5:$E$504,"Approved")&gt;0,"S",IF(COUNTIFS('Time Off Log'!$A$5:$A$504,$B18,'Time Off Log'!$C$5:$C$504,"&lt;="&amp;P$5,'Time Off Log'!$J$5:$J$504,"&gt;="&amp;P$5,'Time Off Log'!$E$5:$E$504,"Approved")&gt;0,"U",IF(COUNTIFS('Time Off Log'!$A$5:$A$504,$B18,'Time Off Log'!$C$5:$C$504,"&lt;="&amp;P$5,'Time Off Log'!$J$5:$J$504,"&gt;="&amp;P$5,'Time Off Log'!$E$5:$E$504,"Pending")&gt;0,"?",""))))))</f>
        <v/>
      </c>
      <c r="Q18" s="44">
        <f>IF(OR(Q$5="",$B18=""),"",IF(OR(WEEKDAY(Q$5,2)&gt;5,COUNTIF(Holidays!$A$5:$A$40,Q$5)&gt;0),"",IF(COUNTIFS('Time Off Log'!$A$5:$A$504,$B18,'Time Off Log'!$C$5:$C$504,"&lt;="&amp;Q$5,'Time Off Log'!$J$5:$J$504,"&gt;="&amp;Q$5,'Time Off Log'!$B$5:$B$504,"PTO",'Time Off Log'!$E$5:$E$504,"Approved")&gt;0,"P",IF(COUNTIFS('Time Off Log'!$A$5:$A$504,$B18,'Time Off Log'!$C$5:$C$504,"&lt;="&amp;Q$5,'Time Off Log'!$J$5:$J$504,"&gt;="&amp;Q$5,'Time Off Log'!$B$5:$B$504,"Sick",'Time Off Log'!$E$5:$E$504,"Approved")&gt;0,"S",IF(COUNTIFS('Time Off Log'!$A$5:$A$504,$B18,'Time Off Log'!$C$5:$C$504,"&lt;="&amp;Q$5,'Time Off Log'!$J$5:$J$504,"&gt;="&amp;Q$5,'Time Off Log'!$E$5:$E$504,"Approved")&gt;0,"U",IF(COUNTIFS('Time Off Log'!$A$5:$A$504,$B18,'Time Off Log'!$C$5:$C$504,"&lt;="&amp;Q$5,'Time Off Log'!$J$5:$J$504,"&gt;="&amp;Q$5,'Time Off Log'!$E$5:$E$504,"Pending")&gt;0,"?",""))))))</f>
        <v/>
      </c>
      <c r="R18" s="44">
        <f>IF(OR(R$5="",$B18=""),"",IF(OR(WEEKDAY(R$5,2)&gt;5,COUNTIF(Holidays!$A$5:$A$40,R$5)&gt;0),"",IF(COUNTIFS('Time Off Log'!$A$5:$A$504,$B18,'Time Off Log'!$C$5:$C$504,"&lt;="&amp;R$5,'Time Off Log'!$J$5:$J$504,"&gt;="&amp;R$5,'Time Off Log'!$B$5:$B$504,"PTO",'Time Off Log'!$E$5:$E$504,"Approved")&gt;0,"P",IF(COUNTIFS('Time Off Log'!$A$5:$A$504,$B18,'Time Off Log'!$C$5:$C$504,"&lt;="&amp;R$5,'Time Off Log'!$J$5:$J$504,"&gt;="&amp;R$5,'Time Off Log'!$B$5:$B$504,"Sick",'Time Off Log'!$E$5:$E$504,"Approved")&gt;0,"S",IF(COUNTIFS('Time Off Log'!$A$5:$A$504,$B18,'Time Off Log'!$C$5:$C$504,"&lt;="&amp;R$5,'Time Off Log'!$J$5:$J$504,"&gt;="&amp;R$5,'Time Off Log'!$E$5:$E$504,"Approved")&gt;0,"U",IF(COUNTIFS('Time Off Log'!$A$5:$A$504,$B18,'Time Off Log'!$C$5:$C$504,"&lt;="&amp;R$5,'Time Off Log'!$J$5:$J$504,"&gt;="&amp;R$5,'Time Off Log'!$E$5:$E$504,"Pending")&gt;0,"?",""))))))</f>
        <v/>
      </c>
      <c r="S18" s="44">
        <f>IF(OR(S$5="",$B18=""),"",IF(OR(WEEKDAY(S$5,2)&gt;5,COUNTIF(Holidays!$A$5:$A$40,S$5)&gt;0),"",IF(COUNTIFS('Time Off Log'!$A$5:$A$504,$B18,'Time Off Log'!$C$5:$C$504,"&lt;="&amp;S$5,'Time Off Log'!$J$5:$J$504,"&gt;="&amp;S$5,'Time Off Log'!$B$5:$B$504,"PTO",'Time Off Log'!$E$5:$E$504,"Approved")&gt;0,"P",IF(COUNTIFS('Time Off Log'!$A$5:$A$504,$B18,'Time Off Log'!$C$5:$C$504,"&lt;="&amp;S$5,'Time Off Log'!$J$5:$J$504,"&gt;="&amp;S$5,'Time Off Log'!$B$5:$B$504,"Sick",'Time Off Log'!$E$5:$E$504,"Approved")&gt;0,"S",IF(COUNTIFS('Time Off Log'!$A$5:$A$504,$B18,'Time Off Log'!$C$5:$C$504,"&lt;="&amp;S$5,'Time Off Log'!$J$5:$J$504,"&gt;="&amp;S$5,'Time Off Log'!$E$5:$E$504,"Approved")&gt;0,"U",IF(COUNTIFS('Time Off Log'!$A$5:$A$504,$B18,'Time Off Log'!$C$5:$C$504,"&lt;="&amp;S$5,'Time Off Log'!$J$5:$J$504,"&gt;="&amp;S$5,'Time Off Log'!$E$5:$E$504,"Pending")&gt;0,"?",""))))))</f>
        <v/>
      </c>
      <c r="T18" s="44">
        <f>IF(OR(T$5="",$B18=""),"",IF(OR(WEEKDAY(T$5,2)&gt;5,COUNTIF(Holidays!$A$5:$A$40,T$5)&gt;0),"",IF(COUNTIFS('Time Off Log'!$A$5:$A$504,$B18,'Time Off Log'!$C$5:$C$504,"&lt;="&amp;T$5,'Time Off Log'!$J$5:$J$504,"&gt;="&amp;T$5,'Time Off Log'!$B$5:$B$504,"PTO",'Time Off Log'!$E$5:$E$504,"Approved")&gt;0,"P",IF(COUNTIFS('Time Off Log'!$A$5:$A$504,$B18,'Time Off Log'!$C$5:$C$504,"&lt;="&amp;T$5,'Time Off Log'!$J$5:$J$504,"&gt;="&amp;T$5,'Time Off Log'!$B$5:$B$504,"Sick",'Time Off Log'!$E$5:$E$504,"Approved")&gt;0,"S",IF(COUNTIFS('Time Off Log'!$A$5:$A$504,$B18,'Time Off Log'!$C$5:$C$504,"&lt;="&amp;T$5,'Time Off Log'!$J$5:$J$504,"&gt;="&amp;T$5,'Time Off Log'!$E$5:$E$504,"Approved")&gt;0,"U",IF(COUNTIFS('Time Off Log'!$A$5:$A$504,$B18,'Time Off Log'!$C$5:$C$504,"&lt;="&amp;T$5,'Time Off Log'!$J$5:$J$504,"&gt;="&amp;T$5,'Time Off Log'!$E$5:$E$504,"Pending")&gt;0,"?",""))))))</f>
        <v/>
      </c>
      <c r="U18" s="44">
        <f>IF(OR(U$5="",$B18=""),"",IF(OR(WEEKDAY(U$5,2)&gt;5,COUNTIF(Holidays!$A$5:$A$40,U$5)&gt;0),"",IF(COUNTIFS('Time Off Log'!$A$5:$A$504,$B18,'Time Off Log'!$C$5:$C$504,"&lt;="&amp;U$5,'Time Off Log'!$J$5:$J$504,"&gt;="&amp;U$5,'Time Off Log'!$B$5:$B$504,"PTO",'Time Off Log'!$E$5:$E$504,"Approved")&gt;0,"P",IF(COUNTIFS('Time Off Log'!$A$5:$A$504,$B18,'Time Off Log'!$C$5:$C$504,"&lt;="&amp;U$5,'Time Off Log'!$J$5:$J$504,"&gt;="&amp;U$5,'Time Off Log'!$B$5:$B$504,"Sick",'Time Off Log'!$E$5:$E$504,"Approved")&gt;0,"S",IF(COUNTIFS('Time Off Log'!$A$5:$A$504,$B18,'Time Off Log'!$C$5:$C$504,"&lt;="&amp;U$5,'Time Off Log'!$J$5:$J$504,"&gt;="&amp;U$5,'Time Off Log'!$E$5:$E$504,"Approved")&gt;0,"U",IF(COUNTIFS('Time Off Log'!$A$5:$A$504,$B18,'Time Off Log'!$C$5:$C$504,"&lt;="&amp;U$5,'Time Off Log'!$J$5:$J$504,"&gt;="&amp;U$5,'Time Off Log'!$E$5:$E$504,"Pending")&gt;0,"?",""))))))</f>
        <v/>
      </c>
      <c r="V18" s="44">
        <f>IF(OR(V$5="",$B18=""),"",IF(OR(WEEKDAY(V$5,2)&gt;5,COUNTIF(Holidays!$A$5:$A$40,V$5)&gt;0),"",IF(COUNTIFS('Time Off Log'!$A$5:$A$504,$B18,'Time Off Log'!$C$5:$C$504,"&lt;="&amp;V$5,'Time Off Log'!$J$5:$J$504,"&gt;="&amp;V$5,'Time Off Log'!$B$5:$B$504,"PTO",'Time Off Log'!$E$5:$E$504,"Approved")&gt;0,"P",IF(COUNTIFS('Time Off Log'!$A$5:$A$504,$B18,'Time Off Log'!$C$5:$C$504,"&lt;="&amp;V$5,'Time Off Log'!$J$5:$J$504,"&gt;="&amp;V$5,'Time Off Log'!$B$5:$B$504,"Sick",'Time Off Log'!$E$5:$E$504,"Approved")&gt;0,"S",IF(COUNTIFS('Time Off Log'!$A$5:$A$504,$B18,'Time Off Log'!$C$5:$C$504,"&lt;="&amp;V$5,'Time Off Log'!$J$5:$J$504,"&gt;="&amp;V$5,'Time Off Log'!$E$5:$E$504,"Approved")&gt;0,"U",IF(COUNTIFS('Time Off Log'!$A$5:$A$504,$B18,'Time Off Log'!$C$5:$C$504,"&lt;="&amp;V$5,'Time Off Log'!$J$5:$J$504,"&gt;="&amp;V$5,'Time Off Log'!$E$5:$E$504,"Pending")&gt;0,"?",""))))))</f>
        <v/>
      </c>
      <c r="W18" s="44">
        <f>IF(OR(W$5="",$B18=""),"",IF(OR(WEEKDAY(W$5,2)&gt;5,COUNTIF(Holidays!$A$5:$A$40,W$5)&gt;0),"",IF(COUNTIFS('Time Off Log'!$A$5:$A$504,$B18,'Time Off Log'!$C$5:$C$504,"&lt;="&amp;W$5,'Time Off Log'!$J$5:$J$504,"&gt;="&amp;W$5,'Time Off Log'!$B$5:$B$504,"PTO",'Time Off Log'!$E$5:$E$504,"Approved")&gt;0,"P",IF(COUNTIFS('Time Off Log'!$A$5:$A$504,$B18,'Time Off Log'!$C$5:$C$504,"&lt;="&amp;W$5,'Time Off Log'!$J$5:$J$504,"&gt;="&amp;W$5,'Time Off Log'!$B$5:$B$504,"Sick",'Time Off Log'!$E$5:$E$504,"Approved")&gt;0,"S",IF(COUNTIFS('Time Off Log'!$A$5:$A$504,$B18,'Time Off Log'!$C$5:$C$504,"&lt;="&amp;W$5,'Time Off Log'!$J$5:$J$504,"&gt;="&amp;W$5,'Time Off Log'!$E$5:$E$504,"Approved")&gt;0,"U",IF(COUNTIFS('Time Off Log'!$A$5:$A$504,$B18,'Time Off Log'!$C$5:$C$504,"&lt;="&amp;W$5,'Time Off Log'!$J$5:$J$504,"&gt;="&amp;W$5,'Time Off Log'!$E$5:$E$504,"Pending")&gt;0,"?",""))))))</f>
        <v/>
      </c>
      <c r="X18" s="44">
        <f>IF(OR(X$5="",$B18=""),"",IF(OR(WEEKDAY(X$5,2)&gt;5,COUNTIF(Holidays!$A$5:$A$40,X$5)&gt;0),"",IF(COUNTIFS('Time Off Log'!$A$5:$A$504,$B18,'Time Off Log'!$C$5:$C$504,"&lt;="&amp;X$5,'Time Off Log'!$J$5:$J$504,"&gt;="&amp;X$5,'Time Off Log'!$B$5:$B$504,"PTO",'Time Off Log'!$E$5:$E$504,"Approved")&gt;0,"P",IF(COUNTIFS('Time Off Log'!$A$5:$A$504,$B18,'Time Off Log'!$C$5:$C$504,"&lt;="&amp;X$5,'Time Off Log'!$J$5:$J$504,"&gt;="&amp;X$5,'Time Off Log'!$B$5:$B$504,"Sick",'Time Off Log'!$E$5:$E$504,"Approved")&gt;0,"S",IF(COUNTIFS('Time Off Log'!$A$5:$A$504,$B18,'Time Off Log'!$C$5:$C$504,"&lt;="&amp;X$5,'Time Off Log'!$J$5:$J$504,"&gt;="&amp;X$5,'Time Off Log'!$E$5:$E$504,"Approved")&gt;0,"U",IF(COUNTIFS('Time Off Log'!$A$5:$A$504,$B18,'Time Off Log'!$C$5:$C$504,"&lt;="&amp;X$5,'Time Off Log'!$J$5:$J$504,"&gt;="&amp;X$5,'Time Off Log'!$E$5:$E$504,"Pending")&gt;0,"?",""))))))</f>
        <v/>
      </c>
      <c r="Y18" s="44">
        <f>IF(OR(Y$5="",$B18=""),"",IF(OR(WEEKDAY(Y$5,2)&gt;5,COUNTIF(Holidays!$A$5:$A$40,Y$5)&gt;0),"",IF(COUNTIFS('Time Off Log'!$A$5:$A$504,$B18,'Time Off Log'!$C$5:$C$504,"&lt;="&amp;Y$5,'Time Off Log'!$J$5:$J$504,"&gt;="&amp;Y$5,'Time Off Log'!$B$5:$B$504,"PTO",'Time Off Log'!$E$5:$E$504,"Approved")&gt;0,"P",IF(COUNTIFS('Time Off Log'!$A$5:$A$504,$B18,'Time Off Log'!$C$5:$C$504,"&lt;="&amp;Y$5,'Time Off Log'!$J$5:$J$504,"&gt;="&amp;Y$5,'Time Off Log'!$B$5:$B$504,"Sick",'Time Off Log'!$E$5:$E$504,"Approved")&gt;0,"S",IF(COUNTIFS('Time Off Log'!$A$5:$A$504,$B18,'Time Off Log'!$C$5:$C$504,"&lt;="&amp;Y$5,'Time Off Log'!$J$5:$J$504,"&gt;="&amp;Y$5,'Time Off Log'!$E$5:$E$504,"Approved")&gt;0,"U",IF(COUNTIFS('Time Off Log'!$A$5:$A$504,$B18,'Time Off Log'!$C$5:$C$504,"&lt;="&amp;Y$5,'Time Off Log'!$J$5:$J$504,"&gt;="&amp;Y$5,'Time Off Log'!$E$5:$E$504,"Pending")&gt;0,"?",""))))))</f>
        <v/>
      </c>
      <c r="Z18" s="44">
        <f>IF(OR(Z$5="",$B18=""),"",IF(OR(WEEKDAY(Z$5,2)&gt;5,COUNTIF(Holidays!$A$5:$A$40,Z$5)&gt;0),"",IF(COUNTIFS('Time Off Log'!$A$5:$A$504,$B18,'Time Off Log'!$C$5:$C$504,"&lt;="&amp;Z$5,'Time Off Log'!$J$5:$J$504,"&gt;="&amp;Z$5,'Time Off Log'!$B$5:$B$504,"PTO",'Time Off Log'!$E$5:$E$504,"Approved")&gt;0,"P",IF(COUNTIFS('Time Off Log'!$A$5:$A$504,$B18,'Time Off Log'!$C$5:$C$504,"&lt;="&amp;Z$5,'Time Off Log'!$J$5:$J$504,"&gt;="&amp;Z$5,'Time Off Log'!$B$5:$B$504,"Sick",'Time Off Log'!$E$5:$E$504,"Approved")&gt;0,"S",IF(COUNTIFS('Time Off Log'!$A$5:$A$504,$B18,'Time Off Log'!$C$5:$C$504,"&lt;="&amp;Z$5,'Time Off Log'!$J$5:$J$504,"&gt;="&amp;Z$5,'Time Off Log'!$E$5:$E$504,"Approved")&gt;0,"U",IF(COUNTIFS('Time Off Log'!$A$5:$A$504,$B18,'Time Off Log'!$C$5:$C$504,"&lt;="&amp;Z$5,'Time Off Log'!$J$5:$J$504,"&gt;="&amp;Z$5,'Time Off Log'!$E$5:$E$504,"Pending")&gt;0,"?",""))))))</f>
        <v/>
      </c>
      <c r="AA18" s="44">
        <f>IF(OR(AA$5="",$B18=""),"",IF(OR(WEEKDAY(AA$5,2)&gt;5,COUNTIF(Holidays!$A$5:$A$40,AA$5)&gt;0),"",IF(COUNTIFS('Time Off Log'!$A$5:$A$504,$B18,'Time Off Log'!$C$5:$C$504,"&lt;="&amp;AA$5,'Time Off Log'!$J$5:$J$504,"&gt;="&amp;AA$5,'Time Off Log'!$B$5:$B$504,"PTO",'Time Off Log'!$E$5:$E$504,"Approved")&gt;0,"P",IF(COUNTIFS('Time Off Log'!$A$5:$A$504,$B18,'Time Off Log'!$C$5:$C$504,"&lt;="&amp;AA$5,'Time Off Log'!$J$5:$J$504,"&gt;="&amp;AA$5,'Time Off Log'!$B$5:$B$504,"Sick",'Time Off Log'!$E$5:$E$504,"Approved")&gt;0,"S",IF(COUNTIFS('Time Off Log'!$A$5:$A$504,$B18,'Time Off Log'!$C$5:$C$504,"&lt;="&amp;AA$5,'Time Off Log'!$J$5:$J$504,"&gt;="&amp;AA$5,'Time Off Log'!$E$5:$E$504,"Approved")&gt;0,"U",IF(COUNTIFS('Time Off Log'!$A$5:$A$504,$B18,'Time Off Log'!$C$5:$C$504,"&lt;="&amp;AA$5,'Time Off Log'!$J$5:$J$504,"&gt;="&amp;AA$5,'Time Off Log'!$E$5:$E$504,"Pending")&gt;0,"?",""))))))</f>
        <v/>
      </c>
      <c r="AB18" s="44">
        <f>IF(OR(AB$5="",$B18=""),"",IF(OR(WEEKDAY(AB$5,2)&gt;5,COUNTIF(Holidays!$A$5:$A$40,AB$5)&gt;0),"",IF(COUNTIFS('Time Off Log'!$A$5:$A$504,$B18,'Time Off Log'!$C$5:$C$504,"&lt;="&amp;AB$5,'Time Off Log'!$J$5:$J$504,"&gt;="&amp;AB$5,'Time Off Log'!$B$5:$B$504,"PTO",'Time Off Log'!$E$5:$E$504,"Approved")&gt;0,"P",IF(COUNTIFS('Time Off Log'!$A$5:$A$504,$B18,'Time Off Log'!$C$5:$C$504,"&lt;="&amp;AB$5,'Time Off Log'!$J$5:$J$504,"&gt;="&amp;AB$5,'Time Off Log'!$B$5:$B$504,"Sick",'Time Off Log'!$E$5:$E$504,"Approved")&gt;0,"S",IF(COUNTIFS('Time Off Log'!$A$5:$A$504,$B18,'Time Off Log'!$C$5:$C$504,"&lt;="&amp;AB$5,'Time Off Log'!$J$5:$J$504,"&gt;="&amp;AB$5,'Time Off Log'!$E$5:$E$504,"Approved")&gt;0,"U",IF(COUNTIFS('Time Off Log'!$A$5:$A$504,$B18,'Time Off Log'!$C$5:$C$504,"&lt;="&amp;AB$5,'Time Off Log'!$J$5:$J$504,"&gt;="&amp;AB$5,'Time Off Log'!$E$5:$E$504,"Pending")&gt;0,"?",""))))))</f>
        <v/>
      </c>
      <c r="AC18" s="44">
        <f>IF(OR(AC$5="",$B18=""),"",IF(OR(WEEKDAY(AC$5,2)&gt;5,COUNTIF(Holidays!$A$5:$A$40,AC$5)&gt;0),"",IF(COUNTIFS('Time Off Log'!$A$5:$A$504,$B18,'Time Off Log'!$C$5:$C$504,"&lt;="&amp;AC$5,'Time Off Log'!$J$5:$J$504,"&gt;="&amp;AC$5,'Time Off Log'!$B$5:$B$504,"PTO",'Time Off Log'!$E$5:$E$504,"Approved")&gt;0,"P",IF(COUNTIFS('Time Off Log'!$A$5:$A$504,$B18,'Time Off Log'!$C$5:$C$504,"&lt;="&amp;AC$5,'Time Off Log'!$J$5:$J$504,"&gt;="&amp;AC$5,'Time Off Log'!$B$5:$B$504,"Sick",'Time Off Log'!$E$5:$E$504,"Approved")&gt;0,"S",IF(COUNTIFS('Time Off Log'!$A$5:$A$504,$B18,'Time Off Log'!$C$5:$C$504,"&lt;="&amp;AC$5,'Time Off Log'!$J$5:$J$504,"&gt;="&amp;AC$5,'Time Off Log'!$E$5:$E$504,"Approved")&gt;0,"U",IF(COUNTIFS('Time Off Log'!$A$5:$A$504,$B18,'Time Off Log'!$C$5:$C$504,"&lt;="&amp;AC$5,'Time Off Log'!$J$5:$J$504,"&gt;="&amp;AC$5,'Time Off Log'!$E$5:$E$504,"Pending")&gt;0,"?",""))))))</f>
        <v/>
      </c>
      <c r="AD18" s="44">
        <f>IF(OR(AD$5="",$B18=""),"",IF(OR(WEEKDAY(AD$5,2)&gt;5,COUNTIF(Holidays!$A$5:$A$40,AD$5)&gt;0),"",IF(COUNTIFS('Time Off Log'!$A$5:$A$504,$B18,'Time Off Log'!$C$5:$C$504,"&lt;="&amp;AD$5,'Time Off Log'!$J$5:$J$504,"&gt;="&amp;AD$5,'Time Off Log'!$B$5:$B$504,"PTO",'Time Off Log'!$E$5:$E$504,"Approved")&gt;0,"P",IF(COUNTIFS('Time Off Log'!$A$5:$A$504,$B18,'Time Off Log'!$C$5:$C$504,"&lt;="&amp;AD$5,'Time Off Log'!$J$5:$J$504,"&gt;="&amp;AD$5,'Time Off Log'!$B$5:$B$504,"Sick",'Time Off Log'!$E$5:$E$504,"Approved")&gt;0,"S",IF(COUNTIFS('Time Off Log'!$A$5:$A$504,$B18,'Time Off Log'!$C$5:$C$504,"&lt;="&amp;AD$5,'Time Off Log'!$J$5:$J$504,"&gt;="&amp;AD$5,'Time Off Log'!$E$5:$E$504,"Approved")&gt;0,"U",IF(COUNTIFS('Time Off Log'!$A$5:$A$504,$B18,'Time Off Log'!$C$5:$C$504,"&lt;="&amp;AD$5,'Time Off Log'!$J$5:$J$504,"&gt;="&amp;AD$5,'Time Off Log'!$E$5:$E$504,"Pending")&gt;0,"?",""))))))</f>
        <v/>
      </c>
      <c r="AE18" s="44">
        <f>IF(OR(AE$5="",$B18=""),"",IF(OR(WEEKDAY(AE$5,2)&gt;5,COUNTIF(Holidays!$A$5:$A$40,AE$5)&gt;0),"",IF(COUNTIFS('Time Off Log'!$A$5:$A$504,$B18,'Time Off Log'!$C$5:$C$504,"&lt;="&amp;AE$5,'Time Off Log'!$J$5:$J$504,"&gt;="&amp;AE$5,'Time Off Log'!$B$5:$B$504,"PTO",'Time Off Log'!$E$5:$E$504,"Approved")&gt;0,"P",IF(COUNTIFS('Time Off Log'!$A$5:$A$504,$B18,'Time Off Log'!$C$5:$C$504,"&lt;="&amp;AE$5,'Time Off Log'!$J$5:$J$504,"&gt;="&amp;AE$5,'Time Off Log'!$B$5:$B$504,"Sick",'Time Off Log'!$E$5:$E$504,"Approved")&gt;0,"S",IF(COUNTIFS('Time Off Log'!$A$5:$A$504,$B18,'Time Off Log'!$C$5:$C$504,"&lt;="&amp;AE$5,'Time Off Log'!$J$5:$J$504,"&gt;="&amp;AE$5,'Time Off Log'!$E$5:$E$504,"Approved")&gt;0,"U",IF(COUNTIFS('Time Off Log'!$A$5:$A$504,$B18,'Time Off Log'!$C$5:$C$504,"&lt;="&amp;AE$5,'Time Off Log'!$J$5:$J$504,"&gt;="&amp;AE$5,'Time Off Log'!$E$5:$E$504,"Pending")&gt;0,"?",""))))))</f>
        <v/>
      </c>
      <c r="AF18" s="44">
        <f>IF(OR(AF$5="",$B18=""),"",IF(OR(WEEKDAY(AF$5,2)&gt;5,COUNTIF(Holidays!$A$5:$A$40,AF$5)&gt;0),"",IF(COUNTIFS('Time Off Log'!$A$5:$A$504,$B18,'Time Off Log'!$C$5:$C$504,"&lt;="&amp;AF$5,'Time Off Log'!$J$5:$J$504,"&gt;="&amp;AF$5,'Time Off Log'!$B$5:$B$504,"PTO",'Time Off Log'!$E$5:$E$504,"Approved")&gt;0,"P",IF(COUNTIFS('Time Off Log'!$A$5:$A$504,$B18,'Time Off Log'!$C$5:$C$504,"&lt;="&amp;AF$5,'Time Off Log'!$J$5:$J$504,"&gt;="&amp;AF$5,'Time Off Log'!$B$5:$B$504,"Sick",'Time Off Log'!$E$5:$E$504,"Approved")&gt;0,"S",IF(COUNTIFS('Time Off Log'!$A$5:$A$504,$B18,'Time Off Log'!$C$5:$C$504,"&lt;="&amp;AF$5,'Time Off Log'!$J$5:$J$504,"&gt;="&amp;AF$5,'Time Off Log'!$E$5:$E$504,"Approved")&gt;0,"U",IF(COUNTIFS('Time Off Log'!$A$5:$A$504,$B18,'Time Off Log'!$C$5:$C$504,"&lt;="&amp;AF$5,'Time Off Log'!$J$5:$J$504,"&gt;="&amp;AF$5,'Time Off Log'!$E$5:$E$504,"Pending")&gt;0,"?",""))))))</f>
        <v/>
      </c>
      <c r="AG18" s="44">
        <f>IF(OR(AG$5="",$B18=""),"",IF(OR(WEEKDAY(AG$5,2)&gt;5,COUNTIF(Holidays!$A$5:$A$40,AG$5)&gt;0),"",IF(COUNTIFS('Time Off Log'!$A$5:$A$504,$B18,'Time Off Log'!$C$5:$C$504,"&lt;="&amp;AG$5,'Time Off Log'!$J$5:$J$504,"&gt;="&amp;AG$5,'Time Off Log'!$B$5:$B$504,"PTO",'Time Off Log'!$E$5:$E$504,"Approved")&gt;0,"P",IF(COUNTIFS('Time Off Log'!$A$5:$A$504,$B18,'Time Off Log'!$C$5:$C$504,"&lt;="&amp;AG$5,'Time Off Log'!$J$5:$J$504,"&gt;="&amp;AG$5,'Time Off Log'!$B$5:$B$504,"Sick",'Time Off Log'!$E$5:$E$504,"Approved")&gt;0,"S",IF(COUNTIFS('Time Off Log'!$A$5:$A$504,$B18,'Time Off Log'!$C$5:$C$504,"&lt;="&amp;AG$5,'Time Off Log'!$J$5:$J$504,"&gt;="&amp;AG$5,'Time Off Log'!$E$5:$E$504,"Approved")&gt;0,"U",IF(COUNTIFS('Time Off Log'!$A$5:$A$504,$B18,'Time Off Log'!$C$5:$C$504,"&lt;="&amp;AG$5,'Time Off Log'!$J$5:$J$504,"&gt;="&amp;AG$5,'Time Off Log'!$E$5:$E$504,"Pending")&gt;0,"?",""))))))</f>
        <v/>
      </c>
    </row>
    <row r="19">
      <c r="A19" s="24" t="n">
        <v>14</v>
      </c>
      <c r="B19" s="24">
        <f>IF(Employees!B18="","",Employees!B18)</f>
        <v/>
      </c>
      <c r="C19" s="44">
        <f>IF(OR(C$5="",$B19=""),"",IF(OR(WEEKDAY(C$5,2)&gt;5,COUNTIF(Holidays!$A$5:$A$40,C$5)&gt;0),"",IF(COUNTIFS('Time Off Log'!$A$5:$A$504,$B19,'Time Off Log'!$C$5:$C$504,"&lt;="&amp;C$5,'Time Off Log'!$J$5:$J$504,"&gt;="&amp;C$5,'Time Off Log'!$B$5:$B$504,"PTO",'Time Off Log'!$E$5:$E$504,"Approved")&gt;0,"P",IF(COUNTIFS('Time Off Log'!$A$5:$A$504,$B19,'Time Off Log'!$C$5:$C$504,"&lt;="&amp;C$5,'Time Off Log'!$J$5:$J$504,"&gt;="&amp;C$5,'Time Off Log'!$B$5:$B$504,"Sick",'Time Off Log'!$E$5:$E$504,"Approved")&gt;0,"S",IF(COUNTIFS('Time Off Log'!$A$5:$A$504,$B19,'Time Off Log'!$C$5:$C$504,"&lt;="&amp;C$5,'Time Off Log'!$J$5:$J$504,"&gt;="&amp;C$5,'Time Off Log'!$E$5:$E$504,"Approved")&gt;0,"U",IF(COUNTIFS('Time Off Log'!$A$5:$A$504,$B19,'Time Off Log'!$C$5:$C$504,"&lt;="&amp;C$5,'Time Off Log'!$J$5:$J$504,"&gt;="&amp;C$5,'Time Off Log'!$E$5:$E$504,"Pending")&gt;0,"?",""))))))</f>
        <v/>
      </c>
      <c r="D19" s="44">
        <f>IF(OR(D$5="",$B19=""),"",IF(OR(WEEKDAY(D$5,2)&gt;5,COUNTIF(Holidays!$A$5:$A$40,D$5)&gt;0),"",IF(COUNTIFS('Time Off Log'!$A$5:$A$504,$B19,'Time Off Log'!$C$5:$C$504,"&lt;="&amp;D$5,'Time Off Log'!$J$5:$J$504,"&gt;="&amp;D$5,'Time Off Log'!$B$5:$B$504,"PTO",'Time Off Log'!$E$5:$E$504,"Approved")&gt;0,"P",IF(COUNTIFS('Time Off Log'!$A$5:$A$504,$B19,'Time Off Log'!$C$5:$C$504,"&lt;="&amp;D$5,'Time Off Log'!$J$5:$J$504,"&gt;="&amp;D$5,'Time Off Log'!$B$5:$B$504,"Sick",'Time Off Log'!$E$5:$E$504,"Approved")&gt;0,"S",IF(COUNTIFS('Time Off Log'!$A$5:$A$504,$B19,'Time Off Log'!$C$5:$C$504,"&lt;="&amp;D$5,'Time Off Log'!$J$5:$J$504,"&gt;="&amp;D$5,'Time Off Log'!$E$5:$E$504,"Approved")&gt;0,"U",IF(COUNTIFS('Time Off Log'!$A$5:$A$504,$B19,'Time Off Log'!$C$5:$C$504,"&lt;="&amp;D$5,'Time Off Log'!$J$5:$J$504,"&gt;="&amp;D$5,'Time Off Log'!$E$5:$E$504,"Pending")&gt;0,"?",""))))))</f>
        <v/>
      </c>
      <c r="E19" s="44">
        <f>IF(OR(E$5="",$B19=""),"",IF(OR(WEEKDAY(E$5,2)&gt;5,COUNTIF(Holidays!$A$5:$A$40,E$5)&gt;0),"",IF(COUNTIFS('Time Off Log'!$A$5:$A$504,$B19,'Time Off Log'!$C$5:$C$504,"&lt;="&amp;E$5,'Time Off Log'!$J$5:$J$504,"&gt;="&amp;E$5,'Time Off Log'!$B$5:$B$504,"PTO",'Time Off Log'!$E$5:$E$504,"Approved")&gt;0,"P",IF(COUNTIFS('Time Off Log'!$A$5:$A$504,$B19,'Time Off Log'!$C$5:$C$504,"&lt;="&amp;E$5,'Time Off Log'!$J$5:$J$504,"&gt;="&amp;E$5,'Time Off Log'!$B$5:$B$504,"Sick",'Time Off Log'!$E$5:$E$504,"Approved")&gt;0,"S",IF(COUNTIFS('Time Off Log'!$A$5:$A$504,$B19,'Time Off Log'!$C$5:$C$504,"&lt;="&amp;E$5,'Time Off Log'!$J$5:$J$504,"&gt;="&amp;E$5,'Time Off Log'!$E$5:$E$504,"Approved")&gt;0,"U",IF(COUNTIFS('Time Off Log'!$A$5:$A$504,$B19,'Time Off Log'!$C$5:$C$504,"&lt;="&amp;E$5,'Time Off Log'!$J$5:$J$504,"&gt;="&amp;E$5,'Time Off Log'!$E$5:$E$504,"Pending")&gt;0,"?",""))))))</f>
        <v/>
      </c>
      <c r="F19" s="44">
        <f>IF(OR(F$5="",$B19=""),"",IF(OR(WEEKDAY(F$5,2)&gt;5,COUNTIF(Holidays!$A$5:$A$40,F$5)&gt;0),"",IF(COUNTIFS('Time Off Log'!$A$5:$A$504,$B19,'Time Off Log'!$C$5:$C$504,"&lt;="&amp;F$5,'Time Off Log'!$J$5:$J$504,"&gt;="&amp;F$5,'Time Off Log'!$B$5:$B$504,"PTO",'Time Off Log'!$E$5:$E$504,"Approved")&gt;0,"P",IF(COUNTIFS('Time Off Log'!$A$5:$A$504,$B19,'Time Off Log'!$C$5:$C$504,"&lt;="&amp;F$5,'Time Off Log'!$J$5:$J$504,"&gt;="&amp;F$5,'Time Off Log'!$B$5:$B$504,"Sick",'Time Off Log'!$E$5:$E$504,"Approved")&gt;0,"S",IF(COUNTIFS('Time Off Log'!$A$5:$A$504,$B19,'Time Off Log'!$C$5:$C$504,"&lt;="&amp;F$5,'Time Off Log'!$J$5:$J$504,"&gt;="&amp;F$5,'Time Off Log'!$E$5:$E$504,"Approved")&gt;0,"U",IF(COUNTIFS('Time Off Log'!$A$5:$A$504,$B19,'Time Off Log'!$C$5:$C$504,"&lt;="&amp;F$5,'Time Off Log'!$J$5:$J$504,"&gt;="&amp;F$5,'Time Off Log'!$E$5:$E$504,"Pending")&gt;0,"?",""))))))</f>
        <v/>
      </c>
      <c r="G19" s="44">
        <f>IF(OR(G$5="",$B19=""),"",IF(OR(WEEKDAY(G$5,2)&gt;5,COUNTIF(Holidays!$A$5:$A$40,G$5)&gt;0),"",IF(COUNTIFS('Time Off Log'!$A$5:$A$504,$B19,'Time Off Log'!$C$5:$C$504,"&lt;="&amp;G$5,'Time Off Log'!$J$5:$J$504,"&gt;="&amp;G$5,'Time Off Log'!$B$5:$B$504,"PTO",'Time Off Log'!$E$5:$E$504,"Approved")&gt;0,"P",IF(COUNTIFS('Time Off Log'!$A$5:$A$504,$B19,'Time Off Log'!$C$5:$C$504,"&lt;="&amp;G$5,'Time Off Log'!$J$5:$J$504,"&gt;="&amp;G$5,'Time Off Log'!$B$5:$B$504,"Sick",'Time Off Log'!$E$5:$E$504,"Approved")&gt;0,"S",IF(COUNTIFS('Time Off Log'!$A$5:$A$504,$B19,'Time Off Log'!$C$5:$C$504,"&lt;="&amp;G$5,'Time Off Log'!$J$5:$J$504,"&gt;="&amp;G$5,'Time Off Log'!$E$5:$E$504,"Approved")&gt;0,"U",IF(COUNTIFS('Time Off Log'!$A$5:$A$504,$B19,'Time Off Log'!$C$5:$C$504,"&lt;="&amp;G$5,'Time Off Log'!$J$5:$J$504,"&gt;="&amp;G$5,'Time Off Log'!$E$5:$E$504,"Pending")&gt;0,"?",""))))))</f>
        <v/>
      </c>
      <c r="H19" s="44">
        <f>IF(OR(H$5="",$B19=""),"",IF(OR(WEEKDAY(H$5,2)&gt;5,COUNTIF(Holidays!$A$5:$A$40,H$5)&gt;0),"",IF(COUNTIFS('Time Off Log'!$A$5:$A$504,$B19,'Time Off Log'!$C$5:$C$504,"&lt;="&amp;H$5,'Time Off Log'!$J$5:$J$504,"&gt;="&amp;H$5,'Time Off Log'!$B$5:$B$504,"PTO",'Time Off Log'!$E$5:$E$504,"Approved")&gt;0,"P",IF(COUNTIFS('Time Off Log'!$A$5:$A$504,$B19,'Time Off Log'!$C$5:$C$504,"&lt;="&amp;H$5,'Time Off Log'!$J$5:$J$504,"&gt;="&amp;H$5,'Time Off Log'!$B$5:$B$504,"Sick",'Time Off Log'!$E$5:$E$504,"Approved")&gt;0,"S",IF(COUNTIFS('Time Off Log'!$A$5:$A$504,$B19,'Time Off Log'!$C$5:$C$504,"&lt;="&amp;H$5,'Time Off Log'!$J$5:$J$504,"&gt;="&amp;H$5,'Time Off Log'!$E$5:$E$504,"Approved")&gt;0,"U",IF(COUNTIFS('Time Off Log'!$A$5:$A$504,$B19,'Time Off Log'!$C$5:$C$504,"&lt;="&amp;H$5,'Time Off Log'!$J$5:$J$504,"&gt;="&amp;H$5,'Time Off Log'!$E$5:$E$504,"Pending")&gt;0,"?",""))))))</f>
        <v/>
      </c>
      <c r="I19" s="44">
        <f>IF(OR(I$5="",$B19=""),"",IF(OR(WEEKDAY(I$5,2)&gt;5,COUNTIF(Holidays!$A$5:$A$40,I$5)&gt;0),"",IF(COUNTIFS('Time Off Log'!$A$5:$A$504,$B19,'Time Off Log'!$C$5:$C$504,"&lt;="&amp;I$5,'Time Off Log'!$J$5:$J$504,"&gt;="&amp;I$5,'Time Off Log'!$B$5:$B$504,"PTO",'Time Off Log'!$E$5:$E$504,"Approved")&gt;0,"P",IF(COUNTIFS('Time Off Log'!$A$5:$A$504,$B19,'Time Off Log'!$C$5:$C$504,"&lt;="&amp;I$5,'Time Off Log'!$J$5:$J$504,"&gt;="&amp;I$5,'Time Off Log'!$B$5:$B$504,"Sick",'Time Off Log'!$E$5:$E$504,"Approved")&gt;0,"S",IF(COUNTIFS('Time Off Log'!$A$5:$A$504,$B19,'Time Off Log'!$C$5:$C$504,"&lt;="&amp;I$5,'Time Off Log'!$J$5:$J$504,"&gt;="&amp;I$5,'Time Off Log'!$E$5:$E$504,"Approved")&gt;0,"U",IF(COUNTIFS('Time Off Log'!$A$5:$A$504,$B19,'Time Off Log'!$C$5:$C$504,"&lt;="&amp;I$5,'Time Off Log'!$J$5:$J$504,"&gt;="&amp;I$5,'Time Off Log'!$E$5:$E$504,"Pending")&gt;0,"?",""))))))</f>
        <v/>
      </c>
      <c r="J19" s="44">
        <f>IF(OR(J$5="",$B19=""),"",IF(OR(WEEKDAY(J$5,2)&gt;5,COUNTIF(Holidays!$A$5:$A$40,J$5)&gt;0),"",IF(COUNTIFS('Time Off Log'!$A$5:$A$504,$B19,'Time Off Log'!$C$5:$C$504,"&lt;="&amp;J$5,'Time Off Log'!$J$5:$J$504,"&gt;="&amp;J$5,'Time Off Log'!$B$5:$B$504,"PTO",'Time Off Log'!$E$5:$E$504,"Approved")&gt;0,"P",IF(COUNTIFS('Time Off Log'!$A$5:$A$504,$B19,'Time Off Log'!$C$5:$C$504,"&lt;="&amp;J$5,'Time Off Log'!$J$5:$J$504,"&gt;="&amp;J$5,'Time Off Log'!$B$5:$B$504,"Sick",'Time Off Log'!$E$5:$E$504,"Approved")&gt;0,"S",IF(COUNTIFS('Time Off Log'!$A$5:$A$504,$B19,'Time Off Log'!$C$5:$C$504,"&lt;="&amp;J$5,'Time Off Log'!$J$5:$J$504,"&gt;="&amp;J$5,'Time Off Log'!$E$5:$E$504,"Approved")&gt;0,"U",IF(COUNTIFS('Time Off Log'!$A$5:$A$504,$B19,'Time Off Log'!$C$5:$C$504,"&lt;="&amp;J$5,'Time Off Log'!$J$5:$J$504,"&gt;="&amp;J$5,'Time Off Log'!$E$5:$E$504,"Pending")&gt;0,"?",""))))))</f>
        <v/>
      </c>
      <c r="K19" s="44">
        <f>IF(OR(K$5="",$B19=""),"",IF(OR(WEEKDAY(K$5,2)&gt;5,COUNTIF(Holidays!$A$5:$A$40,K$5)&gt;0),"",IF(COUNTIFS('Time Off Log'!$A$5:$A$504,$B19,'Time Off Log'!$C$5:$C$504,"&lt;="&amp;K$5,'Time Off Log'!$J$5:$J$504,"&gt;="&amp;K$5,'Time Off Log'!$B$5:$B$504,"PTO",'Time Off Log'!$E$5:$E$504,"Approved")&gt;0,"P",IF(COUNTIFS('Time Off Log'!$A$5:$A$504,$B19,'Time Off Log'!$C$5:$C$504,"&lt;="&amp;K$5,'Time Off Log'!$J$5:$J$504,"&gt;="&amp;K$5,'Time Off Log'!$B$5:$B$504,"Sick",'Time Off Log'!$E$5:$E$504,"Approved")&gt;0,"S",IF(COUNTIFS('Time Off Log'!$A$5:$A$504,$B19,'Time Off Log'!$C$5:$C$504,"&lt;="&amp;K$5,'Time Off Log'!$J$5:$J$504,"&gt;="&amp;K$5,'Time Off Log'!$E$5:$E$504,"Approved")&gt;0,"U",IF(COUNTIFS('Time Off Log'!$A$5:$A$504,$B19,'Time Off Log'!$C$5:$C$504,"&lt;="&amp;K$5,'Time Off Log'!$J$5:$J$504,"&gt;="&amp;K$5,'Time Off Log'!$E$5:$E$504,"Pending")&gt;0,"?",""))))))</f>
        <v/>
      </c>
      <c r="L19" s="44">
        <f>IF(OR(L$5="",$B19=""),"",IF(OR(WEEKDAY(L$5,2)&gt;5,COUNTIF(Holidays!$A$5:$A$40,L$5)&gt;0),"",IF(COUNTIFS('Time Off Log'!$A$5:$A$504,$B19,'Time Off Log'!$C$5:$C$504,"&lt;="&amp;L$5,'Time Off Log'!$J$5:$J$504,"&gt;="&amp;L$5,'Time Off Log'!$B$5:$B$504,"PTO",'Time Off Log'!$E$5:$E$504,"Approved")&gt;0,"P",IF(COUNTIFS('Time Off Log'!$A$5:$A$504,$B19,'Time Off Log'!$C$5:$C$504,"&lt;="&amp;L$5,'Time Off Log'!$J$5:$J$504,"&gt;="&amp;L$5,'Time Off Log'!$B$5:$B$504,"Sick",'Time Off Log'!$E$5:$E$504,"Approved")&gt;0,"S",IF(COUNTIFS('Time Off Log'!$A$5:$A$504,$B19,'Time Off Log'!$C$5:$C$504,"&lt;="&amp;L$5,'Time Off Log'!$J$5:$J$504,"&gt;="&amp;L$5,'Time Off Log'!$E$5:$E$504,"Approved")&gt;0,"U",IF(COUNTIFS('Time Off Log'!$A$5:$A$504,$B19,'Time Off Log'!$C$5:$C$504,"&lt;="&amp;L$5,'Time Off Log'!$J$5:$J$504,"&gt;="&amp;L$5,'Time Off Log'!$E$5:$E$504,"Pending")&gt;0,"?",""))))))</f>
        <v/>
      </c>
      <c r="M19" s="44">
        <f>IF(OR(M$5="",$B19=""),"",IF(OR(WEEKDAY(M$5,2)&gt;5,COUNTIF(Holidays!$A$5:$A$40,M$5)&gt;0),"",IF(COUNTIFS('Time Off Log'!$A$5:$A$504,$B19,'Time Off Log'!$C$5:$C$504,"&lt;="&amp;M$5,'Time Off Log'!$J$5:$J$504,"&gt;="&amp;M$5,'Time Off Log'!$B$5:$B$504,"PTO",'Time Off Log'!$E$5:$E$504,"Approved")&gt;0,"P",IF(COUNTIFS('Time Off Log'!$A$5:$A$504,$B19,'Time Off Log'!$C$5:$C$504,"&lt;="&amp;M$5,'Time Off Log'!$J$5:$J$504,"&gt;="&amp;M$5,'Time Off Log'!$B$5:$B$504,"Sick",'Time Off Log'!$E$5:$E$504,"Approved")&gt;0,"S",IF(COUNTIFS('Time Off Log'!$A$5:$A$504,$B19,'Time Off Log'!$C$5:$C$504,"&lt;="&amp;M$5,'Time Off Log'!$J$5:$J$504,"&gt;="&amp;M$5,'Time Off Log'!$E$5:$E$504,"Approved")&gt;0,"U",IF(COUNTIFS('Time Off Log'!$A$5:$A$504,$B19,'Time Off Log'!$C$5:$C$504,"&lt;="&amp;M$5,'Time Off Log'!$J$5:$J$504,"&gt;="&amp;M$5,'Time Off Log'!$E$5:$E$504,"Pending")&gt;0,"?",""))))))</f>
        <v/>
      </c>
      <c r="N19" s="44">
        <f>IF(OR(N$5="",$B19=""),"",IF(OR(WEEKDAY(N$5,2)&gt;5,COUNTIF(Holidays!$A$5:$A$40,N$5)&gt;0),"",IF(COUNTIFS('Time Off Log'!$A$5:$A$504,$B19,'Time Off Log'!$C$5:$C$504,"&lt;="&amp;N$5,'Time Off Log'!$J$5:$J$504,"&gt;="&amp;N$5,'Time Off Log'!$B$5:$B$504,"PTO",'Time Off Log'!$E$5:$E$504,"Approved")&gt;0,"P",IF(COUNTIFS('Time Off Log'!$A$5:$A$504,$B19,'Time Off Log'!$C$5:$C$504,"&lt;="&amp;N$5,'Time Off Log'!$J$5:$J$504,"&gt;="&amp;N$5,'Time Off Log'!$B$5:$B$504,"Sick",'Time Off Log'!$E$5:$E$504,"Approved")&gt;0,"S",IF(COUNTIFS('Time Off Log'!$A$5:$A$504,$B19,'Time Off Log'!$C$5:$C$504,"&lt;="&amp;N$5,'Time Off Log'!$J$5:$J$504,"&gt;="&amp;N$5,'Time Off Log'!$E$5:$E$504,"Approved")&gt;0,"U",IF(COUNTIFS('Time Off Log'!$A$5:$A$504,$B19,'Time Off Log'!$C$5:$C$504,"&lt;="&amp;N$5,'Time Off Log'!$J$5:$J$504,"&gt;="&amp;N$5,'Time Off Log'!$E$5:$E$504,"Pending")&gt;0,"?",""))))))</f>
        <v/>
      </c>
      <c r="O19" s="44">
        <f>IF(OR(O$5="",$B19=""),"",IF(OR(WEEKDAY(O$5,2)&gt;5,COUNTIF(Holidays!$A$5:$A$40,O$5)&gt;0),"",IF(COUNTIFS('Time Off Log'!$A$5:$A$504,$B19,'Time Off Log'!$C$5:$C$504,"&lt;="&amp;O$5,'Time Off Log'!$J$5:$J$504,"&gt;="&amp;O$5,'Time Off Log'!$B$5:$B$504,"PTO",'Time Off Log'!$E$5:$E$504,"Approved")&gt;0,"P",IF(COUNTIFS('Time Off Log'!$A$5:$A$504,$B19,'Time Off Log'!$C$5:$C$504,"&lt;="&amp;O$5,'Time Off Log'!$J$5:$J$504,"&gt;="&amp;O$5,'Time Off Log'!$B$5:$B$504,"Sick",'Time Off Log'!$E$5:$E$504,"Approved")&gt;0,"S",IF(COUNTIFS('Time Off Log'!$A$5:$A$504,$B19,'Time Off Log'!$C$5:$C$504,"&lt;="&amp;O$5,'Time Off Log'!$J$5:$J$504,"&gt;="&amp;O$5,'Time Off Log'!$E$5:$E$504,"Approved")&gt;0,"U",IF(COUNTIFS('Time Off Log'!$A$5:$A$504,$B19,'Time Off Log'!$C$5:$C$504,"&lt;="&amp;O$5,'Time Off Log'!$J$5:$J$504,"&gt;="&amp;O$5,'Time Off Log'!$E$5:$E$504,"Pending")&gt;0,"?",""))))))</f>
        <v/>
      </c>
      <c r="P19" s="44">
        <f>IF(OR(P$5="",$B19=""),"",IF(OR(WEEKDAY(P$5,2)&gt;5,COUNTIF(Holidays!$A$5:$A$40,P$5)&gt;0),"",IF(COUNTIFS('Time Off Log'!$A$5:$A$504,$B19,'Time Off Log'!$C$5:$C$504,"&lt;="&amp;P$5,'Time Off Log'!$J$5:$J$504,"&gt;="&amp;P$5,'Time Off Log'!$B$5:$B$504,"PTO",'Time Off Log'!$E$5:$E$504,"Approved")&gt;0,"P",IF(COUNTIFS('Time Off Log'!$A$5:$A$504,$B19,'Time Off Log'!$C$5:$C$504,"&lt;="&amp;P$5,'Time Off Log'!$J$5:$J$504,"&gt;="&amp;P$5,'Time Off Log'!$B$5:$B$504,"Sick",'Time Off Log'!$E$5:$E$504,"Approved")&gt;0,"S",IF(COUNTIFS('Time Off Log'!$A$5:$A$504,$B19,'Time Off Log'!$C$5:$C$504,"&lt;="&amp;P$5,'Time Off Log'!$J$5:$J$504,"&gt;="&amp;P$5,'Time Off Log'!$E$5:$E$504,"Approved")&gt;0,"U",IF(COUNTIFS('Time Off Log'!$A$5:$A$504,$B19,'Time Off Log'!$C$5:$C$504,"&lt;="&amp;P$5,'Time Off Log'!$J$5:$J$504,"&gt;="&amp;P$5,'Time Off Log'!$E$5:$E$504,"Pending")&gt;0,"?",""))))))</f>
        <v/>
      </c>
      <c r="Q19" s="44">
        <f>IF(OR(Q$5="",$B19=""),"",IF(OR(WEEKDAY(Q$5,2)&gt;5,COUNTIF(Holidays!$A$5:$A$40,Q$5)&gt;0),"",IF(COUNTIFS('Time Off Log'!$A$5:$A$504,$B19,'Time Off Log'!$C$5:$C$504,"&lt;="&amp;Q$5,'Time Off Log'!$J$5:$J$504,"&gt;="&amp;Q$5,'Time Off Log'!$B$5:$B$504,"PTO",'Time Off Log'!$E$5:$E$504,"Approved")&gt;0,"P",IF(COUNTIFS('Time Off Log'!$A$5:$A$504,$B19,'Time Off Log'!$C$5:$C$504,"&lt;="&amp;Q$5,'Time Off Log'!$J$5:$J$504,"&gt;="&amp;Q$5,'Time Off Log'!$B$5:$B$504,"Sick",'Time Off Log'!$E$5:$E$504,"Approved")&gt;0,"S",IF(COUNTIFS('Time Off Log'!$A$5:$A$504,$B19,'Time Off Log'!$C$5:$C$504,"&lt;="&amp;Q$5,'Time Off Log'!$J$5:$J$504,"&gt;="&amp;Q$5,'Time Off Log'!$E$5:$E$504,"Approved")&gt;0,"U",IF(COUNTIFS('Time Off Log'!$A$5:$A$504,$B19,'Time Off Log'!$C$5:$C$504,"&lt;="&amp;Q$5,'Time Off Log'!$J$5:$J$504,"&gt;="&amp;Q$5,'Time Off Log'!$E$5:$E$504,"Pending")&gt;0,"?",""))))))</f>
        <v/>
      </c>
      <c r="R19" s="44">
        <f>IF(OR(R$5="",$B19=""),"",IF(OR(WEEKDAY(R$5,2)&gt;5,COUNTIF(Holidays!$A$5:$A$40,R$5)&gt;0),"",IF(COUNTIFS('Time Off Log'!$A$5:$A$504,$B19,'Time Off Log'!$C$5:$C$504,"&lt;="&amp;R$5,'Time Off Log'!$J$5:$J$504,"&gt;="&amp;R$5,'Time Off Log'!$B$5:$B$504,"PTO",'Time Off Log'!$E$5:$E$504,"Approved")&gt;0,"P",IF(COUNTIFS('Time Off Log'!$A$5:$A$504,$B19,'Time Off Log'!$C$5:$C$504,"&lt;="&amp;R$5,'Time Off Log'!$J$5:$J$504,"&gt;="&amp;R$5,'Time Off Log'!$B$5:$B$504,"Sick",'Time Off Log'!$E$5:$E$504,"Approved")&gt;0,"S",IF(COUNTIFS('Time Off Log'!$A$5:$A$504,$B19,'Time Off Log'!$C$5:$C$504,"&lt;="&amp;R$5,'Time Off Log'!$J$5:$J$504,"&gt;="&amp;R$5,'Time Off Log'!$E$5:$E$504,"Approved")&gt;0,"U",IF(COUNTIFS('Time Off Log'!$A$5:$A$504,$B19,'Time Off Log'!$C$5:$C$504,"&lt;="&amp;R$5,'Time Off Log'!$J$5:$J$504,"&gt;="&amp;R$5,'Time Off Log'!$E$5:$E$504,"Pending")&gt;0,"?",""))))))</f>
        <v/>
      </c>
      <c r="S19" s="44">
        <f>IF(OR(S$5="",$B19=""),"",IF(OR(WEEKDAY(S$5,2)&gt;5,COUNTIF(Holidays!$A$5:$A$40,S$5)&gt;0),"",IF(COUNTIFS('Time Off Log'!$A$5:$A$504,$B19,'Time Off Log'!$C$5:$C$504,"&lt;="&amp;S$5,'Time Off Log'!$J$5:$J$504,"&gt;="&amp;S$5,'Time Off Log'!$B$5:$B$504,"PTO",'Time Off Log'!$E$5:$E$504,"Approved")&gt;0,"P",IF(COUNTIFS('Time Off Log'!$A$5:$A$504,$B19,'Time Off Log'!$C$5:$C$504,"&lt;="&amp;S$5,'Time Off Log'!$J$5:$J$504,"&gt;="&amp;S$5,'Time Off Log'!$B$5:$B$504,"Sick",'Time Off Log'!$E$5:$E$504,"Approved")&gt;0,"S",IF(COUNTIFS('Time Off Log'!$A$5:$A$504,$B19,'Time Off Log'!$C$5:$C$504,"&lt;="&amp;S$5,'Time Off Log'!$J$5:$J$504,"&gt;="&amp;S$5,'Time Off Log'!$E$5:$E$504,"Approved")&gt;0,"U",IF(COUNTIFS('Time Off Log'!$A$5:$A$504,$B19,'Time Off Log'!$C$5:$C$504,"&lt;="&amp;S$5,'Time Off Log'!$J$5:$J$504,"&gt;="&amp;S$5,'Time Off Log'!$E$5:$E$504,"Pending")&gt;0,"?",""))))))</f>
        <v/>
      </c>
      <c r="T19" s="44">
        <f>IF(OR(T$5="",$B19=""),"",IF(OR(WEEKDAY(T$5,2)&gt;5,COUNTIF(Holidays!$A$5:$A$40,T$5)&gt;0),"",IF(COUNTIFS('Time Off Log'!$A$5:$A$504,$B19,'Time Off Log'!$C$5:$C$504,"&lt;="&amp;T$5,'Time Off Log'!$J$5:$J$504,"&gt;="&amp;T$5,'Time Off Log'!$B$5:$B$504,"PTO",'Time Off Log'!$E$5:$E$504,"Approved")&gt;0,"P",IF(COUNTIFS('Time Off Log'!$A$5:$A$504,$B19,'Time Off Log'!$C$5:$C$504,"&lt;="&amp;T$5,'Time Off Log'!$J$5:$J$504,"&gt;="&amp;T$5,'Time Off Log'!$B$5:$B$504,"Sick",'Time Off Log'!$E$5:$E$504,"Approved")&gt;0,"S",IF(COUNTIFS('Time Off Log'!$A$5:$A$504,$B19,'Time Off Log'!$C$5:$C$504,"&lt;="&amp;T$5,'Time Off Log'!$J$5:$J$504,"&gt;="&amp;T$5,'Time Off Log'!$E$5:$E$504,"Approved")&gt;0,"U",IF(COUNTIFS('Time Off Log'!$A$5:$A$504,$B19,'Time Off Log'!$C$5:$C$504,"&lt;="&amp;T$5,'Time Off Log'!$J$5:$J$504,"&gt;="&amp;T$5,'Time Off Log'!$E$5:$E$504,"Pending")&gt;0,"?",""))))))</f>
        <v/>
      </c>
      <c r="U19" s="44">
        <f>IF(OR(U$5="",$B19=""),"",IF(OR(WEEKDAY(U$5,2)&gt;5,COUNTIF(Holidays!$A$5:$A$40,U$5)&gt;0),"",IF(COUNTIFS('Time Off Log'!$A$5:$A$504,$B19,'Time Off Log'!$C$5:$C$504,"&lt;="&amp;U$5,'Time Off Log'!$J$5:$J$504,"&gt;="&amp;U$5,'Time Off Log'!$B$5:$B$504,"PTO",'Time Off Log'!$E$5:$E$504,"Approved")&gt;0,"P",IF(COUNTIFS('Time Off Log'!$A$5:$A$504,$B19,'Time Off Log'!$C$5:$C$504,"&lt;="&amp;U$5,'Time Off Log'!$J$5:$J$504,"&gt;="&amp;U$5,'Time Off Log'!$B$5:$B$504,"Sick",'Time Off Log'!$E$5:$E$504,"Approved")&gt;0,"S",IF(COUNTIFS('Time Off Log'!$A$5:$A$504,$B19,'Time Off Log'!$C$5:$C$504,"&lt;="&amp;U$5,'Time Off Log'!$J$5:$J$504,"&gt;="&amp;U$5,'Time Off Log'!$E$5:$E$504,"Approved")&gt;0,"U",IF(COUNTIFS('Time Off Log'!$A$5:$A$504,$B19,'Time Off Log'!$C$5:$C$504,"&lt;="&amp;U$5,'Time Off Log'!$J$5:$J$504,"&gt;="&amp;U$5,'Time Off Log'!$E$5:$E$504,"Pending")&gt;0,"?",""))))))</f>
        <v/>
      </c>
      <c r="V19" s="44">
        <f>IF(OR(V$5="",$B19=""),"",IF(OR(WEEKDAY(V$5,2)&gt;5,COUNTIF(Holidays!$A$5:$A$40,V$5)&gt;0),"",IF(COUNTIFS('Time Off Log'!$A$5:$A$504,$B19,'Time Off Log'!$C$5:$C$504,"&lt;="&amp;V$5,'Time Off Log'!$J$5:$J$504,"&gt;="&amp;V$5,'Time Off Log'!$B$5:$B$504,"PTO",'Time Off Log'!$E$5:$E$504,"Approved")&gt;0,"P",IF(COUNTIFS('Time Off Log'!$A$5:$A$504,$B19,'Time Off Log'!$C$5:$C$504,"&lt;="&amp;V$5,'Time Off Log'!$J$5:$J$504,"&gt;="&amp;V$5,'Time Off Log'!$B$5:$B$504,"Sick",'Time Off Log'!$E$5:$E$504,"Approved")&gt;0,"S",IF(COUNTIFS('Time Off Log'!$A$5:$A$504,$B19,'Time Off Log'!$C$5:$C$504,"&lt;="&amp;V$5,'Time Off Log'!$J$5:$J$504,"&gt;="&amp;V$5,'Time Off Log'!$E$5:$E$504,"Approved")&gt;0,"U",IF(COUNTIFS('Time Off Log'!$A$5:$A$504,$B19,'Time Off Log'!$C$5:$C$504,"&lt;="&amp;V$5,'Time Off Log'!$J$5:$J$504,"&gt;="&amp;V$5,'Time Off Log'!$E$5:$E$504,"Pending")&gt;0,"?",""))))))</f>
        <v/>
      </c>
      <c r="W19" s="44">
        <f>IF(OR(W$5="",$B19=""),"",IF(OR(WEEKDAY(W$5,2)&gt;5,COUNTIF(Holidays!$A$5:$A$40,W$5)&gt;0),"",IF(COUNTIFS('Time Off Log'!$A$5:$A$504,$B19,'Time Off Log'!$C$5:$C$504,"&lt;="&amp;W$5,'Time Off Log'!$J$5:$J$504,"&gt;="&amp;W$5,'Time Off Log'!$B$5:$B$504,"PTO",'Time Off Log'!$E$5:$E$504,"Approved")&gt;0,"P",IF(COUNTIFS('Time Off Log'!$A$5:$A$504,$B19,'Time Off Log'!$C$5:$C$504,"&lt;="&amp;W$5,'Time Off Log'!$J$5:$J$504,"&gt;="&amp;W$5,'Time Off Log'!$B$5:$B$504,"Sick",'Time Off Log'!$E$5:$E$504,"Approved")&gt;0,"S",IF(COUNTIFS('Time Off Log'!$A$5:$A$504,$B19,'Time Off Log'!$C$5:$C$504,"&lt;="&amp;W$5,'Time Off Log'!$J$5:$J$504,"&gt;="&amp;W$5,'Time Off Log'!$E$5:$E$504,"Approved")&gt;0,"U",IF(COUNTIFS('Time Off Log'!$A$5:$A$504,$B19,'Time Off Log'!$C$5:$C$504,"&lt;="&amp;W$5,'Time Off Log'!$J$5:$J$504,"&gt;="&amp;W$5,'Time Off Log'!$E$5:$E$504,"Pending")&gt;0,"?",""))))))</f>
        <v/>
      </c>
      <c r="X19" s="44">
        <f>IF(OR(X$5="",$B19=""),"",IF(OR(WEEKDAY(X$5,2)&gt;5,COUNTIF(Holidays!$A$5:$A$40,X$5)&gt;0),"",IF(COUNTIFS('Time Off Log'!$A$5:$A$504,$B19,'Time Off Log'!$C$5:$C$504,"&lt;="&amp;X$5,'Time Off Log'!$J$5:$J$504,"&gt;="&amp;X$5,'Time Off Log'!$B$5:$B$504,"PTO",'Time Off Log'!$E$5:$E$504,"Approved")&gt;0,"P",IF(COUNTIFS('Time Off Log'!$A$5:$A$504,$B19,'Time Off Log'!$C$5:$C$504,"&lt;="&amp;X$5,'Time Off Log'!$J$5:$J$504,"&gt;="&amp;X$5,'Time Off Log'!$B$5:$B$504,"Sick",'Time Off Log'!$E$5:$E$504,"Approved")&gt;0,"S",IF(COUNTIFS('Time Off Log'!$A$5:$A$504,$B19,'Time Off Log'!$C$5:$C$504,"&lt;="&amp;X$5,'Time Off Log'!$J$5:$J$504,"&gt;="&amp;X$5,'Time Off Log'!$E$5:$E$504,"Approved")&gt;0,"U",IF(COUNTIFS('Time Off Log'!$A$5:$A$504,$B19,'Time Off Log'!$C$5:$C$504,"&lt;="&amp;X$5,'Time Off Log'!$J$5:$J$504,"&gt;="&amp;X$5,'Time Off Log'!$E$5:$E$504,"Pending")&gt;0,"?",""))))))</f>
        <v/>
      </c>
      <c r="Y19" s="44">
        <f>IF(OR(Y$5="",$B19=""),"",IF(OR(WEEKDAY(Y$5,2)&gt;5,COUNTIF(Holidays!$A$5:$A$40,Y$5)&gt;0),"",IF(COUNTIFS('Time Off Log'!$A$5:$A$504,$B19,'Time Off Log'!$C$5:$C$504,"&lt;="&amp;Y$5,'Time Off Log'!$J$5:$J$504,"&gt;="&amp;Y$5,'Time Off Log'!$B$5:$B$504,"PTO",'Time Off Log'!$E$5:$E$504,"Approved")&gt;0,"P",IF(COUNTIFS('Time Off Log'!$A$5:$A$504,$B19,'Time Off Log'!$C$5:$C$504,"&lt;="&amp;Y$5,'Time Off Log'!$J$5:$J$504,"&gt;="&amp;Y$5,'Time Off Log'!$B$5:$B$504,"Sick",'Time Off Log'!$E$5:$E$504,"Approved")&gt;0,"S",IF(COUNTIFS('Time Off Log'!$A$5:$A$504,$B19,'Time Off Log'!$C$5:$C$504,"&lt;="&amp;Y$5,'Time Off Log'!$J$5:$J$504,"&gt;="&amp;Y$5,'Time Off Log'!$E$5:$E$504,"Approved")&gt;0,"U",IF(COUNTIFS('Time Off Log'!$A$5:$A$504,$B19,'Time Off Log'!$C$5:$C$504,"&lt;="&amp;Y$5,'Time Off Log'!$J$5:$J$504,"&gt;="&amp;Y$5,'Time Off Log'!$E$5:$E$504,"Pending")&gt;0,"?",""))))))</f>
        <v/>
      </c>
      <c r="Z19" s="44">
        <f>IF(OR(Z$5="",$B19=""),"",IF(OR(WEEKDAY(Z$5,2)&gt;5,COUNTIF(Holidays!$A$5:$A$40,Z$5)&gt;0),"",IF(COUNTIFS('Time Off Log'!$A$5:$A$504,$B19,'Time Off Log'!$C$5:$C$504,"&lt;="&amp;Z$5,'Time Off Log'!$J$5:$J$504,"&gt;="&amp;Z$5,'Time Off Log'!$B$5:$B$504,"PTO",'Time Off Log'!$E$5:$E$504,"Approved")&gt;0,"P",IF(COUNTIFS('Time Off Log'!$A$5:$A$504,$B19,'Time Off Log'!$C$5:$C$504,"&lt;="&amp;Z$5,'Time Off Log'!$J$5:$J$504,"&gt;="&amp;Z$5,'Time Off Log'!$B$5:$B$504,"Sick",'Time Off Log'!$E$5:$E$504,"Approved")&gt;0,"S",IF(COUNTIFS('Time Off Log'!$A$5:$A$504,$B19,'Time Off Log'!$C$5:$C$504,"&lt;="&amp;Z$5,'Time Off Log'!$J$5:$J$504,"&gt;="&amp;Z$5,'Time Off Log'!$E$5:$E$504,"Approved")&gt;0,"U",IF(COUNTIFS('Time Off Log'!$A$5:$A$504,$B19,'Time Off Log'!$C$5:$C$504,"&lt;="&amp;Z$5,'Time Off Log'!$J$5:$J$504,"&gt;="&amp;Z$5,'Time Off Log'!$E$5:$E$504,"Pending")&gt;0,"?",""))))))</f>
        <v/>
      </c>
      <c r="AA19" s="44">
        <f>IF(OR(AA$5="",$B19=""),"",IF(OR(WEEKDAY(AA$5,2)&gt;5,COUNTIF(Holidays!$A$5:$A$40,AA$5)&gt;0),"",IF(COUNTIFS('Time Off Log'!$A$5:$A$504,$B19,'Time Off Log'!$C$5:$C$504,"&lt;="&amp;AA$5,'Time Off Log'!$J$5:$J$504,"&gt;="&amp;AA$5,'Time Off Log'!$B$5:$B$504,"PTO",'Time Off Log'!$E$5:$E$504,"Approved")&gt;0,"P",IF(COUNTIFS('Time Off Log'!$A$5:$A$504,$B19,'Time Off Log'!$C$5:$C$504,"&lt;="&amp;AA$5,'Time Off Log'!$J$5:$J$504,"&gt;="&amp;AA$5,'Time Off Log'!$B$5:$B$504,"Sick",'Time Off Log'!$E$5:$E$504,"Approved")&gt;0,"S",IF(COUNTIFS('Time Off Log'!$A$5:$A$504,$B19,'Time Off Log'!$C$5:$C$504,"&lt;="&amp;AA$5,'Time Off Log'!$J$5:$J$504,"&gt;="&amp;AA$5,'Time Off Log'!$E$5:$E$504,"Approved")&gt;0,"U",IF(COUNTIFS('Time Off Log'!$A$5:$A$504,$B19,'Time Off Log'!$C$5:$C$504,"&lt;="&amp;AA$5,'Time Off Log'!$J$5:$J$504,"&gt;="&amp;AA$5,'Time Off Log'!$E$5:$E$504,"Pending")&gt;0,"?",""))))))</f>
        <v/>
      </c>
      <c r="AB19" s="44">
        <f>IF(OR(AB$5="",$B19=""),"",IF(OR(WEEKDAY(AB$5,2)&gt;5,COUNTIF(Holidays!$A$5:$A$40,AB$5)&gt;0),"",IF(COUNTIFS('Time Off Log'!$A$5:$A$504,$B19,'Time Off Log'!$C$5:$C$504,"&lt;="&amp;AB$5,'Time Off Log'!$J$5:$J$504,"&gt;="&amp;AB$5,'Time Off Log'!$B$5:$B$504,"PTO",'Time Off Log'!$E$5:$E$504,"Approved")&gt;0,"P",IF(COUNTIFS('Time Off Log'!$A$5:$A$504,$B19,'Time Off Log'!$C$5:$C$504,"&lt;="&amp;AB$5,'Time Off Log'!$J$5:$J$504,"&gt;="&amp;AB$5,'Time Off Log'!$B$5:$B$504,"Sick",'Time Off Log'!$E$5:$E$504,"Approved")&gt;0,"S",IF(COUNTIFS('Time Off Log'!$A$5:$A$504,$B19,'Time Off Log'!$C$5:$C$504,"&lt;="&amp;AB$5,'Time Off Log'!$J$5:$J$504,"&gt;="&amp;AB$5,'Time Off Log'!$E$5:$E$504,"Approved")&gt;0,"U",IF(COUNTIFS('Time Off Log'!$A$5:$A$504,$B19,'Time Off Log'!$C$5:$C$504,"&lt;="&amp;AB$5,'Time Off Log'!$J$5:$J$504,"&gt;="&amp;AB$5,'Time Off Log'!$E$5:$E$504,"Pending")&gt;0,"?",""))))))</f>
        <v/>
      </c>
      <c r="AC19" s="44">
        <f>IF(OR(AC$5="",$B19=""),"",IF(OR(WEEKDAY(AC$5,2)&gt;5,COUNTIF(Holidays!$A$5:$A$40,AC$5)&gt;0),"",IF(COUNTIFS('Time Off Log'!$A$5:$A$504,$B19,'Time Off Log'!$C$5:$C$504,"&lt;="&amp;AC$5,'Time Off Log'!$J$5:$J$504,"&gt;="&amp;AC$5,'Time Off Log'!$B$5:$B$504,"PTO",'Time Off Log'!$E$5:$E$504,"Approved")&gt;0,"P",IF(COUNTIFS('Time Off Log'!$A$5:$A$504,$B19,'Time Off Log'!$C$5:$C$504,"&lt;="&amp;AC$5,'Time Off Log'!$J$5:$J$504,"&gt;="&amp;AC$5,'Time Off Log'!$B$5:$B$504,"Sick",'Time Off Log'!$E$5:$E$504,"Approved")&gt;0,"S",IF(COUNTIFS('Time Off Log'!$A$5:$A$504,$B19,'Time Off Log'!$C$5:$C$504,"&lt;="&amp;AC$5,'Time Off Log'!$J$5:$J$504,"&gt;="&amp;AC$5,'Time Off Log'!$E$5:$E$504,"Approved")&gt;0,"U",IF(COUNTIFS('Time Off Log'!$A$5:$A$504,$B19,'Time Off Log'!$C$5:$C$504,"&lt;="&amp;AC$5,'Time Off Log'!$J$5:$J$504,"&gt;="&amp;AC$5,'Time Off Log'!$E$5:$E$504,"Pending")&gt;0,"?",""))))))</f>
        <v/>
      </c>
      <c r="AD19" s="44">
        <f>IF(OR(AD$5="",$B19=""),"",IF(OR(WEEKDAY(AD$5,2)&gt;5,COUNTIF(Holidays!$A$5:$A$40,AD$5)&gt;0),"",IF(COUNTIFS('Time Off Log'!$A$5:$A$504,$B19,'Time Off Log'!$C$5:$C$504,"&lt;="&amp;AD$5,'Time Off Log'!$J$5:$J$504,"&gt;="&amp;AD$5,'Time Off Log'!$B$5:$B$504,"PTO",'Time Off Log'!$E$5:$E$504,"Approved")&gt;0,"P",IF(COUNTIFS('Time Off Log'!$A$5:$A$504,$B19,'Time Off Log'!$C$5:$C$504,"&lt;="&amp;AD$5,'Time Off Log'!$J$5:$J$504,"&gt;="&amp;AD$5,'Time Off Log'!$B$5:$B$504,"Sick",'Time Off Log'!$E$5:$E$504,"Approved")&gt;0,"S",IF(COUNTIFS('Time Off Log'!$A$5:$A$504,$B19,'Time Off Log'!$C$5:$C$504,"&lt;="&amp;AD$5,'Time Off Log'!$J$5:$J$504,"&gt;="&amp;AD$5,'Time Off Log'!$E$5:$E$504,"Approved")&gt;0,"U",IF(COUNTIFS('Time Off Log'!$A$5:$A$504,$B19,'Time Off Log'!$C$5:$C$504,"&lt;="&amp;AD$5,'Time Off Log'!$J$5:$J$504,"&gt;="&amp;AD$5,'Time Off Log'!$E$5:$E$504,"Pending")&gt;0,"?",""))))))</f>
        <v/>
      </c>
      <c r="AE19" s="44">
        <f>IF(OR(AE$5="",$B19=""),"",IF(OR(WEEKDAY(AE$5,2)&gt;5,COUNTIF(Holidays!$A$5:$A$40,AE$5)&gt;0),"",IF(COUNTIFS('Time Off Log'!$A$5:$A$504,$B19,'Time Off Log'!$C$5:$C$504,"&lt;="&amp;AE$5,'Time Off Log'!$J$5:$J$504,"&gt;="&amp;AE$5,'Time Off Log'!$B$5:$B$504,"PTO",'Time Off Log'!$E$5:$E$504,"Approved")&gt;0,"P",IF(COUNTIFS('Time Off Log'!$A$5:$A$504,$B19,'Time Off Log'!$C$5:$C$504,"&lt;="&amp;AE$5,'Time Off Log'!$J$5:$J$504,"&gt;="&amp;AE$5,'Time Off Log'!$B$5:$B$504,"Sick",'Time Off Log'!$E$5:$E$504,"Approved")&gt;0,"S",IF(COUNTIFS('Time Off Log'!$A$5:$A$504,$B19,'Time Off Log'!$C$5:$C$504,"&lt;="&amp;AE$5,'Time Off Log'!$J$5:$J$504,"&gt;="&amp;AE$5,'Time Off Log'!$E$5:$E$504,"Approved")&gt;0,"U",IF(COUNTIFS('Time Off Log'!$A$5:$A$504,$B19,'Time Off Log'!$C$5:$C$504,"&lt;="&amp;AE$5,'Time Off Log'!$J$5:$J$504,"&gt;="&amp;AE$5,'Time Off Log'!$E$5:$E$504,"Pending")&gt;0,"?",""))))))</f>
        <v/>
      </c>
      <c r="AF19" s="44">
        <f>IF(OR(AF$5="",$B19=""),"",IF(OR(WEEKDAY(AF$5,2)&gt;5,COUNTIF(Holidays!$A$5:$A$40,AF$5)&gt;0),"",IF(COUNTIFS('Time Off Log'!$A$5:$A$504,$B19,'Time Off Log'!$C$5:$C$504,"&lt;="&amp;AF$5,'Time Off Log'!$J$5:$J$504,"&gt;="&amp;AF$5,'Time Off Log'!$B$5:$B$504,"PTO",'Time Off Log'!$E$5:$E$504,"Approved")&gt;0,"P",IF(COUNTIFS('Time Off Log'!$A$5:$A$504,$B19,'Time Off Log'!$C$5:$C$504,"&lt;="&amp;AF$5,'Time Off Log'!$J$5:$J$504,"&gt;="&amp;AF$5,'Time Off Log'!$B$5:$B$504,"Sick",'Time Off Log'!$E$5:$E$504,"Approved")&gt;0,"S",IF(COUNTIFS('Time Off Log'!$A$5:$A$504,$B19,'Time Off Log'!$C$5:$C$504,"&lt;="&amp;AF$5,'Time Off Log'!$J$5:$J$504,"&gt;="&amp;AF$5,'Time Off Log'!$E$5:$E$504,"Approved")&gt;0,"U",IF(COUNTIFS('Time Off Log'!$A$5:$A$504,$B19,'Time Off Log'!$C$5:$C$504,"&lt;="&amp;AF$5,'Time Off Log'!$J$5:$J$504,"&gt;="&amp;AF$5,'Time Off Log'!$E$5:$E$504,"Pending")&gt;0,"?",""))))))</f>
        <v/>
      </c>
      <c r="AG19" s="44">
        <f>IF(OR(AG$5="",$B19=""),"",IF(OR(WEEKDAY(AG$5,2)&gt;5,COUNTIF(Holidays!$A$5:$A$40,AG$5)&gt;0),"",IF(COUNTIFS('Time Off Log'!$A$5:$A$504,$B19,'Time Off Log'!$C$5:$C$504,"&lt;="&amp;AG$5,'Time Off Log'!$J$5:$J$504,"&gt;="&amp;AG$5,'Time Off Log'!$B$5:$B$504,"PTO",'Time Off Log'!$E$5:$E$504,"Approved")&gt;0,"P",IF(COUNTIFS('Time Off Log'!$A$5:$A$504,$B19,'Time Off Log'!$C$5:$C$504,"&lt;="&amp;AG$5,'Time Off Log'!$J$5:$J$504,"&gt;="&amp;AG$5,'Time Off Log'!$B$5:$B$504,"Sick",'Time Off Log'!$E$5:$E$504,"Approved")&gt;0,"S",IF(COUNTIFS('Time Off Log'!$A$5:$A$504,$B19,'Time Off Log'!$C$5:$C$504,"&lt;="&amp;AG$5,'Time Off Log'!$J$5:$J$504,"&gt;="&amp;AG$5,'Time Off Log'!$E$5:$E$504,"Approved")&gt;0,"U",IF(COUNTIFS('Time Off Log'!$A$5:$A$504,$B19,'Time Off Log'!$C$5:$C$504,"&lt;="&amp;AG$5,'Time Off Log'!$J$5:$J$504,"&gt;="&amp;AG$5,'Time Off Log'!$E$5:$E$504,"Pending")&gt;0,"?",""))))))</f>
        <v/>
      </c>
    </row>
    <row r="20">
      <c r="A20" s="24" t="n">
        <v>15</v>
      </c>
      <c r="B20" s="24">
        <f>IF(Employees!B19="","",Employees!B19)</f>
        <v/>
      </c>
      <c r="C20" s="44">
        <f>IF(OR(C$5="",$B20=""),"",IF(OR(WEEKDAY(C$5,2)&gt;5,COUNTIF(Holidays!$A$5:$A$40,C$5)&gt;0),"",IF(COUNTIFS('Time Off Log'!$A$5:$A$504,$B20,'Time Off Log'!$C$5:$C$504,"&lt;="&amp;C$5,'Time Off Log'!$J$5:$J$504,"&gt;="&amp;C$5,'Time Off Log'!$B$5:$B$504,"PTO",'Time Off Log'!$E$5:$E$504,"Approved")&gt;0,"P",IF(COUNTIFS('Time Off Log'!$A$5:$A$504,$B20,'Time Off Log'!$C$5:$C$504,"&lt;="&amp;C$5,'Time Off Log'!$J$5:$J$504,"&gt;="&amp;C$5,'Time Off Log'!$B$5:$B$504,"Sick",'Time Off Log'!$E$5:$E$504,"Approved")&gt;0,"S",IF(COUNTIFS('Time Off Log'!$A$5:$A$504,$B20,'Time Off Log'!$C$5:$C$504,"&lt;="&amp;C$5,'Time Off Log'!$J$5:$J$504,"&gt;="&amp;C$5,'Time Off Log'!$E$5:$E$504,"Approved")&gt;0,"U",IF(COUNTIFS('Time Off Log'!$A$5:$A$504,$B20,'Time Off Log'!$C$5:$C$504,"&lt;="&amp;C$5,'Time Off Log'!$J$5:$J$504,"&gt;="&amp;C$5,'Time Off Log'!$E$5:$E$504,"Pending")&gt;0,"?",""))))))</f>
        <v/>
      </c>
      <c r="D20" s="44">
        <f>IF(OR(D$5="",$B20=""),"",IF(OR(WEEKDAY(D$5,2)&gt;5,COUNTIF(Holidays!$A$5:$A$40,D$5)&gt;0),"",IF(COUNTIFS('Time Off Log'!$A$5:$A$504,$B20,'Time Off Log'!$C$5:$C$504,"&lt;="&amp;D$5,'Time Off Log'!$J$5:$J$504,"&gt;="&amp;D$5,'Time Off Log'!$B$5:$B$504,"PTO",'Time Off Log'!$E$5:$E$504,"Approved")&gt;0,"P",IF(COUNTIFS('Time Off Log'!$A$5:$A$504,$B20,'Time Off Log'!$C$5:$C$504,"&lt;="&amp;D$5,'Time Off Log'!$J$5:$J$504,"&gt;="&amp;D$5,'Time Off Log'!$B$5:$B$504,"Sick",'Time Off Log'!$E$5:$E$504,"Approved")&gt;0,"S",IF(COUNTIFS('Time Off Log'!$A$5:$A$504,$B20,'Time Off Log'!$C$5:$C$504,"&lt;="&amp;D$5,'Time Off Log'!$J$5:$J$504,"&gt;="&amp;D$5,'Time Off Log'!$E$5:$E$504,"Approved")&gt;0,"U",IF(COUNTIFS('Time Off Log'!$A$5:$A$504,$B20,'Time Off Log'!$C$5:$C$504,"&lt;="&amp;D$5,'Time Off Log'!$J$5:$J$504,"&gt;="&amp;D$5,'Time Off Log'!$E$5:$E$504,"Pending")&gt;0,"?",""))))))</f>
        <v/>
      </c>
      <c r="E20" s="44">
        <f>IF(OR(E$5="",$B20=""),"",IF(OR(WEEKDAY(E$5,2)&gt;5,COUNTIF(Holidays!$A$5:$A$40,E$5)&gt;0),"",IF(COUNTIFS('Time Off Log'!$A$5:$A$504,$B20,'Time Off Log'!$C$5:$C$504,"&lt;="&amp;E$5,'Time Off Log'!$J$5:$J$504,"&gt;="&amp;E$5,'Time Off Log'!$B$5:$B$504,"PTO",'Time Off Log'!$E$5:$E$504,"Approved")&gt;0,"P",IF(COUNTIFS('Time Off Log'!$A$5:$A$504,$B20,'Time Off Log'!$C$5:$C$504,"&lt;="&amp;E$5,'Time Off Log'!$J$5:$J$504,"&gt;="&amp;E$5,'Time Off Log'!$B$5:$B$504,"Sick",'Time Off Log'!$E$5:$E$504,"Approved")&gt;0,"S",IF(COUNTIFS('Time Off Log'!$A$5:$A$504,$B20,'Time Off Log'!$C$5:$C$504,"&lt;="&amp;E$5,'Time Off Log'!$J$5:$J$504,"&gt;="&amp;E$5,'Time Off Log'!$E$5:$E$504,"Approved")&gt;0,"U",IF(COUNTIFS('Time Off Log'!$A$5:$A$504,$B20,'Time Off Log'!$C$5:$C$504,"&lt;="&amp;E$5,'Time Off Log'!$J$5:$J$504,"&gt;="&amp;E$5,'Time Off Log'!$E$5:$E$504,"Pending")&gt;0,"?",""))))))</f>
        <v/>
      </c>
      <c r="F20" s="44">
        <f>IF(OR(F$5="",$B20=""),"",IF(OR(WEEKDAY(F$5,2)&gt;5,COUNTIF(Holidays!$A$5:$A$40,F$5)&gt;0),"",IF(COUNTIFS('Time Off Log'!$A$5:$A$504,$B20,'Time Off Log'!$C$5:$C$504,"&lt;="&amp;F$5,'Time Off Log'!$J$5:$J$504,"&gt;="&amp;F$5,'Time Off Log'!$B$5:$B$504,"PTO",'Time Off Log'!$E$5:$E$504,"Approved")&gt;0,"P",IF(COUNTIFS('Time Off Log'!$A$5:$A$504,$B20,'Time Off Log'!$C$5:$C$504,"&lt;="&amp;F$5,'Time Off Log'!$J$5:$J$504,"&gt;="&amp;F$5,'Time Off Log'!$B$5:$B$504,"Sick",'Time Off Log'!$E$5:$E$504,"Approved")&gt;0,"S",IF(COUNTIFS('Time Off Log'!$A$5:$A$504,$B20,'Time Off Log'!$C$5:$C$504,"&lt;="&amp;F$5,'Time Off Log'!$J$5:$J$504,"&gt;="&amp;F$5,'Time Off Log'!$E$5:$E$504,"Approved")&gt;0,"U",IF(COUNTIFS('Time Off Log'!$A$5:$A$504,$B20,'Time Off Log'!$C$5:$C$504,"&lt;="&amp;F$5,'Time Off Log'!$J$5:$J$504,"&gt;="&amp;F$5,'Time Off Log'!$E$5:$E$504,"Pending")&gt;0,"?",""))))))</f>
        <v/>
      </c>
      <c r="G20" s="44">
        <f>IF(OR(G$5="",$B20=""),"",IF(OR(WEEKDAY(G$5,2)&gt;5,COUNTIF(Holidays!$A$5:$A$40,G$5)&gt;0),"",IF(COUNTIFS('Time Off Log'!$A$5:$A$504,$B20,'Time Off Log'!$C$5:$C$504,"&lt;="&amp;G$5,'Time Off Log'!$J$5:$J$504,"&gt;="&amp;G$5,'Time Off Log'!$B$5:$B$504,"PTO",'Time Off Log'!$E$5:$E$504,"Approved")&gt;0,"P",IF(COUNTIFS('Time Off Log'!$A$5:$A$504,$B20,'Time Off Log'!$C$5:$C$504,"&lt;="&amp;G$5,'Time Off Log'!$J$5:$J$504,"&gt;="&amp;G$5,'Time Off Log'!$B$5:$B$504,"Sick",'Time Off Log'!$E$5:$E$504,"Approved")&gt;0,"S",IF(COUNTIFS('Time Off Log'!$A$5:$A$504,$B20,'Time Off Log'!$C$5:$C$504,"&lt;="&amp;G$5,'Time Off Log'!$J$5:$J$504,"&gt;="&amp;G$5,'Time Off Log'!$E$5:$E$504,"Approved")&gt;0,"U",IF(COUNTIFS('Time Off Log'!$A$5:$A$504,$B20,'Time Off Log'!$C$5:$C$504,"&lt;="&amp;G$5,'Time Off Log'!$J$5:$J$504,"&gt;="&amp;G$5,'Time Off Log'!$E$5:$E$504,"Pending")&gt;0,"?",""))))))</f>
        <v/>
      </c>
      <c r="H20" s="44">
        <f>IF(OR(H$5="",$B20=""),"",IF(OR(WEEKDAY(H$5,2)&gt;5,COUNTIF(Holidays!$A$5:$A$40,H$5)&gt;0),"",IF(COUNTIFS('Time Off Log'!$A$5:$A$504,$B20,'Time Off Log'!$C$5:$C$504,"&lt;="&amp;H$5,'Time Off Log'!$J$5:$J$504,"&gt;="&amp;H$5,'Time Off Log'!$B$5:$B$504,"PTO",'Time Off Log'!$E$5:$E$504,"Approved")&gt;0,"P",IF(COUNTIFS('Time Off Log'!$A$5:$A$504,$B20,'Time Off Log'!$C$5:$C$504,"&lt;="&amp;H$5,'Time Off Log'!$J$5:$J$504,"&gt;="&amp;H$5,'Time Off Log'!$B$5:$B$504,"Sick",'Time Off Log'!$E$5:$E$504,"Approved")&gt;0,"S",IF(COUNTIFS('Time Off Log'!$A$5:$A$504,$B20,'Time Off Log'!$C$5:$C$504,"&lt;="&amp;H$5,'Time Off Log'!$J$5:$J$504,"&gt;="&amp;H$5,'Time Off Log'!$E$5:$E$504,"Approved")&gt;0,"U",IF(COUNTIFS('Time Off Log'!$A$5:$A$504,$B20,'Time Off Log'!$C$5:$C$504,"&lt;="&amp;H$5,'Time Off Log'!$J$5:$J$504,"&gt;="&amp;H$5,'Time Off Log'!$E$5:$E$504,"Pending")&gt;0,"?",""))))))</f>
        <v/>
      </c>
      <c r="I20" s="44">
        <f>IF(OR(I$5="",$B20=""),"",IF(OR(WEEKDAY(I$5,2)&gt;5,COUNTIF(Holidays!$A$5:$A$40,I$5)&gt;0),"",IF(COUNTIFS('Time Off Log'!$A$5:$A$504,$B20,'Time Off Log'!$C$5:$C$504,"&lt;="&amp;I$5,'Time Off Log'!$J$5:$J$504,"&gt;="&amp;I$5,'Time Off Log'!$B$5:$B$504,"PTO",'Time Off Log'!$E$5:$E$504,"Approved")&gt;0,"P",IF(COUNTIFS('Time Off Log'!$A$5:$A$504,$B20,'Time Off Log'!$C$5:$C$504,"&lt;="&amp;I$5,'Time Off Log'!$J$5:$J$504,"&gt;="&amp;I$5,'Time Off Log'!$B$5:$B$504,"Sick",'Time Off Log'!$E$5:$E$504,"Approved")&gt;0,"S",IF(COUNTIFS('Time Off Log'!$A$5:$A$504,$B20,'Time Off Log'!$C$5:$C$504,"&lt;="&amp;I$5,'Time Off Log'!$J$5:$J$504,"&gt;="&amp;I$5,'Time Off Log'!$E$5:$E$504,"Approved")&gt;0,"U",IF(COUNTIFS('Time Off Log'!$A$5:$A$504,$B20,'Time Off Log'!$C$5:$C$504,"&lt;="&amp;I$5,'Time Off Log'!$J$5:$J$504,"&gt;="&amp;I$5,'Time Off Log'!$E$5:$E$504,"Pending")&gt;0,"?",""))))))</f>
        <v/>
      </c>
      <c r="J20" s="44">
        <f>IF(OR(J$5="",$B20=""),"",IF(OR(WEEKDAY(J$5,2)&gt;5,COUNTIF(Holidays!$A$5:$A$40,J$5)&gt;0),"",IF(COUNTIFS('Time Off Log'!$A$5:$A$504,$B20,'Time Off Log'!$C$5:$C$504,"&lt;="&amp;J$5,'Time Off Log'!$J$5:$J$504,"&gt;="&amp;J$5,'Time Off Log'!$B$5:$B$504,"PTO",'Time Off Log'!$E$5:$E$504,"Approved")&gt;0,"P",IF(COUNTIFS('Time Off Log'!$A$5:$A$504,$B20,'Time Off Log'!$C$5:$C$504,"&lt;="&amp;J$5,'Time Off Log'!$J$5:$J$504,"&gt;="&amp;J$5,'Time Off Log'!$B$5:$B$504,"Sick",'Time Off Log'!$E$5:$E$504,"Approved")&gt;0,"S",IF(COUNTIFS('Time Off Log'!$A$5:$A$504,$B20,'Time Off Log'!$C$5:$C$504,"&lt;="&amp;J$5,'Time Off Log'!$J$5:$J$504,"&gt;="&amp;J$5,'Time Off Log'!$E$5:$E$504,"Approved")&gt;0,"U",IF(COUNTIFS('Time Off Log'!$A$5:$A$504,$B20,'Time Off Log'!$C$5:$C$504,"&lt;="&amp;J$5,'Time Off Log'!$J$5:$J$504,"&gt;="&amp;J$5,'Time Off Log'!$E$5:$E$504,"Pending")&gt;0,"?",""))))))</f>
        <v/>
      </c>
      <c r="K20" s="44">
        <f>IF(OR(K$5="",$B20=""),"",IF(OR(WEEKDAY(K$5,2)&gt;5,COUNTIF(Holidays!$A$5:$A$40,K$5)&gt;0),"",IF(COUNTIFS('Time Off Log'!$A$5:$A$504,$B20,'Time Off Log'!$C$5:$C$504,"&lt;="&amp;K$5,'Time Off Log'!$J$5:$J$504,"&gt;="&amp;K$5,'Time Off Log'!$B$5:$B$504,"PTO",'Time Off Log'!$E$5:$E$504,"Approved")&gt;0,"P",IF(COUNTIFS('Time Off Log'!$A$5:$A$504,$B20,'Time Off Log'!$C$5:$C$504,"&lt;="&amp;K$5,'Time Off Log'!$J$5:$J$504,"&gt;="&amp;K$5,'Time Off Log'!$B$5:$B$504,"Sick",'Time Off Log'!$E$5:$E$504,"Approved")&gt;0,"S",IF(COUNTIFS('Time Off Log'!$A$5:$A$504,$B20,'Time Off Log'!$C$5:$C$504,"&lt;="&amp;K$5,'Time Off Log'!$J$5:$J$504,"&gt;="&amp;K$5,'Time Off Log'!$E$5:$E$504,"Approved")&gt;0,"U",IF(COUNTIFS('Time Off Log'!$A$5:$A$504,$B20,'Time Off Log'!$C$5:$C$504,"&lt;="&amp;K$5,'Time Off Log'!$J$5:$J$504,"&gt;="&amp;K$5,'Time Off Log'!$E$5:$E$504,"Pending")&gt;0,"?",""))))))</f>
        <v/>
      </c>
      <c r="L20" s="44">
        <f>IF(OR(L$5="",$B20=""),"",IF(OR(WEEKDAY(L$5,2)&gt;5,COUNTIF(Holidays!$A$5:$A$40,L$5)&gt;0),"",IF(COUNTIFS('Time Off Log'!$A$5:$A$504,$B20,'Time Off Log'!$C$5:$C$504,"&lt;="&amp;L$5,'Time Off Log'!$J$5:$J$504,"&gt;="&amp;L$5,'Time Off Log'!$B$5:$B$504,"PTO",'Time Off Log'!$E$5:$E$504,"Approved")&gt;0,"P",IF(COUNTIFS('Time Off Log'!$A$5:$A$504,$B20,'Time Off Log'!$C$5:$C$504,"&lt;="&amp;L$5,'Time Off Log'!$J$5:$J$504,"&gt;="&amp;L$5,'Time Off Log'!$B$5:$B$504,"Sick",'Time Off Log'!$E$5:$E$504,"Approved")&gt;0,"S",IF(COUNTIFS('Time Off Log'!$A$5:$A$504,$B20,'Time Off Log'!$C$5:$C$504,"&lt;="&amp;L$5,'Time Off Log'!$J$5:$J$504,"&gt;="&amp;L$5,'Time Off Log'!$E$5:$E$504,"Approved")&gt;0,"U",IF(COUNTIFS('Time Off Log'!$A$5:$A$504,$B20,'Time Off Log'!$C$5:$C$504,"&lt;="&amp;L$5,'Time Off Log'!$J$5:$J$504,"&gt;="&amp;L$5,'Time Off Log'!$E$5:$E$504,"Pending")&gt;0,"?",""))))))</f>
        <v/>
      </c>
      <c r="M20" s="44">
        <f>IF(OR(M$5="",$B20=""),"",IF(OR(WEEKDAY(M$5,2)&gt;5,COUNTIF(Holidays!$A$5:$A$40,M$5)&gt;0),"",IF(COUNTIFS('Time Off Log'!$A$5:$A$504,$B20,'Time Off Log'!$C$5:$C$504,"&lt;="&amp;M$5,'Time Off Log'!$J$5:$J$504,"&gt;="&amp;M$5,'Time Off Log'!$B$5:$B$504,"PTO",'Time Off Log'!$E$5:$E$504,"Approved")&gt;0,"P",IF(COUNTIFS('Time Off Log'!$A$5:$A$504,$B20,'Time Off Log'!$C$5:$C$504,"&lt;="&amp;M$5,'Time Off Log'!$J$5:$J$504,"&gt;="&amp;M$5,'Time Off Log'!$B$5:$B$504,"Sick",'Time Off Log'!$E$5:$E$504,"Approved")&gt;0,"S",IF(COUNTIFS('Time Off Log'!$A$5:$A$504,$B20,'Time Off Log'!$C$5:$C$504,"&lt;="&amp;M$5,'Time Off Log'!$J$5:$J$504,"&gt;="&amp;M$5,'Time Off Log'!$E$5:$E$504,"Approved")&gt;0,"U",IF(COUNTIFS('Time Off Log'!$A$5:$A$504,$B20,'Time Off Log'!$C$5:$C$504,"&lt;="&amp;M$5,'Time Off Log'!$J$5:$J$504,"&gt;="&amp;M$5,'Time Off Log'!$E$5:$E$504,"Pending")&gt;0,"?",""))))))</f>
        <v/>
      </c>
      <c r="N20" s="44">
        <f>IF(OR(N$5="",$B20=""),"",IF(OR(WEEKDAY(N$5,2)&gt;5,COUNTIF(Holidays!$A$5:$A$40,N$5)&gt;0),"",IF(COUNTIFS('Time Off Log'!$A$5:$A$504,$B20,'Time Off Log'!$C$5:$C$504,"&lt;="&amp;N$5,'Time Off Log'!$J$5:$J$504,"&gt;="&amp;N$5,'Time Off Log'!$B$5:$B$504,"PTO",'Time Off Log'!$E$5:$E$504,"Approved")&gt;0,"P",IF(COUNTIFS('Time Off Log'!$A$5:$A$504,$B20,'Time Off Log'!$C$5:$C$504,"&lt;="&amp;N$5,'Time Off Log'!$J$5:$J$504,"&gt;="&amp;N$5,'Time Off Log'!$B$5:$B$504,"Sick",'Time Off Log'!$E$5:$E$504,"Approved")&gt;0,"S",IF(COUNTIFS('Time Off Log'!$A$5:$A$504,$B20,'Time Off Log'!$C$5:$C$504,"&lt;="&amp;N$5,'Time Off Log'!$J$5:$J$504,"&gt;="&amp;N$5,'Time Off Log'!$E$5:$E$504,"Approved")&gt;0,"U",IF(COUNTIFS('Time Off Log'!$A$5:$A$504,$B20,'Time Off Log'!$C$5:$C$504,"&lt;="&amp;N$5,'Time Off Log'!$J$5:$J$504,"&gt;="&amp;N$5,'Time Off Log'!$E$5:$E$504,"Pending")&gt;0,"?",""))))))</f>
        <v/>
      </c>
      <c r="O20" s="44">
        <f>IF(OR(O$5="",$B20=""),"",IF(OR(WEEKDAY(O$5,2)&gt;5,COUNTIF(Holidays!$A$5:$A$40,O$5)&gt;0),"",IF(COUNTIFS('Time Off Log'!$A$5:$A$504,$B20,'Time Off Log'!$C$5:$C$504,"&lt;="&amp;O$5,'Time Off Log'!$J$5:$J$504,"&gt;="&amp;O$5,'Time Off Log'!$B$5:$B$504,"PTO",'Time Off Log'!$E$5:$E$504,"Approved")&gt;0,"P",IF(COUNTIFS('Time Off Log'!$A$5:$A$504,$B20,'Time Off Log'!$C$5:$C$504,"&lt;="&amp;O$5,'Time Off Log'!$J$5:$J$504,"&gt;="&amp;O$5,'Time Off Log'!$B$5:$B$504,"Sick",'Time Off Log'!$E$5:$E$504,"Approved")&gt;0,"S",IF(COUNTIFS('Time Off Log'!$A$5:$A$504,$B20,'Time Off Log'!$C$5:$C$504,"&lt;="&amp;O$5,'Time Off Log'!$J$5:$J$504,"&gt;="&amp;O$5,'Time Off Log'!$E$5:$E$504,"Approved")&gt;0,"U",IF(COUNTIFS('Time Off Log'!$A$5:$A$504,$B20,'Time Off Log'!$C$5:$C$504,"&lt;="&amp;O$5,'Time Off Log'!$J$5:$J$504,"&gt;="&amp;O$5,'Time Off Log'!$E$5:$E$504,"Pending")&gt;0,"?",""))))))</f>
        <v/>
      </c>
      <c r="P20" s="44">
        <f>IF(OR(P$5="",$B20=""),"",IF(OR(WEEKDAY(P$5,2)&gt;5,COUNTIF(Holidays!$A$5:$A$40,P$5)&gt;0),"",IF(COUNTIFS('Time Off Log'!$A$5:$A$504,$B20,'Time Off Log'!$C$5:$C$504,"&lt;="&amp;P$5,'Time Off Log'!$J$5:$J$504,"&gt;="&amp;P$5,'Time Off Log'!$B$5:$B$504,"PTO",'Time Off Log'!$E$5:$E$504,"Approved")&gt;0,"P",IF(COUNTIFS('Time Off Log'!$A$5:$A$504,$B20,'Time Off Log'!$C$5:$C$504,"&lt;="&amp;P$5,'Time Off Log'!$J$5:$J$504,"&gt;="&amp;P$5,'Time Off Log'!$B$5:$B$504,"Sick",'Time Off Log'!$E$5:$E$504,"Approved")&gt;0,"S",IF(COUNTIFS('Time Off Log'!$A$5:$A$504,$B20,'Time Off Log'!$C$5:$C$504,"&lt;="&amp;P$5,'Time Off Log'!$J$5:$J$504,"&gt;="&amp;P$5,'Time Off Log'!$E$5:$E$504,"Approved")&gt;0,"U",IF(COUNTIFS('Time Off Log'!$A$5:$A$504,$B20,'Time Off Log'!$C$5:$C$504,"&lt;="&amp;P$5,'Time Off Log'!$J$5:$J$504,"&gt;="&amp;P$5,'Time Off Log'!$E$5:$E$504,"Pending")&gt;0,"?",""))))))</f>
        <v/>
      </c>
      <c r="Q20" s="44">
        <f>IF(OR(Q$5="",$B20=""),"",IF(OR(WEEKDAY(Q$5,2)&gt;5,COUNTIF(Holidays!$A$5:$A$40,Q$5)&gt;0),"",IF(COUNTIFS('Time Off Log'!$A$5:$A$504,$B20,'Time Off Log'!$C$5:$C$504,"&lt;="&amp;Q$5,'Time Off Log'!$J$5:$J$504,"&gt;="&amp;Q$5,'Time Off Log'!$B$5:$B$504,"PTO",'Time Off Log'!$E$5:$E$504,"Approved")&gt;0,"P",IF(COUNTIFS('Time Off Log'!$A$5:$A$504,$B20,'Time Off Log'!$C$5:$C$504,"&lt;="&amp;Q$5,'Time Off Log'!$J$5:$J$504,"&gt;="&amp;Q$5,'Time Off Log'!$B$5:$B$504,"Sick",'Time Off Log'!$E$5:$E$504,"Approved")&gt;0,"S",IF(COUNTIFS('Time Off Log'!$A$5:$A$504,$B20,'Time Off Log'!$C$5:$C$504,"&lt;="&amp;Q$5,'Time Off Log'!$J$5:$J$504,"&gt;="&amp;Q$5,'Time Off Log'!$E$5:$E$504,"Approved")&gt;0,"U",IF(COUNTIFS('Time Off Log'!$A$5:$A$504,$B20,'Time Off Log'!$C$5:$C$504,"&lt;="&amp;Q$5,'Time Off Log'!$J$5:$J$504,"&gt;="&amp;Q$5,'Time Off Log'!$E$5:$E$504,"Pending")&gt;0,"?",""))))))</f>
        <v/>
      </c>
      <c r="R20" s="44">
        <f>IF(OR(R$5="",$B20=""),"",IF(OR(WEEKDAY(R$5,2)&gt;5,COUNTIF(Holidays!$A$5:$A$40,R$5)&gt;0),"",IF(COUNTIFS('Time Off Log'!$A$5:$A$504,$B20,'Time Off Log'!$C$5:$C$504,"&lt;="&amp;R$5,'Time Off Log'!$J$5:$J$504,"&gt;="&amp;R$5,'Time Off Log'!$B$5:$B$504,"PTO",'Time Off Log'!$E$5:$E$504,"Approved")&gt;0,"P",IF(COUNTIFS('Time Off Log'!$A$5:$A$504,$B20,'Time Off Log'!$C$5:$C$504,"&lt;="&amp;R$5,'Time Off Log'!$J$5:$J$504,"&gt;="&amp;R$5,'Time Off Log'!$B$5:$B$504,"Sick",'Time Off Log'!$E$5:$E$504,"Approved")&gt;0,"S",IF(COUNTIFS('Time Off Log'!$A$5:$A$504,$B20,'Time Off Log'!$C$5:$C$504,"&lt;="&amp;R$5,'Time Off Log'!$J$5:$J$504,"&gt;="&amp;R$5,'Time Off Log'!$E$5:$E$504,"Approved")&gt;0,"U",IF(COUNTIFS('Time Off Log'!$A$5:$A$504,$B20,'Time Off Log'!$C$5:$C$504,"&lt;="&amp;R$5,'Time Off Log'!$J$5:$J$504,"&gt;="&amp;R$5,'Time Off Log'!$E$5:$E$504,"Pending")&gt;0,"?",""))))))</f>
        <v/>
      </c>
      <c r="S20" s="44">
        <f>IF(OR(S$5="",$B20=""),"",IF(OR(WEEKDAY(S$5,2)&gt;5,COUNTIF(Holidays!$A$5:$A$40,S$5)&gt;0),"",IF(COUNTIFS('Time Off Log'!$A$5:$A$504,$B20,'Time Off Log'!$C$5:$C$504,"&lt;="&amp;S$5,'Time Off Log'!$J$5:$J$504,"&gt;="&amp;S$5,'Time Off Log'!$B$5:$B$504,"PTO",'Time Off Log'!$E$5:$E$504,"Approved")&gt;0,"P",IF(COUNTIFS('Time Off Log'!$A$5:$A$504,$B20,'Time Off Log'!$C$5:$C$504,"&lt;="&amp;S$5,'Time Off Log'!$J$5:$J$504,"&gt;="&amp;S$5,'Time Off Log'!$B$5:$B$504,"Sick",'Time Off Log'!$E$5:$E$504,"Approved")&gt;0,"S",IF(COUNTIFS('Time Off Log'!$A$5:$A$504,$B20,'Time Off Log'!$C$5:$C$504,"&lt;="&amp;S$5,'Time Off Log'!$J$5:$J$504,"&gt;="&amp;S$5,'Time Off Log'!$E$5:$E$504,"Approved")&gt;0,"U",IF(COUNTIFS('Time Off Log'!$A$5:$A$504,$B20,'Time Off Log'!$C$5:$C$504,"&lt;="&amp;S$5,'Time Off Log'!$J$5:$J$504,"&gt;="&amp;S$5,'Time Off Log'!$E$5:$E$504,"Pending")&gt;0,"?",""))))))</f>
        <v/>
      </c>
      <c r="T20" s="44">
        <f>IF(OR(T$5="",$B20=""),"",IF(OR(WEEKDAY(T$5,2)&gt;5,COUNTIF(Holidays!$A$5:$A$40,T$5)&gt;0),"",IF(COUNTIFS('Time Off Log'!$A$5:$A$504,$B20,'Time Off Log'!$C$5:$C$504,"&lt;="&amp;T$5,'Time Off Log'!$J$5:$J$504,"&gt;="&amp;T$5,'Time Off Log'!$B$5:$B$504,"PTO",'Time Off Log'!$E$5:$E$504,"Approved")&gt;0,"P",IF(COUNTIFS('Time Off Log'!$A$5:$A$504,$B20,'Time Off Log'!$C$5:$C$504,"&lt;="&amp;T$5,'Time Off Log'!$J$5:$J$504,"&gt;="&amp;T$5,'Time Off Log'!$B$5:$B$504,"Sick",'Time Off Log'!$E$5:$E$504,"Approved")&gt;0,"S",IF(COUNTIFS('Time Off Log'!$A$5:$A$504,$B20,'Time Off Log'!$C$5:$C$504,"&lt;="&amp;T$5,'Time Off Log'!$J$5:$J$504,"&gt;="&amp;T$5,'Time Off Log'!$E$5:$E$504,"Approved")&gt;0,"U",IF(COUNTIFS('Time Off Log'!$A$5:$A$504,$B20,'Time Off Log'!$C$5:$C$504,"&lt;="&amp;T$5,'Time Off Log'!$J$5:$J$504,"&gt;="&amp;T$5,'Time Off Log'!$E$5:$E$504,"Pending")&gt;0,"?",""))))))</f>
        <v/>
      </c>
      <c r="U20" s="44">
        <f>IF(OR(U$5="",$B20=""),"",IF(OR(WEEKDAY(U$5,2)&gt;5,COUNTIF(Holidays!$A$5:$A$40,U$5)&gt;0),"",IF(COUNTIFS('Time Off Log'!$A$5:$A$504,$B20,'Time Off Log'!$C$5:$C$504,"&lt;="&amp;U$5,'Time Off Log'!$J$5:$J$504,"&gt;="&amp;U$5,'Time Off Log'!$B$5:$B$504,"PTO",'Time Off Log'!$E$5:$E$504,"Approved")&gt;0,"P",IF(COUNTIFS('Time Off Log'!$A$5:$A$504,$B20,'Time Off Log'!$C$5:$C$504,"&lt;="&amp;U$5,'Time Off Log'!$J$5:$J$504,"&gt;="&amp;U$5,'Time Off Log'!$B$5:$B$504,"Sick",'Time Off Log'!$E$5:$E$504,"Approved")&gt;0,"S",IF(COUNTIFS('Time Off Log'!$A$5:$A$504,$B20,'Time Off Log'!$C$5:$C$504,"&lt;="&amp;U$5,'Time Off Log'!$J$5:$J$504,"&gt;="&amp;U$5,'Time Off Log'!$E$5:$E$504,"Approved")&gt;0,"U",IF(COUNTIFS('Time Off Log'!$A$5:$A$504,$B20,'Time Off Log'!$C$5:$C$504,"&lt;="&amp;U$5,'Time Off Log'!$J$5:$J$504,"&gt;="&amp;U$5,'Time Off Log'!$E$5:$E$504,"Pending")&gt;0,"?",""))))))</f>
        <v/>
      </c>
      <c r="V20" s="44">
        <f>IF(OR(V$5="",$B20=""),"",IF(OR(WEEKDAY(V$5,2)&gt;5,COUNTIF(Holidays!$A$5:$A$40,V$5)&gt;0),"",IF(COUNTIFS('Time Off Log'!$A$5:$A$504,$B20,'Time Off Log'!$C$5:$C$504,"&lt;="&amp;V$5,'Time Off Log'!$J$5:$J$504,"&gt;="&amp;V$5,'Time Off Log'!$B$5:$B$504,"PTO",'Time Off Log'!$E$5:$E$504,"Approved")&gt;0,"P",IF(COUNTIFS('Time Off Log'!$A$5:$A$504,$B20,'Time Off Log'!$C$5:$C$504,"&lt;="&amp;V$5,'Time Off Log'!$J$5:$J$504,"&gt;="&amp;V$5,'Time Off Log'!$B$5:$B$504,"Sick",'Time Off Log'!$E$5:$E$504,"Approved")&gt;0,"S",IF(COUNTIFS('Time Off Log'!$A$5:$A$504,$B20,'Time Off Log'!$C$5:$C$504,"&lt;="&amp;V$5,'Time Off Log'!$J$5:$J$504,"&gt;="&amp;V$5,'Time Off Log'!$E$5:$E$504,"Approved")&gt;0,"U",IF(COUNTIFS('Time Off Log'!$A$5:$A$504,$B20,'Time Off Log'!$C$5:$C$504,"&lt;="&amp;V$5,'Time Off Log'!$J$5:$J$504,"&gt;="&amp;V$5,'Time Off Log'!$E$5:$E$504,"Pending")&gt;0,"?",""))))))</f>
        <v/>
      </c>
      <c r="W20" s="44">
        <f>IF(OR(W$5="",$B20=""),"",IF(OR(WEEKDAY(W$5,2)&gt;5,COUNTIF(Holidays!$A$5:$A$40,W$5)&gt;0),"",IF(COUNTIFS('Time Off Log'!$A$5:$A$504,$B20,'Time Off Log'!$C$5:$C$504,"&lt;="&amp;W$5,'Time Off Log'!$J$5:$J$504,"&gt;="&amp;W$5,'Time Off Log'!$B$5:$B$504,"PTO",'Time Off Log'!$E$5:$E$504,"Approved")&gt;0,"P",IF(COUNTIFS('Time Off Log'!$A$5:$A$504,$B20,'Time Off Log'!$C$5:$C$504,"&lt;="&amp;W$5,'Time Off Log'!$J$5:$J$504,"&gt;="&amp;W$5,'Time Off Log'!$B$5:$B$504,"Sick",'Time Off Log'!$E$5:$E$504,"Approved")&gt;0,"S",IF(COUNTIFS('Time Off Log'!$A$5:$A$504,$B20,'Time Off Log'!$C$5:$C$504,"&lt;="&amp;W$5,'Time Off Log'!$J$5:$J$504,"&gt;="&amp;W$5,'Time Off Log'!$E$5:$E$504,"Approved")&gt;0,"U",IF(COUNTIFS('Time Off Log'!$A$5:$A$504,$B20,'Time Off Log'!$C$5:$C$504,"&lt;="&amp;W$5,'Time Off Log'!$J$5:$J$504,"&gt;="&amp;W$5,'Time Off Log'!$E$5:$E$504,"Pending")&gt;0,"?",""))))))</f>
        <v/>
      </c>
      <c r="X20" s="44">
        <f>IF(OR(X$5="",$B20=""),"",IF(OR(WEEKDAY(X$5,2)&gt;5,COUNTIF(Holidays!$A$5:$A$40,X$5)&gt;0),"",IF(COUNTIFS('Time Off Log'!$A$5:$A$504,$B20,'Time Off Log'!$C$5:$C$504,"&lt;="&amp;X$5,'Time Off Log'!$J$5:$J$504,"&gt;="&amp;X$5,'Time Off Log'!$B$5:$B$504,"PTO",'Time Off Log'!$E$5:$E$504,"Approved")&gt;0,"P",IF(COUNTIFS('Time Off Log'!$A$5:$A$504,$B20,'Time Off Log'!$C$5:$C$504,"&lt;="&amp;X$5,'Time Off Log'!$J$5:$J$504,"&gt;="&amp;X$5,'Time Off Log'!$B$5:$B$504,"Sick",'Time Off Log'!$E$5:$E$504,"Approved")&gt;0,"S",IF(COUNTIFS('Time Off Log'!$A$5:$A$504,$B20,'Time Off Log'!$C$5:$C$504,"&lt;="&amp;X$5,'Time Off Log'!$J$5:$J$504,"&gt;="&amp;X$5,'Time Off Log'!$E$5:$E$504,"Approved")&gt;0,"U",IF(COUNTIFS('Time Off Log'!$A$5:$A$504,$B20,'Time Off Log'!$C$5:$C$504,"&lt;="&amp;X$5,'Time Off Log'!$J$5:$J$504,"&gt;="&amp;X$5,'Time Off Log'!$E$5:$E$504,"Pending")&gt;0,"?",""))))))</f>
        <v/>
      </c>
      <c r="Y20" s="44">
        <f>IF(OR(Y$5="",$B20=""),"",IF(OR(WEEKDAY(Y$5,2)&gt;5,COUNTIF(Holidays!$A$5:$A$40,Y$5)&gt;0),"",IF(COUNTIFS('Time Off Log'!$A$5:$A$504,$B20,'Time Off Log'!$C$5:$C$504,"&lt;="&amp;Y$5,'Time Off Log'!$J$5:$J$504,"&gt;="&amp;Y$5,'Time Off Log'!$B$5:$B$504,"PTO",'Time Off Log'!$E$5:$E$504,"Approved")&gt;0,"P",IF(COUNTIFS('Time Off Log'!$A$5:$A$504,$B20,'Time Off Log'!$C$5:$C$504,"&lt;="&amp;Y$5,'Time Off Log'!$J$5:$J$504,"&gt;="&amp;Y$5,'Time Off Log'!$B$5:$B$504,"Sick",'Time Off Log'!$E$5:$E$504,"Approved")&gt;0,"S",IF(COUNTIFS('Time Off Log'!$A$5:$A$504,$B20,'Time Off Log'!$C$5:$C$504,"&lt;="&amp;Y$5,'Time Off Log'!$J$5:$J$504,"&gt;="&amp;Y$5,'Time Off Log'!$E$5:$E$504,"Approved")&gt;0,"U",IF(COUNTIFS('Time Off Log'!$A$5:$A$504,$B20,'Time Off Log'!$C$5:$C$504,"&lt;="&amp;Y$5,'Time Off Log'!$J$5:$J$504,"&gt;="&amp;Y$5,'Time Off Log'!$E$5:$E$504,"Pending")&gt;0,"?",""))))))</f>
        <v/>
      </c>
      <c r="Z20" s="44">
        <f>IF(OR(Z$5="",$B20=""),"",IF(OR(WEEKDAY(Z$5,2)&gt;5,COUNTIF(Holidays!$A$5:$A$40,Z$5)&gt;0),"",IF(COUNTIFS('Time Off Log'!$A$5:$A$504,$B20,'Time Off Log'!$C$5:$C$504,"&lt;="&amp;Z$5,'Time Off Log'!$J$5:$J$504,"&gt;="&amp;Z$5,'Time Off Log'!$B$5:$B$504,"PTO",'Time Off Log'!$E$5:$E$504,"Approved")&gt;0,"P",IF(COUNTIFS('Time Off Log'!$A$5:$A$504,$B20,'Time Off Log'!$C$5:$C$504,"&lt;="&amp;Z$5,'Time Off Log'!$J$5:$J$504,"&gt;="&amp;Z$5,'Time Off Log'!$B$5:$B$504,"Sick",'Time Off Log'!$E$5:$E$504,"Approved")&gt;0,"S",IF(COUNTIFS('Time Off Log'!$A$5:$A$504,$B20,'Time Off Log'!$C$5:$C$504,"&lt;="&amp;Z$5,'Time Off Log'!$J$5:$J$504,"&gt;="&amp;Z$5,'Time Off Log'!$E$5:$E$504,"Approved")&gt;0,"U",IF(COUNTIFS('Time Off Log'!$A$5:$A$504,$B20,'Time Off Log'!$C$5:$C$504,"&lt;="&amp;Z$5,'Time Off Log'!$J$5:$J$504,"&gt;="&amp;Z$5,'Time Off Log'!$E$5:$E$504,"Pending")&gt;0,"?",""))))))</f>
        <v/>
      </c>
      <c r="AA20" s="44">
        <f>IF(OR(AA$5="",$B20=""),"",IF(OR(WEEKDAY(AA$5,2)&gt;5,COUNTIF(Holidays!$A$5:$A$40,AA$5)&gt;0),"",IF(COUNTIFS('Time Off Log'!$A$5:$A$504,$B20,'Time Off Log'!$C$5:$C$504,"&lt;="&amp;AA$5,'Time Off Log'!$J$5:$J$504,"&gt;="&amp;AA$5,'Time Off Log'!$B$5:$B$504,"PTO",'Time Off Log'!$E$5:$E$504,"Approved")&gt;0,"P",IF(COUNTIFS('Time Off Log'!$A$5:$A$504,$B20,'Time Off Log'!$C$5:$C$504,"&lt;="&amp;AA$5,'Time Off Log'!$J$5:$J$504,"&gt;="&amp;AA$5,'Time Off Log'!$B$5:$B$504,"Sick",'Time Off Log'!$E$5:$E$504,"Approved")&gt;0,"S",IF(COUNTIFS('Time Off Log'!$A$5:$A$504,$B20,'Time Off Log'!$C$5:$C$504,"&lt;="&amp;AA$5,'Time Off Log'!$J$5:$J$504,"&gt;="&amp;AA$5,'Time Off Log'!$E$5:$E$504,"Approved")&gt;0,"U",IF(COUNTIFS('Time Off Log'!$A$5:$A$504,$B20,'Time Off Log'!$C$5:$C$504,"&lt;="&amp;AA$5,'Time Off Log'!$J$5:$J$504,"&gt;="&amp;AA$5,'Time Off Log'!$E$5:$E$504,"Pending")&gt;0,"?",""))))))</f>
        <v/>
      </c>
      <c r="AB20" s="44">
        <f>IF(OR(AB$5="",$B20=""),"",IF(OR(WEEKDAY(AB$5,2)&gt;5,COUNTIF(Holidays!$A$5:$A$40,AB$5)&gt;0),"",IF(COUNTIFS('Time Off Log'!$A$5:$A$504,$B20,'Time Off Log'!$C$5:$C$504,"&lt;="&amp;AB$5,'Time Off Log'!$J$5:$J$504,"&gt;="&amp;AB$5,'Time Off Log'!$B$5:$B$504,"PTO",'Time Off Log'!$E$5:$E$504,"Approved")&gt;0,"P",IF(COUNTIFS('Time Off Log'!$A$5:$A$504,$B20,'Time Off Log'!$C$5:$C$504,"&lt;="&amp;AB$5,'Time Off Log'!$J$5:$J$504,"&gt;="&amp;AB$5,'Time Off Log'!$B$5:$B$504,"Sick",'Time Off Log'!$E$5:$E$504,"Approved")&gt;0,"S",IF(COUNTIFS('Time Off Log'!$A$5:$A$504,$B20,'Time Off Log'!$C$5:$C$504,"&lt;="&amp;AB$5,'Time Off Log'!$J$5:$J$504,"&gt;="&amp;AB$5,'Time Off Log'!$E$5:$E$504,"Approved")&gt;0,"U",IF(COUNTIFS('Time Off Log'!$A$5:$A$504,$B20,'Time Off Log'!$C$5:$C$504,"&lt;="&amp;AB$5,'Time Off Log'!$J$5:$J$504,"&gt;="&amp;AB$5,'Time Off Log'!$E$5:$E$504,"Pending")&gt;0,"?",""))))))</f>
        <v/>
      </c>
      <c r="AC20" s="44">
        <f>IF(OR(AC$5="",$B20=""),"",IF(OR(WEEKDAY(AC$5,2)&gt;5,COUNTIF(Holidays!$A$5:$A$40,AC$5)&gt;0),"",IF(COUNTIFS('Time Off Log'!$A$5:$A$504,$B20,'Time Off Log'!$C$5:$C$504,"&lt;="&amp;AC$5,'Time Off Log'!$J$5:$J$504,"&gt;="&amp;AC$5,'Time Off Log'!$B$5:$B$504,"PTO",'Time Off Log'!$E$5:$E$504,"Approved")&gt;0,"P",IF(COUNTIFS('Time Off Log'!$A$5:$A$504,$B20,'Time Off Log'!$C$5:$C$504,"&lt;="&amp;AC$5,'Time Off Log'!$J$5:$J$504,"&gt;="&amp;AC$5,'Time Off Log'!$B$5:$B$504,"Sick",'Time Off Log'!$E$5:$E$504,"Approved")&gt;0,"S",IF(COUNTIFS('Time Off Log'!$A$5:$A$504,$B20,'Time Off Log'!$C$5:$C$504,"&lt;="&amp;AC$5,'Time Off Log'!$J$5:$J$504,"&gt;="&amp;AC$5,'Time Off Log'!$E$5:$E$504,"Approved")&gt;0,"U",IF(COUNTIFS('Time Off Log'!$A$5:$A$504,$B20,'Time Off Log'!$C$5:$C$504,"&lt;="&amp;AC$5,'Time Off Log'!$J$5:$J$504,"&gt;="&amp;AC$5,'Time Off Log'!$E$5:$E$504,"Pending")&gt;0,"?",""))))))</f>
        <v/>
      </c>
      <c r="AD20" s="44">
        <f>IF(OR(AD$5="",$B20=""),"",IF(OR(WEEKDAY(AD$5,2)&gt;5,COUNTIF(Holidays!$A$5:$A$40,AD$5)&gt;0),"",IF(COUNTIFS('Time Off Log'!$A$5:$A$504,$B20,'Time Off Log'!$C$5:$C$504,"&lt;="&amp;AD$5,'Time Off Log'!$J$5:$J$504,"&gt;="&amp;AD$5,'Time Off Log'!$B$5:$B$504,"PTO",'Time Off Log'!$E$5:$E$504,"Approved")&gt;0,"P",IF(COUNTIFS('Time Off Log'!$A$5:$A$504,$B20,'Time Off Log'!$C$5:$C$504,"&lt;="&amp;AD$5,'Time Off Log'!$J$5:$J$504,"&gt;="&amp;AD$5,'Time Off Log'!$B$5:$B$504,"Sick",'Time Off Log'!$E$5:$E$504,"Approved")&gt;0,"S",IF(COUNTIFS('Time Off Log'!$A$5:$A$504,$B20,'Time Off Log'!$C$5:$C$504,"&lt;="&amp;AD$5,'Time Off Log'!$J$5:$J$504,"&gt;="&amp;AD$5,'Time Off Log'!$E$5:$E$504,"Approved")&gt;0,"U",IF(COUNTIFS('Time Off Log'!$A$5:$A$504,$B20,'Time Off Log'!$C$5:$C$504,"&lt;="&amp;AD$5,'Time Off Log'!$J$5:$J$504,"&gt;="&amp;AD$5,'Time Off Log'!$E$5:$E$504,"Pending")&gt;0,"?",""))))))</f>
        <v/>
      </c>
      <c r="AE20" s="44">
        <f>IF(OR(AE$5="",$B20=""),"",IF(OR(WEEKDAY(AE$5,2)&gt;5,COUNTIF(Holidays!$A$5:$A$40,AE$5)&gt;0),"",IF(COUNTIFS('Time Off Log'!$A$5:$A$504,$B20,'Time Off Log'!$C$5:$C$504,"&lt;="&amp;AE$5,'Time Off Log'!$J$5:$J$504,"&gt;="&amp;AE$5,'Time Off Log'!$B$5:$B$504,"PTO",'Time Off Log'!$E$5:$E$504,"Approved")&gt;0,"P",IF(COUNTIFS('Time Off Log'!$A$5:$A$504,$B20,'Time Off Log'!$C$5:$C$504,"&lt;="&amp;AE$5,'Time Off Log'!$J$5:$J$504,"&gt;="&amp;AE$5,'Time Off Log'!$B$5:$B$504,"Sick",'Time Off Log'!$E$5:$E$504,"Approved")&gt;0,"S",IF(COUNTIFS('Time Off Log'!$A$5:$A$504,$B20,'Time Off Log'!$C$5:$C$504,"&lt;="&amp;AE$5,'Time Off Log'!$J$5:$J$504,"&gt;="&amp;AE$5,'Time Off Log'!$E$5:$E$504,"Approved")&gt;0,"U",IF(COUNTIFS('Time Off Log'!$A$5:$A$504,$B20,'Time Off Log'!$C$5:$C$504,"&lt;="&amp;AE$5,'Time Off Log'!$J$5:$J$504,"&gt;="&amp;AE$5,'Time Off Log'!$E$5:$E$504,"Pending")&gt;0,"?",""))))))</f>
        <v/>
      </c>
      <c r="AF20" s="44">
        <f>IF(OR(AF$5="",$B20=""),"",IF(OR(WEEKDAY(AF$5,2)&gt;5,COUNTIF(Holidays!$A$5:$A$40,AF$5)&gt;0),"",IF(COUNTIFS('Time Off Log'!$A$5:$A$504,$B20,'Time Off Log'!$C$5:$C$504,"&lt;="&amp;AF$5,'Time Off Log'!$J$5:$J$504,"&gt;="&amp;AF$5,'Time Off Log'!$B$5:$B$504,"PTO",'Time Off Log'!$E$5:$E$504,"Approved")&gt;0,"P",IF(COUNTIFS('Time Off Log'!$A$5:$A$504,$B20,'Time Off Log'!$C$5:$C$504,"&lt;="&amp;AF$5,'Time Off Log'!$J$5:$J$504,"&gt;="&amp;AF$5,'Time Off Log'!$B$5:$B$504,"Sick",'Time Off Log'!$E$5:$E$504,"Approved")&gt;0,"S",IF(COUNTIFS('Time Off Log'!$A$5:$A$504,$B20,'Time Off Log'!$C$5:$C$504,"&lt;="&amp;AF$5,'Time Off Log'!$J$5:$J$504,"&gt;="&amp;AF$5,'Time Off Log'!$E$5:$E$504,"Approved")&gt;0,"U",IF(COUNTIFS('Time Off Log'!$A$5:$A$504,$B20,'Time Off Log'!$C$5:$C$504,"&lt;="&amp;AF$5,'Time Off Log'!$J$5:$J$504,"&gt;="&amp;AF$5,'Time Off Log'!$E$5:$E$504,"Pending")&gt;0,"?",""))))))</f>
        <v/>
      </c>
      <c r="AG20" s="44">
        <f>IF(OR(AG$5="",$B20=""),"",IF(OR(WEEKDAY(AG$5,2)&gt;5,COUNTIF(Holidays!$A$5:$A$40,AG$5)&gt;0),"",IF(COUNTIFS('Time Off Log'!$A$5:$A$504,$B20,'Time Off Log'!$C$5:$C$504,"&lt;="&amp;AG$5,'Time Off Log'!$J$5:$J$504,"&gt;="&amp;AG$5,'Time Off Log'!$B$5:$B$504,"PTO",'Time Off Log'!$E$5:$E$504,"Approved")&gt;0,"P",IF(COUNTIFS('Time Off Log'!$A$5:$A$504,$B20,'Time Off Log'!$C$5:$C$504,"&lt;="&amp;AG$5,'Time Off Log'!$J$5:$J$504,"&gt;="&amp;AG$5,'Time Off Log'!$B$5:$B$504,"Sick",'Time Off Log'!$E$5:$E$504,"Approved")&gt;0,"S",IF(COUNTIFS('Time Off Log'!$A$5:$A$504,$B20,'Time Off Log'!$C$5:$C$504,"&lt;="&amp;AG$5,'Time Off Log'!$J$5:$J$504,"&gt;="&amp;AG$5,'Time Off Log'!$E$5:$E$504,"Approved")&gt;0,"U",IF(COUNTIFS('Time Off Log'!$A$5:$A$504,$B20,'Time Off Log'!$C$5:$C$504,"&lt;="&amp;AG$5,'Time Off Log'!$J$5:$J$504,"&gt;="&amp;AG$5,'Time Off Log'!$E$5:$E$504,"Pending")&gt;0,"?",""))))))</f>
        <v/>
      </c>
    </row>
    <row r="21">
      <c r="A21" s="24" t="n">
        <v>16</v>
      </c>
      <c r="B21" s="24">
        <f>IF(Employees!B20="","",Employees!B20)</f>
        <v/>
      </c>
      <c r="C21" s="44">
        <f>IF(OR(C$5="",$B21=""),"",IF(OR(WEEKDAY(C$5,2)&gt;5,COUNTIF(Holidays!$A$5:$A$40,C$5)&gt;0),"",IF(COUNTIFS('Time Off Log'!$A$5:$A$504,$B21,'Time Off Log'!$C$5:$C$504,"&lt;="&amp;C$5,'Time Off Log'!$J$5:$J$504,"&gt;="&amp;C$5,'Time Off Log'!$B$5:$B$504,"PTO",'Time Off Log'!$E$5:$E$504,"Approved")&gt;0,"P",IF(COUNTIFS('Time Off Log'!$A$5:$A$504,$B21,'Time Off Log'!$C$5:$C$504,"&lt;="&amp;C$5,'Time Off Log'!$J$5:$J$504,"&gt;="&amp;C$5,'Time Off Log'!$B$5:$B$504,"Sick",'Time Off Log'!$E$5:$E$504,"Approved")&gt;0,"S",IF(COUNTIFS('Time Off Log'!$A$5:$A$504,$B21,'Time Off Log'!$C$5:$C$504,"&lt;="&amp;C$5,'Time Off Log'!$J$5:$J$504,"&gt;="&amp;C$5,'Time Off Log'!$E$5:$E$504,"Approved")&gt;0,"U",IF(COUNTIFS('Time Off Log'!$A$5:$A$504,$B21,'Time Off Log'!$C$5:$C$504,"&lt;="&amp;C$5,'Time Off Log'!$J$5:$J$504,"&gt;="&amp;C$5,'Time Off Log'!$E$5:$E$504,"Pending")&gt;0,"?",""))))))</f>
        <v/>
      </c>
      <c r="D21" s="44">
        <f>IF(OR(D$5="",$B21=""),"",IF(OR(WEEKDAY(D$5,2)&gt;5,COUNTIF(Holidays!$A$5:$A$40,D$5)&gt;0),"",IF(COUNTIFS('Time Off Log'!$A$5:$A$504,$B21,'Time Off Log'!$C$5:$C$504,"&lt;="&amp;D$5,'Time Off Log'!$J$5:$J$504,"&gt;="&amp;D$5,'Time Off Log'!$B$5:$B$504,"PTO",'Time Off Log'!$E$5:$E$504,"Approved")&gt;0,"P",IF(COUNTIFS('Time Off Log'!$A$5:$A$504,$B21,'Time Off Log'!$C$5:$C$504,"&lt;="&amp;D$5,'Time Off Log'!$J$5:$J$504,"&gt;="&amp;D$5,'Time Off Log'!$B$5:$B$504,"Sick",'Time Off Log'!$E$5:$E$504,"Approved")&gt;0,"S",IF(COUNTIFS('Time Off Log'!$A$5:$A$504,$B21,'Time Off Log'!$C$5:$C$504,"&lt;="&amp;D$5,'Time Off Log'!$J$5:$J$504,"&gt;="&amp;D$5,'Time Off Log'!$E$5:$E$504,"Approved")&gt;0,"U",IF(COUNTIFS('Time Off Log'!$A$5:$A$504,$B21,'Time Off Log'!$C$5:$C$504,"&lt;="&amp;D$5,'Time Off Log'!$J$5:$J$504,"&gt;="&amp;D$5,'Time Off Log'!$E$5:$E$504,"Pending")&gt;0,"?",""))))))</f>
        <v/>
      </c>
      <c r="E21" s="44">
        <f>IF(OR(E$5="",$B21=""),"",IF(OR(WEEKDAY(E$5,2)&gt;5,COUNTIF(Holidays!$A$5:$A$40,E$5)&gt;0),"",IF(COUNTIFS('Time Off Log'!$A$5:$A$504,$B21,'Time Off Log'!$C$5:$C$504,"&lt;="&amp;E$5,'Time Off Log'!$J$5:$J$504,"&gt;="&amp;E$5,'Time Off Log'!$B$5:$B$504,"PTO",'Time Off Log'!$E$5:$E$504,"Approved")&gt;0,"P",IF(COUNTIFS('Time Off Log'!$A$5:$A$504,$B21,'Time Off Log'!$C$5:$C$504,"&lt;="&amp;E$5,'Time Off Log'!$J$5:$J$504,"&gt;="&amp;E$5,'Time Off Log'!$B$5:$B$504,"Sick",'Time Off Log'!$E$5:$E$504,"Approved")&gt;0,"S",IF(COUNTIFS('Time Off Log'!$A$5:$A$504,$B21,'Time Off Log'!$C$5:$C$504,"&lt;="&amp;E$5,'Time Off Log'!$J$5:$J$504,"&gt;="&amp;E$5,'Time Off Log'!$E$5:$E$504,"Approved")&gt;0,"U",IF(COUNTIFS('Time Off Log'!$A$5:$A$504,$B21,'Time Off Log'!$C$5:$C$504,"&lt;="&amp;E$5,'Time Off Log'!$J$5:$J$504,"&gt;="&amp;E$5,'Time Off Log'!$E$5:$E$504,"Pending")&gt;0,"?",""))))))</f>
        <v/>
      </c>
      <c r="F21" s="44">
        <f>IF(OR(F$5="",$B21=""),"",IF(OR(WEEKDAY(F$5,2)&gt;5,COUNTIF(Holidays!$A$5:$A$40,F$5)&gt;0),"",IF(COUNTIFS('Time Off Log'!$A$5:$A$504,$B21,'Time Off Log'!$C$5:$C$504,"&lt;="&amp;F$5,'Time Off Log'!$J$5:$J$504,"&gt;="&amp;F$5,'Time Off Log'!$B$5:$B$504,"PTO",'Time Off Log'!$E$5:$E$504,"Approved")&gt;0,"P",IF(COUNTIFS('Time Off Log'!$A$5:$A$504,$B21,'Time Off Log'!$C$5:$C$504,"&lt;="&amp;F$5,'Time Off Log'!$J$5:$J$504,"&gt;="&amp;F$5,'Time Off Log'!$B$5:$B$504,"Sick",'Time Off Log'!$E$5:$E$504,"Approved")&gt;0,"S",IF(COUNTIFS('Time Off Log'!$A$5:$A$504,$B21,'Time Off Log'!$C$5:$C$504,"&lt;="&amp;F$5,'Time Off Log'!$J$5:$J$504,"&gt;="&amp;F$5,'Time Off Log'!$E$5:$E$504,"Approved")&gt;0,"U",IF(COUNTIFS('Time Off Log'!$A$5:$A$504,$B21,'Time Off Log'!$C$5:$C$504,"&lt;="&amp;F$5,'Time Off Log'!$J$5:$J$504,"&gt;="&amp;F$5,'Time Off Log'!$E$5:$E$504,"Pending")&gt;0,"?",""))))))</f>
        <v/>
      </c>
      <c r="G21" s="44">
        <f>IF(OR(G$5="",$B21=""),"",IF(OR(WEEKDAY(G$5,2)&gt;5,COUNTIF(Holidays!$A$5:$A$40,G$5)&gt;0),"",IF(COUNTIFS('Time Off Log'!$A$5:$A$504,$B21,'Time Off Log'!$C$5:$C$504,"&lt;="&amp;G$5,'Time Off Log'!$J$5:$J$504,"&gt;="&amp;G$5,'Time Off Log'!$B$5:$B$504,"PTO",'Time Off Log'!$E$5:$E$504,"Approved")&gt;0,"P",IF(COUNTIFS('Time Off Log'!$A$5:$A$504,$B21,'Time Off Log'!$C$5:$C$504,"&lt;="&amp;G$5,'Time Off Log'!$J$5:$J$504,"&gt;="&amp;G$5,'Time Off Log'!$B$5:$B$504,"Sick",'Time Off Log'!$E$5:$E$504,"Approved")&gt;0,"S",IF(COUNTIFS('Time Off Log'!$A$5:$A$504,$B21,'Time Off Log'!$C$5:$C$504,"&lt;="&amp;G$5,'Time Off Log'!$J$5:$J$504,"&gt;="&amp;G$5,'Time Off Log'!$E$5:$E$504,"Approved")&gt;0,"U",IF(COUNTIFS('Time Off Log'!$A$5:$A$504,$B21,'Time Off Log'!$C$5:$C$504,"&lt;="&amp;G$5,'Time Off Log'!$J$5:$J$504,"&gt;="&amp;G$5,'Time Off Log'!$E$5:$E$504,"Pending")&gt;0,"?",""))))))</f>
        <v/>
      </c>
      <c r="H21" s="44">
        <f>IF(OR(H$5="",$B21=""),"",IF(OR(WEEKDAY(H$5,2)&gt;5,COUNTIF(Holidays!$A$5:$A$40,H$5)&gt;0),"",IF(COUNTIFS('Time Off Log'!$A$5:$A$504,$B21,'Time Off Log'!$C$5:$C$504,"&lt;="&amp;H$5,'Time Off Log'!$J$5:$J$504,"&gt;="&amp;H$5,'Time Off Log'!$B$5:$B$504,"PTO",'Time Off Log'!$E$5:$E$504,"Approved")&gt;0,"P",IF(COUNTIFS('Time Off Log'!$A$5:$A$504,$B21,'Time Off Log'!$C$5:$C$504,"&lt;="&amp;H$5,'Time Off Log'!$J$5:$J$504,"&gt;="&amp;H$5,'Time Off Log'!$B$5:$B$504,"Sick",'Time Off Log'!$E$5:$E$504,"Approved")&gt;0,"S",IF(COUNTIFS('Time Off Log'!$A$5:$A$504,$B21,'Time Off Log'!$C$5:$C$504,"&lt;="&amp;H$5,'Time Off Log'!$J$5:$J$504,"&gt;="&amp;H$5,'Time Off Log'!$E$5:$E$504,"Approved")&gt;0,"U",IF(COUNTIFS('Time Off Log'!$A$5:$A$504,$B21,'Time Off Log'!$C$5:$C$504,"&lt;="&amp;H$5,'Time Off Log'!$J$5:$J$504,"&gt;="&amp;H$5,'Time Off Log'!$E$5:$E$504,"Pending")&gt;0,"?",""))))))</f>
        <v/>
      </c>
      <c r="I21" s="44">
        <f>IF(OR(I$5="",$B21=""),"",IF(OR(WEEKDAY(I$5,2)&gt;5,COUNTIF(Holidays!$A$5:$A$40,I$5)&gt;0),"",IF(COUNTIFS('Time Off Log'!$A$5:$A$504,$B21,'Time Off Log'!$C$5:$C$504,"&lt;="&amp;I$5,'Time Off Log'!$J$5:$J$504,"&gt;="&amp;I$5,'Time Off Log'!$B$5:$B$504,"PTO",'Time Off Log'!$E$5:$E$504,"Approved")&gt;0,"P",IF(COUNTIFS('Time Off Log'!$A$5:$A$504,$B21,'Time Off Log'!$C$5:$C$504,"&lt;="&amp;I$5,'Time Off Log'!$J$5:$J$504,"&gt;="&amp;I$5,'Time Off Log'!$B$5:$B$504,"Sick",'Time Off Log'!$E$5:$E$504,"Approved")&gt;0,"S",IF(COUNTIFS('Time Off Log'!$A$5:$A$504,$B21,'Time Off Log'!$C$5:$C$504,"&lt;="&amp;I$5,'Time Off Log'!$J$5:$J$504,"&gt;="&amp;I$5,'Time Off Log'!$E$5:$E$504,"Approved")&gt;0,"U",IF(COUNTIFS('Time Off Log'!$A$5:$A$504,$B21,'Time Off Log'!$C$5:$C$504,"&lt;="&amp;I$5,'Time Off Log'!$J$5:$J$504,"&gt;="&amp;I$5,'Time Off Log'!$E$5:$E$504,"Pending")&gt;0,"?",""))))))</f>
        <v/>
      </c>
      <c r="J21" s="44">
        <f>IF(OR(J$5="",$B21=""),"",IF(OR(WEEKDAY(J$5,2)&gt;5,COUNTIF(Holidays!$A$5:$A$40,J$5)&gt;0),"",IF(COUNTIFS('Time Off Log'!$A$5:$A$504,$B21,'Time Off Log'!$C$5:$C$504,"&lt;="&amp;J$5,'Time Off Log'!$J$5:$J$504,"&gt;="&amp;J$5,'Time Off Log'!$B$5:$B$504,"PTO",'Time Off Log'!$E$5:$E$504,"Approved")&gt;0,"P",IF(COUNTIFS('Time Off Log'!$A$5:$A$504,$B21,'Time Off Log'!$C$5:$C$504,"&lt;="&amp;J$5,'Time Off Log'!$J$5:$J$504,"&gt;="&amp;J$5,'Time Off Log'!$B$5:$B$504,"Sick",'Time Off Log'!$E$5:$E$504,"Approved")&gt;0,"S",IF(COUNTIFS('Time Off Log'!$A$5:$A$504,$B21,'Time Off Log'!$C$5:$C$504,"&lt;="&amp;J$5,'Time Off Log'!$J$5:$J$504,"&gt;="&amp;J$5,'Time Off Log'!$E$5:$E$504,"Approved")&gt;0,"U",IF(COUNTIFS('Time Off Log'!$A$5:$A$504,$B21,'Time Off Log'!$C$5:$C$504,"&lt;="&amp;J$5,'Time Off Log'!$J$5:$J$504,"&gt;="&amp;J$5,'Time Off Log'!$E$5:$E$504,"Pending")&gt;0,"?",""))))))</f>
        <v/>
      </c>
      <c r="K21" s="44">
        <f>IF(OR(K$5="",$B21=""),"",IF(OR(WEEKDAY(K$5,2)&gt;5,COUNTIF(Holidays!$A$5:$A$40,K$5)&gt;0),"",IF(COUNTIFS('Time Off Log'!$A$5:$A$504,$B21,'Time Off Log'!$C$5:$C$504,"&lt;="&amp;K$5,'Time Off Log'!$J$5:$J$504,"&gt;="&amp;K$5,'Time Off Log'!$B$5:$B$504,"PTO",'Time Off Log'!$E$5:$E$504,"Approved")&gt;0,"P",IF(COUNTIFS('Time Off Log'!$A$5:$A$504,$B21,'Time Off Log'!$C$5:$C$504,"&lt;="&amp;K$5,'Time Off Log'!$J$5:$J$504,"&gt;="&amp;K$5,'Time Off Log'!$B$5:$B$504,"Sick",'Time Off Log'!$E$5:$E$504,"Approved")&gt;0,"S",IF(COUNTIFS('Time Off Log'!$A$5:$A$504,$B21,'Time Off Log'!$C$5:$C$504,"&lt;="&amp;K$5,'Time Off Log'!$J$5:$J$504,"&gt;="&amp;K$5,'Time Off Log'!$E$5:$E$504,"Approved")&gt;0,"U",IF(COUNTIFS('Time Off Log'!$A$5:$A$504,$B21,'Time Off Log'!$C$5:$C$504,"&lt;="&amp;K$5,'Time Off Log'!$J$5:$J$504,"&gt;="&amp;K$5,'Time Off Log'!$E$5:$E$504,"Pending")&gt;0,"?",""))))))</f>
        <v/>
      </c>
      <c r="L21" s="44">
        <f>IF(OR(L$5="",$B21=""),"",IF(OR(WEEKDAY(L$5,2)&gt;5,COUNTIF(Holidays!$A$5:$A$40,L$5)&gt;0),"",IF(COUNTIFS('Time Off Log'!$A$5:$A$504,$B21,'Time Off Log'!$C$5:$C$504,"&lt;="&amp;L$5,'Time Off Log'!$J$5:$J$504,"&gt;="&amp;L$5,'Time Off Log'!$B$5:$B$504,"PTO",'Time Off Log'!$E$5:$E$504,"Approved")&gt;0,"P",IF(COUNTIFS('Time Off Log'!$A$5:$A$504,$B21,'Time Off Log'!$C$5:$C$504,"&lt;="&amp;L$5,'Time Off Log'!$J$5:$J$504,"&gt;="&amp;L$5,'Time Off Log'!$B$5:$B$504,"Sick",'Time Off Log'!$E$5:$E$504,"Approved")&gt;0,"S",IF(COUNTIFS('Time Off Log'!$A$5:$A$504,$B21,'Time Off Log'!$C$5:$C$504,"&lt;="&amp;L$5,'Time Off Log'!$J$5:$J$504,"&gt;="&amp;L$5,'Time Off Log'!$E$5:$E$504,"Approved")&gt;0,"U",IF(COUNTIFS('Time Off Log'!$A$5:$A$504,$B21,'Time Off Log'!$C$5:$C$504,"&lt;="&amp;L$5,'Time Off Log'!$J$5:$J$504,"&gt;="&amp;L$5,'Time Off Log'!$E$5:$E$504,"Pending")&gt;0,"?",""))))))</f>
        <v/>
      </c>
      <c r="M21" s="44">
        <f>IF(OR(M$5="",$B21=""),"",IF(OR(WEEKDAY(M$5,2)&gt;5,COUNTIF(Holidays!$A$5:$A$40,M$5)&gt;0),"",IF(COUNTIFS('Time Off Log'!$A$5:$A$504,$B21,'Time Off Log'!$C$5:$C$504,"&lt;="&amp;M$5,'Time Off Log'!$J$5:$J$504,"&gt;="&amp;M$5,'Time Off Log'!$B$5:$B$504,"PTO",'Time Off Log'!$E$5:$E$504,"Approved")&gt;0,"P",IF(COUNTIFS('Time Off Log'!$A$5:$A$504,$B21,'Time Off Log'!$C$5:$C$504,"&lt;="&amp;M$5,'Time Off Log'!$J$5:$J$504,"&gt;="&amp;M$5,'Time Off Log'!$B$5:$B$504,"Sick",'Time Off Log'!$E$5:$E$504,"Approved")&gt;0,"S",IF(COUNTIFS('Time Off Log'!$A$5:$A$504,$B21,'Time Off Log'!$C$5:$C$504,"&lt;="&amp;M$5,'Time Off Log'!$J$5:$J$504,"&gt;="&amp;M$5,'Time Off Log'!$E$5:$E$504,"Approved")&gt;0,"U",IF(COUNTIFS('Time Off Log'!$A$5:$A$504,$B21,'Time Off Log'!$C$5:$C$504,"&lt;="&amp;M$5,'Time Off Log'!$J$5:$J$504,"&gt;="&amp;M$5,'Time Off Log'!$E$5:$E$504,"Pending")&gt;0,"?",""))))))</f>
        <v/>
      </c>
      <c r="N21" s="44">
        <f>IF(OR(N$5="",$B21=""),"",IF(OR(WEEKDAY(N$5,2)&gt;5,COUNTIF(Holidays!$A$5:$A$40,N$5)&gt;0),"",IF(COUNTIFS('Time Off Log'!$A$5:$A$504,$B21,'Time Off Log'!$C$5:$C$504,"&lt;="&amp;N$5,'Time Off Log'!$J$5:$J$504,"&gt;="&amp;N$5,'Time Off Log'!$B$5:$B$504,"PTO",'Time Off Log'!$E$5:$E$504,"Approved")&gt;0,"P",IF(COUNTIFS('Time Off Log'!$A$5:$A$504,$B21,'Time Off Log'!$C$5:$C$504,"&lt;="&amp;N$5,'Time Off Log'!$J$5:$J$504,"&gt;="&amp;N$5,'Time Off Log'!$B$5:$B$504,"Sick",'Time Off Log'!$E$5:$E$504,"Approved")&gt;0,"S",IF(COUNTIFS('Time Off Log'!$A$5:$A$504,$B21,'Time Off Log'!$C$5:$C$504,"&lt;="&amp;N$5,'Time Off Log'!$J$5:$J$504,"&gt;="&amp;N$5,'Time Off Log'!$E$5:$E$504,"Approved")&gt;0,"U",IF(COUNTIFS('Time Off Log'!$A$5:$A$504,$B21,'Time Off Log'!$C$5:$C$504,"&lt;="&amp;N$5,'Time Off Log'!$J$5:$J$504,"&gt;="&amp;N$5,'Time Off Log'!$E$5:$E$504,"Pending")&gt;0,"?",""))))))</f>
        <v/>
      </c>
      <c r="O21" s="44">
        <f>IF(OR(O$5="",$B21=""),"",IF(OR(WEEKDAY(O$5,2)&gt;5,COUNTIF(Holidays!$A$5:$A$40,O$5)&gt;0),"",IF(COUNTIFS('Time Off Log'!$A$5:$A$504,$B21,'Time Off Log'!$C$5:$C$504,"&lt;="&amp;O$5,'Time Off Log'!$J$5:$J$504,"&gt;="&amp;O$5,'Time Off Log'!$B$5:$B$504,"PTO",'Time Off Log'!$E$5:$E$504,"Approved")&gt;0,"P",IF(COUNTIFS('Time Off Log'!$A$5:$A$504,$B21,'Time Off Log'!$C$5:$C$504,"&lt;="&amp;O$5,'Time Off Log'!$J$5:$J$504,"&gt;="&amp;O$5,'Time Off Log'!$B$5:$B$504,"Sick",'Time Off Log'!$E$5:$E$504,"Approved")&gt;0,"S",IF(COUNTIFS('Time Off Log'!$A$5:$A$504,$B21,'Time Off Log'!$C$5:$C$504,"&lt;="&amp;O$5,'Time Off Log'!$J$5:$J$504,"&gt;="&amp;O$5,'Time Off Log'!$E$5:$E$504,"Approved")&gt;0,"U",IF(COUNTIFS('Time Off Log'!$A$5:$A$504,$B21,'Time Off Log'!$C$5:$C$504,"&lt;="&amp;O$5,'Time Off Log'!$J$5:$J$504,"&gt;="&amp;O$5,'Time Off Log'!$E$5:$E$504,"Pending")&gt;0,"?",""))))))</f>
        <v/>
      </c>
      <c r="P21" s="44">
        <f>IF(OR(P$5="",$B21=""),"",IF(OR(WEEKDAY(P$5,2)&gt;5,COUNTIF(Holidays!$A$5:$A$40,P$5)&gt;0),"",IF(COUNTIFS('Time Off Log'!$A$5:$A$504,$B21,'Time Off Log'!$C$5:$C$504,"&lt;="&amp;P$5,'Time Off Log'!$J$5:$J$504,"&gt;="&amp;P$5,'Time Off Log'!$B$5:$B$504,"PTO",'Time Off Log'!$E$5:$E$504,"Approved")&gt;0,"P",IF(COUNTIFS('Time Off Log'!$A$5:$A$504,$B21,'Time Off Log'!$C$5:$C$504,"&lt;="&amp;P$5,'Time Off Log'!$J$5:$J$504,"&gt;="&amp;P$5,'Time Off Log'!$B$5:$B$504,"Sick",'Time Off Log'!$E$5:$E$504,"Approved")&gt;0,"S",IF(COUNTIFS('Time Off Log'!$A$5:$A$504,$B21,'Time Off Log'!$C$5:$C$504,"&lt;="&amp;P$5,'Time Off Log'!$J$5:$J$504,"&gt;="&amp;P$5,'Time Off Log'!$E$5:$E$504,"Approved")&gt;0,"U",IF(COUNTIFS('Time Off Log'!$A$5:$A$504,$B21,'Time Off Log'!$C$5:$C$504,"&lt;="&amp;P$5,'Time Off Log'!$J$5:$J$504,"&gt;="&amp;P$5,'Time Off Log'!$E$5:$E$504,"Pending")&gt;0,"?",""))))))</f>
        <v/>
      </c>
      <c r="Q21" s="44">
        <f>IF(OR(Q$5="",$B21=""),"",IF(OR(WEEKDAY(Q$5,2)&gt;5,COUNTIF(Holidays!$A$5:$A$40,Q$5)&gt;0),"",IF(COUNTIFS('Time Off Log'!$A$5:$A$504,$B21,'Time Off Log'!$C$5:$C$504,"&lt;="&amp;Q$5,'Time Off Log'!$J$5:$J$504,"&gt;="&amp;Q$5,'Time Off Log'!$B$5:$B$504,"PTO",'Time Off Log'!$E$5:$E$504,"Approved")&gt;0,"P",IF(COUNTIFS('Time Off Log'!$A$5:$A$504,$B21,'Time Off Log'!$C$5:$C$504,"&lt;="&amp;Q$5,'Time Off Log'!$J$5:$J$504,"&gt;="&amp;Q$5,'Time Off Log'!$B$5:$B$504,"Sick",'Time Off Log'!$E$5:$E$504,"Approved")&gt;0,"S",IF(COUNTIFS('Time Off Log'!$A$5:$A$504,$B21,'Time Off Log'!$C$5:$C$504,"&lt;="&amp;Q$5,'Time Off Log'!$J$5:$J$504,"&gt;="&amp;Q$5,'Time Off Log'!$E$5:$E$504,"Approved")&gt;0,"U",IF(COUNTIFS('Time Off Log'!$A$5:$A$504,$B21,'Time Off Log'!$C$5:$C$504,"&lt;="&amp;Q$5,'Time Off Log'!$J$5:$J$504,"&gt;="&amp;Q$5,'Time Off Log'!$E$5:$E$504,"Pending")&gt;0,"?",""))))))</f>
        <v/>
      </c>
      <c r="R21" s="44">
        <f>IF(OR(R$5="",$B21=""),"",IF(OR(WEEKDAY(R$5,2)&gt;5,COUNTIF(Holidays!$A$5:$A$40,R$5)&gt;0),"",IF(COUNTIFS('Time Off Log'!$A$5:$A$504,$B21,'Time Off Log'!$C$5:$C$504,"&lt;="&amp;R$5,'Time Off Log'!$J$5:$J$504,"&gt;="&amp;R$5,'Time Off Log'!$B$5:$B$504,"PTO",'Time Off Log'!$E$5:$E$504,"Approved")&gt;0,"P",IF(COUNTIFS('Time Off Log'!$A$5:$A$504,$B21,'Time Off Log'!$C$5:$C$504,"&lt;="&amp;R$5,'Time Off Log'!$J$5:$J$504,"&gt;="&amp;R$5,'Time Off Log'!$B$5:$B$504,"Sick",'Time Off Log'!$E$5:$E$504,"Approved")&gt;0,"S",IF(COUNTIFS('Time Off Log'!$A$5:$A$504,$B21,'Time Off Log'!$C$5:$C$504,"&lt;="&amp;R$5,'Time Off Log'!$J$5:$J$504,"&gt;="&amp;R$5,'Time Off Log'!$E$5:$E$504,"Approved")&gt;0,"U",IF(COUNTIFS('Time Off Log'!$A$5:$A$504,$B21,'Time Off Log'!$C$5:$C$504,"&lt;="&amp;R$5,'Time Off Log'!$J$5:$J$504,"&gt;="&amp;R$5,'Time Off Log'!$E$5:$E$504,"Pending")&gt;0,"?",""))))))</f>
        <v/>
      </c>
      <c r="S21" s="44">
        <f>IF(OR(S$5="",$B21=""),"",IF(OR(WEEKDAY(S$5,2)&gt;5,COUNTIF(Holidays!$A$5:$A$40,S$5)&gt;0),"",IF(COUNTIFS('Time Off Log'!$A$5:$A$504,$B21,'Time Off Log'!$C$5:$C$504,"&lt;="&amp;S$5,'Time Off Log'!$J$5:$J$504,"&gt;="&amp;S$5,'Time Off Log'!$B$5:$B$504,"PTO",'Time Off Log'!$E$5:$E$504,"Approved")&gt;0,"P",IF(COUNTIFS('Time Off Log'!$A$5:$A$504,$B21,'Time Off Log'!$C$5:$C$504,"&lt;="&amp;S$5,'Time Off Log'!$J$5:$J$504,"&gt;="&amp;S$5,'Time Off Log'!$B$5:$B$504,"Sick",'Time Off Log'!$E$5:$E$504,"Approved")&gt;0,"S",IF(COUNTIFS('Time Off Log'!$A$5:$A$504,$B21,'Time Off Log'!$C$5:$C$504,"&lt;="&amp;S$5,'Time Off Log'!$J$5:$J$504,"&gt;="&amp;S$5,'Time Off Log'!$E$5:$E$504,"Approved")&gt;0,"U",IF(COUNTIFS('Time Off Log'!$A$5:$A$504,$B21,'Time Off Log'!$C$5:$C$504,"&lt;="&amp;S$5,'Time Off Log'!$J$5:$J$504,"&gt;="&amp;S$5,'Time Off Log'!$E$5:$E$504,"Pending")&gt;0,"?",""))))))</f>
        <v/>
      </c>
      <c r="T21" s="44">
        <f>IF(OR(T$5="",$B21=""),"",IF(OR(WEEKDAY(T$5,2)&gt;5,COUNTIF(Holidays!$A$5:$A$40,T$5)&gt;0),"",IF(COUNTIFS('Time Off Log'!$A$5:$A$504,$B21,'Time Off Log'!$C$5:$C$504,"&lt;="&amp;T$5,'Time Off Log'!$J$5:$J$504,"&gt;="&amp;T$5,'Time Off Log'!$B$5:$B$504,"PTO",'Time Off Log'!$E$5:$E$504,"Approved")&gt;0,"P",IF(COUNTIFS('Time Off Log'!$A$5:$A$504,$B21,'Time Off Log'!$C$5:$C$504,"&lt;="&amp;T$5,'Time Off Log'!$J$5:$J$504,"&gt;="&amp;T$5,'Time Off Log'!$B$5:$B$504,"Sick",'Time Off Log'!$E$5:$E$504,"Approved")&gt;0,"S",IF(COUNTIFS('Time Off Log'!$A$5:$A$504,$B21,'Time Off Log'!$C$5:$C$504,"&lt;="&amp;T$5,'Time Off Log'!$J$5:$J$504,"&gt;="&amp;T$5,'Time Off Log'!$E$5:$E$504,"Approved")&gt;0,"U",IF(COUNTIFS('Time Off Log'!$A$5:$A$504,$B21,'Time Off Log'!$C$5:$C$504,"&lt;="&amp;T$5,'Time Off Log'!$J$5:$J$504,"&gt;="&amp;T$5,'Time Off Log'!$E$5:$E$504,"Pending")&gt;0,"?",""))))))</f>
        <v/>
      </c>
      <c r="U21" s="44">
        <f>IF(OR(U$5="",$B21=""),"",IF(OR(WEEKDAY(U$5,2)&gt;5,COUNTIF(Holidays!$A$5:$A$40,U$5)&gt;0),"",IF(COUNTIFS('Time Off Log'!$A$5:$A$504,$B21,'Time Off Log'!$C$5:$C$504,"&lt;="&amp;U$5,'Time Off Log'!$J$5:$J$504,"&gt;="&amp;U$5,'Time Off Log'!$B$5:$B$504,"PTO",'Time Off Log'!$E$5:$E$504,"Approved")&gt;0,"P",IF(COUNTIFS('Time Off Log'!$A$5:$A$504,$B21,'Time Off Log'!$C$5:$C$504,"&lt;="&amp;U$5,'Time Off Log'!$J$5:$J$504,"&gt;="&amp;U$5,'Time Off Log'!$B$5:$B$504,"Sick",'Time Off Log'!$E$5:$E$504,"Approved")&gt;0,"S",IF(COUNTIFS('Time Off Log'!$A$5:$A$504,$B21,'Time Off Log'!$C$5:$C$504,"&lt;="&amp;U$5,'Time Off Log'!$J$5:$J$504,"&gt;="&amp;U$5,'Time Off Log'!$E$5:$E$504,"Approved")&gt;0,"U",IF(COUNTIFS('Time Off Log'!$A$5:$A$504,$B21,'Time Off Log'!$C$5:$C$504,"&lt;="&amp;U$5,'Time Off Log'!$J$5:$J$504,"&gt;="&amp;U$5,'Time Off Log'!$E$5:$E$504,"Pending")&gt;0,"?",""))))))</f>
        <v/>
      </c>
      <c r="V21" s="44">
        <f>IF(OR(V$5="",$B21=""),"",IF(OR(WEEKDAY(V$5,2)&gt;5,COUNTIF(Holidays!$A$5:$A$40,V$5)&gt;0),"",IF(COUNTIFS('Time Off Log'!$A$5:$A$504,$B21,'Time Off Log'!$C$5:$C$504,"&lt;="&amp;V$5,'Time Off Log'!$J$5:$J$504,"&gt;="&amp;V$5,'Time Off Log'!$B$5:$B$504,"PTO",'Time Off Log'!$E$5:$E$504,"Approved")&gt;0,"P",IF(COUNTIFS('Time Off Log'!$A$5:$A$504,$B21,'Time Off Log'!$C$5:$C$504,"&lt;="&amp;V$5,'Time Off Log'!$J$5:$J$504,"&gt;="&amp;V$5,'Time Off Log'!$B$5:$B$504,"Sick",'Time Off Log'!$E$5:$E$504,"Approved")&gt;0,"S",IF(COUNTIFS('Time Off Log'!$A$5:$A$504,$B21,'Time Off Log'!$C$5:$C$504,"&lt;="&amp;V$5,'Time Off Log'!$J$5:$J$504,"&gt;="&amp;V$5,'Time Off Log'!$E$5:$E$504,"Approved")&gt;0,"U",IF(COUNTIFS('Time Off Log'!$A$5:$A$504,$B21,'Time Off Log'!$C$5:$C$504,"&lt;="&amp;V$5,'Time Off Log'!$J$5:$J$504,"&gt;="&amp;V$5,'Time Off Log'!$E$5:$E$504,"Pending")&gt;0,"?",""))))))</f>
        <v/>
      </c>
      <c r="W21" s="44">
        <f>IF(OR(W$5="",$B21=""),"",IF(OR(WEEKDAY(W$5,2)&gt;5,COUNTIF(Holidays!$A$5:$A$40,W$5)&gt;0),"",IF(COUNTIFS('Time Off Log'!$A$5:$A$504,$B21,'Time Off Log'!$C$5:$C$504,"&lt;="&amp;W$5,'Time Off Log'!$J$5:$J$504,"&gt;="&amp;W$5,'Time Off Log'!$B$5:$B$504,"PTO",'Time Off Log'!$E$5:$E$504,"Approved")&gt;0,"P",IF(COUNTIFS('Time Off Log'!$A$5:$A$504,$B21,'Time Off Log'!$C$5:$C$504,"&lt;="&amp;W$5,'Time Off Log'!$J$5:$J$504,"&gt;="&amp;W$5,'Time Off Log'!$B$5:$B$504,"Sick",'Time Off Log'!$E$5:$E$504,"Approved")&gt;0,"S",IF(COUNTIFS('Time Off Log'!$A$5:$A$504,$B21,'Time Off Log'!$C$5:$C$504,"&lt;="&amp;W$5,'Time Off Log'!$J$5:$J$504,"&gt;="&amp;W$5,'Time Off Log'!$E$5:$E$504,"Approved")&gt;0,"U",IF(COUNTIFS('Time Off Log'!$A$5:$A$504,$B21,'Time Off Log'!$C$5:$C$504,"&lt;="&amp;W$5,'Time Off Log'!$J$5:$J$504,"&gt;="&amp;W$5,'Time Off Log'!$E$5:$E$504,"Pending")&gt;0,"?",""))))))</f>
        <v/>
      </c>
      <c r="X21" s="44">
        <f>IF(OR(X$5="",$B21=""),"",IF(OR(WEEKDAY(X$5,2)&gt;5,COUNTIF(Holidays!$A$5:$A$40,X$5)&gt;0),"",IF(COUNTIFS('Time Off Log'!$A$5:$A$504,$B21,'Time Off Log'!$C$5:$C$504,"&lt;="&amp;X$5,'Time Off Log'!$J$5:$J$504,"&gt;="&amp;X$5,'Time Off Log'!$B$5:$B$504,"PTO",'Time Off Log'!$E$5:$E$504,"Approved")&gt;0,"P",IF(COUNTIFS('Time Off Log'!$A$5:$A$504,$B21,'Time Off Log'!$C$5:$C$504,"&lt;="&amp;X$5,'Time Off Log'!$J$5:$J$504,"&gt;="&amp;X$5,'Time Off Log'!$B$5:$B$504,"Sick",'Time Off Log'!$E$5:$E$504,"Approved")&gt;0,"S",IF(COUNTIFS('Time Off Log'!$A$5:$A$504,$B21,'Time Off Log'!$C$5:$C$504,"&lt;="&amp;X$5,'Time Off Log'!$J$5:$J$504,"&gt;="&amp;X$5,'Time Off Log'!$E$5:$E$504,"Approved")&gt;0,"U",IF(COUNTIFS('Time Off Log'!$A$5:$A$504,$B21,'Time Off Log'!$C$5:$C$504,"&lt;="&amp;X$5,'Time Off Log'!$J$5:$J$504,"&gt;="&amp;X$5,'Time Off Log'!$E$5:$E$504,"Pending")&gt;0,"?",""))))))</f>
        <v/>
      </c>
      <c r="Y21" s="44">
        <f>IF(OR(Y$5="",$B21=""),"",IF(OR(WEEKDAY(Y$5,2)&gt;5,COUNTIF(Holidays!$A$5:$A$40,Y$5)&gt;0),"",IF(COUNTIFS('Time Off Log'!$A$5:$A$504,$B21,'Time Off Log'!$C$5:$C$504,"&lt;="&amp;Y$5,'Time Off Log'!$J$5:$J$504,"&gt;="&amp;Y$5,'Time Off Log'!$B$5:$B$504,"PTO",'Time Off Log'!$E$5:$E$504,"Approved")&gt;0,"P",IF(COUNTIFS('Time Off Log'!$A$5:$A$504,$B21,'Time Off Log'!$C$5:$C$504,"&lt;="&amp;Y$5,'Time Off Log'!$J$5:$J$504,"&gt;="&amp;Y$5,'Time Off Log'!$B$5:$B$504,"Sick",'Time Off Log'!$E$5:$E$504,"Approved")&gt;0,"S",IF(COUNTIFS('Time Off Log'!$A$5:$A$504,$B21,'Time Off Log'!$C$5:$C$504,"&lt;="&amp;Y$5,'Time Off Log'!$J$5:$J$504,"&gt;="&amp;Y$5,'Time Off Log'!$E$5:$E$504,"Approved")&gt;0,"U",IF(COUNTIFS('Time Off Log'!$A$5:$A$504,$B21,'Time Off Log'!$C$5:$C$504,"&lt;="&amp;Y$5,'Time Off Log'!$J$5:$J$504,"&gt;="&amp;Y$5,'Time Off Log'!$E$5:$E$504,"Pending")&gt;0,"?",""))))))</f>
        <v/>
      </c>
      <c r="Z21" s="44">
        <f>IF(OR(Z$5="",$B21=""),"",IF(OR(WEEKDAY(Z$5,2)&gt;5,COUNTIF(Holidays!$A$5:$A$40,Z$5)&gt;0),"",IF(COUNTIFS('Time Off Log'!$A$5:$A$504,$B21,'Time Off Log'!$C$5:$C$504,"&lt;="&amp;Z$5,'Time Off Log'!$J$5:$J$504,"&gt;="&amp;Z$5,'Time Off Log'!$B$5:$B$504,"PTO",'Time Off Log'!$E$5:$E$504,"Approved")&gt;0,"P",IF(COUNTIFS('Time Off Log'!$A$5:$A$504,$B21,'Time Off Log'!$C$5:$C$504,"&lt;="&amp;Z$5,'Time Off Log'!$J$5:$J$504,"&gt;="&amp;Z$5,'Time Off Log'!$B$5:$B$504,"Sick",'Time Off Log'!$E$5:$E$504,"Approved")&gt;0,"S",IF(COUNTIFS('Time Off Log'!$A$5:$A$504,$B21,'Time Off Log'!$C$5:$C$504,"&lt;="&amp;Z$5,'Time Off Log'!$J$5:$J$504,"&gt;="&amp;Z$5,'Time Off Log'!$E$5:$E$504,"Approved")&gt;0,"U",IF(COUNTIFS('Time Off Log'!$A$5:$A$504,$B21,'Time Off Log'!$C$5:$C$504,"&lt;="&amp;Z$5,'Time Off Log'!$J$5:$J$504,"&gt;="&amp;Z$5,'Time Off Log'!$E$5:$E$504,"Pending")&gt;0,"?",""))))))</f>
        <v/>
      </c>
      <c r="AA21" s="44">
        <f>IF(OR(AA$5="",$B21=""),"",IF(OR(WEEKDAY(AA$5,2)&gt;5,COUNTIF(Holidays!$A$5:$A$40,AA$5)&gt;0),"",IF(COUNTIFS('Time Off Log'!$A$5:$A$504,$B21,'Time Off Log'!$C$5:$C$504,"&lt;="&amp;AA$5,'Time Off Log'!$J$5:$J$504,"&gt;="&amp;AA$5,'Time Off Log'!$B$5:$B$504,"PTO",'Time Off Log'!$E$5:$E$504,"Approved")&gt;0,"P",IF(COUNTIFS('Time Off Log'!$A$5:$A$504,$B21,'Time Off Log'!$C$5:$C$504,"&lt;="&amp;AA$5,'Time Off Log'!$J$5:$J$504,"&gt;="&amp;AA$5,'Time Off Log'!$B$5:$B$504,"Sick",'Time Off Log'!$E$5:$E$504,"Approved")&gt;0,"S",IF(COUNTIFS('Time Off Log'!$A$5:$A$504,$B21,'Time Off Log'!$C$5:$C$504,"&lt;="&amp;AA$5,'Time Off Log'!$J$5:$J$504,"&gt;="&amp;AA$5,'Time Off Log'!$E$5:$E$504,"Approved")&gt;0,"U",IF(COUNTIFS('Time Off Log'!$A$5:$A$504,$B21,'Time Off Log'!$C$5:$C$504,"&lt;="&amp;AA$5,'Time Off Log'!$J$5:$J$504,"&gt;="&amp;AA$5,'Time Off Log'!$E$5:$E$504,"Pending")&gt;0,"?",""))))))</f>
        <v/>
      </c>
      <c r="AB21" s="44">
        <f>IF(OR(AB$5="",$B21=""),"",IF(OR(WEEKDAY(AB$5,2)&gt;5,COUNTIF(Holidays!$A$5:$A$40,AB$5)&gt;0),"",IF(COUNTIFS('Time Off Log'!$A$5:$A$504,$B21,'Time Off Log'!$C$5:$C$504,"&lt;="&amp;AB$5,'Time Off Log'!$J$5:$J$504,"&gt;="&amp;AB$5,'Time Off Log'!$B$5:$B$504,"PTO",'Time Off Log'!$E$5:$E$504,"Approved")&gt;0,"P",IF(COUNTIFS('Time Off Log'!$A$5:$A$504,$B21,'Time Off Log'!$C$5:$C$504,"&lt;="&amp;AB$5,'Time Off Log'!$J$5:$J$504,"&gt;="&amp;AB$5,'Time Off Log'!$B$5:$B$504,"Sick",'Time Off Log'!$E$5:$E$504,"Approved")&gt;0,"S",IF(COUNTIFS('Time Off Log'!$A$5:$A$504,$B21,'Time Off Log'!$C$5:$C$504,"&lt;="&amp;AB$5,'Time Off Log'!$J$5:$J$504,"&gt;="&amp;AB$5,'Time Off Log'!$E$5:$E$504,"Approved")&gt;0,"U",IF(COUNTIFS('Time Off Log'!$A$5:$A$504,$B21,'Time Off Log'!$C$5:$C$504,"&lt;="&amp;AB$5,'Time Off Log'!$J$5:$J$504,"&gt;="&amp;AB$5,'Time Off Log'!$E$5:$E$504,"Pending")&gt;0,"?",""))))))</f>
        <v/>
      </c>
      <c r="AC21" s="44">
        <f>IF(OR(AC$5="",$B21=""),"",IF(OR(WEEKDAY(AC$5,2)&gt;5,COUNTIF(Holidays!$A$5:$A$40,AC$5)&gt;0),"",IF(COUNTIFS('Time Off Log'!$A$5:$A$504,$B21,'Time Off Log'!$C$5:$C$504,"&lt;="&amp;AC$5,'Time Off Log'!$J$5:$J$504,"&gt;="&amp;AC$5,'Time Off Log'!$B$5:$B$504,"PTO",'Time Off Log'!$E$5:$E$504,"Approved")&gt;0,"P",IF(COUNTIFS('Time Off Log'!$A$5:$A$504,$B21,'Time Off Log'!$C$5:$C$504,"&lt;="&amp;AC$5,'Time Off Log'!$J$5:$J$504,"&gt;="&amp;AC$5,'Time Off Log'!$B$5:$B$504,"Sick",'Time Off Log'!$E$5:$E$504,"Approved")&gt;0,"S",IF(COUNTIFS('Time Off Log'!$A$5:$A$504,$B21,'Time Off Log'!$C$5:$C$504,"&lt;="&amp;AC$5,'Time Off Log'!$J$5:$J$504,"&gt;="&amp;AC$5,'Time Off Log'!$E$5:$E$504,"Approved")&gt;0,"U",IF(COUNTIFS('Time Off Log'!$A$5:$A$504,$B21,'Time Off Log'!$C$5:$C$504,"&lt;="&amp;AC$5,'Time Off Log'!$J$5:$J$504,"&gt;="&amp;AC$5,'Time Off Log'!$E$5:$E$504,"Pending")&gt;0,"?",""))))))</f>
        <v/>
      </c>
      <c r="AD21" s="44">
        <f>IF(OR(AD$5="",$B21=""),"",IF(OR(WEEKDAY(AD$5,2)&gt;5,COUNTIF(Holidays!$A$5:$A$40,AD$5)&gt;0),"",IF(COUNTIFS('Time Off Log'!$A$5:$A$504,$B21,'Time Off Log'!$C$5:$C$504,"&lt;="&amp;AD$5,'Time Off Log'!$J$5:$J$504,"&gt;="&amp;AD$5,'Time Off Log'!$B$5:$B$504,"PTO",'Time Off Log'!$E$5:$E$504,"Approved")&gt;0,"P",IF(COUNTIFS('Time Off Log'!$A$5:$A$504,$B21,'Time Off Log'!$C$5:$C$504,"&lt;="&amp;AD$5,'Time Off Log'!$J$5:$J$504,"&gt;="&amp;AD$5,'Time Off Log'!$B$5:$B$504,"Sick",'Time Off Log'!$E$5:$E$504,"Approved")&gt;0,"S",IF(COUNTIFS('Time Off Log'!$A$5:$A$504,$B21,'Time Off Log'!$C$5:$C$504,"&lt;="&amp;AD$5,'Time Off Log'!$J$5:$J$504,"&gt;="&amp;AD$5,'Time Off Log'!$E$5:$E$504,"Approved")&gt;0,"U",IF(COUNTIFS('Time Off Log'!$A$5:$A$504,$B21,'Time Off Log'!$C$5:$C$504,"&lt;="&amp;AD$5,'Time Off Log'!$J$5:$J$504,"&gt;="&amp;AD$5,'Time Off Log'!$E$5:$E$504,"Pending")&gt;0,"?",""))))))</f>
        <v/>
      </c>
      <c r="AE21" s="44">
        <f>IF(OR(AE$5="",$B21=""),"",IF(OR(WEEKDAY(AE$5,2)&gt;5,COUNTIF(Holidays!$A$5:$A$40,AE$5)&gt;0),"",IF(COUNTIFS('Time Off Log'!$A$5:$A$504,$B21,'Time Off Log'!$C$5:$C$504,"&lt;="&amp;AE$5,'Time Off Log'!$J$5:$J$504,"&gt;="&amp;AE$5,'Time Off Log'!$B$5:$B$504,"PTO",'Time Off Log'!$E$5:$E$504,"Approved")&gt;0,"P",IF(COUNTIFS('Time Off Log'!$A$5:$A$504,$B21,'Time Off Log'!$C$5:$C$504,"&lt;="&amp;AE$5,'Time Off Log'!$J$5:$J$504,"&gt;="&amp;AE$5,'Time Off Log'!$B$5:$B$504,"Sick",'Time Off Log'!$E$5:$E$504,"Approved")&gt;0,"S",IF(COUNTIFS('Time Off Log'!$A$5:$A$504,$B21,'Time Off Log'!$C$5:$C$504,"&lt;="&amp;AE$5,'Time Off Log'!$J$5:$J$504,"&gt;="&amp;AE$5,'Time Off Log'!$E$5:$E$504,"Approved")&gt;0,"U",IF(COUNTIFS('Time Off Log'!$A$5:$A$504,$B21,'Time Off Log'!$C$5:$C$504,"&lt;="&amp;AE$5,'Time Off Log'!$J$5:$J$504,"&gt;="&amp;AE$5,'Time Off Log'!$E$5:$E$504,"Pending")&gt;0,"?",""))))))</f>
        <v/>
      </c>
      <c r="AF21" s="44">
        <f>IF(OR(AF$5="",$B21=""),"",IF(OR(WEEKDAY(AF$5,2)&gt;5,COUNTIF(Holidays!$A$5:$A$40,AF$5)&gt;0),"",IF(COUNTIFS('Time Off Log'!$A$5:$A$504,$B21,'Time Off Log'!$C$5:$C$504,"&lt;="&amp;AF$5,'Time Off Log'!$J$5:$J$504,"&gt;="&amp;AF$5,'Time Off Log'!$B$5:$B$504,"PTO",'Time Off Log'!$E$5:$E$504,"Approved")&gt;0,"P",IF(COUNTIFS('Time Off Log'!$A$5:$A$504,$B21,'Time Off Log'!$C$5:$C$504,"&lt;="&amp;AF$5,'Time Off Log'!$J$5:$J$504,"&gt;="&amp;AF$5,'Time Off Log'!$B$5:$B$504,"Sick",'Time Off Log'!$E$5:$E$504,"Approved")&gt;0,"S",IF(COUNTIFS('Time Off Log'!$A$5:$A$504,$B21,'Time Off Log'!$C$5:$C$504,"&lt;="&amp;AF$5,'Time Off Log'!$J$5:$J$504,"&gt;="&amp;AF$5,'Time Off Log'!$E$5:$E$504,"Approved")&gt;0,"U",IF(COUNTIFS('Time Off Log'!$A$5:$A$504,$B21,'Time Off Log'!$C$5:$C$504,"&lt;="&amp;AF$5,'Time Off Log'!$J$5:$J$504,"&gt;="&amp;AF$5,'Time Off Log'!$E$5:$E$504,"Pending")&gt;0,"?",""))))))</f>
        <v/>
      </c>
      <c r="AG21" s="44">
        <f>IF(OR(AG$5="",$B21=""),"",IF(OR(WEEKDAY(AG$5,2)&gt;5,COUNTIF(Holidays!$A$5:$A$40,AG$5)&gt;0),"",IF(COUNTIFS('Time Off Log'!$A$5:$A$504,$B21,'Time Off Log'!$C$5:$C$504,"&lt;="&amp;AG$5,'Time Off Log'!$J$5:$J$504,"&gt;="&amp;AG$5,'Time Off Log'!$B$5:$B$504,"PTO",'Time Off Log'!$E$5:$E$504,"Approved")&gt;0,"P",IF(COUNTIFS('Time Off Log'!$A$5:$A$504,$B21,'Time Off Log'!$C$5:$C$504,"&lt;="&amp;AG$5,'Time Off Log'!$J$5:$J$504,"&gt;="&amp;AG$5,'Time Off Log'!$B$5:$B$504,"Sick",'Time Off Log'!$E$5:$E$504,"Approved")&gt;0,"S",IF(COUNTIFS('Time Off Log'!$A$5:$A$504,$B21,'Time Off Log'!$C$5:$C$504,"&lt;="&amp;AG$5,'Time Off Log'!$J$5:$J$504,"&gt;="&amp;AG$5,'Time Off Log'!$E$5:$E$504,"Approved")&gt;0,"U",IF(COUNTIFS('Time Off Log'!$A$5:$A$504,$B21,'Time Off Log'!$C$5:$C$504,"&lt;="&amp;AG$5,'Time Off Log'!$J$5:$J$504,"&gt;="&amp;AG$5,'Time Off Log'!$E$5:$E$504,"Pending")&gt;0,"?",""))))))</f>
        <v/>
      </c>
    </row>
    <row r="22">
      <c r="A22" s="24" t="n">
        <v>17</v>
      </c>
      <c r="B22" s="24">
        <f>IF(Employees!B21="","",Employees!B21)</f>
        <v/>
      </c>
      <c r="C22" s="44">
        <f>IF(OR(C$5="",$B22=""),"",IF(OR(WEEKDAY(C$5,2)&gt;5,COUNTIF(Holidays!$A$5:$A$40,C$5)&gt;0),"",IF(COUNTIFS('Time Off Log'!$A$5:$A$504,$B22,'Time Off Log'!$C$5:$C$504,"&lt;="&amp;C$5,'Time Off Log'!$J$5:$J$504,"&gt;="&amp;C$5,'Time Off Log'!$B$5:$B$504,"PTO",'Time Off Log'!$E$5:$E$504,"Approved")&gt;0,"P",IF(COUNTIFS('Time Off Log'!$A$5:$A$504,$B22,'Time Off Log'!$C$5:$C$504,"&lt;="&amp;C$5,'Time Off Log'!$J$5:$J$504,"&gt;="&amp;C$5,'Time Off Log'!$B$5:$B$504,"Sick",'Time Off Log'!$E$5:$E$504,"Approved")&gt;0,"S",IF(COUNTIFS('Time Off Log'!$A$5:$A$504,$B22,'Time Off Log'!$C$5:$C$504,"&lt;="&amp;C$5,'Time Off Log'!$J$5:$J$504,"&gt;="&amp;C$5,'Time Off Log'!$E$5:$E$504,"Approved")&gt;0,"U",IF(COUNTIFS('Time Off Log'!$A$5:$A$504,$B22,'Time Off Log'!$C$5:$C$504,"&lt;="&amp;C$5,'Time Off Log'!$J$5:$J$504,"&gt;="&amp;C$5,'Time Off Log'!$E$5:$E$504,"Pending")&gt;0,"?",""))))))</f>
        <v/>
      </c>
      <c r="D22" s="44">
        <f>IF(OR(D$5="",$B22=""),"",IF(OR(WEEKDAY(D$5,2)&gt;5,COUNTIF(Holidays!$A$5:$A$40,D$5)&gt;0),"",IF(COUNTIFS('Time Off Log'!$A$5:$A$504,$B22,'Time Off Log'!$C$5:$C$504,"&lt;="&amp;D$5,'Time Off Log'!$J$5:$J$504,"&gt;="&amp;D$5,'Time Off Log'!$B$5:$B$504,"PTO",'Time Off Log'!$E$5:$E$504,"Approved")&gt;0,"P",IF(COUNTIFS('Time Off Log'!$A$5:$A$504,$B22,'Time Off Log'!$C$5:$C$504,"&lt;="&amp;D$5,'Time Off Log'!$J$5:$J$504,"&gt;="&amp;D$5,'Time Off Log'!$B$5:$B$504,"Sick",'Time Off Log'!$E$5:$E$504,"Approved")&gt;0,"S",IF(COUNTIFS('Time Off Log'!$A$5:$A$504,$B22,'Time Off Log'!$C$5:$C$504,"&lt;="&amp;D$5,'Time Off Log'!$J$5:$J$504,"&gt;="&amp;D$5,'Time Off Log'!$E$5:$E$504,"Approved")&gt;0,"U",IF(COUNTIFS('Time Off Log'!$A$5:$A$504,$B22,'Time Off Log'!$C$5:$C$504,"&lt;="&amp;D$5,'Time Off Log'!$J$5:$J$504,"&gt;="&amp;D$5,'Time Off Log'!$E$5:$E$504,"Pending")&gt;0,"?",""))))))</f>
        <v/>
      </c>
      <c r="E22" s="44">
        <f>IF(OR(E$5="",$B22=""),"",IF(OR(WEEKDAY(E$5,2)&gt;5,COUNTIF(Holidays!$A$5:$A$40,E$5)&gt;0),"",IF(COUNTIFS('Time Off Log'!$A$5:$A$504,$B22,'Time Off Log'!$C$5:$C$504,"&lt;="&amp;E$5,'Time Off Log'!$J$5:$J$504,"&gt;="&amp;E$5,'Time Off Log'!$B$5:$B$504,"PTO",'Time Off Log'!$E$5:$E$504,"Approved")&gt;0,"P",IF(COUNTIFS('Time Off Log'!$A$5:$A$504,$B22,'Time Off Log'!$C$5:$C$504,"&lt;="&amp;E$5,'Time Off Log'!$J$5:$J$504,"&gt;="&amp;E$5,'Time Off Log'!$B$5:$B$504,"Sick",'Time Off Log'!$E$5:$E$504,"Approved")&gt;0,"S",IF(COUNTIFS('Time Off Log'!$A$5:$A$504,$B22,'Time Off Log'!$C$5:$C$504,"&lt;="&amp;E$5,'Time Off Log'!$J$5:$J$504,"&gt;="&amp;E$5,'Time Off Log'!$E$5:$E$504,"Approved")&gt;0,"U",IF(COUNTIFS('Time Off Log'!$A$5:$A$504,$B22,'Time Off Log'!$C$5:$C$504,"&lt;="&amp;E$5,'Time Off Log'!$J$5:$J$504,"&gt;="&amp;E$5,'Time Off Log'!$E$5:$E$504,"Pending")&gt;0,"?",""))))))</f>
        <v/>
      </c>
      <c r="F22" s="44">
        <f>IF(OR(F$5="",$B22=""),"",IF(OR(WEEKDAY(F$5,2)&gt;5,COUNTIF(Holidays!$A$5:$A$40,F$5)&gt;0),"",IF(COUNTIFS('Time Off Log'!$A$5:$A$504,$B22,'Time Off Log'!$C$5:$C$504,"&lt;="&amp;F$5,'Time Off Log'!$J$5:$J$504,"&gt;="&amp;F$5,'Time Off Log'!$B$5:$B$504,"PTO",'Time Off Log'!$E$5:$E$504,"Approved")&gt;0,"P",IF(COUNTIFS('Time Off Log'!$A$5:$A$504,$B22,'Time Off Log'!$C$5:$C$504,"&lt;="&amp;F$5,'Time Off Log'!$J$5:$J$504,"&gt;="&amp;F$5,'Time Off Log'!$B$5:$B$504,"Sick",'Time Off Log'!$E$5:$E$504,"Approved")&gt;0,"S",IF(COUNTIFS('Time Off Log'!$A$5:$A$504,$B22,'Time Off Log'!$C$5:$C$504,"&lt;="&amp;F$5,'Time Off Log'!$J$5:$J$504,"&gt;="&amp;F$5,'Time Off Log'!$E$5:$E$504,"Approved")&gt;0,"U",IF(COUNTIFS('Time Off Log'!$A$5:$A$504,$B22,'Time Off Log'!$C$5:$C$504,"&lt;="&amp;F$5,'Time Off Log'!$J$5:$J$504,"&gt;="&amp;F$5,'Time Off Log'!$E$5:$E$504,"Pending")&gt;0,"?",""))))))</f>
        <v/>
      </c>
      <c r="G22" s="44">
        <f>IF(OR(G$5="",$B22=""),"",IF(OR(WEEKDAY(G$5,2)&gt;5,COUNTIF(Holidays!$A$5:$A$40,G$5)&gt;0),"",IF(COUNTIFS('Time Off Log'!$A$5:$A$504,$B22,'Time Off Log'!$C$5:$C$504,"&lt;="&amp;G$5,'Time Off Log'!$J$5:$J$504,"&gt;="&amp;G$5,'Time Off Log'!$B$5:$B$504,"PTO",'Time Off Log'!$E$5:$E$504,"Approved")&gt;0,"P",IF(COUNTIFS('Time Off Log'!$A$5:$A$504,$B22,'Time Off Log'!$C$5:$C$504,"&lt;="&amp;G$5,'Time Off Log'!$J$5:$J$504,"&gt;="&amp;G$5,'Time Off Log'!$B$5:$B$504,"Sick",'Time Off Log'!$E$5:$E$504,"Approved")&gt;0,"S",IF(COUNTIFS('Time Off Log'!$A$5:$A$504,$B22,'Time Off Log'!$C$5:$C$504,"&lt;="&amp;G$5,'Time Off Log'!$J$5:$J$504,"&gt;="&amp;G$5,'Time Off Log'!$E$5:$E$504,"Approved")&gt;0,"U",IF(COUNTIFS('Time Off Log'!$A$5:$A$504,$B22,'Time Off Log'!$C$5:$C$504,"&lt;="&amp;G$5,'Time Off Log'!$J$5:$J$504,"&gt;="&amp;G$5,'Time Off Log'!$E$5:$E$504,"Pending")&gt;0,"?",""))))))</f>
        <v/>
      </c>
      <c r="H22" s="44">
        <f>IF(OR(H$5="",$B22=""),"",IF(OR(WEEKDAY(H$5,2)&gt;5,COUNTIF(Holidays!$A$5:$A$40,H$5)&gt;0),"",IF(COUNTIFS('Time Off Log'!$A$5:$A$504,$B22,'Time Off Log'!$C$5:$C$504,"&lt;="&amp;H$5,'Time Off Log'!$J$5:$J$504,"&gt;="&amp;H$5,'Time Off Log'!$B$5:$B$504,"PTO",'Time Off Log'!$E$5:$E$504,"Approved")&gt;0,"P",IF(COUNTIFS('Time Off Log'!$A$5:$A$504,$B22,'Time Off Log'!$C$5:$C$504,"&lt;="&amp;H$5,'Time Off Log'!$J$5:$J$504,"&gt;="&amp;H$5,'Time Off Log'!$B$5:$B$504,"Sick",'Time Off Log'!$E$5:$E$504,"Approved")&gt;0,"S",IF(COUNTIFS('Time Off Log'!$A$5:$A$504,$B22,'Time Off Log'!$C$5:$C$504,"&lt;="&amp;H$5,'Time Off Log'!$J$5:$J$504,"&gt;="&amp;H$5,'Time Off Log'!$E$5:$E$504,"Approved")&gt;0,"U",IF(COUNTIFS('Time Off Log'!$A$5:$A$504,$B22,'Time Off Log'!$C$5:$C$504,"&lt;="&amp;H$5,'Time Off Log'!$J$5:$J$504,"&gt;="&amp;H$5,'Time Off Log'!$E$5:$E$504,"Pending")&gt;0,"?",""))))))</f>
        <v/>
      </c>
      <c r="I22" s="44">
        <f>IF(OR(I$5="",$B22=""),"",IF(OR(WEEKDAY(I$5,2)&gt;5,COUNTIF(Holidays!$A$5:$A$40,I$5)&gt;0),"",IF(COUNTIFS('Time Off Log'!$A$5:$A$504,$B22,'Time Off Log'!$C$5:$C$504,"&lt;="&amp;I$5,'Time Off Log'!$J$5:$J$504,"&gt;="&amp;I$5,'Time Off Log'!$B$5:$B$504,"PTO",'Time Off Log'!$E$5:$E$504,"Approved")&gt;0,"P",IF(COUNTIFS('Time Off Log'!$A$5:$A$504,$B22,'Time Off Log'!$C$5:$C$504,"&lt;="&amp;I$5,'Time Off Log'!$J$5:$J$504,"&gt;="&amp;I$5,'Time Off Log'!$B$5:$B$504,"Sick",'Time Off Log'!$E$5:$E$504,"Approved")&gt;0,"S",IF(COUNTIFS('Time Off Log'!$A$5:$A$504,$B22,'Time Off Log'!$C$5:$C$504,"&lt;="&amp;I$5,'Time Off Log'!$J$5:$J$504,"&gt;="&amp;I$5,'Time Off Log'!$E$5:$E$504,"Approved")&gt;0,"U",IF(COUNTIFS('Time Off Log'!$A$5:$A$504,$B22,'Time Off Log'!$C$5:$C$504,"&lt;="&amp;I$5,'Time Off Log'!$J$5:$J$504,"&gt;="&amp;I$5,'Time Off Log'!$E$5:$E$504,"Pending")&gt;0,"?",""))))))</f>
        <v/>
      </c>
      <c r="J22" s="44">
        <f>IF(OR(J$5="",$B22=""),"",IF(OR(WEEKDAY(J$5,2)&gt;5,COUNTIF(Holidays!$A$5:$A$40,J$5)&gt;0),"",IF(COUNTIFS('Time Off Log'!$A$5:$A$504,$B22,'Time Off Log'!$C$5:$C$504,"&lt;="&amp;J$5,'Time Off Log'!$J$5:$J$504,"&gt;="&amp;J$5,'Time Off Log'!$B$5:$B$504,"PTO",'Time Off Log'!$E$5:$E$504,"Approved")&gt;0,"P",IF(COUNTIFS('Time Off Log'!$A$5:$A$504,$B22,'Time Off Log'!$C$5:$C$504,"&lt;="&amp;J$5,'Time Off Log'!$J$5:$J$504,"&gt;="&amp;J$5,'Time Off Log'!$B$5:$B$504,"Sick",'Time Off Log'!$E$5:$E$504,"Approved")&gt;0,"S",IF(COUNTIFS('Time Off Log'!$A$5:$A$504,$B22,'Time Off Log'!$C$5:$C$504,"&lt;="&amp;J$5,'Time Off Log'!$J$5:$J$504,"&gt;="&amp;J$5,'Time Off Log'!$E$5:$E$504,"Approved")&gt;0,"U",IF(COUNTIFS('Time Off Log'!$A$5:$A$504,$B22,'Time Off Log'!$C$5:$C$504,"&lt;="&amp;J$5,'Time Off Log'!$J$5:$J$504,"&gt;="&amp;J$5,'Time Off Log'!$E$5:$E$504,"Pending")&gt;0,"?",""))))))</f>
        <v/>
      </c>
      <c r="K22" s="44">
        <f>IF(OR(K$5="",$B22=""),"",IF(OR(WEEKDAY(K$5,2)&gt;5,COUNTIF(Holidays!$A$5:$A$40,K$5)&gt;0),"",IF(COUNTIFS('Time Off Log'!$A$5:$A$504,$B22,'Time Off Log'!$C$5:$C$504,"&lt;="&amp;K$5,'Time Off Log'!$J$5:$J$504,"&gt;="&amp;K$5,'Time Off Log'!$B$5:$B$504,"PTO",'Time Off Log'!$E$5:$E$504,"Approved")&gt;0,"P",IF(COUNTIFS('Time Off Log'!$A$5:$A$504,$B22,'Time Off Log'!$C$5:$C$504,"&lt;="&amp;K$5,'Time Off Log'!$J$5:$J$504,"&gt;="&amp;K$5,'Time Off Log'!$B$5:$B$504,"Sick",'Time Off Log'!$E$5:$E$504,"Approved")&gt;0,"S",IF(COUNTIFS('Time Off Log'!$A$5:$A$504,$B22,'Time Off Log'!$C$5:$C$504,"&lt;="&amp;K$5,'Time Off Log'!$J$5:$J$504,"&gt;="&amp;K$5,'Time Off Log'!$E$5:$E$504,"Approved")&gt;0,"U",IF(COUNTIFS('Time Off Log'!$A$5:$A$504,$B22,'Time Off Log'!$C$5:$C$504,"&lt;="&amp;K$5,'Time Off Log'!$J$5:$J$504,"&gt;="&amp;K$5,'Time Off Log'!$E$5:$E$504,"Pending")&gt;0,"?",""))))))</f>
        <v/>
      </c>
      <c r="L22" s="44">
        <f>IF(OR(L$5="",$B22=""),"",IF(OR(WEEKDAY(L$5,2)&gt;5,COUNTIF(Holidays!$A$5:$A$40,L$5)&gt;0),"",IF(COUNTIFS('Time Off Log'!$A$5:$A$504,$B22,'Time Off Log'!$C$5:$C$504,"&lt;="&amp;L$5,'Time Off Log'!$J$5:$J$504,"&gt;="&amp;L$5,'Time Off Log'!$B$5:$B$504,"PTO",'Time Off Log'!$E$5:$E$504,"Approved")&gt;0,"P",IF(COUNTIFS('Time Off Log'!$A$5:$A$504,$B22,'Time Off Log'!$C$5:$C$504,"&lt;="&amp;L$5,'Time Off Log'!$J$5:$J$504,"&gt;="&amp;L$5,'Time Off Log'!$B$5:$B$504,"Sick",'Time Off Log'!$E$5:$E$504,"Approved")&gt;0,"S",IF(COUNTIFS('Time Off Log'!$A$5:$A$504,$B22,'Time Off Log'!$C$5:$C$504,"&lt;="&amp;L$5,'Time Off Log'!$J$5:$J$504,"&gt;="&amp;L$5,'Time Off Log'!$E$5:$E$504,"Approved")&gt;0,"U",IF(COUNTIFS('Time Off Log'!$A$5:$A$504,$B22,'Time Off Log'!$C$5:$C$504,"&lt;="&amp;L$5,'Time Off Log'!$J$5:$J$504,"&gt;="&amp;L$5,'Time Off Log'!$E$5:$E$504,"Pending")&gt;0,"?",""))))))</f>
        <v/>
      </c>
      <c r="M22" s="44">
        <f>IF(OR(M$5="",$B22=""),"",IF(OR(WEEKDAY(M$5,2)&gt;5,COUNTIF(Holidays!$A$5:$A$40,M$5)&gt;0),"",IF(COUNTIFS('Time Off Log'!$A$5:$A$504,$B22,'Time Off Log'!$C$5:$C$504,"&lt;="&amp;M$5,'Time Off Log'!$J$5:$J$504,"&gt;="&amp;M$5,'Time Off Log'!$B$5:$B$504,"PTO",'Time Off Log'!$E$5:$E$504,"Approved")&gt;0,"P",IF(COUNTIFS('Time Off Log'!$A$5:$A$504,$B22,'Time Off Log'!$C$5:$C$504,"&lt;="&amp;M$5,'Time Off Log'!$J$5:$J$504,"&gt;="&amp;M$5,'Time Off Log'!$B$5:$B$504,"Sick",'Time Off Log'!$E$5:$E$504,"Approved")&gt;0,"S",IF(COUNTIFS('Time Off Log'!$A$5:$A$504,$B22,'Time Off Log'!$C$5:$C$504,"&lt;="&amp;M$5,'Time Off Log'!$J$5:$J$504,"&gt;="&amp;M$5,'Time Off Log'!$E$5:$E$504,"Approved")&gt;0,"U",IF(COUNTIFS('Time Off Log'!$A$5:$A$504,$B22,'Time Off Log'!$C$5:$C$504,"&lt;="&amp;M$5,'Time Off Log'!$J$5:$J$504,"&gt;="&amp;M$5,'Time Off Log'!$E$5:$E$504,"Pending")&gt;0,"?",""))))))</f>
        <v/>
      </c>
      <c r="N22" s="44">
        <f>IF(OR(N$5="",$B22=""),"",IF(OR(WEEKDAY(N$5,2)&gt;5,COUNTIF(Holidays!$A$5:$A$40,N$5)&gt;0),"",IF(COUNTIFS('Time Off Log'!$A$5:$A$504,$B22,'Time Off Log'!$C$5:$C$504,"&lt;="&amp;N$5,'Time Off Log'!$J$5:$J$504,"&gt;="&amp;N$5,'Time Off Log'!$B$5:$B$504,"PTO",'Time Off Log'!$E$5:$E$504,"Approved")&gt;0,"P",IF(COUNTIFS('Time Off Log'!$A$5:$A$504,$B22,'Time Off Log'!$C$5:$C$504,"&lt;="&amp;N$5,'Time Off Log'!$J$5:$J$504,"&gt;="&amp;N$5,'Time Off Log'!$B$5:$B$504,"Sick",'Time Off Log'!$E$5:$E$504,"Approved")&gt;0,"S",IF(COUNTIFS('Time Off Log'!$A$5:$A$504,$B22,'Time Off Log'!$C$5:$C$504,"&lt;="&amp;N$5,'Time Off Log'!$J$5:$J$504,"&gt;="&amp;N$5,'Time Off Log'!$E$5:$E$504,"Approved")&gt;0,"U",IF(COUNTIFS('Time Off Log'!$A$5:$A$504,$B22,'Time Off Log'!$C$5:$C$504,"&lt;="&amp;N$5,'Time Off Log'!$J$5:$J$504,"&gt;="&amp;N$5,'Time Off Log'!$E$5:$E$504,"Pending")&gt;0,"?",""))))))</f>
        <v/>
      </c>
      <c r="O22" s="44">
        <f>IF(OR(O$5="",$B22=""),"",IF(OR(WEEKDAY(O$5,2)&gt;5,COUNTIF(Holidays!$A$5:$A$40,O$5)&gt;0),"",IF(COUNTIFS('Time Off Log'!$A$5:$A$504,$B22,'Time Off Log'!$C$5:$C$504,"&lt;="&amp;O$5,'Time Off Log'!$J$5:$J$504,"&gt;="&amp;O$5,'Time Off Log'!$B$5:$B$504,"PTO",'Time Off Log'!$E$5:$E$504,"Approved")&gt;0,"P",IF(COUNTIFS('Time Off Log'!$A$5:$A$504,$B22,'Time Off Log'!$C$5:$C$504,"&lt;="&amp;O$5,'Time Off Log'!$J$5:$J$504,"&gt;="&amp;O$5,'Time Off Log'!$B$5:$B$504,"Sick",'Time Off Log'!$E$5:$E$504,"Approved")&gt;0,"S",IF(COUNTIFS('Time Off Log'!$A$5:$A$504,$B22,'Time Off Log'!$C$5:$C$504,"&lt;="&amp;O$5,'Time Off Log'!$J$5:$J$504,"&gt;="&amp;O$5,'Time Off Log'!$E$5:$E$504,"Approved")&gt;0,"U",IF(COUNTIFS('Time Off Log'!$A$5:$A$504,$B22,'Time Off Log'!$C$5:$C$504,"&lt;="&amp;O$5,'Time Off Log'!$J$5:$J$504,"&gt;="&amp;O$5,'Time Off Log'!$E$5:$E$504,"Pending")&gt;0,"?",""))))))</f>
        <v/>
      </c>
      <c r="P22" s="44">
        <f>IF(OR(P$5="",$B22=""),"",IF(OR(WEEKDAY(P$5,2)&gt;5,COUNTIF(Holidays!$A$5:$A$40,P$5)&gt;0),"",IF(COUNTIFS('Time Off Log'!$A$5:$A$504,$B22,'Time Off Log'!$C$5:$C$504,"&lt;="&amp;P$5,'Time Off Log'!$J$5:$J$504,"&gt;="&amp;P$5,'Time Off Log'!$B$5:$B$504,"PTO",'Time Off Log'!$E$5:$E$504,"Approved")&gt;0,"P",IF(COUNTIFS('Time Off Log'!$A$5:$A$504,$B22,'Time Off Log'!$C$5:$C$504,"&lt;="&amp;P$5,'Time Off Log'!$J$5:$J$504,"&gt;="&amp;P$5,'Time Off Log'!$B$5:$B$504,"Sick",'Time Off Log'!$E$5:$E$504,"Approved")&gt;0,"S",IF(COUNTIFS('Time Off Log'!$A$5:$A$504,$B22,'Time Off Log'!$C$5:$C$504,"&lt;="&amp;P$5,'Time Off Log'!$J$5:$J$504,"&gt;="&amp;P$5,'Time Off Log'!$E$5:$E$504,"Approved")&gt;0,"U",IF(COUNTIFS('Time Off Log'!$A$5:$A$504,$B22,'Time Off Log'!$C$5:$C$504,"&lt;="&amp;P$5,'Time Off Log'!$J$5:$J$504,"&gt;="&amp;P$5,'Time Off Log'!$E$5:$E$504,"Pending")&gt;0,"?",""))))))</f>
        <v/>
      </c>
      <c r="Q22" s="44">
        <f>IF(OR(Q$5="",$B22=""),"",IF(OR(WEEKDAY(Q$5,2)&gt;5,COUNTIF(Holidays!$A$5:$A$40,Q$5)&gt;0),"",IF(COUNTIFS('Time Off Log'!$A$5:$A$504,$B22,'Time Off Log'!$C$5:$C$504,"&lt;="&amp;Q$5,'Time Off Log'!$J$5:$J$504,"&gt;="&amp;Q$5,'Time Off Log'!$B$5:$B$504,"PTO",'Time Off Log'!$E$5:$E$504,"Approved")&gt;0,"P",IF(COUNTIFS('Time Off Log'!$A$5:$A$504,$B22,'Time Off Log'!$C$5:$C$504,"&lt;="&amp;Q$5,'Time Off Log'!$J$5:$J$504,"&gt;="&amp;Q$5,'Time Off Log'!$B$5:$B$504,"Sick",'Time Off Log'!$E$5:$E$504,"Approved")&gt;0,"S",IF(COUNTIFS('Time Off Log'!$A$5:$A$504,$B22,'Time Off Log'!$C$5:$C$504,"&lt;="&amp;Q$5,'Time Off Log'!$J$5:$J$504,"&gt;="&amp;Q$5,'Time Off Log'!$E$5:$E$504,"Approved")&gt;0,"U",IF(COUNTIFS('Time Off Log'!$A$5:$A$504,$B22,'Time Off Log'!$C$5:$C$504,"&lt;="&amp;Q$5,'Time Off Log'!$J$5:$J$504,"&gt;="&amp;Q$5,'Time Off Log'!$E$5:$E$504,"Pending")&gt;0,"?",""))))))</f>
        <v/>
      </c>
      <c r="R22" s="44">
        <f>IF(OR(R$5="",$B22=""),"",IF(OR(WEEKDAY(R$5,2)&gt;5,COUNTIF(Holidays!$A$5:$A$40,R$5)&gt;0),"",IF(COUNTIFS('Time Off Log'!$A$5:$A$504,$B22,'Time Off Log'!$C$5:$C$504,"&lt;="&amp;R$5,'Time Off Log'!$J$5:$J$504,"&gt;="&amp;R$5,'Time Off Log'!$B$5:$B$504,"PTO",'Time Off Log'!$E$5:$E$504,"Approved")&gt;0,"P",IF(COUNTIFS('Time Off Log'!$A$5:$A$504,$B22,'Time Off Log'!$C$5:$C$504,"&lt;="&amp;R$5,'Time Off Log'!$J$5:$J$504,"&gt;="&amp;R$5,'Time Off Log'!$B$5:$B$504,"Sick",'Time Off Log'!$E$5:$E$504,"Approved")&gt;0,"S",IF(COUNTIFS('Time Off Log'!$A$5:$A$504,$B22,'Time Off Log'!$C$5:$C$504,"&lt;="&amp;R$5,'Time Off Log'!$J$5:$J$504,"&gt;="&amp;R$5,'Time Off Log'!$E$5:$E$504,"Approved")&gt;0,"U",IF(COUNTIFS('Time Off Log'!$A$5:$A$504,$B22,'Time Off Log'!$C$5:$C$504,"&lt;="&amp;R$5,'Time Off Log'!$J$5:$J$504,"&gt;="&amp;R$5,'Time Off Log'!$E$5:$E$504,"Pending")&gt;0,"?",""))))))</f>
        <v/>
      </c>
      <c r="S22" s="44">
        <f>IF(OR(S$5="",$B22=""),"",IF(OR(WEEKDAY(S$5,2)&gt;5,COUNTIF(Holidays!$A$5:$A$40,S$5)&gt;0),"",IF(COUNTIFS('Time Off Log'!$A$5:$A$504,$B22,'Time Off Log'!$C$5:$C$504,"&lt;="&amp;S$5,'Time Off Log'!$J$5:$J$504,"&gt;="&amp;S$5,'Time Off Log'!$B$5:$B$504,"PTO",'Time Off Log'!$E$5:$E$504,"Approved")&gt;0,"P",IF(COUNTIFS('Time Off Log'!$A$5:$A$504,$B22,'Time Off Log'!$C$5:$C$504,"&lt;="&amp;S$5,'Time Off Log'!$J$5:$J$504,"&gt;="&amp;S$5,'Time Off Log'!$B$5:$B$504,"Sick",'Time Off Log'!$E$5:$E$504,"Approved")&gt;0,"S",IF(COUNTIFS('Time Off Log'!$A$5:$A$504,$B22,'Time Off Log'!$C$5:$C$504,"&lt;="&amp;S$5,'Time Off Log'!$J$5:$J$504,"&gt;="&amp;S$5,'Time Off Log'!$E$5:$E$504,"Approved")&gt;0,"U",IF(COUNTIFS('Time Off Log'!$A$5:$A$504,$B22,'Time Off Log'!$C$5:$C$504,"&lt;="&amp;S$5,'Time Off Log'!$J$5:$J$504,"&gt;="&amp;S$5,'Time Off Log'!$E$5:$E$504,"Pending")&gt;0,"?",""))))))</f>
        <v/>
      </c>
      <c r="T22" s="44">
        <f>IF(OR(T$5="",$B22=""),"",IF(OR(WEEKDAY(T$5,2)&gt;5,COUNTIF(Holidays!$A$5:$A$40,T$5)&gt;0),"",IF(COUNTIFS('Time Off Log'!$A$5:$A$504,$B22,'Time Off Log'!$C$5:$C$504,"&lt;="&amp;T$5,'Time Off Log'!$J$5:$J$504,"&gt;="&amp;T$5,'Time Off Log'!$B$5:$B$504,"PTO",'Time Off Log'!$E$5:$E$504,"Approved")&gt;0,"P",IF(COUNTIFS('Time Off Log'!$A$5:$A$504,$B22,'Time Off Log'!$C$5:$C$504,"&lt;="&amp;T$5,'Time Off Log'!$J$5:$J$504,"&gt;="&amp;T$5,'Time Off Log'!$B$5:$B$504,"Sick",'Time Off Log'!$E$5:$E$504,"Approved")&gt;0,"S",IF(COUNTIFS('Time Off Log'!$A$5:$A$504,$B22,'Time Off Log'!$C$5:$C$504,"&lt;="&amp;T$5,'Time Off Log'!$J$5:$J$504,"&gt;="&amp;T$5,'Time Off Log'!$E$5:$E$504,"Approved")&gt;0,"U",IF(COUNTIFS('Time Off Log'!$A$5:$A$504,$B22,'Time Off Log'!$C$5:$C$504,"&lt;="&amp;T$5,'Time Off Log'!$J$5:$J$504,"&gt;="&amp;T$5,'Time Off Log'!$E$5:$E$504,"Pending")&gt;0,"?",""))))))</f>
        <v/>
      </c>
      <c r="U22" s="44">
        <f>IF(OR(U$5="",$B22=""),"",IF(OR(WEEKDAY(U$5,2)&gt;5,COUNTIF(Holidays!$A$5:$A$40,U$5)&gt;0),"",IF(COUNTIFS('Time Off Log'!$A$5:$A$504,$B22,'Time Off Log'!$C$5:$C$504,"&lt;="&amp;U$5,'Time Off Log'!$J$5:$J$504,"&gt;="&amp;U$5,'Time Off Log'!$B$5:$B$504,"PTO",'Time Off Log'!$E$5:$E$504,"Approved")&gt;0,"P",IF(COUNTIFS('Time Off Log'!$A$5:$A$504,$B22,'Time Off Log'!$C$5:$C$504,"&lt;="&amp;U$5,'Time Off Log'!$J$5:$J$504,"&gt;="&amp;U$5,'Time Off Log'!$B$5:$B$504,"Sick",'Time Off Log'!$E$5:$E$504,"Approved")&gt;0,"S",IF(COUNTIFS('Time Off Log'!$A$5:$A$504,$B22,'Time Off Log'!$C$5:$C$504,"&lt;="&amp;U$5,'Time Off Log'!$J$5:$J$504,"&gt;="&amp;U$5,'Time Off Log'!$E$5:$E$504,"Approved")&gt;0,"U",IF(COUNTIFS('Time Off Log'!$A$5:$A$504,$B22,'Time Off Log'!$C$5:$C$504,"&lt;="&amp;U$5,'Time Off Log'!$J$5:$J$504,"&gt;="&amp;U$5,'Time Off Log'!$E$5:$E$504,"Pending")&gt;0,"?",""))))))</f>
        <v/>
      </c>
      <c r="V22" s="44">
        <f>IF(OR(V$5="",$B22=""),"",IF(OR(WEEKDAY(V$5,2)&gt;5,COUNTIF(Holidays!$A$5:$A$40,V$5)&gt;0),"",IF(COUNTIFS('Time Off Log'!$A$5:$A$504,$B22,'Time Off Log'!$C$5:$C$504,"&lt;="&amp;V$5,'Time Off Log'!$J$5:$J$504,"&gt;="&amp;V$5,'Time Off Log'!$B$5:$B$504,"PTO",'Time Off Log'!$E$5:$E$504,"Approved")&gt;0,"P",IF(COUNTIFS('Time Off Log'!$A$5:$A$504,$B22,'Time Off Log'!$C$5:$C$504,"&lt;="&amp;V$5,'Time Off Log'!$J$5:$J$504,"&gt;="&amp;V$5,'Time Off Log'!$B$5:$B$504,"Sick",'Time Off Log'!$E$5:$E$504,"Approved")&gt;0,"S",IF(COUNTIFS('Time Off Log'!$A$5:$A$504,$B22,'Time Off Log'!$C$5:$C$504,"&lt;="&amp;V$5,'Time Off Log'!$J$5:$J$504,"&gt;="&amp;V$5,'Time Off Log'!$E$5:$E$504,"Approved")&gt;0,"U",IF(COUNTIFS('Time Off Log'!$A$5:$A$504,$B22,'Time Off Log'!$C$5:$C$504,"&lt;="&amp;V$5,'Time Off Log'!$J$5:$J$504,"&gt;="&amp;V$5,'Time Off Log'!$E$5:$E$504,"Pending")&gt;0,"?",""))))))</f>
        <v/>
      </c>
      <c r="W22" s="44">
        <f>IF(OR(W$5="",$B22=""),"",IF(OR(WEEKDAY(W$5,2)&gt;5,COUNTIF(Holidays!$A$5:$A$40,W$5)&gt;0),"",IF(COUNTIFS('Time Off Log'!$A$5:$A$504,$B22,'Time Off Log'!$C$5:$C$504,"&lt;="&amp;W$5,'Time Off Log'!$J$5:$J$504,"&gt;="&amp;W$5,'Time Off Log'!$B$5:$B$504,"PTO",'Time Off Log'!$E$5:$E$504,"Approved")&gt;0,"P",IF(COUNTIFS('Time Off Log'!$A$5:$A$504,$B22,'Time Off Log'!$C$5:$C$504,"&lt;="&amp;W$5,'Time Off Log'!$J$5:$J$504,"&gt;="&amp;W$5,'Time Off Log'!$B$5:$B$504,"Sick",'Time Off Log'!$E$5:$E$504,"Approved")&gt;0,"S",IF(COUNTIFS('Time Off Log'!$A$5:$A$504,$B22,'Time Off Log'!$C$5:$C$504,"&lt;="&amp;W$5,'Time Off Log'!$J$5:$J$504,"&gt;="&amp;W$5,'Time Off Log'!$E$5:$E$504,"Approved")&gt;0,"U",IF(COUNTIFS('Time Off Log'!$A$5:$A$504,$B22,'Time Off Log'!$C$5:$C$504,"&lt;="&amp;W$5,'Time Off Log'!$J$5:$J$504,"&gt;="&amp;W$5,'Time Off Log'!$E$5:$E$504,"Pending")&gt;0,"?",""))))))</f>
        <v/>
      </c>
      <c r="X22" s="44">
        <f>IF(OR(X$5="",$B22=""),"",IF(OR(WEEKDAY(X$5,2)&gt;5,COUNTIF(Holidays!$A$5:$A$40,X$5)&gt;0),"",IF(COUNTIFS('Time Off Log'!$A$5:$A$504,$B22,'Time Off Log'!$C$5:$C$504,"&lt;="&amp;X$5,'Time Off Log'!$J$5:$J$504,"&gt;="&amp;X$5,'Time Off Log'!$B$5:$B$504,"PTO",'Time Off Log'!$E$5:$E$504,"Approved")&gt;0,"P",IF(COUNTIFS('Time Off Log'!$A$5:$A$504,$B22,'Time Off Log'!$C$5:$C$504,"&lt;="&amp;X$5,'Time Off Log'!$J$5:$J$504,"&gt;="&amp;X$5,'Time Off Log'!$B$5:$B$504,"Sick",'Time Off Log'!$E$5:$E$504,"Approved")&gt;0,"S",IF(COUNTIFS('Time Off Log'!$A$5:$A$504,$B22,'Time Off Log'!$C$5:$C$504,"&lt;="&amp;X$5,'Time Off Log'!$J$5:$J$504,"&gt;="&amp;X$5,'Time Off Log'!$E$5:$E$504,"Approved")&gt;0,"U",IF(COUNTIFS('Time Off Log'!$A$5:$A$504,$B22,'Time Off Log'!$C$5:$C$504,"&lt;="&amp;X$5,'Time Off Log'!$J$5:$J$504,"&gt;="&amp;X$5,'Time Off Log'!$E$5:$E$504,"Pending")&gt;0,"?",""))))))</f>
        <v/>
      </c>
      <c r="Y22" s="44">
        <f>IF(OR(Y$5="",$B22=""),"",IF(OR(WEEKDAY(Y$5,2)&gt;5,COUNTIF(Holidays!$A$5:$A$40,Y$5)&gt;0),"",IF(COUNTIFS('Time Off Log'!$A$5:$A$504,$B22,'Time Off Log'!$C$5:$C$504,"&lt;="&amp;Y$5,'Time Off Log'!$J$5:$J$504,"&gt;="&amp;Y$5,'Time Off Log'!$B$5:$B$504,"PTO",'Time Off Log'!$E$5:$E$504,"Approved")&gt;0,"P",IF(COUNTIFS('Time Off Log'!$A$5:$A$504,$B22,'Time Off Log'!$C$5:$C$504,"&lt;="&amp;Y$5,'Time Off Log'!$J$5:$J$504,"&gt;="&amp;Y$5,'Time Off Log'!$B$5:$B$504,"Sick",'Time Off Log'!$E$5:$E$504,"Approved")&gt;0,"S",IF(COUNTIFS('Time Off Log'!$A$5:$A$504,$B22,'Time Off Log'!$C$5:$C$504,"&lt;="&amp;Y$5,'Time Off Log'!$J$5:$J$504,"&gt;="&amp;Y$5,'Time Off Log'!$E$5:$E$504,"Approved")&gt;0,"U",IF(COUNTIFS('Time Off Log'!$A$5:$A$504,$B22,'Time Off Log'!$C$5:$C$504,"&lt;="&amp;Y$5,'Time Off Log'!$J$5:$J$504,"&gt;="&amp;Y$5,'Time Off Log'!$E$5:$E$504,"Pending")&gt;0,"?",""))))))</f>
        <v/>
      </c>
      <c r="Z22" s="44">
        <f>IF(OR(Z$5="",$B22=""),"",IF(OR(WEEKDAY(Z$5,2)&gt;5,COUNTIF(Holidays!$A$5:$A$40,Z$5)&gt;0),"",IF(COUNTIFS('Time Off Log'!$A$5:$A$504,$B22,'Time Off Log'!$C$5:$C$504,"&lt;="&amp;Z$5,'Time Off Log'!$J$5:$J$504,"&gt;="&amp;Z$5,'Time Off Log'!$B$5:$B$504,"PTO",'Time Off Log'!$E$5:$E$504,"Approved")&gt;0,"P",IF(COUNTIFS('Time Off Log'!$A$5:$A$504,$B22,'Time Off Log'!$C$5:$C$504,"&lt;="&amp;Z$5,'Time Off Log'!$J$5:$J$504,"&gt;="&amp;Z$5,'Time Off Log'!$B$5:$B$504,"Sick",'Time Off Log'!$E$5:$E$504,"Approved")&gt;0,"S",IF(COUNTIFS('Time Off Log'!$A$5:$A$504,$B22,'Time Off Log'!$C$5:$C$504,"&lt;="&amp;Z$5,'Time Off Log'!$J$5:$J$504,"&gt;="&amp;Z$5,'Time Off Log'!$E$5:$E$504,"Approved")&gt;0,"U",IF(COUNTIFS('Time Off Log'!$A$5:$A$504,$B22,'Time Off Log'!$C$5:$C$504,"&lt;="&amp;Z$5,'Time Off Log'!$J$5:$J$504,"&gt;="&amp;Z$5,'Time Off Log'!$E$5:$E$504,"Pending")&gt;0,"?",""))))))</f>
        <v/>
      </c>
      <c r="AA22" s="44">
        <f>IF(OR(AA$5="",$B22=""),"",IF(OR(WEEKDAY(AA$5,2)&gt;5,COUNTIF(Holidays!$A$5:$A$40,AA$5)&gt;0),"",IF(COUNTIFS('Time Off Log'!$A$5:$A$504,$B22,'Time Off Log'!$C$5:$C$504,"&lt;="&amp;AA$5,'Time Off Log'!$J$5:$J$504,"&gt;="&amp;AA$5,'Time Off Log'!$B$5:$B$504,"PTO",'Time Off Log'!$E$5:$E$504,"Approved")&gt;0,"P",IF(COUNTIFS('Time Off Log'!$A$5:$A$504,$B22,'Time Off Log'!$C$5:$C$504,"&lt;="&amp;AA$5,'Time Off Log'!$J$5:$J$504,"&gt;="&amp;AA$5,'Time Off Log'!$B$5:$B$504,"Sick",'Time Off Log'!$E$5:$E$504,"Approved")&gt;0,"S",IF(COUNTIFS('Time Off Log'!$A$5:$A$504,$B22,'Time Off Log'!$C$5:$C$504,"&lt;="&amp;AA$5,'Time Off Log'!$J$5:$J$504,"&gt;="&amp;AA$5,'Time Off Log'!$E$5:$E$504,"Approved")&gt;0,"U",IF(COUNTIFS('Time Off Log'!$A$5:$A$504,$B22,'Time Off Log'!$C$5:$C$504,"&lt;="&amp;AA$5,'Time Off Log'!$J$5:$J$504,"&gt;="&amp;AA$5,'Time Off Log'!$E$5:$E$504,"Pending")&gt;0,"?",""))))))</f>
        <v/>
      </c>
      <c r="AB22" s="44">
        <f>IF(OR(AB$5="",$B22=""),"",IF(OR(WEEKDAY(AB$5,2)&gt;5,COUNTIF(Holidays!$A$5:$A$40,AB$5)&gt;0),"",IF(COUNTIFS('Time Off Log'!$A$5:$A$504,$B22,'Time Off Log'!$C$5:$C$504,"&lt;="&amp;AB$5,'Time Off Log'!$J$5:$J$504,"&gt;="&amp;AB$5,'Time Off Log'!$B$5:$B$504,"PTO",'Time Off Log'!$E$5:$E$504,"Approved")&gt;0,"P",IF(COUNTIFS('Time Off Log'!$A$5:$A$504,$B22,'Time Off Log'!$C$5:$C$504,"&lt;="&amp;AB$5,'Time Off Log'!$J$5:$J$504,"&gt;="&amp;AB$5,'Time Off Log'!$B$5:$B$504,"Sick",'Time Off Log'!$E$5:$E$504,"Approved")&gt;0,"S",IF(COUNTIFS('Time Off Log'!$A$5:$A$504,$B22,'Time Off Log'!$C$5:$C$504,"&lt;="&amp;AB$5,'Time Off Log'!$J$5:$J$504,"&gt;="&amp;AB$5,'Time Off Log'!$E$5:$E$504,"Approved")&gt;0,"U",IF(COUNTIFS('Time Off Log'!$A$5:$A$504,$B22,'Time Off Log'!$C$5:$C$504,"&lt;="&amp;AB$5,'Time Off Log'!$J$5:$J$504,"&gt;="&amp;AB$5,'Time Off Log'!$E$5:$E$504,"Pending")&gt;0,"?",""))))))</f>
        <v/>
      </c>
      <c r="AC22" s="44">
        <f>IF(OR(AC$5="",$B22=""),"",IF(OR(WEEKDAY(AC$5,2)&gt;5,COUNTIF(Holidays!$A$5:$A$40,AC$5)&gt;0),"",IF(COUNTIFS('Time Off Log'!$A$5:$A$504,$B22,'Time Off Log'!$C$5:$C$504,"&lt;="&amp;AC$5,'Time Off Log'!$J$5:$J$504,"&gt;="&amp;AC$5,'Time Off Log'!$B$5:$B$504,"PTO",'Time Off Log'!$E$5:$E$504,"Approved")&gt;0,"P",IF(COUNTIFS('Time Off Log'!$A$5:$A$504,$B22,'Time Off Log'!$C$5:$C$504,"&lt;="&amp;AC$5,'Time Off Log'!$J$5:$J$504,"&gt;="&amp;AC$5,'Time Off Log'!$B$5:$B$504,"Sick",'Time Off Log'!$E$5:$E$504,"Approved")&gt;0,"S",IF(COUNTIFS('Time Off Log'!$A$5:$A$504,$B22,'Time Off Log'!$C$5:$C$504,"&lt;="&amp;AC$5,'Time Off Log'!$J$5:$J$504,"&gt;="&amp;AC$5,'Time Off Log'!$E$5:$E$504,"Approved")&gt;0,"U",IF(COUNTIFS('Time Off Log'!$A$5:$A$504,$B22,'Time Off Log'!$C$5:$C$504,"&lt;="&amp;AC$5,'Time Off Log'!$J$5:$J$504,"&gt;="&amp;AC$5,'Time Off Log'!$E$5:$E$504,"Pending")&gt;0,"?",""))))))</f>
        <v/>
      </c>
      <c r="AD22" s="44">
        <f>IF(OR(AD$5="",$B22=""),"",IF(OR(WEEKDAY(AD$5,2)&gt;5,COUNTIF(Holidays!$A$5:$A$40,AD$5)&gt;0),"",IF(COUNTIFS('Time Off Log'!$A$5:$A$504,$B22,'Time Off Log'!$C$5:$C$504,"&lt;="&amp;AD$5,'Time Off Log'!$J$5:$J$504,"&gt;="&amp;AD$5,'Time Off Log'!$B$5:$B$504,"PTO",'Time Off Log'!$E$5:$E$504,"Approved")&gt;0,"P",IF(COUNTIFS('Time Off Log'!$A$5:$A$504,$B22,'Time Off Log'!$C$5:$C$504,"&lt;="&amp;AD$5,'Time Off Log'!$J$5:$J$504,"&gt;="&amp;AD$5,'Time Off Log'!$B$5:$B$504,"Sick",'Time Off Log'!$E$5:$E$504,"Approved")&gt;0,"S",IF(COUNTIFS('Time Off Log'!$A$5:$A$504,$B22,'Time Off Log'!$C$5:$C$504,"&lt;="&amp;AD$5,'Time Off Log'!$J$5:$J$504,"&gt;="&amp;AD$5,'Time Off Log'!$E$5:$E$504,"Approved")&gt;0,"U",IF(COUNTIFS('Time Off Log'!$A$5:$A$504,$B22,'Time Off Log'!$C$5:$C$504,"&lt;="&amp;AD$5,'Time Off Log'!$J$5:$J$504,"&gt;="&amp;AD$5,'Time Off Log'!$E$5:$E$504,"Pending")&gt;0,"?",""))))))</f>
        <v/>
      </c>
      <c r="AE22" s="44">
        <f>IF(OR(AE$5="",$B22=""),"",IF(OR(WEEKDAY(AE$5,2)&gt;5,COUNTIF(Holidays!$A$5:$A$40,AE$5)&gt;0),"",IF(COUNTIFS('Time Off Log'!$A$5:$A$504,$B22,'Time Off Log'!$C$5:$C$504,"&lt;="&amp;AE$5,'Time Off Log'!$J$5:$J$504,"&gt;="&amp;AE$5,'Time Off Log'!$B$5:$B$504,"PTO",'Time Off Log'!$E$5:$E$504,"Approved")&gt;0,"P",IF(COUNTIFS('Time Off Log'!$A$5:$A$504,$B22,'Time Off Log'!$C$5:$C$504,"&lt;="&amp;AE$5,'Time Off Log'!$J$5:$J$504,"&gt;="&amp;AE$5,'Time Off Log'!$B$5:$B$504,"Sick",'Time Off Log'!$E$5:$E$504,"Approved")&gt;0,"S",IF(COUNTIFS('Time Off Log'!$A$5:$A$504,$B22,'Time Off Log'!$C$5:$C$504,"&lt;="&amp;AE$5,'Time Off Log'!$J$5:$J$504,"&gt;="&amp;AE$5,'Time Off Log'!$E$5:$E$504,"Approved")&gt;0,"U",IF(COUNTIFS('Time Off Log'!$A$5:$A$504,$B22,'Time Off Log'!$C$5:$C$504,"&lt;="&amp;AE$5,'Time Off Log'!$J$5:$J$504,"&gt;="&amp;AE$5,'Time Off Log'!$E$5:$E$504,"Pending")&gt;0,"?",""))))))</f>
        <v/>
      </c>
      <c r="AF22" s="44">
        <f>IF(OR(AF$5="",$B22=""),"",IF(OR(WEEKDAY(AF$5,2)&gt;5,COUNTIF(Holidays!$A$5:$A$40,AF$5)&gt;0),"",IF(COUNTIFS('Time Off Log'!$A$5:$A$504,$B22,'Time Off Log'!$C$5:$C$504,"&lt;="&amp;AF$5,'Time Off Log'!$J$5:$J$504,"&gt;="&amp;AF$5,'Time Off Log'!$B$5:$B$504,"PTO",'Time Off Log'!$E$5:$E$504,"Approved")&gt;0,"P",IF(COUNTIFS('Time Off Log'!$A$5:$A$504,$B22,'Time Off Log'!$C$5:$C$504,"&lt;="&amp;AF$5,'Time Off Log'!$J$5:$J$504,"&gt;="&amp;AF$5,'Time Off Log'!$B$5:$B$504,"Sick",'Time Off Log'!$E$5:$E$504,"Approved")&gt;0,"S",IF(COUNTIFS('Time Off Log'!$A$5:$A$504,$B22,'Time Off Log'!$C$5:$C$504,"&lt;="&amp;AF$5,'Time Off Log'!$J$5:$J$504,"&gt;="&amp;AF$5,'Time Off Log'!$E$5:$E$504,"Approved")&gt;0,"U",IF(COUNTIFS('Time Off Log'!$A$5:$A$504,$B22,'Time Off Log'!$C$5:$C$504,"&lt;="&amp;AF$5,'Time Off Log'!$J$5:$J$504,"&gt;="&amp;AF$5,'Time Off Log'!$E$5:$E$504,"Pending")&gt;0,"?",""))))))</f>
        <v/>
      </c>
      <c r="AG22" s="44">
        <f>IF(OR(AG$5="",$B22=""),"",IF(OR(WEEKDAY(AG$5,2)&gt;5,COUNTIF(Holidays!$A$5:$A$40,AG$5)&gt;0),"",IF(COUNTIFS('Time Off Log'!$A$5:$A$504,$B22,'Time Off Log'!$C$5:$C$504,"&lt;="&amp;AG$5,'Time Off Log'!$J$5:$J$504,"&gt;="&amp;AG$5,'Time Off Log'!$B$5:$B$504,"PTO",'Time Off Log'!$E$5:$E$504,"Approved")&gt;0,"P",IF(COUNTIFS('Time Off Log'!$A$5:$A$504,$B22,'Time Off Log'!$C$5:$C$504,"&lt;="&amp;AG$5,'Time Off Log'!$J$5:$J$504,"&gt;="&amp;AG$5,'Time Off Log'!$B$5:$B$504,"Sick",'Time Off Log'!$E$5:$E$504,"Approved")&gt;0,"S",IF(COUNTIFS('Time Off Log'!$A$5:$A$504,$B22,'Time Off Log'!$C$5:$C$504,"&lt;="&amp;AG$5,'Time Off Log'!$J$5:$J$504,"&gt;="&amp;AG$5,'Time Off Log'!$E$5:$E$504,"Approved")&gt;0,"U",IF(COUNTIFS('Time Off Log'!$A$5:$A$504,$B22,'Time Off Log'!$C$5:$C$504,"&lt;="&amp;AG$5,'Time Off Log'!$J$5:$J$504,"&gt;="&amp;AG$5,'Time Off Log'!$E$5:$E$504,"Pending")&gt;0,"?",""))))))</f>
        <v/>
      </c>
    </row>
    <row r="23">
      <c r="A23" s="24" t="n">
        <v>18</v>
      </c>
      <c r="B23" s="24">
        <f>IF(Employees!B22="","",Employees!B22)</f>
        <v/>
      </c>
      <c r="C23" s="44">
        <f>IF(OR(C$5="",$B23=""),"",IF(OR(WEEKDAY(C$5,2)&gt;5,COUNTIF(Holidays!$A$5:$A$40,C$5)&gt;0),"",IF(COUNTIFS('Time Off Log'!$A$5:$A$504,$B23,'Time Off Log'!$C$5:$C$504,"&lt;="&amp;C$5,'Time Off Log'!$J$5:$J$504,"&gt;="&amp;C$5,'Time Off Log'!$B$5:$B$504,"PTO",'Time Off Log'!$E$5:$E$504,"Approved")&gt;0,"P",IF(COUNTIFS('Time Off Log'!$A$5:$A$504,$B23,'Time Off Log'!$C$5:$C$504,"&lt;="&amp;C$5,'Time Off Log'!$J$5:$J$504,"&gt;="&amp;C$5,'Time Off Log'!$B$5:$B$504,"Sick",'Time Off Log'!$E$5:$E$504,"Approved")&gt;0,"S",IF(COUNTIFS('Time Off Log'!$A$5:$A$504,$B23,'Time Off Log'!$C$5:$C$504,"&lt;="&amp;C$5,'Time Off Log'!$J$5:$J$504,"&gt;="&amp;C$5,'Time Off Log'!$E$5:$E$504,"Approved")&gt;0,"U",IF(COUNTIFS('Time Off Log'!$A$5:$A$504,$B23,'Time Off Log'!$C$5:$C$504,"&lt;="&amp;C$5,'Time Off Log'!$J$5:$J$504,"&gt;="&amp;C$5,'Time Off Log'!$E$5:$E$504,"Pending")&gt;0,"?",""))))))</f>
        <v/>
      </c>
      <c r="D23" s="44">
        <f>IF(OR(D$5="",$B23=""),"",IF(OR(WEEKDAY(D$5,2)&gt;5,COUNTIF(Holidays!$A$5:$A$40,D$5)&gt;0),"",IF(COUNTIFS('Time Off Log'!$A$5:$A$504,$B23,'Time Off Log'!$C$5:$C$504,"&lt;="&amp;D$5,'Time Off Log'!$J$5:$J$504,"&gt;="&amp;D$5,'Time Off Log'!$B$5:$B$504,"PTO",'Time Off Log'!$E$5:$E$504,"Approved")&gt;0,"P",IF(COUNTIFS('Time Off Log'!$A$5:$A$504,$B23,'Time Off Log'!$C$5:$C$504,"&lt;="&amp;D$5,'Time Off Log'!$J$5:$J$504,"&gt;="&amp;D$5,'Time Off Log'!$B$5:$B$504,"Sick",'Time Off Log'!$E$5:$E$504,"Approved")&gt;0,"S",IF(COUNTIFS('Time Off Log'!$A$5:$A$504,$B23,'Time Off Log'!$C$5:$C$504,"&lt;="&amp;D$5,'Time Off Log'!$J$5:$J$504,"&gt;="&amp;D$5,'Time Off Log'!$E$5:$E$504,"Approved")&gt;0,"U",IF(COUNTIFS('Time Off Log'!$A$5:$A$504,$B23,'Time Off Log'!$C$5:$C$504,"&lt;="&amp;D$5,'Time Off Log'!$J$5:$J$504,"&gt;="&amp;D$5,'Time Off Log'!$E$5:$E$504,"Pending")&gt;0,"?",""))))))</f>
        <v/>
      </c>
      <c r="E23" s="44">
        <f>IF(OR(E$5="",$B23=""),"",IF(OR(WEEKDAY(E$5,2)&gt;5,COUNTIF(Holidays!$A$5:$A$40,E$5)&gt;0),"",IF(COUNTIFS('Time Off Log'!$A$5:$A$504,$B23,'Time Off Log'!$C$5:$C$504,"&lt;="&amp;E$5,'Time Off Log'!$J$5:$J$504,"&gt;="&amp;E$5,'Time Off Log'!$B$5:$B$504,"PTO",'Time Off Log'!$E$5:$E$504,"Approved")&gt;0,"P",IF(COUNTIFS('Time Off Log'!$A$5:$A$504,$B23,'Time Off Log'!$C$5:$C$504,"&lt;="&amp;E$5,'Time Off Log'!$J$5:$J$504,"&gt;="&amp;E$5,'Time Off Log'!$B$5:$B$504,"Sick",'Time Off Log'!$E$5:$E$504,"Approved")&gt;0,"S",IF(COUNTIFS('Time Off Log'!$A$5:$A$504,$B23,'Time Off Log'!$C$5:$C$504,"&lt;="&amp;E$5,'Time Off Log'!$J$5:$J$504,"&gt;="&amp;E$5,'Time Off Log'!$E$5:$E$504,"Approved")&gt;0,"U",IF(COUNTIFS('Time Off Log'!$A$5:$A$504,$B23,'Time Off Log'!$C$5:$C$504,"&lt;="&amp;E$5,'Time Off Log'!$J$5:$J$504,"&gt;="&amp;E$5,'Time Off Log'!$E$5:$E$504,"Pending")&gt;0,"?",""))))))</f>
        <v/>
      </c>
      <c r="F23" s="44">
        <f>IF(OR(F$5="",$B23=""),"",IF(OR(WEEKDAY(F$5,2)&gt;5,COUNTIF(Holidays!$A$5:$A$40,F$5)&gt;0),"",IF(COUNTIFS('Time Off Log'!$A$5:$A$504,$B23,'Time Off Log'!$C$5:$C$504,"&lt;="&amp;F$5,'Time Off Log'!$J$5:$J$504,"&gt;="&amp;F$5,'Time Off Log'!$B$5:$B$504,"PTO",'Time Off Log'!$E$5:$E$504,"Approved")&gt;0,"P",IF(COUNTIFS('Time Off Log'!$A$5:$A$504,$B23,'Time Off Log'!$C$5:$C$504,"&lt;="&amp;F$5,'Time Off Log'!$J$5:$J$504,"&gt;="&amp;F$5,'Time Off Log'!$B$5:$B$504,"Sick",'Time Off Log'!$E$5:$E$504,"Approved")&gt;0,"S",IF(COUNTIFS('Time Off Log'!$A$5:$A$504,$B23,'Time Off Log'!$C$5:$C$504,"&lt;="&amp;F$5,'Time Off Log'!$J$5:$J$504,"&gt;="&amp;F$5,'Time Off Log'!$E$5:$E$504,"Approved")&gt;0,"U",IF(COUNTIFS('Time Off Log'!$A$5:$A$504,$B23,'Time Off Log'!$C$5:$C$504,"&lt;="&amp;F$5,'Time Off Log'!$J$5:$J$504,"&gt;="&amp;F$5,'Time Off Log'!$E$5:$E$504,"Pending")&gt;0,"?",""))))))</f>
        <v/>
      </c>
      <c r="G23" s="44">
        <f>IF(OR(G$5="",$B23=""),"",IF(OR(WEEKDAY(G$5,2)&gt;5,COUNTIF(Holidays!$A$5:$A$40,G$5)&gt;0),"",IF(COUNTIFS('Time Off Log'!$A$5:$A$504,$B23,'Time Off Log'!$C$5:$C$504,"&lt;="&amp;G$5,'Time Off Log'!$J$5:$J$504,"&gt;="&amp;G$5,'Time Off Log'!$B$5:$B$504,"PTO",'Time Off Log'!$E$5:$E$504,"Approved")&gt;0,"P",IF(COUNTIFS('Time Off Log'!$A$5:$A$504,$B23,'Time Off Log'!$C$5:$C$504,"&lt;="&amp;G$5,'Time Off Log'!$J$5:$J$504,"&gt;="&amp;G$5,'Time Off Log'!$B$5:$B$504,"Sick",'Time Off Log'!$E$5:$E$504,"Approved")&gt;0,"S",IF(COUNTIFS('Time Off Log'!$A$5:$A$504,$B23,'Time Off Log'!$C$5:$C$504,"&lt;="&amp;G$5,'Time Off Log'!$J$5:$J$504,"&gt;="&amp;G$5,'Time Off Log'!$E$5:$E$504,"Approved")&gt;0,"U",IF(COUNTIFS('Time Off Log'!$A$5:$A$504,$B23,'Time Off Log'!$C$5:$C$504,"&lt;="&amp;G$5,'Time Off Log'!$J$5:$J$504,"&gt;="&amp;G$5,'Time Off Log'!$E$5:$E$504,"Pending")&gt;0,"?",""))))))</f>
        <v/>
      </c>
      <c r="H23" s="44">
        <f>IF(OR(H$5="",$B23=""),"",IF(OR(WEEKDAY(H$5,2)&gt;5,COUNTIF(Holidays!$A$5:$A$40,H$5)&gt;0),"",IF(COUNTIFS('Time Off Log'!$A$5:$A$504,$B23,'Time Off Log'!$C$5:$C$504,"&lt;="&amp;H$5,'Time Off Log'!$J$5:$J$504,"&gt;="&amp;H$5,'Time Off Log'!$B$5:$B$504,"PTO",'Time Off Log'!$E$5:$E$504,"Approved")&gt;0,"P",IF(COUNTIFS('Time Off Log'!$A$5:$A$504,$B23,'Time Off Log'!$C$5:$C$504,"&lt;="&amp;H$5,'Time Off Log'!$J$5:$J$504,"&gt;="&amp;H$5,'Time Off Log'!$B$5:$B$504,"Sick",'Time Off Log'!$E$5:$E$504,"Approved")&gt;0,"S",IF(COUNTIFS('Time Off Log'!$A$5:$A$504,$B23,'Time Off Log'!$C$5:$C$504,"&lt;="&amp;H$5,'Time Off Log'!$J$5:$J$504,"&gt;="&amp;H$5,'Time Off Log'!$E$5:$E$504,"Approved")&gt;0,"U",IF(COUNTIFS('Time Off Log'!$A$5:$A$504,$B23,'Time Off Log'!$C$5:$C$504,"&lt;="&amp;H$5,'Time Off Log'!$J$5:$J$504,"&gt;="&amp;H$5,'Time Off Log'!$E$5:$E$504,"Pending")&gt;0,"?",""))))))</f>
        <v/>
      </c>
      <c r="I23" s="44">
        <f>IF(OR(I$5="",$B23=""),"",IF(OR(WEEKDAY(I$5,2)&gt;5,COUNTIF(Holidays!$A$5:$A$40,I$5)&gt;0),"",IF(COUNTIFS('Time Off Log'!$A$5:$A$504,$B23,'Time Off Log'!$C$5:$C$504,"&lt;="&amp;I$5,'Time Off Log'!$J$5:$J$504,"&gt;="&amp;I$5,'Time Off Log'!$B$5:$B$504,"PTO",'Time Off Log'!$E$5:$E$504,"Approved")&gt;0,"P",IF(COUNTIFS('Time Off Log'!$A$5:$A$504,$B23,'Time Off Log'!$C$5:$C$504,"&lt;="&amp;I$5,'Time Off Log'!$J$5:$J$504,"&gt;="&amp;I$5,'Time Off Log'!$B$5:$B$504,"Sick",'Time Off Log'!$E$5:$E$504,"Approved")&gt;0,"S",IF(COUNTIFS('Time Off Log'!$A$5:$A$504,$B23,'Time Off Log'!$C$5:$C$504,"&lt;="&amp;I$5,'Time Off Log'!$J$5:$J$504,"&gt;="&amp;I$5,'Time Off Log'!$E$5:$E$504,"Approved")&gt;0,"U",IF(COUNTIFS('Time Off Log'!$A$5:$A$504,$B23,'Time Off Log'!$C$5:$C$504,"&lt;="&amp;I$5,'Time Off Log'!$J$5:$J$504,"&gt;="&amp;I$5,'Time Off Log'!$E$5:$E$504,"Pending")&gt;0,"?",""))))))</f>
        <v/>
      </c>
      <c r="J23" s="44">
        <f>IF(OR(J$5="",$B23=""),"",IF(OR(WEEKDAY(J$5,2)&gt;5,COUNTIF(Holidays!$A$5:$A$40,J$5)&gt;0),"",IF(COUNTIFS('Time Off Log'!$A$5:$A$504,$B23,'Time Off Log'!$C$5:$C$504,"&lt;="&amp;J$5,'Time Off Log'!$J$5:$J$504,"&gt;="&amp;J$5,'Time Off Log'!$B$5:$B$504,"PTO",'Time Off Log'!$E$5:$E$504,"Approved")&gt;0,"P",IF(COUNTIFS('Time Off Log'!$A$5:$A$504,$B23,'Time Off Log'!$C$5:$C$504,"&lt;="&amp;J$5,'Time Off Log'!$J$5:$J$504,"&gt;="&amp;J$5,'Time Off Log'!$B$5:$B$504,"Sick",'Time Off Log'!$E$5:$E$504,"Approved")&gt;0,"S",IF(COUNTIFS('Time Off Log'!$A$5:$A$504,$B23,'Time Off Log'!$C$5:$C$504,"&lt;="&amp;J$5,'Time Off Log'!$J$5:$J$504,"&gt;="&amp;J$5,'Time Off Log'!$E$5:$E$504,"Approved")&gt;0,"U",IF(COUNTIFS('Time Off Log'!$A$5:$A$504,$B23,'Time Off Log'!$C$5:$C$504,"&lt;="&amp;J$5,'Time Off Log'!$J$5:$J$504,"&gt;="&amp;J$5,'Time Off Log'!$E$5:$E$504,"Pending")&gt;0,"?",""))))))</f>
        <v/>
      </c>
      <c r="K23" s="44">
        <f>IF(OR(K$5="",$B23=""),"",IF(OR(WEEKDAY(K$5,2)&gt;5,COUNTIF(Holidays!$A$5:$A$40,K$5)&gt;0),"",IF(COUNTIFS('Time Off Log'!$A$5:$A$504,$B23,'Time Off Log'!$C$5:$C$504,"&lt;="&amp;K$5,'Time Off Log'!$J$5:$J$504,"&gt;="&amp;K$5,'Time Off Log'!$B$5:$B$504,"PTO",'Time Off Log'!$E$5:$E$504,"Approved")&gt;0,"P",IF(COUNTIFS('Time Off Log'!$A$5:$A$504,$B23,'Time Off Log'!$C$5:$C$504,"&lt;="&amp;K$5,'Time Off Log'!$J$5:$J$504,"&gt;="&amp;K$5,'Time Off Log'!$B$5:$B$504,"Sick",'Time Off Log'!$E$5:$E$504,"Approved")&gt;0,"S",IF(COUNTIFS('Time Off Log'!$A$5:$A$504,$B23,'Time Off Log'!$C$5:$C$504,"&lt;="&amp;K$5,'Time Off Log'!$J$5:$J$504,"&gt;="&amp;K$5,'Time Off Log'!$E$5:$E$504,"Approved")&gt;0,"U",IF(COUNTIFS('Time Off Log'!$A$5:$A$504,$B23,'Time Off Log'!$C$5:$C$504,"&lt;="&amp;K$5,'Time Off Log'!$J$5:$J$504,"&gt;="&amp;K$5,'Time Off Log'!$E$5:$E$504,"Pending")&gt;0,"?",""))))))</f>
        <v/>
      </c>
      <c r="L23" s="44">
        <f>IF(OR(L$5="",$B23=""),"",IF(OR(WEEKDAY(L$5,2)&gt;5,COUNTIF(Holidays!$A$5:$A$40,L$5)&gt;0),"",IF(COUNTIFS('Time Off Log'!$A$5:$A$504,$B23,'Time Off Log'!$C$5:$C$504,"&lt;="&amp;L$5,'Time Off Log'!$J$5:$J$504,"&gt;="&amp;L$5,'Time Off Log'!$B$5:$B$504,"PTO",'Time Off Log'!$E$5:$E$504,"Approved")&gt;0,"P",IF(COUNTIFS('Time Off Log'!$A$5:$A$504,$B23,'Time Off Log'!$C$5:$C$504,"&lt;="&amp;L$5,'Time Off Log'!$J$5:$J$504,"&gt;="&amp;L$5,'Time Off Log'!$B$5:$B$504,"Sick",'Time Off Log'!$E$5:$E$504,"Approved")&gt;0,"S",IF(COUNTIFS('Time Off Log'!$A$5:$A$504,$B23,'Time Off Log'!$C$5:$C$504,"&lt;="&amp;L$5,'Time Off Log'!$J$5:$J$504,"&gt;="&amp;L$5,'Time Off Log'!$E$5:$E$504,"Approved")&gt;0,"U",IF(COUNTIFS('Time Off Log'!$A$5:$A$504,$B23,'Time Off Log'!$C$5:$C$504,"&lt;="&amp;L$5,'Time Off Log'!$J$5:$J$504,"&gt;="&amp;L$5,'Time Off Log'!$E$5:$E$504,"Pending")&gt;0,"?",""))))))</f>
        <v/>
      </c>
      <c r="M23" s="44">
        <f>IF(OR(M$5="",$B23=""),"",IF(OR(WEEKDAY(M$5,2)&gt;5,COUNTIF(Holidays!$A$5:$A$40,M$5)&gt;0),"",IF(COUNTIFS('Time Off Log'!$A$5:$A$504,$B23,'Time Off Log'!$C$5:$C$504,"&lt;="&amp;M$5,'Time Off Log'!$J$5:$J$504,"&gt;="&amp;M$5,'Time Off Log'!$B$5:$B$504,"PTO",'Time Off Log'!$E$5:$E$504,"Approved")&gt;0,"P",IF(COUNTIFS('Time Off Log'!$A$5:$A$504,$B23,'Time Off Log'!$C$5:$C$504,"&lt;="&amp;M$5,'Time Off Log'!$J$5:$J$504,"&gt;="&amp;M$5,'Time Off Log'!$B$5:$B$504,"Sick",'Time Off Log'!$E$5:$E$504,"Approved")&gt;0,"S",IF(COUNTIFS('Time Off Log'!$A$5:$A$504,$B23,'Time Off Log'!$C$5:$C$504,"&lt;="&amp;M$5,'Time Off Log'!$J$5:$J$504,"&gt;="&amp;M$5,'Time Off Log'!$E$5:$E$504,"Approved")&gt;0,"U",IF(COUNTIFS('Time Off Log'!$A$5:$A$504,$B23,'Time Off Log'!$C$5:$C$504,"&lt;="&amp;M$5,'Time Off Log'!$J$5:$J$504,"&gt;="&amp;M$5,'Time Off Log'!$E$5:$E$504,"Pending")&gt;0,"?",""))))))</f>
        <v/>
      </c>
      <c r="N23" s="44">
        <f>IF(OR(N$5="",$B23=""),"",IF(OR(WEEKDAY(N$5,2)&gt;5,COUNTIF(Holidays!$A$5:$A$40,N$5)&gt;0),"",IF(COUNTIFS('Time Off Log'!$A$5:$A$504,$B23,'Time Off Log'!$C$5:$C$504,"&lt;="&amp;N$5,'Time Off Log'!$J$5:$J$504,"&gt;="&amp;N$5,'Time Off Log'!$B$5:$B$504,"PTO",'Time Off Log'!$E$5:$E$504,"Approved")&gt;0,"P",IF(COUNTIFS('Time Off Log'!$A$5:$A$504,$B23,'Time Off Log'!$C$5:$C$504,"&lt;="&amp;N$5,'Time Off Log'!$J$5:$J$504,"&gt;="&amp;N$5,'Time Off Log'!$B$5:$B$504,"Sick",'Time Off Log'!$E$5:$E$504,"Approved")&gt;0,"S",IF(COUNTIFS('Time Off Log'!$A$5:$A$504,$B23,'Time Off Log'!$C$5:$C$504,"&lt;="&amp;N$5,'Time Off Log'!$J$5:$J$504,"&gt;="&amp;N$5,'Time Off Log'!$E$5:$E$504,"Approved")&gt;0,"U",IF(COUNTIFS('Time Off Log'!$A$5:$A$504,$B23,'Time Off Log'!$C$5:$C$504,"&lt;="&amp;N$5,'Time Off Log'!$J$5:$J$504,"&gt;="&amp;N$5,'Time Off Log'!$E$5:$E$504,"Pending")&gt;0,"?",""))))))</f>
        <v/>
      </c>
      <c r="O23" s="44">
        <f>IF(OR(O$5="",$B23=""),"",IF(OR(WEEKDAY(O$5,2)&gt;5,COUNTIF(Holidays!$A$5:$A$40,O$5)&gt;0),"",IF(COUNTIFS('Time Off Log'!$A$5:$A$504,$B23,'Time Off Log'!$C$5:$C$504,"&lt;="&amp;O$5,'Time Off Log'!$J$5:$J$504,"&gt;="&amp;O$5,'Time Off Log'!$B$5:$B$504,"PTO",'Time Off Log'!$E$5:$E$504,"Approved")&gt;0,"P",IF(COUNTIFS('Time Off Log'!$A$5:$A$504,$B23,'Time Off Log'!$C$5:$C$504,"&lt;="&amp;O$5,'Time Off Log'!$J$5:$J$504,"&gt;="&amp;O$5,'Time Off Log'!$B$5:$B$504,"Sick",'Time Off Log'!$E$5:$E$504,"Approved")&gt;0,"S",IF(COUNTIFS('Time Off Log'!$A$5:$A$504,$B23,'Time Off Log'!$C$5:$C$504,"&lt;="&amp;O$5,'Time Off Log'!$J$5:$J$504,"&gt;="&amp;O$5,'Time Off Log'!$E$5:$E$504,"Approved")&gt;0,"U",IF(COUNTIFS('Time Off Log'!$A$5:$A$504,$B23,'Time Off Log'!$C$5:$C$504,"&lt;="&amp;O$5,'Time Off Log'!$J$5:$J$504,"&gt;="&amp;O$5,'Time Off Log'!$E$5:$E$504,"Pending")&gt;0,"?",""))))))</f>
        <v/>
      </c>
      <c r="P23" s="44">
        <f>IF(OR(P$5="",$B23=""),"",IF(OR(WEEKDAY(P$5,2)&gt;5,COUNTIF(Holidays!$A$5:$A$40,P$5)&gt;0),"",IF(COUNTIFS('Time Off Log'!$A$5:$A$504,$B23,'Time Off Log'!$C$5:$C$504,"&lt;="&amp;P$5,'Time Off Log'!$J$5:$J$504,"&gt;="&amp;P$5,'Time Off Log'!$B$5:$B$504,"PTO",'Time Off Log'!$E$5:$E$504,"Approved")&gt;0,"P",IF(COUNTIFS('Time Off Log'!$A$5:$A$504,$B23,'Time Off Log'!$C$5:$C$504,"&lt;="&amp;P$5,'Time Off Log'!$J$5:$J$504,"&gt;="&amp;P$5,'Time Off Log'!$B$5:$B$504,"Sick",'Time Off Log'!$E$5:$E$504,"Approved")&gt;0,"S",IF(COUNTIFS('Time Off Log'!$A$5:$A$504,$B23,'Time Off Log'!$C$5:$C$504,"&lt;="&amp;P$5,'Time Off Log'!$J$5:$J$504,"&gt;="&amp;P$5,'Time Off Log'!$E$5:$E$504,"Approved")&gt;0,"U",IF(COUNTIFS('Time Off Log'!$A$5:$A$504,$B23,'Time Off Log'!$C$5:$C$504,"&lt;="&amp;P$5,'Time Off Log'!$J$5:$J$504,"&gt;="&amp;P$5,'Time Off Log'!$E$5:$E$504,"Pending")&gt;0,"?",""))))))</f>
        <v/>
      </c>
      <c r="Q23" s="44">
        <f>IF(OR(Q$5="",$B23=""),"",IF(OR(WEEKDAY(Q$5,2)&gt;5,COUNTIF(Holidays!$A$5:$A$40,Q$5)&gt;0),"",IF(COUNTIFS('Time Off Log'!$A$5:$A$504,$B23,'Time Off Log'!$C$5:$C$504,"&lt;="&amp;Q$5,'Time Off Log'!$J$5:$J$504,"&gt;="&amp;Q$5,'Time Off Log'!$B$5:$B$504,"PTO",'Time Off Log'!$E$5:$E$504,"Approved")&gt;0,"P",IF(COUNTIFS('Time Off Log'!$A$5:$A$504,$B23,'Time Off Log'!$C$5:$C$504,"&lt;="&amp;Q$5,'Time Off Log'!$J$5:$J$504,"&gt;="&amp;Q$5,'Time Off Log'!$B$5:$B$504,"Sick",'Time Off Log'!$E$5:$E$504,"Approved")&gt;0,"S",IF(COUNTIFS('Time Off Log'!$A$5:$A$504,$B23,'Time Off Log'!$C$5:$C$504,"&lt;="&amp;Q$5,'Time Off Log'!$J$5:$J$504,"&gt;="&amp;Q$5,'Time Off Log'!$E$5:$E$504,"Approved")&gt;0,"U",IF(COUNTIFS('Time Off Log'!$A$5:$A$504,$B23,'Time Off Log'!$C$5:$C$504,"&lt;="&amp;Q$5,'Time Off Log'!$J$5:$J$504,"&gt;="&amp;Q$5,'Time Off Log'!$E$5:$E$504,"Pending")&gt;0,"?",""))))))</f>
        <v/>
      </c>
      <c r="R23" s="44">
        <f>IF(OR(R$5="",$B23=""),"",IF(OR(WEEKDAY(R$5,2)&gt;5,COUNTIF(Holidays!$A$5:$A$40,R$5)&gt;0),"",IF(COUNTIFS('Time Off Log'!$A$5:$A$504,$B23,'Time Off Log'!$C$5:$C$504,"&lt;="&amp;R$5,'Time Off Log'!$J$5:$J$504,"&gt;="&amp;R$5,'Time Off Log'!$B$5:$B$504,"PTO",'Time Off Log'!$E$5:$E$504,"Approved")&gt;0,"P",IF(COUNTIFS('Time Off Log'!$A$5:$A$504,$B23,'Time Off Log'!$C$5:$C$504,"&lt;="&amp;R$5,'Time Off Log'!$J$5:$J$504,"&gt;="&amp;R$5,'Time Off Log'!$B$5:$B$504,"Sick",'Time Off Log'!$E$5:$E$504,"Approved")&gt;0,"S",IF(COUNTIFS('Time Off Log'!$A$5:$A$504,$B23,'Time Off Log'!$C$5:$C$504,"&lt;="&amp;R$5,'Time Off Log'!$J$5:$J$504,"&gt;="&amp;R$5,'Time Off Log'!$E$5:$E$504,"Approved")&gt;0,"U",IF(COUNTIFS('Time Off Log'!$A$5:$A$504,$B23,'Time Off Log'!$C$5:$C$504,"&lt;="&amp;R$5,'Time Off Log'!$J$5:$J$504,"&gt;="&amp;R$5,'Time Off Log'!$E$5:$E$504,"Pending")&gt;0,"?",""))))))</f>
        <v/>
      </c>
      <c r="S23" s="44">
        <f>IF(OR(S$5="",$B23=""),"",IF(OR(WEEKDAY(S$5,2)&gt;5,COUNTIF(Holidays!$A$5:$A$40,S$5)&gt;0),"",IF(COUNTIFS('Time Off Log'!$A$5:$A$504,$B23,'Time Off Log'!$C$5:$C$504,"&lt;="&amp;S$5,'Time Off Log'!$J$5:$J$504,"&gt;="&amp;S$5,'Time Off Log'!$B$5:$B$504,"PTO",'Time Off Log'!$E$5:$E$504,"Approved")&gt;0,"P",IF(COUNTIFS('Time Off Log'!$A$5:$A$504,$B23,'Time Off Log'!$C$5:$C$504,"&lt;="&amp;S$5,'Time Off Log'!$J$5:$J$504,"&gt;="&amp;S$5,'Time Off Log'!$B$5:$B$504,"Sick",'Time Off Log'!$E$5:$E$504,"Approved")&gt;0,"S",IF(COUNTIFS('Time Off Log'!$A$5:$A$504,$B23,'Time Off Log'!$C$5:$C$504,"&lt;="&amp;S$5,'Time Off Log'!$J$5:$J$504,"&gt;="&amp;S$5,'Time Off Log'!$E$5:$E$504,"Approved")&gt;0,"U",IF(COUNTIFS('Time Off Log'!$A$5:$A$504,$B23,'Time Off Log'!$C$5:$C$504,"&lt;="&amp;S$5,'Time Off Log'!$J$5:$J$504,"&gt;="&amp;S$5,'Time Off Log'!$E$5:$E$504,"Pending")&gt;0,"?",""))))))</f>
        <v/>
      </c>
      <c r="T23" s="44">
        <f>IF(OR(T$5="",$B23=""),"",IF(OR(WEEKDAY(T$5,2)&gt;5,COUNTIF(Holidays!$A$5:$A$40,T$5)&gt;0),"",IF(COUNTIFS('Time Off Log'!$A$5:$A$504,$B23,'Time Off Log'!$C$5:$C$504,"&lt;="&amp;T$5,'Time Off Log'!$J$5:$J$504,"&gt;="&amp;T$5,'Time Off Log'!$B$5:$B$504,"PTO",'Time Off Log'!$E$5:$E$504,"Approved")&gt;0,"P",IF(COUNTIFS('Time Off Log'!$A$5:$A$504,$B23,'Time Off Log'!$C$5:$C$504,"&lt;="&amp;T$5,'Time Off Log'!$J$5:$J$504,"&gt;="&amp;T$5,'Time Off Log'!$B$5:$B$504,"Sick",'Time Off Log'!$E$5:$E$504,"Approved")&gt;0,"S",IF(COUNTIFS('Time Off Log'!$A$5:$A$504,$B23,'Time Off Log'!$C$5:$C$504,"&lt;="&amp;T$5,'Time Off Log'!$J$5:$J$504,"&gt;="&amp;T$5,'Time Off Log'!$E$5:$E$504,"Approved")&gt;0,"U",IF(COUNTIFS('Time Off Log'!$A$5:$A$504,$B23,'Time Off Log'!$C$5:$C$504,"&lt;="&amp;T$5,'Time Off Log'!$J$5:$J$504,"&gt;="&amp;T$5,'Time Off Log'!$E$5:$E$504,"Pending")&gt;0,"?",""))))))</f>
        <v/>
      </c>
      <c r="U23" s="44">
        <f>IF(OR(U$5="",$B23=""),"",IF(OR(WEEKDAY(U$5,2)&gt;5,COUNTIF(Holidays!$A$5:$A$40,U$5)&gt;0),"",IF(COUNTIFS('Time Off Log'!$A$5:$A$504,$B23,'Time Off Log'!$C$5:$C$504,"&lt;="&amp;U$5,'Time Off Log'!$J$5:$J$504,"&gt;="&amp;U$5,'Time Off Log'!$B$5:$B$504,"PTO",'Time Off Log'!$E$5:$E$504,"Approved")&gt;0,"P",IF(COUNTIFS('Time Off Log'!$A$5:$A$504,$B23,'Time Off Log'!$C$5:$C$504,"&lt;="&amp;U$5,'Time Off Log'!$J$5:$J$504,"&gt;="&amp;U$5,'Time Off Log'!$B$5:$B$504,"Sick",'Time Off Log'!$E$5:$E$504,"Approved")&gt;0,"S",IF(COUNTIFS('Time Off Log'!$A$5:$A$504,$B23,'Time Off Log'!$C$5:$C$504,"&lt;="&amp;U$5,'Time Off Log'!$J$5:$J$504,"&gt;="&amp;U$5,'Time Off Log'!$E$5:$E$504,"Approved")&gt;0,"U",IF(COUNTIFS('Time Off Log'!$A$5:$A$504,$B23,'Time Off Log'!$C$5:$C$504,"&lt;="&amp;U$5,'Time Off Log'!$J$5:$J$504,"&gt;="&amp;U$5,'Time Off Log'!$E$5:$E$504,"Pending")&gt;0,"?",""))))))</f>
        <v/>
      </c>
      <c r="V23" s="44">
        <f>IF(OR(V$5="",$B23=""),"",IF(OR(WEEKDAY(V$5,2)&gt;5,COUNTIF(Holidays!$A$5:$A$40,V$5)&gt;0),"",IF(COUNTIFS('Time Off Log'!$A$5:$A$504,$B23,'Time Off Log'!$C$5:$C$504,"&lt;="&amp;V$5,'Time Off Log'!$J$5:$J$504,"&gt;="&amp;V$5,'Time Off Log'!$B$5:$B$504,"PTO",'Time Off Log'!$E$5:$E$504,"Approved")&gt;0,"P",IF(COUNTIFS('Time Off Log'!$A$5:$A$504,$B23,'Time Off Log'!$C$5:$C$504,"&lt;="&amp;V$5,'Time Off Log'!$J$5:$J$504,"&gt;="&amp;V$5,'Time Off Log'!$B$5:$B$504,"Sick",'Time Off Log'!$E$5:$E$504,"Approved")&gt;0,"S",IF(COUNTIFS('Time Off Log'!$A$5:$A$504,$B23,'Time Off Log'!$C$5:$C$504,"&lt;="&amp;V$5,'Time Off Log'!$J$5:$J$504,"&gt;="&amp;V$5,'Time Off Log'!$E$5:$E$504,"Approved")&gt;0,"U",IF(COUNTIFS('Time Off Log'!$A$5:$A$504,$B23,'Time Off Log'!$C$5:$C$504,"&lt;="&amp;V$5,'Time Off Log'!$J$5:$J$504,"&gt;="&amp;V$5,'Time Off Log'!$E$5:$E$504,"Pending")&gt;0,"?",""))))))</f>
        <v/>
      </c>
      <c r="W23" s="44">
        <f>IF(OR(W$5="",$B23=""),"",IF(OR(WEEKDAY(W$5,2)&gt;5,COUNTIF(Holidays!$A$5:$A$40,W$5)&gt;0),"",IF(COUNTIFS('Time Off Log'!$A$5:$A$504,$B23,'Time Off Log'!$C$5:$C$504,"&lt;="&amp;W$5,'Time Off Log'!$J$5:$J$504,"&gt;="&amp;W$5,'Time Off Log'!$B$5:$B$504,"PTO",'Time Off Log'!$E$5:$E$504,"Approved")&gt;0,"P",IF(COUNTIFS('Time Off Log'!$A$5:$A$504,$B23,'Time Off Log'!$C$5:$C$504,"&lt;="&amp;W$5,'Time Off Log'!$J$5:$J$504,"&gt;="&amp;W$5,'Time Off Log'!$B$5:$B$504,"Sick",'Time Off Log'!$E$5:$E$504,"Approved")&gt;0,"S",IF(COUNTIFS('Time Off Log'!$A$5:$A$504,$B23,'Time Off Log'!$C$5:$C$504,"&lt;="&amp;W$5,'Time Off Log'!$J$5:$J$504,"&gt;="&amp;W$5,'Time Off Log'!$E$5:$E$504,"Approved")&gt;0,"U",IF(COUNTIFS('Time Off Log'!$A$5:$A$504,$B23,'Time Off Log'!$C$5:$C$504,"&lt;="&amp;W$5,'Time Off Log'!$J$5:$J$504,"&gt;="&amp;W$5,'Time Off Log'!$E$5:$E$504,"Pending")&gt;0,"?",""))))))</f>
        <v/>
      </c>
      <c r="X23" s="44">
        <f>IF(OR(X$5="",$B23=""),"",IF(OR(WEEKDAY(X$5,2)&gt;5,COUNTIF(Holidays!$A$5:$A$40,X$5)&gt;0),"",IF(COUNTIFS('Time Off Log'!$A$5:$A$504,$B23,'Time Off Log'!$C$5:$C$504,"&lt;="&amp;X$5,'Time Off Log'!$J$5:$J$504,"&gt;="&amp;X$5,'Time Off Log'!$B$5:$B$504,"PTO",'Time Off Log'!$E$5:$E$504,"Approved")&gt;0,"P",IF(COUNTIFS('Time Off Log'!$A$5:$A$504,$B23,'Time Off Log'!$C$5:$C$504,"&lt;="&amp;X$5,'Time Off Log'!$J$5:$J$504,"&gt;="&amp;X$5,'Time Off Log'!$B$5:$B$504,"Sick",'Time Off Log'!$E$5:$E$504,"Approved")&gt;0,"S",IF(COUNTIFS('Time Off Log'!$A$5:$A$504,$B23,'Time Off Log'!$C$5:$C$504,"&lt;="&amp;X$5,'Time Off Log'!$J$5:$J$504,"&gt;="&amp;X$5,'Time Off Log'!$E$5:$E$504,"Approved")&gt;0,"U",IF(COUNTIFS('Time Off Log'!$A$5:$A$504,$B23,'Time Off Log'!$C$5:$C$504,"&lt;="&amp;X$5,'Time Off Log'!$J$5:$J$504,"&gt;="&amp;X$5,'Time Off Log'!$E$5:$E$504,"Pending")&gt;0,"?",""))))))</f>
        <v/>
      </c>
      <c r="Y23" s="44">
        <f>IF(OR(Y$5="",$B23=""),"",IF(OR(WEEKDAY(Y$5,2)&gt;5,COUNTIF(Holidays!$A$5:$A$40,Y$5)&gt;0),"",IF(COUNTIFS('Time Off Log'!$A$5:$A$504,$B23,'Time Off Log'!$C$5:$C$504,"&lt;="&amp;Y$5,'Time Off Log'!$J$5:$J$504,"&gt;="&amp;Y$5,'Time Off Log'!$B$5:$B$504,"PTO",'Time Off Log'!$E$5:$E$504,"Approved")&gt;0,"P",IF(COUNTIFS('Time Off Log'!$A$5:$A$504,$B23,'Time Off Log'!$C$5:$C$504,"&lt;="&amp;Y$5,'Time Off Log'!$J$5:$J$504,"&gt;="&amp;Y$5,'Time Off Log'!$B$5:$B$504,"Sick",'Time Off Log'!$E$5:$E$504,"Approved")&gt;0,"S",IF(COUNTIFS('Time Off Log'!$A$5:$A$504,$B23,'Time Off Log'!$C$5:$C$504,"&lt;="&amp;Y$5,'Time Off Log'!$J$5:$J$504,"&gt;="&amp;Y$5,'Time Off Log'!$E$5:$E$504,"Approved")&gt;0,"U",IF(COUNTIFS('Time Off Log'!$A$5:$A$504,$B23,'Time Off Log'!$C$5:$C$504,"&lt;="&amp;Y$5,'Time Off Log'!$J$5:$J$504,"&gt;="&amp;Y$5,'Time Off Log'!$E$5:$E$504,"Pending")&gt;0,"?",""))))))</f>
        <v/>
      </c>
      <c r="Z23" s="44">
        <f>IF(OR(Z$5="",$B23=""),"",IF(OR(WEEKDAY(Z$5,2)&gt;5,COUNTIF(Holidays!$A$5:$A$40,Z$5)&gt;0),"",IF(COUNTIFS('Time Off Log'!$A$5:$A$504,$B23,'Time Off Log'!$C$5:$C$504,"&lt;="&amp;Z$5,'Time Off Log'!$J$5:$J$504,"&gt;="&amp;Z$5,'Time Off Log'!$B$5:$B$504,"PTO",'Time Off Log'!$E$5:$E$504,"Approved")&gt;0,"P",IF(COUNTIFS('Time Off Log'!$A$5:$A$504,$B23,'Time Off Log'!$C$5:$C$504,"&lt;="&amp;Z$5,'Time Off Log'!$J$5:$J$504,"&gt;="&amp;Z$5,'Time Off Log'!$B$5:$B$504,"Sick",'Time Off Log'!$E$5:$E$504,"Approved")&gt;0,"S",IF(COUNTIFS('Time Off Log'!$A$5:$A$504,$B23,'Time Off Log'!$C$5:$C$504,"&lt;="&amp;Z$5,'Time Off Log'!$J$5:$J$504,"&gt;="&amp;Z$5,'Time Off Log'!$E$5:$E$504,"Approved")&gt;0,"U",IF(COUNTIFS('Time Off Log'!$A$5:$A$504,$B23,'Time Off Log'!$C$5:$C$504,"&lt;="&amp;Z$5,'Time Off Log'!$J$5:$J$504,"&gt;="&amp;Z$5,'Time Off Log'!$E$5:$E$504,"Pending")&gt;0,"?",""))))))</f>
        <v/>
      </c>
      <c r="AA23" s="44">
        <f>IF(OR(AA$5="",$B23=""),"",IF(OR(WEEKDAY(AA$5,2)&gt;5,COUNTIF(Holidays!$A$5:$A$40,AA$5)&gt;0),"",IF(COUNTIFS('Time Off Log'!$A$5:$A$504,$B23,'Time Off Log'!$C$5:$C$504,"&lt;="&amp;AA$5,'Time Off Log'!$J$5:$J$504,"&gt;="&amp;AA$5,'Time Off Log'!$B$5:$B$504,"PTO",'Time Off Log'!$E$5:$E$504,"Approved")&gt;0,"P",IF(COUNTIFS('Time Off Log'!$A$5:$A$504,$B23,'Time Off Log'!$C$5:$C$504,"&lt;="&amp;AA$5,'Time Off Log'!$J$5:$J$504,"&gt;="&amp;AA$5,'Time Off Log'!$B$5:$B$504,"Sick",'Time Off Log'!$E$5:$E$504,"Approved")&gt;0,"S",IF(COUNTIFS('Time Off Log'!$A$5:$A$504,$B23,'Time Off Log'!$C$5:$C$504,"&lt;="&amp;AA$5,'Time Off Log'!$J$5:$J$504,"&gt;="&amp;AA$5,'Time Off Log'!$E$5:$E$504,"Approved")&gt;0,"U",IF(COUNTIFS('Time Off Log'!$A$5:$A$504,$B23,'Time Off Log'!$C$5:$C$504,"&lt;="&amp;AA$5,'Time Off Log'!$J$5:$J$504,"&gt;="&amp;AA$5,'Time Off Log'!$E$5:$E$504,"Pending")&gt;0,"?",""))))))</f>
        <v/>
      </c>
      <c r="AB23" s="44">
        <f>IF(OR(AB$5="",$B23=""),"",IF(OR(WEEKDAY(AB$5,2)&gt;5,COUNTIF(Holidays!$A$5:$A$40,AB$5)&gt;0),"",IF(COUNTIFS('Time Off Log'!$A$5:$A$504,$B23,'Time Off Log'!$C$5:$C$504,"&lt;="&amp;AB$5,'Time Off Log'!$J$5:$J$504,"&gt;="&amp;AB$5,'Time Off Log'!$B$5:$B$504,"PTO",'Time Off Log'!$E$5:$E$504,"Approved")&gt;0,"P",IF(COUNTIFS('Time Off Log'!$A$5:$A$504,$B23,'Time Off Log'!$C$5:$C$504,"&lt;="&amp;AB$5,'Time Off Log'!$J$5:$J$504,"&gt;="&amp;AB$5,'Time Off Log'!$B$5:$B$504,"Sick",'Time Off Log'!$E$5:$E$504,"Approved")&gt;0,"S",IF(COUNTIFS('Time Off Log'!$A$5:$A$504,$B23,'Time Off Log'!$C$5:$C$504,"&lt;="&amp;AB$5,'Time Off Log'!$J$5:$J$504,"&gt;="&amp;AB$5,'Time Off Log'!$E$5:$E$504,"Approved")&gt;0,"U",IF(COUNTIFS('Time Off Log'!$A$5:$A$504,$B23,'Time Off Log'!$C$5:$C$504,"&lt;="&amp;AB$5,'Time Off Log'!$J$5:$J$504,"&gt;="&amp;AB$5,'Time Off Log'!$E$5:$E$504,"Pending")&gt;0,"?",""))))))</f>
        <v/>
      </c>
      <c r="AC23" s="44">
        <f>IF(OR(AC$5="",$B23=""),"",IF(OR(WEEKDAY(AC$5,2)&gt;5,COUNTIF(Holidays!$A$5:$A$40,AC$5)&gt;0),"",IF(COUNTIFS('Time Off Log'!$A$5:$A$504,$B23,'Time Off Log'!$C$5:$C$504,"&lt;="&amp;AC$5,'Time Off Log'!$J$5:$J$504,"&gt;="&amp;AC$5,'Time Off Log'!$B$5:$B$504,"PTO",'Time Off Log'!$E$5:$E$504,"Approved")&gt;0,"P",IF(COUNTIFS('Time Off Log'!$A$5:$A$504,$B23,'Time Off Log'!$C$5:$C$504,"&lt;="&amp;AC$5,'Time Off Log'!$J$5:$J$504,"&gt;="&amp;AC$5,'Time Off Log'!$B$5:$B$504,"Sick",'Time Off Log'!$E$5:$E$504,"Approved")&gt;0,"S",IF(COUNTIFS('Time Off Log'!$A$5:$A$504,$B23,'Time Off Log'!$C$5:$C$504,"&lt;="&amp;AC$5,'Time Off Log'!$J$5:$J$504,"&gt;="&amp;AC$5,'Time Off Log'!$E$5:$E$504,"Approved")&gt;0,"U",IF(COUNTIFS('Time Off Log'!$A$5:$A$504,$B23,'Time Off Log'!$C$5:$C$504,"&lt;="&amp;AC$5,'Time Off Log'!$J$5:$J$504,"&gt;="&amp;AC$5,'Time Off Log'!$E$5:$E$504,"Pending")&gt;0,"?",""))))))</f>
        <v/>
      </c>
      <c r="AD23" s="44">
        <f>IF(OR(AD$5="",$B23=""),"",IF(OR(WEEKDAY(AD$5,2)&gt;5,COUNTIF(Holidays!$A$5:$A$40,AD$5)&gt;0),"",IF(COUNTIFS('Time Off Log'!$A$5:$A$504,$B23,'Time Off Log'!$C$5:$C$504,"&lt;="&amp;AD$5,'Time Off Log'!$J$5:$J$504,"&gt;="&amp;AD$5,'Time Off Log'!$B$5:$B$504,"PTO",'Time Off Log'!$E$5:$E$504,"Approved")&gt;0,"P",IF(COUNTIFS('Time Off Log'!$A$5:$A$504,$B23,'Time Off Log'!$C$5:$C$504,"&lt;="&amp;AD$5,'Time Off Log'!$J$5:$J$504,"&gt;="&amp;AD$5,'Time Off Log'!$B$5:$B$504,"Sick",'Time Off Log'!$E$5:$E$504,"Approved")&gt;0,"S",IF(COUNTIFS('Time Off Log'!$A$5:$A$504,$B23,'Time Off Log'!$C$5:$C$504,"&lt;="&amp;AD$5,'Time Off Log'!$J$5:$J$504,"&gt;="&amp;AD$5,'Time Off Log'!$E$5:$E$504,"Approved")&gt;0,"U",IF(COUNTIFS('Time Off Log'!$A$5:$A$504,$B23,'Time Off Log'!$C$5:$C$504,"&lt;="&amp;AD$5,'Time Off Log'!$J$5:$J$504,"&gt;="&amp;AD$5,'Time Off Log'!$E$5:$E$504,"Pending")&gt;0,"?",""))))))</f>
        <v/>
      </c>
      <c r="AE23" s="44">
        <f>IF(OR(AE$5="",$B23=""),"",IF(OR(WEEKDAY(AE$5,2)&gt;5,COUNTIF(Holidays!$A$5:$A$40,AE$5)&gt;0),"",IF(COUNTIFS('Time Off Log'!$A$5:$A$504,$B23,'Time Off Log'!$C$5:$C$504,"&lt;="&amp;AE$5,'Time Off Log'!$J$5:$J$504,"&gt;="&amp;AE$5,'Time Off Log'!$B$5:$B$504,"PTO",'Time Off Log'!$E$5:$E$504,"Approved")&gt;0,"P",IF(COUNTIFS('Time Off Log'!$A$5:$A$504,$B23,'Time Off Log'!$C$5:$C$504,"&lt;="&amp;AE$5,'Time Off Log'!$J$5:$J$504,"&gt;="&amp;AE$5,'Time Off Log'!$B$5:$B$504,"Sick",'Time Off Log'!$E$5:$E$504,"Approved")&gt;0,"S",IF(COUNTIFS('Time Off Log'!$A$5:$A$504,$B23,'Time Off Log'!$C$5:$C$504,"&lt;="&amp;AE$5,'Time Off Log'!$J$5:$J$504,"&gt;="&amp;AE$5,'Time Off Log'!$E$5:$E$504,"Approved")&gt;0,"U",IF(COUNTIFS('Time Off Log'!$A$5:$A$504,$B23,'Time Off Log'!$C$5:$C$504,"&lt;="&amp;AE$5,'Time Off Log'!$J$5:$J$504,"&gt;="&amp;AE$5,'Time Off Log'!$E$5:$E$504,"Pending")&gt;0,"?",""))))))</f>
        <v/>
      </c>
      <c r="AF23" s="44">
        <f>IF(OR(AF$5="",$B23=""),"",IF(OR(WEEKDAY(AF$5,2)&gt;5,COUNTIF(Holidays!$A$5:$A$40,AF$5)&gt;0),"",IF(COUNTIFS('Time Off Log'!$A$5:$A$504,$B23,'Time Off Log'!$C$5:$C$504,"&lt;="&amp;AF$5,'Time Off Log'!$J$5:$J$504,"&gt;="&amp;AF$5,'Time Off Log'!$B$5:$B$504,"PTO",'Time Off Log'!$E$5:$E$504,"Approved")&gt;0,"P",IF(COUNTIFS('Time Off Log'!$A$5:$A$504,$B23,'Time Off Log'!$C$5:$C$504,"&lt;="&amp;AF$5,'Time Off Log'!$J$5:$J$504,"&gt;="&amp;AF$5,'Time Off Log'!$B$5:$B$504,"Sick",'Time Off Log'!$E$5:$E$504,"Approved")&gt;0,"S",IF(COUNTIFS('Time Off Log'!$A$5:$A$504,$B23,'Time Off Log'!$C$5:$C$504,"&lt;="&amp;AF$5,'Time Off Log'!$J$5:$J$504,"&gt;="&amp;AF$5,'Time Off Log'!$E$5:$E$504,"Approved")&gt;0,"U",IF(COUNTIFS('Time Off Log'!$A$5:$A$504,$B23,'Time Off Log'!$C$5:$C$504,"&lt;="&amp;AF$5,'Time Off Log'!$J$5:$J$504,"&gt;="&amp;AF$5,'Time Off Log'!$E$5:$E$504,"Pending")&gt;0,"?",""))))))</f>
        <v/>
      </c>
      <c r="AG23" s="44">
        <f>IF(OR(AG$5="",$B23=""),"",IF(OR(WEEKDAY(AG$5,2)&gt;5,COUNTIF(Holidays!$A$5:$A$40,AG$5)&gt;0),"",IF(COUNTIFS('Time Off Log'!$A$5:$A$504,$B23,'Time Off Log'!$C$5:$C$504,"&lt;="&amp;AG$5,'Time Off Log'!$J$5:$J$504,"&gt;="&amp;AG$5,'Time Off Log'!$B$5:$B$504,"PTO",'Time Off Log'!$E$5:$E$504,"Approved")&gt;0,"P",IF(COUNTIFS('Time Off Log'!$A$5:$A$504,$B23,'Time Off Log'!$C$5:$C$504,"&lt;="&amp;AG$5,'Time Off Log'!$J$5:$J$504,"&gt;="&amp;AG$5,'Time Off Log'!$B$5:$B$504,"Sick",'Time Off Log'!$E$5:$E$504,"Approved")&gt;0,"S",IF(COUNTIFS('Time Off Log'!$A$5:$A$504,$B23,'Time Off Log'!$C$5:$C$504,"&lt;="&amp;AG$5,'Time Off Log'!$J$5:$J$504,"&gt;="&amp;AG$5,'Time Off Log'!$E$5:$E$504,"Approved")&gt;0,"U",IF(COUNTIFS('Time Off Log'!$A$5:$A$504,$B23,'Time Off Log'!$C$5:$C$504,"&lt;="&amp;AG$5,'Time Off Log'!$J$5:$J$504,"&gt;="&amp;AG$5,'Time Off Log'!$E$5:$E$504,"Pending")&gt;0,"?",""))))))</f>
        <v/>
      </c>
    </row>
    <row r="24">
      <c r="A24" s="24" t="n">
        <v>19</v>
      </c>
      <c r="B24" s="24">
        <f>IF(Employees!B23="","",Employees!B23)</f>
        <v/>
      </c>
      <c r="C24" s="44">
        <f>IF(OR(C$5="",$B24=""),"",IF(OR(WEEKDAY(C$5,2)&gt;5,COUNTIF(Holidays!$A$5:$A$40,C$5)&gt;0),"",IF(COUNTIFS('Time Off Log'!$A$5:$A$504,$B24,'Time Off Log'!$C$5:$C$504,"&lt;="&amp;C$5,'Time Off Log'!$J$5:$J$504,"&gt;="&amp;C$5,'Time Off Log'!$B$5:$B$504,"PTO",'Time Off Log'!$E$5:$E$504,"Approved")&gt;0,"P",IF(COUNTIFS('Time Off Log'!$A$5:$A$504,$B24,'Time Off Log'!$C$5:$C$504,"&lt;="&amp;C$5,'Time Off Log'!$J$5:$J$504,"&gt;="&amp;C$5,'Time Off Log'!$B$5:$B$504,"Sick",'Time Off Log'!$E$5:$E$504,"Approved")&gt;0,"S",IF(COUNTIFS('Time Off Log'!$A$5:$A$504,$B24,'Time Off Log'!$C$5:$C$504,"&lt;="&amp;C$5,'Time Off Log'!$J$5:$J$504,"&gt;="&amp;C$5,'Time Off Log'!$E$5:$E$504,"Approved")&gt;0,"U",IF(COUNTIFS('Time Off Log'!$A$5:$A$504,$B24,'Time Off Log'!$C$5:$C$504,"&lt;="&amp;C$5,'Time Off Log'!$J$5:$J$504,"&gt;="&amp;C$5,'Time Off Log'!$E$5:$E$504,"Pending")&gt;0,"?",""))))))</f>
        <v/>
      </c>
      <c r="D24" s="44">
        <f>IF(OR(D$5="",$B24=""),"",IF(OR(WEEKDAY(D$5,2)&gt;5,COUNTIF(Holidays!$A$5:$A$40,D$5)&gt;0),"",IF(COUNTIFS('Time Off Log'!$A$5:$A$504,$B24,'Time Off Log'!$C$5:$C$504,"&lt;="&amp;D$5,'Time Off Log'!$J$5:$J$504,"&gt;="&amp;D$5,'Time Off Log'!$B$5:$B$504,"PTO",'Time Off Log'!$E$5:$E$504,"Approved")&gt;0,"P",IF(COUNTIFS('Time Off Log'!$A$5:$A$504,$B24,'Time Off Log'!$C$5:$C$504,"&lt;="&amp;D$5,'Time Off Log'!$J$5:$J$504,"&gt;="&amp;D$5,'Time Off Log'!$B$5:$B$504,"Sick",'Time Off Log'!$E$5:$E$504,"Approved")&gt;0,"S",IF(COUNTIFS('Time Off Log'!$A$5:$A$504,$B24,'Time Off Log'!$C$5:$C$504,"&lt;="&amp;D$5,'Time Off Log'!$J$5:$J$504,"&gt;="&amp;D$5,'Time Off Log'!$E$5:$E$504,"Approved")&gt;0,"U",IF(COUNTIFS('Time Off Log'!$A$5:$A$504,$B24,'Time Off Log'!$C$5:$C$504,"&lt;="&amp;D$5,'Time Off Log'!$J$5:$J$504,"&gt;="&amp;D$5,'Time Off Log'!$E$5:$E$504,"Pending")&gt;0,"?",""))))))</f>
        <v/>
      </c>
      <c r="E24" s="44">
        <f>IF(OR(E$5="",$B24=""),"",IF(OR(WEEKDAY(E$5,2)&gt;5,COUNTIF(Holidays!$A$5:$A$40,E$5)&gt;0),"",IF(COUNTIFS('Time Off Log'!$A$5:$A$504,$B24,'Time Off Log'!$C$5:$C$504,"&lt;="&amp;E$5,'Time Off Log'!$J$5:$J$504,"&gt;="&amp;E$5,'Time Off Log'!$B$5:$B$504,"PTO",'Time Off Log'!$E$5:$E$504,"Approved")&gt;0,"P",IF(COUNTIFS('Time Off Log'!$A$5:$A$504,$B24,'Time Off Log'!$C$5:$C$504,"&lt;="&amp;E$5,'Time Off Log'!$J$5:$J$504,"&gt;="&amp;E$5,'Time Off Log'!$B$5:$B$504,"Sick",'Time Off Log'!$E$5:$E$504,"Approved")&gt;0,"S",IF(COUNTIFS('Time Off Log'!$A$5:$A$504,$B24,'Time Off Log'!$C$5:$C$504,"&lt;="&amp;E$5,'Time Off Log'!$J$5:$J$504,"&gt;="&amp;E$5,'Time Off Log'!$E$5:$E$504,"Approved")&gt;0,"U",IF(COUNTIFS('Time Off Log'!$A$5:$A$504,$B24,'Time Off Log'!$C$5:$C$504,"&lt;="&amp;E$5,'Time Off Log'!$J$5:$J$504,"&gt;="&amp;E$5,'Time Off Log'!$E$5:$E$504,"Pending")&gt;0,"?",""))))))</f>
        <v/>
      </c>
      <c r="F24" s="44">
        <f>IF(OR(F$5="",$B24=""),"",IF(OR(WEEKDAY(F$5,2)&gt;5,COUNTIF(Holidays!$A$5:$A$40,F$5)&gt;0),"",IF(COUNTIFS('Time Off Log'!$A$5:$A$504,$B24,'Time Off Log'!$C$5:$C$504,"&lt;="&amp;F$5,'Time Off Log'!$J$5:$J$504,"&gt;="&amp;F$5,'Time Off Log'!$B$5:$B$504,"PTO",'Time Off Log'!$E$5:$E$504,"Approved")&gt;0,"P",IF(COUNTIFS('Time Off Log'!$A$5:$A$504,$B24,'Time Off Log'!$C$5:$C$504,"&lt;="&amp;F$5,'Time Off Log'!$J$5:$J$504,"&gt;="&amp;F$5,'Time Off Log'!$B$5:$B$504,"Sick",'Time Off Log'!$E$5:$E$504,"Approved")&gt;0,"S",IF(COUNTIFS('Time Off Log'!$A$5:$A$504,$B24,'Time Off Log'!$C$5:$C$504,"&lt;="&amp;F$5,'Time Off Log'!$J$5:$J$504,"&gt;="&amp;F$5,'Time Off Log'!$E$5:$E$504,"Approved")&gt;0,"U",IF(COUNTIFS('Time Off Log'!$A$5:$A$504,$B24,'Time Off Log'!$C$5:$C$504,"&lt;="&amp;F$5,'Time Off Log'!$J$5:$J$504,"&gt;="&amp;F$5,'Time Off Log'!$E$5:$E$504,"Pending")&gt;0,"?",""))))))</f>
        <v/>
      </c>
      <c r="G24" s="44">
        <f>IF(OR(G$5="",$B24=""),"",IF(OR(WEEKDAY(G$5,2)&gt;5,COUNTIF(Holidays!$A$5:$A$40,G$5)&gt;0),"",IF(COUNTIFS('Time Off Log'!$A$5:$A$504,$B24,'Time Off Log'!$C$5:$C$504,"&lt;="&amp;G$5,'Time Off Log'!$J$5:$J$504,"&gt;="&amp;G$5,'Time Off Log'!$B$5:$B$504,"PTO",'Time Off Log'!$E$5:$E$504,"Approved")&gt;0,"P",IF(COUNTIFS('Time Off Log'!$A$5:$A$504,$B24,'Time Off Log'!$C$5:$C$504,"&lt;="&amp;G$5,'Time Off Log'!$J$5:$J$504,"&gt;="&amp;G$5,'Time Off Log'!$B$5:$B$504,"Sick",'Time Off Log'!$E$5:$E$504,"Approved")&gt;0,"S",IF(COUNTIFS('Time Off Log'!$A$5:$A$504,$B24,'Time Off Log'!$C$5:$C$504,"&lt;="&amp;G$5,'Time Off Log'!$J$5:$J$504,"&gt;="&amp;G$5,'Time Off Log'!$E$5:$E$504,"Approved")&gt;0,"U",IF(COUNTIFS('Time Off Log'!$A$5:$A$504,$B24,'Time Off Log'!$C$5:$C$504,"&lt;="&amp;G$5,'Time Off Log'!$J$5:$J$504,"&gt;="&amp;G$5,'Time Off Log'!$E$5:$E$504,"Pending")&gt;0,"?",""))))))</f>
        <v/>
      </c>
      <c r="H24" s="44">
        <f>IF(OR(H$5="",$B24=""),"",IF(OR(WEEKDAY(H$5,2)&gt;5,COUNTIF(Holidays!$A$5:$A$40,H$5)&gt;0),"",IF(COUNTIFS('Time Off Log'!$A$5:$A$504,$B24,'Time Off Log'!$C$5:$C$504,"&lt;="&amp;H$5,'Time Off Log'!$J$5:$J$504,"&gt;="&amp;H$5,'Time Off Log'!$B$5:$B$504,"PTO",'Time Off Log'!$E$5:$E$504,"Approved")&gt;0,"P",IF(COUNTIFS('Time Off Log'!$A$5:$A$504,$B24,'Time Off Log'!$C$5:$C$504,"&lt;="&amp;H$5,'Time Off Log'!$J$5:$J$504,"&gt;="&amp;H$5,'Time Off Log'!$B$5:$B$504,"Sick",'Time Off Log'!$E$5:$E$504,"Approved")&gt;0,"S",IF(COUNTIFS('Time Off Log'!$A$5:$A$504,$B24,'Time Off Log'!$C$5:$C$504,"&lt;="&amp;H$5,'Time Off Log'!$J$5:$J$504,"&gt;="&amp;H$5,'Time Off Log'!$E$5:$E$504,"Approved")&gt;0,"U",IF(COUNTIFS('Time Off Log'!$A$5:$A$504,$B24,'Time Off Log'!$C$5:$C$504,"&lt;="&amp;H$5,'Time Off Log'!$J$5:$J$504,"&gt;="&amp;H$5,'Time Off Log'!$E$5:$E$504,"Pending")&gt;0,"?",""))))))</f>
        <v/>
      </c>
      <c r="I24" s="44">
        <f>IF(OR(I$5="",$B24=""),"",IF(OR(WEEKDAY(I$5,2)&gt;5,COUNTIF(Holidays!$A$5:$A$40,I$5)&gt;0),"",IF(COUNTIFS('Time Off Log'!$A$5:$A$504,$B24,'Time Off Log'!$C$5:$C$504,"&lt;="&amp;I$5,'Time Off Log'!$J$5:$J$504,"&gt;="&amp;I$5,'Time Off Log'!$B$5:$B$504,"PTO",'Time Off Log'!$E$5:$E$504,"Approved")&gt;0,"P",IF(COUNTIFS('Time Off Log'!$A$5:$A$504,$B24,'Time Off Log'!$C$5:$C$504,"&lt;="&amp;I$5,'Time Off Log'!$J$5:$J$504,"&gt;="&amp;I$5,'Time Off Log'!$B$5:$B$504,"Sick",'Time Off Log'!$E$5:$E$504,"Approved")&gt;0,"S",IF(COUNTIFS('Time Off Log'!$A$5:$A$504,$B24,'Time Off Log'!$C$5:$C$504,"&lt;="&amp;I$5,'Time Off Log'!$J$5:$J$504,"&gt;="&amp;I$5,'Time Off Log'!$E$5:$E$504,"Approved")&gt;0,"U",IF(COUNTIFS('Time Off Log'!$A$5:$A$504,$B24,'Time Off Log'!$C$5:$C$504,"&lt;="&amp;I$5,'Time Off Log'!$J$5:$J$504,"&gt;="&amp;I$5,'Time Off Log'!$E$5:$E$504,"Pending")&gt;0,"?",""))))))</f>
        <v/>
      </c>
      <c r="J24" s="44">
        <f>IF(OR(J$5="",$B24=""),"",IF(OR(WEEKDAY(J$5,2)&gt;5,COUNTIF(Holidays!$A$5:$A$40,J$5)&gt;0),"",IF(COUNTIFS('Time Off Log'!$A$5:$A$504,$B24,'Time Off Log'!$C$5:$C$504,"&lt;="&amp;J$5,'Time Off Log'!$J$5:$J$504,"&gt;="&amp;J$5,'Time Off Log'!$B$5:$B$504,"PTO",'Time Off Log'!$E$5:$E$504,"Approved")&gt;0,"P",IF(COUNTIFS('Time Off Log'!$A$5:$A$504,$B24,'Time Off Log'!$C$5:$C$504,"&lt;="&amp;J$5,'Time Off Log'!$J$5:$J$504,"&gt;="&amp;J$5,'Time Off Log'!$B$5:$B$504,"Sick",'Time Off Log'!$E$5:$E$504,"Approved")&gt;0,"S",IF(COUNTIFS('Time Off Log'!$A$5:$A$504,$B24,'Time Off Log'!$C$5:$C$504,"&lt;="&amp;J$5,'Time Off Log'!$J$5:$J$504,"&gt;="&amp;J$5,'Time Off Log'!$E$5:$E$504,"Approved")&gt;0,"U",IF(COUNTIFS('Time Off Log'!$A$5:$A$504,$B24,'Time Off Log'!$C$5:$C$504,"&lt;="&amp;J$5,'Time Off Log'!$J$5:$J$504,"&gt;="&amp;J$5,'Time Off Log'!$E$5:$E$504,"Pending")&gt;0,"?",""))))))</f>
        <v/>
      </c>
      <c r="K24" s="44">
        <f>IF(OR(K$5="",$B24=""),"",IF(OR(WEEKDAY(K$5,2)&gt;5,COUNTIF(Holidays!$A$5:$A$40,K$5)&gt;0),"",IF(COUNTIFS('Time Off Log'!$A$5:$A$504,$B24,'Time Off Log'!$C$5:$C$504,"&lt;="&amp;K$5,'Time Off Log'!$J$5:$J$504,"&gt;="&amp;K$5,'Time Off Log'!$B$5:$B$504,"PTO",'Time Off Log'!$E$5:$E$504,"Approved")&gt;0,"P",IF(COUNTIFS('Time Off Log'!$A$5:$A$504,$B24,'Time Off Log'!$C$5:$C$504,"&lt;="&amp;K$5,'Time Off Log'!$J$5:$J$504,"&gt;="&amp;K$5,'Time Off Log'!$B$5:$B$504,"Sick",'Time Off Log'!$E$5:$E$504,"Approved")&gt;0,"S",IF(COUNTIFS('Time Off Log'!$A$5:$A$504,$B24,'Time Off Log'!$C$5:$C$504,"&lt;="&amp;K$5,'Time Off Log'!$J$5:$J$504,"&gt;="&amp;K$5,'Time Off Log'!$E$5:$E$504,"Approved")&gt;0,"U",IF(COUNTIFS('Time Off Log'!$A$5:$A$504,$B24,'Time Off Log'!$C$5:$C$504,"&lt;="&amp;K$5,'Time Off Log'!$J$5:$J$504,"&gt;="&amp;K$5,'Time Off Log'!$E$5:$E$504,"Pending")&gt;0,"?",""))))))</f>
        <v/>
      </c>
      <c r="L24" s="44">
        <f>IF(OR(L$5="",$B24=""),"",IF(OR(WEEKDAY(L$5,2)&gt;5,COUNTIF(Holidays!$A$5:$A$40,L$5)&gt;0),"",IF(COUNTIFS('Time Off Log'!$A$5:$A$504,$B24,'Time Off Log'!$C$5:$C$504,"&lt;="&amp;L$5,'Time Off Log'!$J$5:$J$504,"&gt;="&amp;L$5,'Time Off Log'!$B$5:$B$504,"PTO",'Time Off Log'!$E$5:$E$504,"Approved")&gt;0,"P",IF(COUNTIFS('Time Off Log'!$A$5:$A$504,$B24,'Time Off Log'!$C$5:$C$504,"&lt;="&amp;L$5,'Time Off Log'!$J$5:$J$504,"&gt;="&amp;L$5,'Time Off Log'!$B$5:$B$504,"Sick",'Time Off Log'!$E$5:$E$504,"Approved")&gt;0,"S",IF(COUNTIFS('Time Off Log'!$A$5:$A$504,$B24,'Time Off Log'!$C$5:$C$504,"&lt;="&amp;L$5,'Time Off Log'!$J$5:$J$504,"&gt;="&amp;L$5,'Time Off Log'!$E$5:$E$504,"Approved")&gt;0,"U",IF(COUNTIFS('Time Off Log'!$A$5:$A$504,$B24,'Time Off Log'!$C$5:$C$504,"&lt;="&amp;L$5,'Time Off Log'!$J$5:$J$504,"&gt;="&amp;L$5,'Time Off Log'!$E$5:$E$504,"Pending")&gt;0,"?",""))))))</f>
        <v/>
      </c>
      <c r="M24" s="44">
        <f>IF(OR(M$5="",$B24=""),"",IF(OR(WEEKDAY(M$5,2)&gt;5,COUNTIF(Holidays!$A$5:$A$40,M$5)&gt;0),"",IF(COUNTIFS('Time Off Log'!$A$5:$A$504,$B24,'Time Off Log'!$C$5:$C$504,"&lt;="&amp;M$5,'Time Off Log'!$J$5:$J$504,"&gt;="&amp;M$5,'Time Off Log'!$B$5:$B$504,"PTO",'Time Off Log'!$E$5:$E$504,"Approved")&gt;0,"P",IF(COUNTIFS('Time Off Log'!$A$5:$A$504,$B24,'Time Off Log'!$C$5:$C$504,"&lt;="&amp;M$5,'Time Off Log'!$J$5:$J$504,"&gt;="&amp;M$5,'Time Off Log'!$B$5:$B$504,"Sick",'Time Off Log'!$E$5:$E$504,"Approved")&gt;0,"S",IF(COUNTIFS('Time Off Log'!$A$5:$A$504,$B24,'Time Off Log'!$C$5:$C$504,"&lt;="&amp;M$5,'Time Off Log'!$J$5:$J$504,"&gt;="&amp;M$5,'Time Off Log'!$E$5:$E$504,"Approved")&gt;0,"U",IF(COUNTIFS('Time Off Log'!$A$5:$A$504,$B24,'Time Off Log'!$C$5:$C$504,"&lt;="&amp;M$5,'Time Off Log'!$J$5:$J$504,"&gt;="&amp;M$5,'Time Off Log'!$E$5:$E$504,"Pending")&gt;0,"?",""))))))</f>
        <v/>
      </c>
      <c r="N24" s="44">
        <f>IF(OR(N$5="",$B24=""),"",IF(OR(WEEKDAY(N$5,2)&gt;5,COUNTIF(Holidays!$A$5:$A$40,N$5)&gt;0),"",IF(COUNTIFS('Time Off Log'!$A$5:$A$504,$B24,'Time Off Log'!$C$5:$C$504,"&lt;="&amp;N$5,'Time Off Log'!$J$5:$J$504,"&gt;="&amp;N$5,'Time Off Log'!$B$5:$B$504,"PTO",'Time Off Log'!$E$5:$E$504,"Approved")&gt;0,"P",IF(COUNTIFS('Time Off Log'!$A$5:$A$504,$B24,'Time Off Log'!$C$5:$C$504,"&lt;="&amp;N$5,'Time Off Log'!$J$5:$J$504,"&gt;="&amp;N$5,'Time Off Log'!$B$5:$B$504,"Sick",'Time Off Log'!$E$5:$E$504,"Approved")&gt;0,"S",IF(COUNTIFS('Time Off Log'!$A$5:$A$504,$B24,'Time Off Log'!$C$5:$C$504,"&lt;="&amp;N$5,'Time Off Log'!$J$5:$J$504,"&gt;="&amp;N$5,'Time Off Log'!$E$5:$E$504,"Approved")&gt;0,"U",IF(COUNTIFS('Time Off Log'!$A$5:$A$504,$B24,'Time Off Log'!$C$5:$C$504,"&lt;="&amp;N$5,'Time Off Log'!$J$5:$J$504,"&gt;="&amp;N$5,'Time Off Log'!$E$5:$E$504,"Pending")&gt;0,"?",""))))))</f>
        <v/>
      </c>
      <c r="O24" s="44">
        <f>IF(OR(O$5="",$B24=""),"",IF(OR(WEEKDAY(O$5,2)&gt;5,COUNTIF(Holidays!$A$5:$A$40,O$5)&gt;0),"",IF(COUNTIFS('Time Off Log'!$A$5:$A$504,$B24,'Time Off Log'!$C$5:$C$504,"&lt;="&amp;O$5,'Time Off Log'!$J$5:$J$504,"&gt;="&amp;O$5,'Time Off Log'!$B$5:$B$504,"PTO",'Time Off Log'!$E$5:$E$504,"Approved")&gt;0,"P",IF(COUNTIFS('Time Off Log'!$A$5:$A$504,$B24,'Time Off Log'!$C$5:$C$504,"&lt;="&amp;O$5,'Time Off Log'!$J$5:$J$504,"&gt;="&amp;O$5,'Time Off Log'!$B$5:$B$504,"Sick",'Time Off Log'!$E$5:$E$504,"Approved")&gt;0,"S",IF(COUNTIFS('Time Off Log'!$A$5:$A$504,$B24,'Time Off Log'!$C$5:$C$504,"&lt;="&amp;O$5,'Time Off Log'!$J$5:$J$504,"&gt;="&amp;O$5,'Time Off Log'!$E$5:$E$504,"Approved")&gt;0,"U",IF(COUNTIFS('Time Off Log'!$A$5:$A$504,$B24,'Time Off Log'!$C$5:$C$504,"&lt;="&amp;O$5,'Time Off Log'!$J$5:$J$504,"&gt;="&amp;O$5,'Time Off Log'!$E$5:$E$504,"Pending")&gt;0,"?",""))))))</f>
        <v/>
      </c>
      <c r="P24" s="44">
        <f>IF(OR(P$5="",$B24=""),"",IF(OR(WEEKDAY(P$5,2)&gt;5,COUNTIF(Holidays!$A$5:$A$40,P$5)&gt;0),"",IF(COUNTIFS('Time Off Log'!$A$5:$A$504,$B24,'Time Off Log'!$C$5:$C$504,"&lt;="&amp;P$5,'Time Off Log'!$J$5:$J$504,"&gt;="&amp;P$5,'Time Off Log'!$B$5:$B$504,"PTO",'Time Off Log'!$E$5:$E$504,"Approved")&gt;0,"P",IF(COUNTIFS('Time Off Log'!$A$5:$A$504,$B24,'Time Off Log'!$C$5:$C$504,"&lt;="&amp;P$5,'Time Off Log'!$J$5:$J$504,"&gt;="&amp;P$5,'Time Off Log'!$B$5:$B$504,"Sick",'Time Off Log'!$E$5:$E$504,"Approved")&gt;0,"S",IF(COUNTIFS('Time Off Log'!$A$5:$A$504,$B24,'Time Off Log'!$C$5:$C$504,"&lt;="&amp;P$5,'Time Off Log'!$J$5:$J$504,"&gt;="&amp;P$5,'Time Off Log'!$E$5:$E$504,"Approved")&gt;0,"U",IF(COUNTIFS('Time Off Log'!$A$5:$A$504,$B24,'Time Off Log'!$C$5:$C$504,"&lt;="&amp;P$5,'Time Off Log'!$J$5:$J$504,"&gt;="&amp;P$5,'Time Off Log'!$E$5:$E$504,"Pending")&gt;0,"?",""))))))</f>
        <v/>
      </c>
      <c r="Q24" s="44">
        <f>IF(OR(Q$5="",$B24=""),"",IF(OR(WEEKDAY(Q$5,2)&gt;5,COUNTIF(Holidays!$A$5:$A$40,Q$5)&gt;0),"",IF(COUNTIFS('Time Off Log'!$A$5:$A$504,$B24,'Time Off Log'!$C$5:$C$504,"&lt;="&amp;Q$5,'Time Off Log'!$J$5:$J$504,"&gt;="&amp;Q$5,'Time Off Log'!$B$5:$B$504,"PTO",'Time Off Log'!$E$5:$E$504,"Approved")&gt;0,"P",IF(COUNTIFS('Time Off Log'!$A$5:$A$504,$B24,'Time Off Log'!$C$5:$C$504,"&lt;="&amp;Q$5,'Time Off Log'!$J$5:$J$504,"&gt;="&amp;Q$5,'Time Off Log'!$B$5:$B$504,"Sick",'Time Off Log'!$E$5:$E$504,"Approved")&gt;0,"S",IF(COUNTIFS('Time Off Log'!$A$5:$A$504,$B24,'Time Off Log'!$C$5:$C$504,"&lt;="&amp;Q$5,'Time Off Log'!$J$5:$J$504,"&gt;="&amp;Q$5,'Time Off Log'!$E$5:$E$504,"Approved")&gt;0,"U",IF(COUNTIFS('Time Off Log'!$A$5:$A$504,$B24,'Time Off Log'!$C$5:$C$504,"&lt;="&amp;Q$5,'Time Off Log'!$J$5:$J$504,"&gt;="&amp;Q$5,'Time Off Log'!$E$5:$E$504,"Pending")&gt;0,"?",""))))))</f>
        <v/>
      </c>
      <c r="R24" s="44">
        <f>IF(OR(R$5="",$B24=""),"",IF(OR(WEEKDAY(R$5,2)&gt;5,COUNTIF(Holidays!$A$5:$A$40,R$5)&gt;0),"",IF(COUNTIFS('Time Off Log'!$A$5:$A$504,$B24,'Time Off Log'!$C$5:$C$504,"&lt;="&amp;R$5,'Time Off Log'!$J$5:$J$504,"&gt;="&amp;R$5,'Time Off Log'!$B$5:$B$504,"PTO",'Time Off Log'!$E$5:$E$504,"Approved")&gt;0,"P",IF(COUNTIFS('Time Off Log'!$A$5:$A$504,$B24,'Time Off Log'!$C$5:$C$504,"&lt;="&amp;R$5,'Time Off Log'!$J$5:$J$504,"&gt;="&amp;R$5,'Time Off Log'!$B$5:$B$504,"Sick",'Time Off Log'!$E$5:$E$504,"Approved")&gt;0,"S",IF(COUNTIFS('Time Off Log'!$A$5:$A$504,$B24,'Time Off Log'!$C$5:$C$504,"&lt;="&amp;R$5,'Time Off Log'!$J$5:$J$504,"&gt;="&amp;R$5,'Time Off Log'!$E$5:$E$504,"Approved")&gt;0,"U",IF(COUNTIFS('Time Off Log'!$A$5:$A$504,$B24,'Time Off Log'!$C$5:$C$504,"&lt;="&amp;R$5,'Time Off Log'!$J$5:$J$504,"&gt;="&amp;R$5,'Time Off Log'!$E$5:$E$504,"Pending")&gt;0,"?",""))))))</f>
        <v/>
      </c>
      <c r="S24" s="44">
        <f>IF(OR(S$5="",$B24=""),"",IF(OR(WEEKDAY(S$5,2)&gt;5,COUNTIF(Holidays!$A$5:$A$40,S$5)&gt;0),"",IF(COUNTIFS('Time Off Log'!$A$5:$A$504,$B24,'Time Off Log'!$C$5:$C$504,"&lt;="&amp;S$5,'Time Off Log'!$J$5:$J$504,"&gt;="&amp;S$5,'Time Off Log'!$B$5:$B$504,"PTO",'Time Off Log'!$E$5:$E$504,"Approved")&gt;0,"P",IF(COUNTIFS('Time Off Log'!$A$5:$A$504,$B24,'Time Off Log'!$C$5:$C$504,"&lt;="&amp;S$5,'Time Off Log'!$J$5:$J$504,"&gt;="&amp;S$5,'Time Off Log'!$B$5:$B$504,"Sick",'Time Off Log'!$E$5:$E$504,"Approved")&gt;0,"S",IF(COUNTIFS('Time Off Log'!$A$5:$A$504,$B24,'Time Off Log'!$C$5:$C$504,"&lt;="&amp;S$5,'Time Off Log'!$J$5:$J$504,"&gt;="&amp;S$5,'Time Off Log'!$E$5:$E$504,"Approved")&gt;0,"U",IF(COUNTIFS('Time Off Log'!$A$5:$A$504,$B24,'Time Off Log'!$C$5:$C$504,"&lt;="&amp;S$5,'Time Off Log'!$J$5:$J$504,"&gt;="&amp;S$5,'Time Off Log'!$E$5:$E$504,"Pending")&gt;0,"?",""))))))</f>
        <v/>
      </c>
      <c r="T24" s="44">
        <f>IF(OR(T$5="",$B24=""),"",IF(OR(WEEKDAY(T$5,2)&gt;5,COUNTIF(Holidays!$A$5:$A$40,T$5)&gt;0),"",IF(COUNTIFS('Time Off Log'!$A$5:$A$504,$B24,'Time Off Log'!$C$5:$C$504,"&lt;="&amp;T$5,'Time Off Log'!$J$5:$J$504,"&gt;="&amp;T$5,'Time Off Log'!$B$5:$B$504,"PTO",'Time Off Log'!$E$5:$E$504,"Approved")&gt;0,"P",IF(COUNTIFS('Time Off Log'!$A$5:$A$504,$B24,'Time Off Log'!$C$5:$C$504,"&lt;="&amp;T$5,'Time Off Log'!$J$5:$J$504,"&gt;="&amp;T$5,'Time Off Log'!$B$5:$B$504,"Sick",'Time Off Log'!$E$5:$E$504,"Approved")&gt;0,"S",IF(COUNTIFS('Time Off Log'!$A$5:$A$504,$B24,'Time Off Log'!$C$5:$C$504,"&lt;="&amp;T$5,'Time Off Log'!$J$5:$J$504,"&gt;="&amp;T$5,'Time Off Log'!$E$5:$E$504,"Approved")&gt;0,"U",IF(COUNTIFS('Time Off Log'!$A$5:$A$504,$B24,'Time Off Log'!$C$5:$C$504,"&lt;="&amp;T$5,'Time Off Log'!$J$5:$J$504,"&gt;="&amp;T$5,'Time Off Log'!$E$5:$E$504,"Pending")&gt;0,"?",""))))))</f>
        <v/>
      </c>
      <c r="U24" s="44">
        <f>IF(OR(U$5="",$B24=""),"",IF(OR(WEEKDAY(U$5,2)&gt;5,COUNTIF(Holidays!$A$5:$A$40,U$5)&gt;0),"",IF(COUNTIFS('Time Off Log'!$A$5:$A$504,$B24,'Time Off Log'!$C$5:$C$504,"&lt;="&amp;U$5,'Time Off Log'!$J$5:$J$504,"&gt;="&amp;U$5,'Time Off Log'!$B$5:$B$504,"PTO",'Time Off Log'!$E$5:$E$504,"Approved")&gt;0,"P",IF(COUNTIFS('Time Off Log'!$A$5:$A$504,$B24,'Time Off Log'!$C$5:$C$504,"&lt;="&amp;U$5,'Time Off Log'!$J$5:$J$504,"&gt;="&amp;U$5,'Time Off Log'!$B$5:$B$504,"Sick",'Time Off Log'!$E$5:$E$504,"Approved")&gt;0,"S",IF(COUNTIFS('Time Off Log'!$A$5:$A$504,$B24,'Time Off Log'!$C$5:$C$504,"&lt;="&amp;U$5,'Time Off Log'!$J$5:$J$504,"&gt;="&amp;U$5,'Time Off Log'!$E$5:$E$504,"Approved")&gt;0,"U",IF(COUNTIFS('Time Off Log'!$A$5:$A$504,$B24,'Time Off Log'!$C$5:$C$504,"&lt;="&amp;U$5,'Time Off Log'!$J$5:$J$504,"&gt;="&amp;U$5,'Time Off Log'!$E$5:$E$504,"Pending")&gt;0,"?",""))))))</f>
        <v/>
      </c>
      <c r="V24" s="44">
        <f>IF(OR(V$5="",$B24=""),"",IF(OR(WEEKDAY(V$5,2)&gt;5,COUNTIF(Holidays!$A$5:$A$40,V$5)&gt;0),"",IF(COUNTIFS('Time Off Log'!$A$5:$A$504,$B24,'Time Off Log'!$C$5:$C$504,"&lt;="&amp;V$5,'Time Off Log'!$J$5:$J$504,"&gt;="&amp;V$5,'Time Off Log'!$B$5:$B$504,"PTO",'Time Off Log'!$E$5:$E$504,"Approved")&gt;0,"P",IF(COUNTIFS('Time Off Log'!$A$5:$A$504,$B24,'Time Off Log'!$C$5:$C$504,"&lt;="&amp;V$5,'Time Off Log'!$J$5:$J$504,"&gt;="&amp;V$5,'Time Off Log'!$B$5:$B$504,"Sick",'Time Off Log'!$E$5:$E$504,"Approved")&gt;0,"S",IF(COUNTIFS('Time Off Log'!$A$5:$A$504,$B24,'Time Off Log'!$C$5:$C$504,"&lt;="&amp;V$5,'Time Off Log'!$J$5:$J$504,"&gt;="&amp;V$5,'Time Off Log'!$E$5:$E$504,"Approved")&gt;0,"U",IF(COUNTIFS('Time Off Log'!$A$5:$A$504,$B24,'Time Off Log'!$C$5:$C$504,"&lt;="&amp;V$5,'Time Off Log'!$J$5:$J$504,"&gt;="&amp;V$5,'Time Off Log'!$E$5:$E$504,"Pending")&gt;0,"?",""))))))</f>
        <v/>
      </c>
      <c r="W24" s="44">
        <f>IF(OR(W$5="",$B24=""),"",IF(OR(WEEKDAY(W$5,2)&gt;5,COUNTIF(Holidays!$A$5:$A$40,W$5)&gt;0),"",IF(COUNTIFS('Time Off Log'!$A$5:$A$504,$B24,'Time Off Log'!$C$5:$C$504,"&lt;="&amp;W$5,'Time Off Log'!$J$5:$J$504,"&gt;="&amp;W$5,'Time Off Log'!$B$5:$B$504,"PTO",'Time Off Log'!$E$5:$E$504,"Approved")&gt;0,"P",IF(COUNTIFS('Time Off Log'!$A$5:$A$504,$B24,'Time Off Log'!$C$5:$C$504,"&lt;="&amp;W$5,'Time Off Log'!$J$5:$J$504,"&gt;="&amp;W$5,'Time Off Log'!$B$5:$B$504,"Sick",'Time Off Log'!$E$5:$E$504,"Approved")&gt;0,"S",IF(COUNTIFS('Time Off Log'!$A$5:$A$504,$B24,'Time Off Log'!$C$5:$C$504,"&lt;="&amp;W$5,'Time Off Log'!$J$5:$J$504,"&gt;="&amp;W$5,'Time Off Log'!$E$5:$E$504,"Approved")&gt;0,"U",IF(COUNTIFS('Time Off Log'!$A$5:$A$504,$B24,'Time Off Log'!$C$5:$C$504,"&lt;="&amp;W$5,'Time Off Log'!$J$5:$J$504,"&gt;="&amp;W$5,'Time Off Log'!$E$5:$E$504,"Pending")&gt;0,"?",""))))))</f>
        <v/>
      </c>
      <c r="X24" s="44">
        <f>IF(OR(X$5="",$B24=""),"",IF(OR(WEEKDAY(X$5,2)&gt;5,COUNTIF(Holidays!$A$5:$A$40,X$5)&gt;0),"",IF(COUNTIFS('Time Off Log'!$A$5:$A$504,$B24,'Time Off Log'!$C$5:$C$504,"&lt;="&amp;X$5,'Time Off Log'!$J$5:$J$504,"&gt;="&amp;X$5,'Time Off Log'!$B$5:$B$504,"PTO",'Time Off Log'!$E$5:$E$504,"Approved")&gt;0,"P",IF(COUNTIFS('Time Off Log'!$A$5:$A$504,$B24,'Time Off Log'!$C$5:$C$504,"&lt;="&amp;X$5,'Time Off Log'!$J$5:$J$504,"&gt;="&amp;X$5,'Time Off Log'!$B$5:$B$504,"Sick",'Time Off Log'!$E$5:$E$504,"Approved")&gt;0,"S",IF(COUNTIFS('Time Off Log'!$A$5:$A$504,$B24,'Time Off Log'!$C$5:$C$504,"&lt;="&amp;X$5,'Time Off Log'!$J$5:$J$504,"&gt;="&amp;X$5,'Time Off Log'!$E$5:$E$504,"Approved")&gt;0,"U",IF(COUNTIFS('Time Off Log'!$A$5:$A$504,$B24,'Time Off Log'!$C$5:$C$504,"&lt;="&amp;X$5,'Time Off Log'!$J$5:$J$504,"&gt;="&amp;X$5,'Time Off Log'!$E$5:$E$504,"Pending")&gt;0,"?",""))))))</f>
        <v/>
      </c>
      <c r="Y24" s="44">
        <f>IF(OR(Y$5="",$B24=""),"",IF(OR(WEEKDAY(Y$5,2)&gt;5,COUNTIF(Holidays!$A$5:$A$40,Y$5)&gt;0),"",IF(COUNTIFS('Time Off Log'!$A$5:$A$504,$B24,'Time Off Log'!$C$5:$C$504,"&lt;="&amp;Y$5,'Time Off Log'!$J$5:$J$504,"&gt;="&amp;Y$5,'Time Off Log'!$B$5:$B$504,"PTO",'Time Off Log'!$E$5:$E$504,"Approved")&gt;0,"P",IF(COUNTIFS('Time Off Log'!$A$5:$A$504,$B24,'Time Off Log'!$C$5:$C$504,"&lt;="&amp;Y$5,'Time Off Log'!$J$5:$J$504,"&gt;="&amp;Y$5,'Time Off Log'!$B$5:$B$504,"Sick",'Time Off Log'!$E$5:$E$504,"Approved")&gt;0,"S",IF(COUNTIFS('Time Off Log'!$A$5:$A$504,$B24,'Time Off Log'!$C$5:$C$504,"&lt;="&amp;Y$5,'Time Off Log'!$J$5:$J$504,"&gt;="&amp;Y$5,'Time Off Log'!$E$5:$E$504,"Approved")&gt;0,"U",IF(COUNTIFS('Time Off Log'!$A$5:$A$504,$B24,'Time Off Log'!$C$5:$C$504,"&lt;="&amp;Y$5,'Time Off Log'!$J$5:$J$504,"&gt;="&amp;Y$5,'Time Off Log'!$E$5:$E$504,"Pending")&gt;0,"?",""))))))</f>
        <v/>
      </c>
      <c r="Z24" s="44">
        <f>IF(OR(Z$5="",$B24=""),"",IF(OR(WEEKDAY(Z$5,2)&gt;5,COUNTIF(Holidays!$A$5:$A$40,Z$5)&gt;0),"",IF(COUNTIFS('Time Off Log'!$A$5:$A$504,$B24,'Time Off Log'!$C$5:$C$504,"&lt;="&amp;Z$5,'Time Off Log'!$J$5:$J$504,"&gt;="&amp;Z$5,'Time Off Log'!$B$5:$B$504,"PTO",'Time Off Log'!$E$5:$E$504,"Approved")&gt;0,"P",IF(COUNTIFS('Time Off Log'!$A$5:$A$504,$B24,'Time Off Log'!$C$5:$C$504,"&lt;="&amp;Z$5,'Time Off Log'!$J$5:$J$504,"&gt;="&amp;Z$5,'Time Off Log'!$B$5:$B$504,"Sick",'Time Off Log'!$E$5:$E$504,"Approved")&gt;0,"S",IF(COUNTIFS('Time Off Log'!$A$5:$A$504,$B24,'Time Off Log'!$C$5:$C$504,"&lt;="&amp;Z$5,'Time Off Log'!$J$5:$J$504,"&gt;="&amp;Z$5,'Time Off Log'!$E$5:$E$504,"Approved")&gt;0,"U",IF(COUNTIFS('Time Off Log'!$A$5:$A$504,$B24,'Time Off Log'!$C$5:$C$504,"&lt;="&amp;Z$5,'Time Off Log'!$J$5:$J$504,"&gt;="&amp;Z$5,'Time Off Log'!$E$5:$E$504,"Pending")&gt;0,"?",""))))))</f>
        <v/>
      </c>
      <c r="AA24" s="44">
        <f>IF(OR(AA$5="",$B24=""),"",IF(OR(WEEKDAY(AA$5,2)&gt;5,COUNTIF(Holidays!$A$5:$A$40,AA$5)&gt;0),"",IF(COUNTIFS('Time Off Log'!$A$5:$A$504,$B24,'Time Off Log'!$C$5:$C$504,"&lt;="&amp;AA$5,'Time Off Log'!$J$5:$J$504,"&gt;="&amp;AA$5,'Time Off Log'!$B$5:$B$504,"PTO",'Time Off Log'!$E$5:$E$504,"Approved")&gt;0,"P",IF(COUNTIFS('Time Off Log'!$A$5:$A$504,$B24,'Time Off Log'!$C$5:$C$504,"&lt;="&amp;AA$5,'Time Off Log'!$J$5:$J$504,"&gt;="&amp;AA$5,'Time Off Log'!$B$5:$B$504,"Sick",'Time Off Log'!$E$5:$E$504,"Approved")&gt;0,"S",IF(COUNTIFS('Time Off Log'!$A$5:$A$504,$B24,'Time Off Log'!$C$5:$C$504,"&lt;="&amp;AA$5,'Time Off Log'!$J$5:$J$504,"&gt;="&amp;AA$5,'Time Off Log'!$E$5:$E$504,"Approved")&gt;0,"U",IF(COUNTIFS('Time Off Log'!$A$5:$A$504,$B24,'Time Off Log'!$C$5:$C$504,"&lt;="&amp;AA$5,'Time Off Log'!$J$5:$J$504,"&gt;="&amp;AA$5,'Time Off Log'!$E$5:$E$504,"Pending")&gt;0,"?",""))))))</f>
        <v/>
      </c>
      <c r="AB24" s="44">
        <f>IF(OR(AB$5="",$B24=""),"",IF(OR(WEEKDAY(AB$5,2)&gt;5,COUNTIF(Holidays!$A$5:$A$40,AB$5)&gt;0),"",IF(COUNTIFS('Time Off Log'!$A$5:$A$504,$B24,'Time Off Log'!$C$5:$C$504,"&lt;="&amp;AB$5,'Time Off Log'!$J$5:$J$504,"&gt;="&amp;AB$5,'Time Off Log'!$B$5:$B$504,"PTO",'Time Off Log'!$E$5:$E$504,"Approved")&gt;0,"P",IF(COUNTIFS('Time Off Log'!$A$5:$A$504,$B24,'Time Off Log'!$C$5:$C$504,"&lt;="&amp;AB$5,'Time Off Log'!$J$5:$J$504,"&gt;="&amp;AB$5,'Time Off Log'!$B$5:$B$504,"Sick",'Time Off Log'!$E$5:$E$504,"Approved")&gt;0,"S",IF(COUNTIFS('Time Off Log'!$A$5:$A$504,$B24,'Time Off Log'!$C$5:$C$504,"&lt;="&amp;AB$5,'Time Off Log'!$J$5:$J$504,"&gt;="&amp;AB$5,'Time Off Log'!$E$5:$E$504,"Approved")&gt;0,"U",IF(COUNTIFS('Time Off Log'!$A$5:$A$504,$B24,'Time Off Log'!$C$5:$C$504,"&lt;="&amp;AB$5,'Time Off Log'!$J$5:$J$504,"&gt;="&amp;AB$5,'Time Off Log'!$E$5:$E$504,"Pending")&gt;0,"?",""))))))</f>
        <v/>
      </c>
      <c r="AC24" s="44">
        <f>IF(OR(AC$5="",$B24=""),"",IF(OR(WEEKDAY(AC$5,2)&gt;5,COUNTIF(Holidays!$A$5:$A$40,AC$5)&gt;0),"",IF(COUNTIFS('Time Off Log'!$A$5:$A$504,$B24,'Time Off Log'!$C$5:$C$504,"&lt;="&amp;AC$5,'Time Off Log'!$J$5:$J$504,"&gt;="&amp;AC$5,'Time Off Log'!$B$5:$B$504,"PTO",'Time Off Log'!$E$5:$E$504,"Approved")&gt;0,"P",IF(COUNTIFS('Time Off Log'!$A$5:$A$504,$B24,'Time Off Log'!$C$5:$C$504,"&lt;="&amp;AC$5,'Time Off Log'!$J$5:$J$504,"&gt;="&amp;AC$5,'Time Off Log'!$B$5:$B$504,"Sick",'Time Off Log'!$E$5:$E$504,"Approved")&gt;0,"S",IF(COUNTIFS('Time Off Log'!$A$5:$A$504,$B24,'Time Off Log'!$C$5:$C$504,"&lt;="&amp;AC$5,'Time Off Log'!$J$5:$J$504,"&gt;="&amp;AC$5,'Time Off Log'!$E$5:$E$504,"Approved")&gt;0,"U",IF(COUNTIFS('Time Off Log'!$A$5:$A$504,$B24,'Time Off Log'!$C$5:$C$504,"&lt;="&amp;AC$5,'Time Off Log'!$J$5:$J$504,"&gt;="&amp;AC$5,'Time Off Log'!$E$5:$E$504,"Pending")&gt;0,"?",""))))))</f>
        <v/>
      </c>
      <c r="AD24" s="44">
        <f>IF(OR(AD$5="",$B24=""),"",IF(OR(WEEKDAY(AD$5,2)&gt;5,COUNTIF(Holidays!$A$5:$A$40,AD$5)&gt;0),"",IF(COUNTIFS('Time Off Log'!$A$5:$A$504,$B24,'Time Off Log'!$C$5:$C$504,"&lt;="&amp;AD$5,'Time Off Log'!$J$5:$J$504,"&gt;="&amp;AD$5,'Time Off Log'!$B$5:$B$504,"PTO",'Time Off Log'!$E$5:$E$504,"Approved")&gt;0,"P",IF(COUNTIFS('Time Off Log'!$A$5:$A$504,$B24,'Time Off Log'!$C$5:$C$504,"&lt;="&amp;AD$5,'Time Off Log'!$J$5:$J$504,"&gt;="&amp;AD$5,'Time Off Log'!$B$5:$B$504,"Sick",'Time Off Log'!$E$5:$E$504,"Approved")&gt;0,"S",IF(COUNTIFS('Time Off Log'!$A$5:$A$504,$B24,'Time Off Log'!$C$5:$C$504,"&lt;="&amp;AD$5,'Time Off Log'!$J$5:$J$504,"&gt;="&amp;AD$5,'Time Off Log'!$E$5:$E$504,"Approved")&gt;0,"U",IF(COUNTIFS('Time Off Log'!$A$5:$A$504,$B24,'Time Off Log'!$C$5:$C$504,"&lt;="&amp;AD$5,'Time Off Log'!$J$5:$J$504,"&gt;="&amp;AD$5,'Time Off Log'!$E$5:$E$504,"Pending")&gt;0,"?",""))))))</f>
        <v/>
      </c>
      <c r="AE24" s="44">
        <f>IF(OR(AE$5="",$B24=""),"",IF(OR(WEEKDAY(AE$5,2)&gt;5,COUNTIF(Holidays!$A$5:$A$40,AE$5)&gt;0),"",IF(COUNTIFS('Time Off Log'!$A$5:$A$504,$B24,'Time Off Log'!$C$5:$C$504,"&lt;="&amp;AE$5,'Time Off Log'!$J$5:$J$504,"&gt;="&amp;AE$5,'Time Off Log'!$B$5:$B$504,"PTO",'Time Off Log'!$E$5:$E$504,"Approved")&gt;0,"P",IF(COUNTIFS('Time Off Log'!$A$5:$A$504,$B24,'Time Off Log'!$C$5:$C$504,"&lt;="&amp;AE$5,'Time Off Log'!$J$5:$J$504,"&gt;="&amp;AE$5,'Time Off Log'!$B$5:$B$504,"Sick",'Time Off Log'!$E$5:$E$504,"Approved")&gt;0,"S",IF(COUNTIFS('Time Off Log'!$A$5:$A$504,$B24,'Time Off Log'!$C$5:$C$504,"&lt;="&amp;AE$5,'Time Off Log'!$J$5:$J$504,"&gt;="&amp;AE$5,'Time Off Log'!$E$5:$E$504,"Approved")&gt;0,"U",IF(COUNTIFS('Time Off Log'!$A$5:$A$504,$B24,'Time Off Log'!$C$5:$C$504,"&lt;="&amp;AE$5,'Time Off Log'!$J$5:$J$504,"&gt;="&amp;AE$5,'Time Off Log'!$E$5:$E$504,"Pending")&gt;0,"?",""))))))</f>
        <v/>
      </c>
      <c r="AF24" s="44">
        <f>IF(OR(AF$5="",$B24=""),"",IF(OR(WEEKDAY(AF$5,2)&gt;5,COUNTIF(Holidays!$A$5:$A$40,AF$5)&gt;0),"",IF(COUNTIFS('Time Off Log'!$A$5:$A$504,$B24,'Time Off Log'!$C$5:$C$504,"&lt;="&amp;AF$5,'Time Off Log'!$J$5:$J$504,"&gt;="&amp;AF$5,'Time Off Log'!$B$5:$B$504,"PTO",'Time Off Log'!$E$5:$E$504,"Approved")&gt;0,"P",IF(COUNTIFS('Time Off Log'!$A$5:$A$504,$B24,'Time Off Log'!$C$5:$C$504,"&lt;="&amp;AF$5,'Time Off Log'!$J$5:$J$504,"&gt;="&amp;AF$5,'Time Off Log'!$B$5:$B$504,"Sick",'Time Off Log'!$E$5:$E$504,"Approved")&gt;0,"S",IF(COUNTIFS('Time Off Log'!$A$5:$A$504,$B24,'Time Off Log'!$C$5:$C$504,"&lt;="&amp;AF$5,'Time Off Log'!$J$5:$J$504,"&gt;="&amp;AF$5,'Time Off Log'!$E$5:$E$504,"Approved")&gt;0,"U",IF(COUNTIFS('Time Off Log'!$A$5:$A$504,$B24,'Time Off Log'!$C$5:$C$504,"&lt;="&amp;AF$5,'Time Off Log'!$J$5:$J$504,"&gt;="&amp;AF$5,'Time Off Log'!$E$5:$E$504,"Pending")&gt;0,"?",""))))))</f>
        <v/>
      </c>
      <c r="AG24" s="44">
        <f>IF(OR(AG$5="",$B24=""),"",IF(OR(WEEKDAY(AG$5,2)&gt;5,COUNTIF(Holidays!$A$5:$A$40,AG$5)&gt;0),"",IF(COUNTIFS('Time Off Log'!$A$5:$A$504,$B24,'Time Off Log'!$C$5:$C$504,"&lt;="&amp;AG$5,'Time Off Log'!$J$5:$J$504,"&gt;="&amp;AG$5,'Time Off Log'!$B$5:$B$504,"PTO",'Time Off Log'!$E$5:$E$504,"Approved")&gt;0,"P",IF(COUNTIFS('Time Off Log'!$A$5:$A$504,$B24,'Time Off Log'!$C$5:$C$504,"&lt;="&amp;AG$5,'Time Off Log'!$J$5:$J$504,"&gt;="&amp;AG$5,'Time Off Log'!$B$5:$B$504,"Sick",'Time Off Log'!$E$5:$E$504,"Approved")&gt;0,"S",IF(COUNTIFS('Time Off Log'!$A$5:$A$504,$B24,'Time Off Log'!$C$5:$C$504,"&lt;="&amp;AG$5,'Time Off Log'!$J$5:$J$504,"&gt;="&amp;AG$5,'Time Off Log'!$E$5:$E$504,"Approved")&gt;0,"U",IF(COUNTIFS('Time Off Log'!$A$5:$A$504,$B24,'Time Off Log'!$C$5:$C$504,"&lt;="&amp;AG$5,'Time Off Log'!$J$5:$J$504,"&gt;="&amp;AG$5,'Time Off Log'!$E$5:$E$504,"Pending")&gt;0,"?",""))))))</f>
        <v/>
      </c>
    </row>
    <row r="25">
      <c r="A25" s="24" t="n">
        <v>20</v>
      </c>
      <c r="B25" s="24">
        <f>IF(Employees!B24="","",Employees!B24)</f>
        <v/>
      </c>
      <c r="C25" s="44">
        <f>IF(OR(C$5="",$B25=""),"",IF(OR(WEEKDAY(C$5,2)&gt;5,COUNTIF(Holidays!$A$5:$A$40,C$5)&gt;0),"",IF(COUNTIFS('Time Off Log'!$A$5:$A$504,$B25,'Time Off Log'!$C$5:$C$504,"&lt;="&amp;C$5,'Time Off Log'!$J$5:$J$504,"&gt;="&amp;C$5,'Time Off Log'!$B$5:$B$504,"PTO",'Time Off Log'!$E$5:$E$504,"Approved")&gt;0,"P",IF(COUNTIFS('Time Off Log'!$A$5:$A$504,$B25,'Time Off Log'!$C$5:$C$504,"&lt;="&amp;C$5,'Time Off Log'!$J$5:$J$504,"&gt;="&amp;C$5,'Time Off Log'!$B$5:$B$504,"Sick",'Time Off Log'!$E$5:$E$504,"Approved")&gt;0,"S",IF(COUNTIFS('Time Off Log'!$A$5:$A$504,$B25,'Time Off Log'!$C$5:$C$504,"&lt;="&amp;C$5,'Time Off Log'!$J$5:$J$504,"&gt;="&amp;C$5,'Time Off Log'!$E$5:$E$504,"Approved")&gt;0,"U",IF(COUNTIFS('Time Off Log'!$A$5:$A$504,$B25,'Time Off Log'!$C$5:$C$504,"&lt;="&amp;C$5,'Time Off Log'!$J$5:$J$504,"&gt;="&amp;C$5,'Time Off Log'!$E$5:$E$504,"Pending")&gt;0,"?",""))))))</f>
        <v/>
      </c>
      <c r="D25" s="44">
        <f>IF(OR(D$5="",$B25=""),"",IF(OR(WEEKDAY(D$5,2)&gt;5,COUNTIF(Holidays!$A$5:$A$40,D$5)&gt;0),"",IF(COUNTIFS('Time Off Log'!$A$5:$A$504,$B25,'Time Off Log'!$C$5:$C$504,"&lt;="&amp;D$5,'Time Off Log'!$J$5:$J$504,"&gt;="&amp;D$5,'Time Off Log'!$B$5:$B$504,"PTO",'Time Off Log'!$E$5:$E$504,"Approved")&gt;0,"P",IF(COUNTIFS('Time Off Log'!$A$5:$A$504,$B25,'Time Off Log'!$C$5:$C$504,"&lt;="&amp;D$5,'Time Off Log'!$J$5:$J$504,"&gt;="&amp;D$5,'Time Off Log'!$B$5:$B$504,"Sick",'Time Off Log'!$E$5:$E$504,"Approved")&gt;0,"S",IF(COUNTIFS('Time Off Log'!$A$5:$A$504,$B25,'Time Off Log'!$C$5:$C$504,"&lt;="&amp;D$5,'Time Off Log'!$J$5:$J$504,"&gt;="&amp;D$5,'Time Off Log'!$E$5:$E$504,"Approved")&gt;0,"U",IF(COUNTIFS('Time Off Log'!$A$5:$A$504,$B25,'Time Off Log'!$C$5:$C$504,"&lt;="&amp;D$5,'Time Off Log'!$J$5:$J$504,"&gt;="&amp;D$5,'Time Off Log'!$E$5:$E$504,"Pending")&gt;0,"?",""))))))</f>
        <v/>
      </c>
      <c r="E25" s="44">
        <f>IF(OR(E$5="",$B25=""),"",IF(OR(WEEKDAY(E$5,2)&gt;5,COUNTIF(Holidays!$A$5:$A$40,E$5)&gt;0),"",IF(COUNTIFS('Time Off Log'!$A$5:$A$504,$B25,'Time Off Log'!$C$5:$C$504,"&lt;="&amp;E$5,'Time Off Log'!$J$5:$J$504,"&gt;="&amp;E$5,'Time Off Log'!$B$5:$B$504,"PTO",'Time Off Log'!$E$5:$E$504,"Approved")&gt;0,"P",IF(COUNTIFS('Time Off Log'!$A$5:$A$504,$B25,'Time Off Log'!$C$5:$C$504,"&lt;="&amp;E$5,'Time Off Log'!$J$5:$J$504,"&gt;="&amp;E$5,'Time Off Log'!$B$5:$B$504,"Sick",'Time Off Log'!$E$5:$E$504,"Approved")&gt;0,"S",IF(COUNTIFS('Time Off Log'!$A$5:$A$504,$B25,'Time Off Log'!$C$5:$C$504,"&lt;="&amp;E$5,'Time Off Log'!$J$5:$J$504,"&gt;="&amp;E$5,'Time Off Log'!$E$5:$E$504,"Approved")&gt;0,"U",IF(COUNTIFS('Time Off Log'!$A$5:$A$504,$B25,'Time Off Log'!$C$5:$C$504,"&lt;="&amp;E$5,'Time Off Log'!$J$5:$J$504,"&gt;="&amp;E$5,'Time Off Log'!$E$5:$E$504,"Pending")&gt;0,"?",""))))))</f>
        <v/>
      </c>
      <c r="F25" s="44">
        <f>IF(OR(F$5="",$B25=""),"",IF(OR(WEEKDAY(F$5,2)&gt;5,COUNTIF(Holidays!$A$5:$A$40,F$5)&gt;0),"",IF(COUNTIFS('Time Off Log'!$A$5:$A$504,$B25,'Time Off Log'!$C$5:$C$504,"&lt;="&amp;F$5,'Time Off Log'!$J$5:$J$504,"&gt;="&amp;F$5,'Time Off Log'!$B$5:$B$504,"PTO",'Time Off Log'!$E$5:$E$504,"Approved")&gt;0,"P",IF(COUNTIFS('Time Off Log'!$A$5:$A$504,$B25,'Time Off Log'!$C$5:$C$504,"&lt;="&amp;F$5,'Time Off Log'!$J$5:$J$504,"&gt;="&amp;F$5,'Time Off Log'!$B$5:$B$504,"Sick",'Time Off Log'!$E$5:$E$504,"Approved")&gt;0,"S",IF(COUNTIFS('Time Off Log'!$A$5:$A$504,$B25,'Time Off Log'!$C$5:$C$504,"&lt;="&amp;F$5,'Time Off Log'!$J$5:$J$504,"&gt;="&amp;F$5,'Time Off Log'!$E$5:$E$504,"Approved")&gt;0,"U",IF(COUNTIFS('Time Off Log'!$A$5:$A$504,$B25,'Time Off Log'!$C$5:$C$504,"&lt;="&amp;F$5,'Time Off Log'!$J$5:$J$504,"&gt;="&amp;F$5,'Time Off Log'!$E$5:$E$504,"Pending")&gt;0,"?",""))))))</f>
        <v/>
      </c>
      <c r="G25" s="44">
        <f>IF(OR(G$5="",$B25=""),"",IF(OR(WEEKDAY(G$5,2)&gt;5,COUNTIF(Holidays!$A$5:$A$40,G$5)&gt;0),"",IF(COUNTIFS('Time Off Log'!$A$5:$A$504,$B25,'Time Off Log'!$C$5:$C$504,"&lt;="&amp;G$5,'Time Off Log'!$J$5:$J$504,"&gt;="&amp;G$5,'Time Off Log'!$B$5:$B$504,"PTO",'Time Off Log'!$E$5:$E$504,"Approved")&gt;0,"P",IF(COUNTIFS('Time Off Log'!$A$5:$A$504,$B25,'Time Off Log'!$C$5:$C$504,"&lt;="&amp;G$5,'Time Off Log'!$J$5:$J$504,"&gt;="&amp;G$5,'Time Off Log'!$B$5:$B$504,"Sick",'Time Off Log'!$E$5:$E$504,"Approved")&gt;0,"S",IF(COUNTIFS('Time Off Log'!$A$5:$A$504,$B25,'Time Off Log'!$C$5:$C$504,"&lt;="&amp;G$5,'Time Off Log'!$J$5:$J$504,"&gt;="&amp;G$5,'Time Off Log'!$E$5:$E$504,"Approved")&gt;0,"U",IF(COUNTIFS('Time Off Log'!$A$5:$A$504,$B25,'Time Off Log'!$C$5:$C$504,"&lt;="&amp;G$5,'Time Off Log'!$J$5:$J$504,"&gt;="&amp;G$5,'Time Off Log'!$E$5:$E$504,"Pending")&gt;0,"?",""))))))</f>
        <v/>
      </c>
      <c r="H25" s="44">
        <f>IF(OR(H$5="",$B25=""),"",IF(OR(WEEKDAY(H$5,2)&gt;5,COUNTIF(Holidays!$A$5:$A$40,H$5)&gt;0),"",IF(COUNTIFS('Time Off Log'!$A$5:$A$504,$B25,'Time Off Log'!$C$5:$C$504,"&lt;="&amp;H$5,'Time Off Log'!$J$5:$J$504,"&gt;="&amp;H$5,'Time Off Log'!$B$5:$B$504,"PTO",'Time Off Log'!$E$5:$E$504,"Approved")&gt;0,"P",IF(COUNTIFS('Time Off Log'!$A$5:$A$504,$B25,'Time Off Log'!$C$5:$C$504,"&lt;="&amp;H$5,'Time Off Log'!$J$5:$J$504,"&gt;="&amp;H$5,'Time Off Log'!$B$5:$B$504,"Sick",'Time Off Log'!$E$5:$E$504,"Approved")&gt;0,"S",IF(COUNTIFS('Time Off Log'!$A$5:$A$504,$B25,'Time Off Log'!$C$5:$C$504,"&lt;="&amp;H$5,'Time Off Log'!$J$5:$J$504,"&gt;="&amp;H$5,'Time Off Log'!$E$5:$E$504,"Approved")&gt;0,"U",IF(COUNTIFS('Time Off Log'!$A$5:$A$504,$B25,'Time Off Log'!$C$5:$C$504,"&lt;="&amp;H$5,'Time Off Log'!$J$5:$J$504,"&gt;="&amp;H$5,'Time Off Log'!$E$5:$E$504,"Pending")&gt;0,"?",""))))))</f>
        <v/>
      </c>
      <c r="I25" s="44">
        <f>IF(OR(I$5="",$B25=""),"",IF(OR(WEEKDAY(I$5,2)&gt;5,COUNTIF(Holidays!$A$5:$A$40,I$5)&gt;0),"",IF(COUNTIFS('Time Off Log'!$A$5:$A$504,$B25,'Time Off Log'!$C$5:$C$504,"&lt;="&amp;I$5,'Time Off Log'!$J$5:$J$504,"&gt;="&amp;I$5,'Time Off Log'!$B$5:$B$504,"PTO",'Time Off Log'!$E$5:$E$504,"Approved")&gt;0,"P",IF(COUNTIFS('Time Off Log'!$A$5:$A$504,$B25,'Time Off Log'!$C$5:$C$504,"&lt;="&amp;I$5,'Time Off Log'!$J$5:$J$504,"&gt;="&amp;I$5,'Time Off Log'!$B$5:$B$504,"Sick",'Time Off Log'!$E$5:$E$504,"Approved")&gt;0,"S",IF(COUNTIFS('Time Off Log'!$A$5:$A$504,$B25,'Time Off Log'!$C$5:$C$504,"&lt;="&amp;I$5,'Time Off Log'!$J$5:$J$504,"&gt;="&amp;I$5,'Time Off Log'!$E$5:$E$504,"Approved")&gt;0,"U",IF(COUNTIFS('Time Off Log'!$A$5:$A$504,$B25,'Time Off Log'!$C$5:$C$504,"&lt;="&amp;I$5,'Time Off Log'!$J$5:$J$504,"&gt;="&amp;I$5,'Time Off Log'!$E$5:$E$504,"Pending")&gt;0,"?",""))))))</f>
        <v/>
      </c>
      <c r="J25" s="44">
        <f>IF(OR(J$5="",$B25=""),"",IF(OR(WEEKDAY(J$5,2)&gt;5,COUNTIF(Holidays!$A$5:$A$40,J$5)&gt;0),"",IF(COUNTIFS('Time Off Log'!$A$5:$A$504,$B25,'Time Off Log'!$C$5:$C$504,"&lt;="&amp;J$5,'Time Off Log'!$J$5:$J$504,"&gt;="&amp;J$5,'Time Off Log'!$B$5:$B$504,"PTO",'Time Off Log'!$E$5:$E$504,"Approved")&gt;0,"P",IF(COUNTIFS('Time Off Log'!$A$5:$A$504,$B25,'Time Off Log'!$C$5:$C$504,"&lt;="&amp;J$5,'Time Off Log'!$J$5:$J$504,"&gt;="&amp;J$5,'Time Off Log'!$B$5:$B$504,"Sick",'Time Off Log'!$E$5:$E$504,"Approved")&gt;0,"S",IF(COUNTIFS('Time Off Log'!$A$5:$A$504,$B25,'Time Off Log'!$C$5:$C$504,"&lt;="&amp;J$5,'Time Off Log'!$J$5:$J$504,"&gt;="&amp;J$5,'Time Off Log'!$E$5:$E$504,"Approved")&gt;0,"U",IF(COUNTIFS('Time Off Log'!$A$5:$A$504,$B25,'Time Off Log'!$C$5:$C$504,"&lt;="&amp;J$5,'Time Off Log'!$J$5:$J$504,"&gt;="&amp;J$5,'Time Off Log'!$E$5:$E$504,"Pending")&gt;0,"?",""))))))</f>
        <v/>
      </c>
      <c r="K25" s="44">
        <f>IF(OR(K$5="",$B25=""),"",IF(OR(WEEKDAY(K$5,2)&gt;5,COUNTIF(Holidays!$A$5:$A$40,K$5)&gt;0),"",IF(COUNTIFS('Time Off Log'!$A$5:$A$504,$B25,'Time Off Log'!$C$5:$C$504,"&lt;="&amp;K$5,'Time Off Log'!$J$5:$J$504,"&gt;="&amp;K$5,'Time Off Log'!$B$5:$B$504,"PTO",'Time Off Log'!$E$5:$E$504,"Approved")&gt;0,"P",IF(COUNTIFS('Time Off Log'!$A$5:$A$504,$B25,'Time Off Log'!$C$5:$C$504,"&lt;="&amp;K$5,'Time Off Log'!$J$5:$J$504,"&gt;="&amp;K$5,'Time Off Log'!$B$5:$B$504,"Sick",'Time Off Log'!$E$5:$E$504,"Approved")&gt;0,"S",IF(COUNTIFS('Time Off Log'!$A$5:$A$504,$B25,'Time Off Log'!$C$5:$C$504,"&lt;="&amp;K$5,'Time Off Log'!$J$5:$J$504,"&gt;="&amp;K$5,'Time Off Log'!$E$5:$E$504,"Approved")&gt;0,"U",IF(COUNTIFS('Time Off Log'!$A$5:$A$504,$B25,'Time Off Log'!$C$5:$C$504,"&lt;="&amp;K$5,'Time Off Log'!$J$5:$J$504,"&gt;="&amp;K$5,'Time Off Log'!$E$5:$E$504,"Pending")&gt;0,"?",""))))))</f>
        <v/>
      </c>
      <c r="L25" s="44">
        <f>IF(OR(L$5="",$B25=""),"",IF(OR(WEEKDAY(L$5,2)&gt;5,COUNTIF(Holidays!$A$5:$A$40,L$5)&gt;0),"",IF(COUNTIFS('Time Off Log'!$A$5:$A$504,$B25,'Time Off Log'!$C$5:$C$504,"&lt;="&amp;L$5,'Time Off Log'!$J$5:$J$504,"&gt;="&amp;L$5,'Time Off Log'!$B$5:$B$504,"PTO",'Time Off Log'!$E$5:$E$504,"Approved")&gt;0,"P",IF(COUNTIFS('Time Off Log'!$A$5:$A$504,$B25,'Time Off Log'!$C$5:$C$504,"&lt;="&amp;L$5,'Time Off Log'!$J$5:$J$504,"&gt;="&amp;L$5,'Time Off Log'!$B$5:$B$504,"Sick",'Time Off Log'!$E$5:$E$504,"Approved")&gt;0,"S",IF(COUNTIFS('Time Off Log'!$A$5:$A$504,$B25,'Time Off Log'!$C$5:$C$504,"&lt;="&amp;L$5,'Time Off Log'!$J$5:$J$504,"&gt;="&amp;L$5,'Time Off Log'!$E$5:$E$504,"Approved")&gt;0,"U",IF(COUNTIFS('Time Off Log'!$A$5:$A$504,$B25,'Time Off Log'!$C$5:$C$504,"&lt;="&amp;L$5,'Time Off Log'!$J$5:$J$504,"&gt;="&amp;L$5,'Time Off Log'!$E$5:$E$504,"Pending")&gt;0,"?",""))))))</f>
        <v/>
      </c>
      <c r="M25" s="44">
        <f>IF(OR(M$5="",$B25=""),"",IF(OR(WEEKDAY(M$5,2)&gt;5,COUNTIF(Holidays!$A$5:$A$40,M$5)&gt;0),"",IF(COUNTIFS('Time Off Log'!$A$5:$A$504,$B25,'Time Off Log'!$C$5:$C$504,"&lt;="&amp;M$5,'Time Off Log'!$J$5:$J$504,"&gt;="&amp;M$5,'Time Off Log'!$B$5:$B$504,"PTO",'Time Off Log'!$E$5:$E$504,"Approved")&gt;0,"P",IF(COUNTIFS('Time Off Log'!$A$5:$A$504,$B25,'Time Off Log'!$C$5:$C$504,"&lt;="&amp;M$5,'Time Off Log'!$J$5:$J$504,"&gt;="&amp;M$5,'Time Off Log'!$B$5:$B$504,"Sick",'Time Off Log'!$E$5:$E$504,"Approved")&gt;0,"S",IF(COUNTIFS('Time Off Log'!$A$5:$A$504,$B25,'Time Off Log'!$C$5:$C$504,"&lt;="&amp;M$5,'Time Off Log'!$J$5:$J$504,"&gt;="&amp;M$5,'Time Off Log'!$E$5:$E$504,"Approved")&gt;0,"U",IF(COUNTIFS('Time Off Log'!$A$5:$A$504,$B25,'Time Off Log'!$C$5:$C$504,"&lt;="&amp;M$5,'Time Off Log'!$J$5:$J$504,"&gt;="&amp;M$5,'Time Off Log'!$E$5:$E$504,"Pending")&gt;0,"?",""))))))</f>
        <v/>
      </c>
      <c r="N25" s="44">
        <f>IF(OR(N$5="",$B25=""),"",IF(OR(WEEKDAY(N$5,2)&gt;5,COUNTIF(Holidays!$A$5:$A$40,N$5)&gt;0),"",IF(COUNTIFS('Time Off Log'!$A$5:$A$504,$B25,'Time Off Log'!$C$5:$C$504,"&lt;="&amp;N$5,'Time Off Log'!$J$5:$J$504,"&gt;="&amp;N$5,'Time Off Log'!$B$5:$B$504,"PTO",'Time Off Log'!$E$5:$E$504,"Approved")&gt;0,"P",IF(COUNTIFS('Time Off Log'!$A$5:$A$504,$B25,'Time Off Log'!$C$5:$C$504,"&lt;="&amp;N$5,'Time Off Log'!$J$5:$J$504,"&gt;="&amp;N$5,'Time Off Log'!$B$5:$B$504,"Sick",'Time Off Log'!$E$5:$E$504,"Approved")&gt;0,"S",IF(COUNTIFS('Time Off Log'!$A$5:$A$504,$B25,'Time Off Log'!$C$5:$C$504,"&lt;="&amp;N$5,'Time Off Log'!$J$5:$J$504,"&gt;="&amp;N$5,'Time Off Log'!$E$5:$E$504,"Approved")&gt;0,"U",IF(COUNTIFS('Time Off Log'!$A$5:$A$504,$B25,'Time Off Log'!$C$5:$C$504,"&lt;="&amp;N$5,'Time Off Log'!$J$5:$J$504,"&gt;="&amp;N$5,'Time Off Log'!$E$5:$E$504,"Pending")&gt;0,"?",""))))))</f>
        <v/>
      </c>
      <c r="O25" s="44">
        <f>IF(OR(O$5="",$B25=""),"",IF(OR(WEEKDAY(O$5,2)&gt;5,COUNTIF(Holidays!$A$5:$A$40,O$5)&gt;0),"",IF(COUNTIFS('Time Off Log'!$A$5:$A$504,$B25,'Time Off Log'!$C$5:$C$504,"&lt;="&amp;O$5,'Time Off Log'!$J$5:$J$504,"&gt;="&amp;O$5,'Time Off Log'!$B$5:$B$504,"PTO",'Time Off Log'!$E$5:$E$504,"Approved")&gt;0,"P",IF(COUNTIFS('Time Off Log'!$A$5:$A$504,$B25,'Time Off Log'!$C$5:$C$504,"&lt;="&amp;O$5,'Time Off Log'!$J$5:$J$504,"&gt;="&amp;O$5,'Time Off Log'!$B$5:$B$504,"Sick",'Time Off Log'!$E$5:$E$504,"Approved")&gt;0,"S",IF(COUNTIFS('Time Off Log'!$A$5:$A$504,$B25,'Time Off Log'!$C$5:$C$504,"&lt;="&amp;O$5,'Time Off Log'!$J$5:$J$504,"&gt;="&amp;O$5,'Time Off Log'!$E$5:$E$504,"Approved")&gt;0,"U",IF(COUNTIFS('Time Off Log'!$A$5:$A$504,$B25,'Time Off Log'!$C$5:$C$504,"&lt;="&amp;O$5,'Time Off Log'!$J$5:$J$504,"&gt;="&amp;O$5,'Time Off Log'!$E$5:$E$504,"Pending")&gt;0,"?",""))))))</f>
        <v/>
      </c>
      <c r="P25" s="44">
        <f>IF(OR(P$5="",$B25=""),"",IF(OR(WEEKDAY(P$5,2)&gt;5,COUNTIF(Holidays!$A$5:$A$40,P$5)&gt;0),"",IF(COUNTIFS('Time Off Log'!$A$5:$A$504,$B25,'Time Off Log'!$C$5:$C$504,"&lt;="&amp;P$5,'Time Off Log'!$J$5:$J$504,"&gt;="&amp;P$5,'Time Off Log'!$B$5:$B$504,"PTO",'Time Off Log'!$E$5:$E$504,"Approved")&gt;0,"P",IF(COUNTIFS('Time Off Log'!$A$5:$A$504,$B25,'Time Off Log'!$C$5:$C$504,"&lt;="&amp;P$5,'Time Off Log'!$J$5:$J$504,"&gt;="&amp;P$5,'Time Off Log'!$B$5:$B$504,"Sick",'Time Off Log'!$E$5:$E$504,"Approved")&gt;0,"S",IF(COUNTIFS('Time Off Log'!$A$5:$A$504,$B25,'Time Off Log'!$C$5:$C$504,"&lt;="&amp;P$5,'Time Off Log'!$J$5:$J$504,"&gt;="&amp;P$5,'Time Off Log'!$E$5:$E$504,"Approved")&gt;0,"U",IF(COUNTIFS('Time Off Log'!$A$5:$A$504,$B25,'Time Off Log'!$C$5:$C$504,"&lt;="&amp;P$5,'Time Off Log'!$J$5:$J$504,"&gt;="&amp;P$5,'Time Off Log'!$E$5:$E$504,"Pending")&gt;0,"?",""))))))</f>
        <v/>
      </c>
      <c r="Q25" s="44">
        <f>IF(OR(Q$5="",$B25=""),"",IF(OR(WEEKDAY(Q$5,2)&gt;5,COUNTIF(Holidays!$A$5:$A$40,Q$5)&gt;0),"",IF(COUNTIFS('Time Off Log'!$A$5:$A$504,$B25,'Time Off Log'!$C$5:$C$504,"&lt;="&amp;Q$5,'Time Off Log'!$J$5:$J$504,"&gt;="&amp;Q$5,'Time Off Log'!$B$5:$B$504,"PTO",'Time Off Log'!$E$5:$E$504,"Approved")&gt;0,"P",IF(COUNTIFS('Time Off Log'!$A$5:$A$504,$B25,'Time Off Log'!$C$5:$C$504,"&lt;="&amp;Q$5,'Time Off Log'!$J$5:$J$504,"&gt;="&amp;Q$5,'Time Off Log'!$B$5:$B$504,"Sick",'Time Off Log'!$E$5:$E$504,"Approved")&gt;0,"S",IF(COUNTIFS('Time Off Log'!$A$5:$A$504,$B25,'Time Off Log'!$C$5:$C$504,"&lt;="&amp;Q$5,'Time Off Log'!$J$5:$J$504,"&gt;="&amp;Q$5,'Time Off Log'!$E$5:$E$504,"Approved")&gt;0,"U",IF(COUNTIFS('Time Off Log'!$A$5:$A$504,$B25,'Time Off Log'!$C$5:$C$504,"&lt;="&amp;Q$5,'Time Off Log'!$J$5:$J$504,"&gt;="&amp;Q$5,'Time Off Log'!$E$5:$E$504,"Pending")&gt;0,"?",""))))))</f>
        <v/>
      </c>
      <c r="R25" s="44">
        <f>IF(OR(R$5="",$B25=""),"",IF(OR(WEEKDAY(R$5,2)&gt;5,COUNTIF(Holidays!$A$5:$A$40,R$5)&gt;0),"",IF(COUNTIFS('Time Off Log'!$A$5:$A$504,$B25,'Time Off Log'!$C$5:$C$504,"&lt;="&amp;R$5,'Time Off Log'!$J$5:$J$504,"&gt;="&amp;R$5,'Time Off Log'!$B$5:$B$504,"PTO",'Time Off Log'!$E$5:$E$504,"Approved")&gt;0,"P",IF(COUNTIFS('Time Off Log'!$A$5:$A$504,$B25,'Time Off Log'!$C$5:$C$504,"&lt;="&amp;R$5,'Time Off Log'!$J$5:$J$504,"&gt;="&amp;R$5,'Time Off Log'!$B$5:$B$504,"Sick",'Time Off Log'!$E$5:$E$504,"Approved")&gt;0,"S",IF(COUNTIFS('Time Off Log'!$A$5:$A$504,$B25,'Time Off Log'!$C$5:$C$504,"&lt;="&amp;R$5,'Time Off Log'!$J$5:$J$504,"&gt;="&amp;R$5,'Time Off Log'!$E$5:$E$504,"Approved")&gt;0,"U",IF(COUNTIFS('Time Off Log'!$A$5:$A$504,$B25,'Time Off Log'!$C$5:$C$504,"&lt;="&amp;R$5,'Time Off Log'!$J$5:$J$504,"&gt;="&amp;R$5,'Time Off Log'!$E$5:$E$504,"Pending")&gt;0,"?",""))))))</f>
        <v/>
      </c>
      <c r="S25" s="44">
        <f>IF(OR(S$5="",$B25=""),"",IF(OR(WEEKDAY(S$5,2)&gt;5,COUNTIF(Holidays!$A$5:$A$40,S$5)&gt;0),"",IF(COUNTIFS('Time Off Log'!$A$5:$A$504,$B25,'Time Off Log'!$C$5:$C$504,"&lt;="&amp;S$5,'Time Off Log'!$J$5:$J$504,"&gt;="&amp;S$5,'Time Off Log'!$B$5:$B$504,"PTO",'Time Off Log'!$E$5:$E$504,"Approved")&gt;0,"P",IF(COUNTIFS('Time Off Log'!$A$5:$A$504,$B25,'Time Off Log'!$C$5:$C$504,"&lt;="&amp;S$5,'Time Off Log'!$J$5:$J$504,"&gt;="&amp;S$5,'Time Off Log'!$B$5:$B$504,"Sick",'Time Off Log'!$E$5:$E$504,"Approved")&gt;0,"S",IF(COUNTIFS('Time Off Log'!$A$5:$A$504,$B25,'Time Off Log'!$C$5:$C$504,"&lt;="&amp;S$5,'Time Off Log'!$J$5:$J$504,"&gt;="&amp;S$5,'Time Off Log'!$E$5:$E$504,"Approved")&gt;0,"U",IF(COUNTIFS('Time Off Log'!$A$5:$A$504,$B25,'Time Off Log'!$C$5:$C$504,"&lt;="&amp;S$5,'Time Off Log'!$J$5:$J$504,"&gt;="&amp;S$5,'Time Off Log'!$E$5:$E$504,"Pending")&gt;0,"?",""))))))</f>
        <v/>
      </c>
      <c r="T25" s="44">
        <f>IF(OR(T$5="",$B25=""),"",IF(OR(WEEKDAY(T$5,2)&gt;5,COUNTIF(Holidays!$A$5:$A$40,T$5)&gt;0),"",IF(COUNTIFS('Time Off Log'!$A$5:$A$504,$B25,'Time Off Log'!$C$5:$C$504,"&lt;="&amp;T$5,'Time Off Log'!$J$5:$J$504,"&gt;="&amp;T$5,'Time Off Log'!$B$5:$B$504,"PTO",'Time Off Log'!$E$5:$E$504,"Approved")&gt;0,"P",IF(COUNTIFS('Time Off Log'!$A$5:$A$504,$B25,'Time Off Log'!$C$5:$C$504,"&lt;="&amp;T$5,'Time Off Log'!$J$5:$J$504,"&gt;="&amp;T$5,'Time Off Log'!$B$5:$B$504,"Sick",'Time Off Log'!$E$5:$E$504,"Approved")&gt;0,"S",IF(COUNTIFS('Time Off Log'!$A$5:$A$504,$B25,'Time Off Log'!$C$5:$C$504,"&lt;="&amp;T$5,'Time Off Log'!$J$5:$J$504,"&gt;="&amp;T$5,'Time Off Log'!$E$5:$E$504,"Approved")&gt;0,"U",IF(COUNTIFS('Time Off Log'!$A$5:$A$504,$B25,'Time Off Log'!$C$5:$C$504,"&lt;="&amp;T$5,'Time Off Log'!$J$5:$J$504,"&gt;="&amp;T$5,'Time Off Log'!$E$5:$E$504,"Pending")&gt;0,"?",""))))))</f>
        <v/>
      </c>
      <c r="U25" s="44">
        <f>IF(OR(U$5="",$B25=""),"",IF(OR(WEEKDAY(U$5,2)&gt;5,COUNTIF(Holidays!$A$5:$A$40,U$5)&gt;0),"",IF(COUNTIFS('Time Off Log'!$A$5:$A$504,$B25,'Time Off Log'!$C$5:$C$504,"&lt;="&amp;U$5,'Time Off Log'!$J$5:$J$504,"&gt;="&amp;U$5,'Time Off Log'!$B$5:$B$504,"PTO",'Time Off Log'!$E$5:$E$504,"Approved")&gt;0,"P",IF(COUNTIFS('Time Off Log'!$A$5:$A$504,$B25,'Time Off Log'!$C$5:$C$504,"&lt;="&amp;U$5,'Time Off Log'!$J$5:$J$504,"&gt;="&amp;U$5,'Time Off Log'!$B$5:$B$504,"Sick",'Time Off Log'!$E$5:$E$504,"Approved")&gt;0,"S",IF(COUNTIFS('Time Off Log'!$A$5:$A$504,$B25,'Time Off Log'!$C$5:$C$504,"&lt;="&amp;U$5,'Time Off Log'!$J$5:$J$504,"&gt;="&amp;U$5,'Time Off Log'!$E$5:$E$504,"Approved")&gt;0,"U",IF(COUNTIFS('Time Off Log'!$A$5:$A$504,$B25,'Time Off Log'!$C$5:$C$504,"&lt;="&amp;U$5,'Time Off Log'!$J$5:$J$504,"&gt;="&amp;U$5,'Time Off Log'!$E$5:$E$504,"Pending")&gt;0,"?",""))))))</f>
        <v/>
      </c>
      <c r="V25" s="44">
        <f>IF(OR(V$5="",$B25=""),"",IF(OR(WEEKDAY(V$5,2)&gt;5,COUNTIF(Holidays!$A$5:$A$40,V$5)&gt;0),"",IF(COUNTIFS('Time Off Log'!$A$5:$A$504,$B25,'Time Off Log'!$C$5:$C$504,"&lt;="&amp;V$5,'Time Off Log'!$J$5:$J$504,"&gt;="&amp;V$5,'Time Off Log'!$B$5:$B$504,"PTO",'Time Off Log'!$E$5:$E$504,"Approved")&gt;0,"P",IF(COUNTIFS('Time Off Log'!$A$5:$A$504,$B25,'Time Off Log'!$C$5:$C$504,"&lt;="&amp;V$5,'Time Off Log'!$J$5:$J$504,"&gt;="&amp;V$5,'Time Off Log'!$B$5:$B$504,"Sick",'Time Off Log'!$E$5:$E$504,"Approved")&gt;0,"S",IF(COUNTIFS('Time Off Log'!$A$5:$A$504,$B25,'Time Off Log'!$C$5:$C$504,"&lt;="&amp;V$5,'Time Off Log'!$J$5:$J$504,"&gt;="&amp;V$5,'Time Off Log'!$E$5:$E$504,"Approved")&gt;0,"U",IF(COUNTIFS('Time Off Log'!$A$5:$A$504,$B25,'Time Off Log'!$C$5:$C$504,"&lt;="&amp;V$5,'Time Off Log'!$J$5:$J$504,"&gt;="&amp;V$5,'Time Off Log'!$E$5:$E$504,"Pending")&gt;0,"?",""))))))</f>
        <v/>
      </c>
      <c r="W25" s="44">
        <f>IF(OR(W$5="",$B25=""),"",IF(OR(WEEKDAY(W$5,2)&gt;5,COUNTIF(Holidays!$A$5:$A$40,W$5)&gt;0),"",IF(COUNTIFS('Time Off Log'!$A$5:$A$504,$B25,'Time Off Log'!$C$5:$C$504,"&lt;="&amp;W$5,'Time Off Log'!$J$5:$J$504,"&gt;="&amp;W$5,'Time Off Log'!$B$5:$B$504,"PTO",'Time Off Log'!$E$5:$E$504,"Approved")&gt;0,"P",IF(COUNTIFS('Time Off Log'!$A$5:$A$504,$B25,'Time Off Log'!$C$5:$C$504,"&lt;="&amp;W$5,'Time Off Log'!$J$5:$J$504,"&gt;="&amp;W$5,'Time Off Log'!$B$5:$B$504,"Sick",'Time Off Log'!$E$5:$E$504,"Approved")&gt;0,"S",IF(COUNTIFS('Time Off Log'!$A$5:$A$504,$B25,'Time Off Log'!$C$5:$C$504,"&lt;="&amp;W$5,'Time Off Log'!$J$5:$J$504,"&gt;="&amp;W$5,'Time Off Log'!$E$5:$E$504,"Approved")&gt;0,"U",IF(COUNTIFS('Time Off Log'!$A$5:$A$504,$B25,'Time Off Log'!$C$5:$C$504,"&lt;="&amp;W$5,'Time Off Log'!$J$5:$J$504,"&gt;="&amp;W$5,'Time Off Log'!$E$5:$E$504,"Pending")&gt;0,"?",""))))))</f>
        <v/>
      </c>
      <c r="X25" s="44">
        <f>IF(OR(X$5="",$B25=""),"",IF(OR(WEEKDAY(X$5,2)&gt;5,COUNTIF(Holidays!$A$5:$A$40,X$5)&gt;0),"",IF(COUNTIFS('Time Off Log'!$A$5:$A$504,$B25,'Time Off Log'!$C$5:$C$504,"&lt;="&amp;X$5,'Time Off Log'!$J$5:$J$504,"&gt;="&amp;X$5,'Time Off Log'!$B$5:$B$504,"PTO",'Time Off Log'!$E$5:$E$504,"Approved")&gt;0,"P",IF(COUNTIFS('Time Off Log'!$A$5:$A$504,$B25,'Time Off Log'!$C$5:$C$504,"&lt;="&amp;X$5,'Time Off Log'!$J$5:$J$504,"&gt;="&amp;X$5,'Time Off Log'!$B$5:$B$504,"Sick",'Time Off Log'!$E$5:$E$504,"Approved")&gt;0,"S",IF(COUNTIFS('Time Off Log'!$A$5:$A$504,$B25,'Time Off Log'!$C$5:$C$504,"&lt;="&amp;X$5,'Time Off Log'!$J$5:$J$504,"&gt;="&amp;X$5,'Time Off Log'!$E$5:$E$504,"Approved")&gt;0,"U",IF(COUNTIFS('Time Off Log'!$A$5:$A$504,$B25,'Time Off Log'!$C$5:$C$504,"&lt;="&amp;X$5,'Time Off Log'!$J$5:$J$504,"&gt;="&amp;X$5,'Time Off Log'!$E$5:$E$504,"Pending")&gt;0,"?",""))))))</f>
        <v/>
      </c>
      <c r="Y25" s="44">
        <f>IF(OR(Y$5="",$B25=""),"",IF(OR(WEEKDAY(Y$5,2)&gt;5,COUNTIF(Holidays!$A$5:$A$40,Y$5)&gt;0),"",IF(COUNTIFS('Time Off Log'!$A$5:$A$504,$B25,'Time Off Log'!$C$5:$C$504,"&lt;="&amp;Y$5,'Time Off Log'!$J$5:$J$504,"&gt;="&amp;Y$5,'Time Off Log'!$B$5:$B$504,"PTO",'Time Off Log'!$E$5:$E$504,"Approved")&gt;0,"P",IF(COUNTIFS('Time Off Log'!$A$5:$A$504,$B25,'Time Off Log'!$C$5:$C$504,"&lt;="&amp;Y$5,'Time Off Log'!$J$5:$J$504,"&gt;="&amp;Y$5,'Time Off Log'!$B$5:$B$504,"Sick",'Time Off Log'!$E$5:$E$504,"Approved")&gt;0,"S",IF(COUNTIFS('Time Off Log'!$A$5:$A$504,$B25,'Time Off Log'!$C$5:$C$504,"&lt;="&amp;Y$5,'Time Off Log'!$J$5:$J$504,"&gt;="&amp;Y$5,'Time Off Log'!$E$5:$E$504,"Approved")&gt;0,"U",IF(COUNTIFS('Time Off Log'!$A$5:$A$504,$B25,'Time Off Log'!$C$5:$C$504,"&lt;="&amp;Y$5,'Time Off Log'!$J$5:$J$504,"&gt;="&amp;Y$5,'Time Off Log'!$E$5:$E$504,"Pending")&gt;0,"?",""))))))</f>
        <v/>
      </c>
      <c r="Z25" s="44">
        <f>IF(OR(Z$5="",$B25=""),"",IF(OR(WEEKDAY(Z$5,2)&gt;5,COUNTIF(Holidays!$A$5:$A$40,Z$5)&gt;0),"",IF(COUNTIFS('Time Off Log'!$A$5:$A$504,$B25,'Time Off Log'!$C$5:$C$504,"&lt;="&amp;Z$5,'Time Off Log'!$J$5:$J$504,"&gt;="&amp;Z$5,'Time Off Log'!$B$5:$B$504,"PTO",'Time Off Log'!$E$5:$E$504,"Approved")&gt;0,"P",IF(COUNTIFS('Time Off Log'!$A$5:$A$504,$B25,'Time Off Log'!$C$5:$C$504,"&lt;="&amp;Z$5,'Time Off Log'!$J$5:$J$504,"&gt;="&amp;Z$5,'Time Off Log'!$B$5:$B$504,"Sick",'Time Off Log'!$E$5:$E$504,"Approved")&gt;0,"S",IF(COUNTIFS('Time Off Log'!$A$5:$A$504,$B25,'Time Off Log'!$C$5:$C$504,"&lt;="&amp;Z$5,'Time Off Log'!$J$5:$J$504,"&gt;="&amp;Z$5,'Time Off Log'!$E$5:$E$504,"Approved")&gt;0,"U",IF(COUNTIFS('Time Off Log'!$A$5:$A$504,$B25,'Time Off Log'!$C$5:$C$504,"&lt;="&amp;Z$5,'Time Off Log'!$J$5:$J$504,"&gt;="&amp;Z$5,'Time Off Log'!$E$5:$E$504,"Pending")&gt;0,"?",""))))))</f>
        <v/>
      </c>
      <c r="AA25" s="44">
        <f>IF(OR(AA$5="",$B25=""),"",IF(OR(WEEKDAY(AA$5,2)&gt;5,COUNTIF(Holidays!$A$5:$A$40,AA$5)&gt;0),"",IF(COUNTIFS('Time Off Log'!$A$5:$A$504,$B25,'Time Off Log'!$C$5:$C$504,"&lt;="&amp;AA$5,'Time Off Log'!$J$5:$J$504,"&gt;="&amp;AA$5,'Time Off Log'!$B$5:$B$504,"PTO",'Time Off Log'!$E$5:$E$504,"Approved")&gt;0,"P",IF(COUNTIFS('Time Off Log'!$A$5:$A$504,$B25,'Time Off Log'!$C$5:$C$504,"&lt;="&amp;AA$5,'Time Off Log'!$J$5:$J$504,"&gt;="&amp;AA$5,'Time Off Log'!$B$5:$B$504,"Sick",'Time Off Log'!$E$5:$E$504,"Approved")&gt;0,"S",IF(COUNTIFS('Time Off Log'!$A$5:$A$504,$B25,'Time Off Log'!$C$5:$C$504,"&lt;="&amp;AA$5,'Time Off Log'!$J$5:$J$504,"&gt;="&amp;AA$5,'Time Off Log'!$E$5:$E$504,"Approved")&gt;0,"U",IF(COUNTIFS('Time Off Log'!$A$5:$A$504,$B25,'Time Off Log'!$C$5:$C$504,"&lt;="&amp;AA$5,'Time Off Log'!$J$5:$J$504,"&gt;="&amp;AA$5,'Time Off Log'!$E$5:$E$504,"Pending")&gt;0,"?",""))))))</f>
        <v/>
      </c>
      <c r="AB25" s="44">
        <f>IF(OR(AB$5="",$B25=""),"",IF(OR(WEEKDAY(AB$5,2)&gt;5,COUNTIF(Holidays!$A$5:$A$40,AB$5)&gt;0),"",IF(COUNTIFS('Time Off Log'!$A$5:$A$504,$B25,'Time Off Log'!$C$5:$C$504,"&lt;="&amp;AB$5,'Time Off Log'!$J$5:$J$504,"&gt;="&amp;AB$5,'Time Off Log'!$B$5:$B$504,"PTO",'Time Off Log'!$E$5:$E$504,"Approved")&gt;0,"P",IF(COUNTIFS('Time Off Log'!$A$5:$A$504,$B25,'Time Off Log'!$C$5:$C$504,"&lt;="&amp;AB$5,'Time Off Log'!$J$5:$J$504,"&gt;="&amp;AB$5,'Time Off Log'!$B$5:$B$504,"Sick",'Time Off Log'!$E$5:$E$504,"Approved")&gt;0,"S",IF(COUNTIFS('Time Off Log'!$A$5:$A$504,$B25,'Time Off Log'!$C$5:$C$504,"&lt;="&amp;AB$5,'Time Off Log'!$J$5:$J$504,"&gt;="&amp;AB$5,'Time Off Log'!$E$5:$E$504,"Approved")&gt;0,"U",IF(COUNTIFS('Time Off Log'!$A$5:$A$504,$B25,'Time Off Log'!$C$5:$C$504,"&lt;="&amp;AB$5,'Time Off Log'!$J$5:$J$504,"&gt;="&amp;AB$5,'Time Off Log'!$E$5:$E$504,"Pending")&gt;0,"?",""))))))</f>
        <v/>
      </c>
      <c r="AC25" s="44">
        <f>IF(OR(AC$5="",$B25=""),"",IF(OR(WEEKDAY(AC$5,2)&gt;5,COUNTIF(Holidays!$A$5:$A$40,AC$5)&gt;0),"",IF(COUNTIFS('Time Off Log'!$A$5:$A$504,$B25,'Time Off Log'!$C$5:$C$504,"&lt;="&amp;AC$5,'Time Off Log'!$J$5:$J$504,"&gt;="&amp;AC$5,'Time Off Log'!$B$5:$B$504,"PTO",'Time Off Log'!$E$5:$E$504,"Approved")&gt;0,"P",IF(COUNTIFS('Time Off Log'!$A$5:$A$504,$B25,'Time Off Log'!$C$5:$C$504,"&lt;="&amp;AC$5,'Time Off Log'!$J$5:$J$504,"&gt;="&amp;AC$5,'Time Off Log'!$B$5:$B$504,"Sick",'Time Off Log'!$E$5:$E$504,"Approved")&gt;0,"S",IF(COUNTIFS('Time Off Log'!$A$5:$A$504,$B25,'Time Off Log'!$C$5:$C$504,"&lt;="&amp;AC$5,'Time Off Log'!$J$5:$J$504,"&gt;="&amp;AC$5,'Time Off Log'!$E$5:$E$504,"Approved")&gt;0,"U",IF(COUNTIFS('Time Off Log'!$A$5:$A$504,$B25,'Time Off Log'!$C$5:$C$504,"&lt;="&amp;AC$5,'Time Off Log'!$J$5:$J$504,"&gt;="&amp;AC$5,'Time Off Log'!$E$5:$E$504,"Pending")&gt;0,"?",""))))))</f>
        <v/>
      </c>
      <c r="AD25" s="44">
        <f>IF(OR(AD$5="",$B25=""),"",IF(OR(WEEKDAY(AD$5,2)&gt;5,COUNTIF(Holidays!$A$5:$A$40,AD$5)&gt;0),"",IF(COUNTIFS('Time Off Log'!$A$5:$A$504,$B25,'Time Off Log'!$C$5:$C$504,"&lt;="&amp;AD$5,'Time Off Log'!$J$5:$J$504,"&gt;="&amp;AD$5,'Time Off Log'!$B$5:$B$504,"PTO",'Time Off Log'!$E$5:$E$504,"Approved")&gt;0,"P",IF(COUNTIFS('Time Off Log'!$A$5:$A$504,$B25,'Time Off Log'!$C$5:$C$504,"&lt;="&amp;AD$5,'Time Off Log'!$J$5:$J$504,"&gt;="&amp;AD$5,'Time Off Log'!$B$5:$B$504,"Sick",'Time Off Log'!$E$5:$E$504,"Approved")&gt;0,"S",IF(COUNTIFS('Time Off Log'!$A$5:$A$504,$B25,'Time Off Log'!$C$5:$C$504,"&lt;="&amp;AD$5,'Time Off Log'!$J$5:$J$504,"&gt;="&amp;AD$5,'Time Off Log'!$E$5:$E$504,"Approved")&gt;0,"U",IF(COUNTIFS('Time Off Log'!$A$5:$A$504,$B25,'Time Off Log'!$C$5:$C$504,"&lt;="&amp;AD$5,'Time Off Log'!$J$5:$J$504,"&gt;="&amp;AD$5,'Time Off Log'!$E$5:$E$504,"Pending")&gt;0,"?",""))))))</f>
        <v/>
      </c>
      <c r="AE25" s="44">
        <f>IF(OR(AE$5="",$B25=""),"",IF(OR(WEEKDAY(AE$5,2)&gt;5,COUNTIF(Holidays!$A$5:$A$40,AE$5)&gt;0),"",IF(COUNTIFS('Time Off Log'!$A$5:$A$504,$B25,'Time Off Log'!$C$5:$C$504,"&lt;="&amp;AE$5,'Time Off Log'!$J$5:$J$504,"&gt;="&amp;AE$5,'Time Off Log'!$B$5:$B$504,"PTO",'Time Off Log'!$E$5:$E$504,"Approved")&gt;0,"P",IF(COUNTIFS('Time Off Log'!$A$5:$A$504,$B25,'Time Off Log'!$C$5:$C$504,"&lt;="&amp;AE$5,'Time Off Log'!$J$5:$J$504,"&gt;="&amp;AE$5,'Time Off Log'!$B$5:$B$504,"Sick",'Time Off Log'!$E$5:$E$504,"Approved")&gt;0,"S",IF(COUNTIFS('Time Off Log'!$A$5:$A$504,$B25,'Time Off Log'!$C$5:$C$504,"&lt;="&amp;AE$5,'Time Off Log'!$J$5:$J$504,"&gt;="&amp;AE$5,'Time Off Log'!$E$5:$E$504,"Approved")&gt;0,"U",IF(COUNTIFS('Time Off Log'!$A$5:$A$504,$B25,'Time Off Log'!$C$5:$C$504,"&lt;="&amp;AE$5,'Time Off Log'!$J$5:$J$504,"&gt;="&amp;AE$5,'Time Off Log'!$E$5:$E$504,"Pending")&gt;0,"?",""))))))</f>
        <v/>
      </c>
      <c r="AF25" s="44">
        <f>IF(OR(AF$5="",$B25=""),"",IF(OR(WEEKDAY(AF$5,2)&gt;5,COUNTIF(Holidays!$A$5:$A$40,AF$5)&gt;0),"",IF(COUNTIFS('Time Off Log'!$A$5:$A$504,$B25,'Time Off Log'!$C$5:$C$504,"&lt;="&amp;AF$5,'Time Off Log'!$J$5:$J$504,"&gt;="&amp;AF$5,'Time Off Log'!$B$5:$B$504,"PTO",'Time Off Log'!$E$5:$E$504,"Approved")&gt;0,"P",IF(COUNTIFS('Time Off Log'!$A$5:$A$504,$B25,'Time Off Log'!$C$5:$C$504,"&lt;="&amp;AF$5,'Time Off Log'!$J$5:$J$504,"&gt;="&amp;AF$5,'Time Off Log'!$B$5:$B$504,"Sick",'Time Off Log'!$E$5:$E$504,"Approved")&gt;0,"S",IF(COUNTIFS('Time Off Log'!$A$5:$A$504,$B25,'Time Off Log'!$C$5:$C$504,"&lt;="&amp;AF$5,'Time Off Log'!$J$5:$J$504,"&gt;="&amp;AF$5,'Time Off Log'!$E$5:$E$504,"Approved")&gt;0,"U",IF(COUNTIFS('Time Off Log'!$A$5:$A$504,$B25,'Time Off Log'!$C$5:$C$504,"&lt;="&amp;AF$5,'Time Off Log'!$J$5:$J$504,"&gt;="&amp;AF$5,'Time Off Log'!$E$5:$E$504,"Pending")&gt;0,"?",""))))))</f>
        <v/>
      </c>
      <c r="AG25" s="44">
        <f>IF(OR(AG$5="",$B25=""),"",IF(OR(WEEKDAY(AG$5,2)&gt;5,COUNTIF(Holidays!$A$5:$A$40,AG$5)&gt;0),"",IF(COUNTIFS('Time Off Log'!$A$5:$A$504,$B25,'Time Off Log'!$C$5:$C$504,"&lt;="&amp;AG$5,'Time Off Log'!$J$5:$J$504,"&gt;="&amp;AG$5,'Time Off Log'!$B$5:$B$504,"PTO",'Time Off Log'!$E$5:$E$504,"Approved")&gt;0,"P",IF(COUNTIFS('Time Off Log'!$A$5:$A$504,$B25,'Time Off Log'!$C$5:$C$504,"&lt;="&amp;AG$5,'Time Off Log'!$J$5:$J$504,"&gt;="&amp;AG$5,'Time Off Log'!$B$5:$B$504,"Sick",'Time Off Log'!$E$5:$E$504,"Approved")&gt;0,"S",IF(COUNTIFS('Time Off Log'!$A$5:$A$504,$B25,'Time Off Log'!$C$5:$C$504,"&lt;="&amp;AG$5,'Time Off Log'!$J$5:$J$504,"&gt;="&amp;AG$5,'Time Off Log'!$E$5:$E$504,"Approved")&gt;0,"U",IF(COUNTIFS('Time Off Log'!$A$5:$A$504,$B25,'Time Off Log'!$C$5:$C$504,"&lt;="&amp;AG$5,'Time Off Log'!$J$5:$J$504,"&gt;="&amp;AG$5,'Time Off Log'!$E$5:$E$504,"Pending")&gt;0,"?",""))))))</f>
        <v/>
      </c>
    </row>
    <row r="26">
      <c r="A26" s="24" t="n">
        <v>21</v>
      </c>
      <c r="B26" s="24">
        <f>IF(Employees!B25="","",Employees!B25)</f>
        <v/>
      </c>
      <c r="C26" s="44">
        <f>IF(OR(C$5="",$B26=""),"",IF(OR(WEEKDAY(C$5,2)&gt;5,COUNTIF(Holidays!$A$5:$A$40,C$5)&gt;0),"",IF(COUNTIFS('Time Off Log'!$A$5:$A$504,$B26,'Time Off Log'!$C$5:$C$504,"&lt;="&amp;C$5,'Time Off Log'!$J$5:$J$504,"&gt;="&amp;C$5,'Time Off Log'!$B$5:$B$504,"PTO",'Time Off Log'!$E$5:$E$504,"Approved")&gt;0,"P",IF(COUNTIFS('Time Off Log'!$A$5:$A$504,$B26,'Time Off Log'!$C$5:$C$504,"&lt;="&amp;C$5,'Time Off Log'!$J$5:$J$504,"&gt;="&amp;C$5,'Time Off Log'!$B$5:$B$504,"Sick",'Time Off Log'!$E$5:$E$504,"Approved")&gt;0,"S",IF(COUNTIFS('Time Off Log'!$A$5:$A$504,$B26,'Time Off Log'!$C$5:$C$504,"&lt;="&amp;C$5,'Time Off Log'!$J$5:$J$504,"&gt;="&amp;C$5,'Time Off Log'!$E$5:$E$504,"Approved")&gt;0,"U",IF(COUNTIFS('Time Off Log'!$A$5:$A$504,$B26,'Time Off Log'!$C$5:$C$504,"&lt;="&amp;C$5,'Time Off Log'!$J$5:$J$504,"&gt;="&amp;C$5,'Time Off Log'!$E$5:$E$504,"Pending")&gt;0,"?",""))))))</f>
        <v/>
      </c>
      <c r="D26" s="44">
        <f>IF(OR(D$5="",$B26=""),"",IF(OR(WEEKDAY(D$5,2)&gt;5,COUNTIF(Holidays!$A$5:$A$40,D$5)&gt;0),"",IF(COUNTIFS('Time Off Log'!$A$5:$A$504,$B26,'Time Off Log'!$C$5:$C$504,"&lt;="&amp;D$5,'Time Off Log'!$J$5:$J$504,"&gt;="&amp;D$5,'Time Off Log'!$B$5:$B$504,"PTO",'Time Off Log'!$E$5:$E$504,"Approved")&gt;0,"P",IF(COUNTIFS('Time Off Log'!$A$5:$A$504,$B26,'Time Off Log'!$C$5:$C$504,"&lt;="&amp;D$5,'Time Off Log'!$J$5:$J$504,"&gt;="&amp;D$5,'Time Off Log'!$B$5:$B$504,"Sick",'Time Off Log'!$E$5:$E$504,"Approved")&gt;0,"S",IF(COUNTIFS('Time Off Log'!$A$5:$A$504,$B26,'Time Off Log'!$C$5:$C$504,"&lt;="&amp;D$5,'Time Off Log'!$J$5:$J$504,"&gt;="&amp;D$5,'Time Off Log'!$E$5:$E$504,"Approved")&gt;0,"U",IF(COUNTIFS('Time Off Log'!$A$5:$A$504,$B26,'Time Off Log'!$C$5:$C$504,"&lt;="&amp;D$5,'Time Off Log'!$J$5:$J$504,"&gt;="&amp;D$5,'Time Off Log'!$E$5:$E$504,"Pending")&gt;0,"?",""))))))</f>
        <v/>
      </c>
      <c r="E26" s="44">
        <f>IF(OR(E$5="",$B26=""),"",IF(OR(WEEKDAY(E$5,2)&gt;5,COUNTIF(Holidays!$A$5:$A$40,E$5)&gt;0),"",IF(COUNTIFS('Time Off Log'!$A$5:$A$504,$B26,'Time Off Log'!$C$5:$C$504,"&lt;="&amp;E$5,'Time Off Log'!$J$5:$J$504,"&gt;="&amp;E$5,'Time Off Log'!$B$5:$B$504,"PTO",'Time Off Log'!$E$5:$E$504,"Approved")&gt;0,"P",IF(COUNTIFS('Time Off Log'!$A$5:$A$504,$B26,'Time Off Log'!$C$5:$C$504,"&lt;="&amp;E$5,'Time Off Log'!$J$5:$J$504,"&gt;="&amp;E$5,'Time Off Log'!$B$5:$B$504,"Sick",'Time Off Log'!$E$5:$E$504,"Approved")&gt;0,"S",IF(COUNTIFS('Time Off Log'!$A$5:$A$504,$B26,'Time Off Log'!$C$5:$C$504,"&lt;="&amp;E$5,'Time Off Log'!$J$5:$J$504,"&gt;="&amp;E$5,'Time Off Log'!$E$5:$E$504,"Approved")&gt;0,"U",IF(COUNTIFS('Time Off Log'!$A$5:$A$504,$B26,'Time Off Log'!$C$5:$C$504,"&lt;="&amp;E$5,'Time Off Log'!$J$5:$J$504,"&gt;="&amp;E$5,'Time Off Log'!$E$5:$E$504,"Pending")&gt;0,"?",""))))))</f>
        <v/>
      </c>
      <c r="F26" s="44">
        <f>IF(OR(F$5="",$B26=""),"",IF(OR(WEEKDAY(F$5,2)&gt;5,COUNTIF(Holidays!$A$5:$A$40,F$5)&gt;0),"",IF(COUNTIFS('Time Off Log'!$A$5:$A$504,$B26,'Time Off Log'!$C$5:$C$504,"&lt;="&amp;F$5,'Time Off Log'!$J$5:$J$504,"&gt;="&amp;F$5,'Time Off Log'!$B$5:$B$504,"PTO",'Time Off Log'!$E$5:$E$504,"Approved")&gt;0,"P",IF(COUNTIFS('Time Off Log'!$A$5:$A$504,$B26,'Time Off Log'!$C$5:$C$504,"&lt;="&amp;F$5,'Time Off Log'!$J$5:$J$504,"&gt;="&amp;F$5,'Time Off Log'!$B$5:$B$504,"Sick",'Time Off Log'!$E$5:$E$504,"Approved")&gt;0,"S",IF(COUNTIFS('Time Off Log'!$A$5:$A$504,$B26,'Time Off Log'!$C$5:$C$504,"&lt;="&amp;F$5,'Time Off Log'!$J$5:$J$504,"&gt;="&amp;F$5,'Time Off Log'!$E$5:$E$504,"Approved")&gt;0,"U",IF(COUNTIFS('Time Off Log'!$A$5:$A$504,$B26,'Time Off Log'!$C$5:$C$504,"&lt;="&amp;F$5,'Time Off Log'!$J$5:$J$504,"&gt;="&amp;F$5,'Time Off Log'!$E$5:$E$504,"Pending")&gt;0,"?",""))))))</f>
        <v/>
      </c>
      <c r="G26" s="44">
        <f>IF(OR(G$5="",$B26=""),"",IF(OR(WEEKDAY(G$5,2)&gt;5,COUNTIF(Holidays!$A$5:$A$40,G$5)&gt;0),"",IF(COUNTIFS('Time Off Log'!$A$5:$A$504,$B26,'Time Off Log'!$C$5:$C$504,"&lt;="&amp;G$5,'Time Off Log'!$J$5:$J$504,"&gt;="&amp;G$5,'Time Off Log'!$B$5:$B$504,"PTO",'Time Off Log'!$E$5:$E$504,"Approved")&gt;0,"P",IF(COUNTIFS('Time Off Log'!$A$5:$A$504,$B26,'Time Off Log'!$C$5:$C$504,"&lt;="&amp;G$5,'Time Off Log'!$J$5:$J$504,"&gt;="&amp;G$5,'Time Off Log'!$B$5:$B$504,"Sick",'Time Off Log'!$E$5:$E$504,"Approved")&gt;0,"S",IF(COUNTIFS('Time Off Log'!$A$5:$A$504,$B26,'Time Off Log'!$C$5:$C$504,"&lt;="&amp;G$5,'Time Off Log'!$J$5:$J$504,"&gt;="&amp;G$5,'Time Off Log'!$E$5:$E$504,"Approved")&gt;0,"U",IF(COUNTIFS('Time Off Log'!$A$5:$A$504,$B26,'Time Off Log'!$C$5:$C$504,"&lt;="&amp;G$5,'Time Off Log'!$J$5:$J$504,"&gt;="&amp;G$5,'Time Off Log'!$E$5:$E$504,"Pending")&gt;0,"?",""))))))</f>
        <v/>
      </c>
      <c r="H26" s="44">
        <f>IF(OR(H$5="",$B26=""),"",IF(OR(WEEKDAY(H$5,2)&gt;5,COUNTIF(Holidays!$A$5:$A$40,H$5)&gt;0),"",IF(COUNTIFS('Time Off Log'!$A$5:$A$504,$B26,'Time Off Log'!$C$5:$C$504,"&lt;="&amp;H$5,'Time Off Log'!$J$5:$J$504,"&gt;="&amp;H$5,'Time Off Log'!$B$5:$B$504,"PTO",'Time Off Log'!$E$5:$E$504,"Approved")&gt;0,"P",IF(COUNTIFS('Time Off Log'!$A$5:$A$504,$B26,'Time Off Log'!$C$5:$C$504,"&lt;="&amp;H$5,'Time Off Log'!$J$5:$J$504,"&gt;="&amp;H$5,'Time Off Log'!$B$5:$B$504,"Sick",'Time Off Log'!$E$5:$E$504,"Approved")&gt;0,"S",IF(COUNTIFS('Time Off Log'!$A$5:$A$504,$B26,'Time Off Log'!$C$5:$C$504,"&lt;="&amp;H$5,'Time Off Log'!$J$5:$J$504,"&gt;="&amp;H$5,'Time Off Log'!$E$5:$E$504,"Approved")&gt;0,"U",IF(COUNTIFS('Time Off Log'!$A$5:$A$504,$B26,'Time Off Log'!$C$5:$C$504,"&lt;="&amp;H$5,'Time Off Log'!$J$5:$J$504,"&gt;="&amp;H$5,'Time Off Log'!$E$5:$E$504,"Pending")&gt;0,"?",""))))))</f>
        <v/>
      </c>
      <c r="I26" s="44">
        <f>IF(OR(I$5="",$B26=""),"",IF(OR(WEEKDAY(I$5,2)&gt;5,COUNTIF(Holidays!$A$5:$A$40,I$5)&gt;0),"",IF(COUNTIFS('Time Off Log'!$A$5:$A$504,$B26,'Time Off Log'!$C$5:$C$504,"&lt;="&amp;I$5,'Time Off Log'!$J$5:$J$504,"&gt;="&amp;I$5,'Time Off Log'!$B$5:$B$504,"PTO",'Time Off Log'!$E$5:$E$504,"Approved")&gt;0,"P",IF(COUNTIFS('Time Off Log'!$A$5:$A$504,$B26,'Time Off Log'!$C$5:$C$504,"&lt;="&amp;I$5,'Time Off Log'!$J$5:$J$504,"&gt;="&amp;I$5,'Time Off Log'!$B$5:$B$504,"Sick",'Time Off Log'!$E$5:$E$504,"Approved")&gt;0,"S",IF(COUNTIFS('Time Off Log'!$A$5:$A$504,$B26,'Time Off Log'!$C$5:$C$504,"&lt;="&amp;I$5,'Time Off Log'!$J$5:$J$504,"&gt;="&amp;I$5,'Time Off Log'!$E$5:$E$504,"Approved")&gt;0,"U",IF(COUNTIFS('Time Off Log'!$A$5:$A$504,$B26,'Time Off Log'!$C$5:$C$504,"&lt;="&amp;I$5,'Time Off Log'!$J$5:$J$504,"&gt;="&amp;I$5,'Time Off Log'!$E$5:$E$504,"Pending")&gt;0,"?",""))))))</f>
        <v/>
      </c>
      <c r="J26" s="44">
        <f>IF(OR(J$5="",$B26=""),"",IF(OR(WEEKDAY(J$5,2)&gt;5,COUNTIF(Holidays!$A$5:$A$40,J$5)&gt;0),"",IF(COUNTIFS('Time Off Log'!$A$5:$A$504,$B26,'Time Off Log'!$C$5:$C$504,"&lt;="&amp;J$5,'Time Off Log'!$J$5:$J$504,"&gt;="&amp;J$5,'Time Off Log'!$B$5:$B$504,"PTO",'Time Off Log'!$E$5:$E$504,"Approved")&gt;0,"P",IF(COUNTIFS('Time Off Log'!$A$5:$A$504,$B26,'Time Off Log'!$C$5:$C$504,"&lt;="&amp;J$5,'Time Off Log'!$J$5:$J$504,"&gt;="&amp;J$5,'Time Off Log'!$B$5:$B$504,"Sick",'Time Off Log'!$E$5:$E$504,"Approved")&gt;0,"S",IF(COUNTIFS('Time Off Log'!$A$5:$A$504,$B26,'Time Off Log'!$C$5:$C$504,"&lt;="&amp;J$5,'Time Off Log'!$J$5:$J$504,"&gt;="&amp;J$5,'Time Off Log'!$E$5:$E$504,"Approved")&gt;0,"U",IF(COUNTIFS('Time Off Log'!$A$5:$A$504,$B26,'Time Off Log'!$C$5:$C$504,"&lt;="&amp;J$5,'Time Off Log'!$J$5:$J$504,"&gt;="&amp;J$5,'Time Off Log'!$E$5:$E$504,"Pending")&gt;0,"?",""))))))</f>
        <v/>
      </c>
      <c r="K26" s="44">
        <f>IF(OR(K$5="",$B26=""),"",IF(OR(WEEKDAY(K$5,2)&gt;5,COUNTIF(Holidays!$A$5:$A$40,K$5)&gt;0),"",IF(COUNTIFS('Time Off Log'!$A$5:$A$504,$B26,'Time Off Log'!$C$5:$C$504,"&lt;="&amp;K$5,'Time Off Log'!$J$5:$J$504,"&gt;="&amp;K$5,'Time Off Log'!$B$5:$B$504,"PTO",'Time Off Log'!$E$5:$E$504,"Approved")&gt;0,"P",IF(COUNTIFS('Time Off Log'!$A$5:$A$504,$B26,'Time Off Log'!$C$5:$C$504,"&lt;="&amp;K$5,'Time Off Log'!$J$5:$J$504,"&gt;="&amp;K$5,'Time Off Log'!$B$5:$B$504,"Sick",'Time Off Log'!$E$5:$E$504,"Approved")&gt;0,"S",IF(COUNTIFS('Time Off Log'!$A$5:$A$504,$B26,'Time Off Log'!$C$5:$C$504,"&lt;="&amp;K$5,'Time Off Log'!$J$5:$J$504,"&gt;="&amp;K$5,'Time Off Log'!$E$5:$E$504,"Approved")&gt;0,"U",IF(COUNTIFS('Time Off Log'!$A$5:$A$504,$B26,'Time Off Log'!$C$5:$C$504,"&lt;="&amp;K$5,'Time Off Log'!$J$5:$J$504,"&gt;="&amp;K$5,'Time Off Log'!$E$5:$E$504,"Pending")&gt;0,"?",""))))))</f>
        <v/>
      </c>
      <c r="L26" s="44">
        <f>IF(OR(L$5="",$B26=""),"",IF(OR(WEEKDAY(L$5,2)&gt;5,COUNTIF(Holidays!$A$5:$A$40,L$5)&gt;0),"",IF(COUNTIFS('Time Off Log'!$A$5:$A$504,$B26,'Time Off Log'!$C$5:$C$504,"&lt;="&amp;L$5,'Time Off Log'!$J$5:$J$504,"&gt;="&amp;L$5,'Time Off Log'!$B$5:$B$504,"PTO",'Time Off Log'!$E$5:$E$504,"Approved")&gt;0,"P",IF(COUNTIFS('Time Off Log'!$A$5:$A$504,$B26,'Time Off Log'!$C$5:$C$504,"&lt;="&amp;L$5,'Time Off Log'!$J$5:$J$504,"&gt;="&amp;L$5,'Time Off Log'!$B$5:$B$504,"Sick",'Time Off Log'!$E$5:$E$504,"Approved")&gt;0,"S",IF(COUNTIFS('Time Off Log'!$A$5:$A$504,$B26,'Time Off Log'!$C$5:$C$504,"&lt;="&amp;L$5,'Time Off Log'!$J$5:$J$504,"&gt;="&amp;L$5,'Time Off Log'!$E$5:$E$504,"Approved")&gt;0,"U",IF(COUNTIFS('Time Off Log'!$A$5:$A$504,$B26,'Time Off Log'!$C$5:$C$504,"&lt;="&amp;L$5,'Time Off Log'!$J$5:$J$504,"&gt;="&amp;L$5,'Time Off Log'!$E$5:$E$504,"Pending")&gt;0,"?",""))))))</f>
        <v/>
      </c>
      <c r="M26" s="44">
        <f>IF(OR(M$5="",$B26=""),"",IF(OR(WEEKDAY(M$5,2)&gt;5,COUNTIF(Holidays!$A$5:$A$40,M$5)&gt;0),"",IF(COUNTIFS('Time Off Log'!$A$5:$A$504,$B26,'Time Off Log'!$C$5:$C$504,"&lt;="&amp;M$5,'Time Off Log'!$J$5:$J$504,"&gt;="&amp;M$5,'Time Off Log'!$B$5:$B$504,"PTO",'Time Off Log'!$E$5:$E$504,"Approved")&gt;0,"P",IF(COUNTIFS('Time Off Log'!$A$5:$A$504,$B26,'Time Off Log'!$C$5:$C$504,"&lt;="&amp;M$5,'Time Off Log'!$J$5:$J$504,"&gt;="&amp;M$5,'Time Off Log'!$B$5:$B$504,"Sick",'Time Off Log'!$E$5:$E$504,"Approved")&gt;0,"S",IF(COUNTIFS('Time Off Log'!$A$5:$A$504,$B26,'Time Off Log'!$C$5:$C$504,"&lt;="&amp;M$5,'Time Off Log'!$J$5:$J$504,"&gt;="&amp;M$5,'Time Off Log'!$E$5:$E$504,"Approved")&gt;0,"U",IF(COUNTIFS('Time Off Log'!$A$5:$A$504,$B26,'Time Off Log'!$C$5:$C$504,"&lt;="&amp;M$5,'Time Off Log'!$J$5:$J$504,"&gt;="&amp;M$5,'Time Off Log'!$E$5:$E$504,"Pending")&gt;0,"?",""))))))</f>
        <v/>
      </c>
      <c r="N26" s="44">
        <f>IF(OR(N$5="",$B26=""),"",IF(OR(WEEKDAY(N$5,2)&gt;5,COUNTIF(Holidays!$A$5:$A$40,N$5)&gt;0),"",IF(COUNTIFS('Time Off Log'!$A$5:$A$504,$B26,'Time Off Log'!$C$5:$C$504,"&lt;="&amp;N$5,'Time Off Log'!$J$5:$J$504,"&gt;="&amp;N$5,'Time Off Log'!$B$5:$B$504,"PTO",'Time Off Log'!$E$5:$E$504,"Approved")&gt;0,"P",IF(COUNTIFS('Time Off Log'!$A$5:$A$504,$B26,'Time Off Log'!$C$5:$C$504,"&lt;="&amp;N$5,'Time Off Log'!$J$5:$J$504,"&gt;="&amp;N$5,'Time Off Log'!$B$5:$B$504,"Sick",'Time Off Log'!$E$5:$E$504,"Approved")&gt;0,"S",IF(COUNTIFS('Time Off Log'!$A$5:$A$504,$B26,'Time Off Log'!$C$5:$C$504,"&lt;="&amp;N$5,'Time Off Log'!$J$5:$J$504,"&gt;="&amp;N$5,'Time Off Log'!$E$5:$E$504,"Approved")&gt;0,"U",IF(COUNTIFS('Time Off Log'!$A$5:$A$504,$B26,'Time Off Log'!$C$5:$C$504,"&lt;="&amp;N$5,'Time Off Log'!$J$5:$J$504,"&gt;="&amp;N$5,'Time Off Log'!$E$5:$E$504,"Pending")&gt;0,"?",""))))))</f>
        <v/>
      </c>
      <c r="O26" s="44">
        <f>IF(OR(O$5="",$B26=""),"",IF(OR(WEEKDAY(O$5,2)&gt;5,COUNTIF(Holidays!$A$5:$A$40,O$5)&gt;0),"",IF(COUNTIFS('Time Off Log'!$A$5:$A$504,$B26,'Time Off Log'!$C$5:$C$504,"&lt;="&amp;O$5,'Time Off Log'!$J$5:$J$504,"&gt;="&amp;O$5,'Time Off Log'!$B$5:$B$504,"PTO",'Time Off Log'!$E$5:$E$504,"Approved")&gt;0,"P",IF(COUNTIFS('Time Off Log'!$A$5:$A$504,$B26,'Time Off Log'!$C$5:$C$504,"&lt;="&amp;O$5,'Time Off Log'!$J$5:$J$504,"&gt;="&amp;O$5,'Time Off Log'!$B$5:$B$504,"Sick",'Time Off Log'!$E$5:$E$504,"Approved")&gt;0,"S",IF(COUNTIFS('Time Off Log'!$A$5:$A$504,$B26,'Time Off Log'!$C$5:$C$504,"&lt;="&amp;O$5,'Time Off Log'!$J$5:$J$504,"&gt;="&amp;O$5,'Time Off Log'!$E$5:$E$504,"Approved")&gt;0,"U",IF(COUNTIFS('Time Off Log'!$A$5:$A$504,$B26,'Time Off Log'!$C$5:$C$504,"&lt;="&amp;O$5,'Time Off Log'!$J$5:$J$504,"&gt;="&amp;O$5,'Time Off Log'!$E$5:$E$504,"Pending")&gt;0,"?",""))))))</f>
        <v/>
      </c>
      <c r="P26" s="44">
        <f>IF(OR(P$5="",$B26=""),"",IF(OR(WEEKDAY(P$5,2)&gt;5,COUNTIF(Holidays!$A$5:$A$40,P$5)&gt;0),"",IF(COUNTIFS('Time Off Log'!$A$5:$A$504,$B26,'Time Off Log'!$C$5:$C$504,"&lt;="&amp;P$5,'Time Off Log'!$J$5:$J$504,"&gt;="&amp;P$5,'Time Off Log'!$B$5:$B$504,"PTO",'Time Off Log'!$E$5:$E$504,"Approved")&gt;0,"P",IF(COUNTIFS('Time Off Log'!$A$5:$A$504,$B26,'Time Off Log'!$C$5:$C$504,"&lt;="&amp;P$5,'Time Off Log'!$J$5:$J$504,"&gt;="&amp;P$5,'Time Off Log'!$B$5:$B$504,"Sick",'Time Off Log'!$E$5:$E$504,"Approved")&gt;0,"S",IF(COUNTIFS('Time Off Log'!$A$5:$A$504,$B26,'Time Off Log'!$C$5:$C$504,"&lt;="&amp;P$5,'Time Off Log'!$J$5:$J$504,"&gt;="&amp;P$5,'Time Off Log'!$E$5:$E$504,"Approved")&gt;0,"U",IF(COUNTIFS('Time Off Log'!$A$5:$A$504,$B26,'Time Off Log'!$C$5:$C$504,"&lt;="&amp;P$5,'Time Off Log'!$J$5:$J$504,"&gt;="&amp;P$5,'Time Off Log'!$E$5:$E$504,"Pending")&gt;0,"?",""))))))</f>
        <v/>
      </c>
      <c r="Q26" s="44">
        <f>IF(OR(Q$5="",$B26=""),"",IF(OR(WEEKDAY(Q$5,2)&gt;5,COUNTIF(Holidays!$A$5:$A$40,Q$5)&gt;0),"",IF(COUNTIFS('Time Off Log'!$A$5:$A$504,$B26,'Time Off Log'!$C$5:$C$504,"&lt;="&amp;Q$5,'Time Off Log'!$J$5:$J$504,"&gt;="&amp;Q$5,'Time Off Log'!$B$5:$B$504,"PTO",'Time Off Log'!$E$5:$E$504,"Approved")&gt;0,"P",IF(COUNTIFS('Time Off Log'!$A$5:$A$504,$B26,'Time Off Log'!$C$5:$C$504,"&lt;="&amp;Q$5,'Time Off Log'!$J$5:$J$504,"&gt;="&amp;Q$5,'Time Off Log'!$B$5:$B$504,"Sick",'Time Off Log'!$E$5:$E$504,"Approved")&gt;0,"S",IF(COUNTIFS('Time Off Log'!$A$5:$A$504,$B26,'Time Off Log'!$C$5:$C$504,"&lt;="&amp;Q$5,'Time Off Log'!$J$5:$J$504,"&gt;="&amp;Q$5,'Time Off Log'!$E$5:$E$504,"Approved")&gt;0,"U",IF(COUNTIFS('Time Off Log'!$A$5:$A$504,$B26,'Time Off Log'!$C$5:$C$504,"&lt;="&amp;Q$5,'Time Off Log'!$J$5:$J$504,"&gt;="&amp;Q$5,'Time Off Log'!$E$5:$E$504,"Pending")&gt;0,"?",""))))))</f>
        <v/>
      </c>
      <c r="R26" s="44">
        <f>IF(OR(R$5="",$B26=""),"",IF(OR(WEEKDAY(R$5,2)&gt;5,COUNTIF(Holidays!$A$5:$A$40,R$5)&gt;0),"",IF(COUNTIFS('Time Off Log'!$A$5:$A$504,$B26,'Time Off Log'!$C$5:$C$504,"&lt;="&amp;R$5,'Time Off Log'!$J$5:$J$504,"&gt;="&amp;R$5,'Time Off Log'!$B$5:$B$504,"PTO",'Time Off Log'!$E$5:$E$504,"Approved")&gt;0,"P",IF(COUNTIFS('Time Off Log'!$A$5:$A$504,$B26,'Time Off Log'!$C$5:$C$504,"&lt;="&amp;R$5,'Time Off Log'!$J$5:$J$504,"&gt;="&amp;R$5,'Time Off Log'!$B$5:$B$504,"Sick",'Time Off Log'!$E$5:$E$504,"Approved")&gt;0,"S",IF(COUNTIFS('Time Off Log'!$A$5:$A$504,$B26,'Time Off Log'!$C$5:$C$504,"&lt;="&amp;R$5,'Time Off Log'!$J$5:$J$504,"&gt;="&amp;R$5,'Time Off Log'!$E$5:$E$504,"Approved")&gt;0,"U",IF(COUNTIFS('Time Off Log'!$A$5:$A$504,$B26,'Time Off Log'!$C$5:$C$504,"&lt;="&amp;R$5,'Time Off Log'!$J$5:$J$504,"&gt;="&amp;R$5,'Time Off Log'!$E$5:$E$504,"Pending")&gt;0,"?",""))))))</f>
        <v/>
      </c>
      <c r="S26" s="44">
        <f>IF(OR(S$5="",$B26=""),"",IF(OR(WEEKDAY(S$5,2)&gt;5,COUNTIF(Holidays!$A$5:$A$40,S$5)&gt;0),"",IF(COUNTIFS('Time Off Log'!$A$5:$A$504,$B26,'Time Off Log'!$C$5:$C$504,"&lt;="&amp;S$5,'Time Off Log'!$J$5:$J$504,"&gt;="&amp;S$5,'Time Off Log'!$B$5:$B$504,"PTO",'Time Off Log'!$E$5:$E$504,"Approved")&gt;0,"P",IF(COUNTIFS('Time Off Log'!$A$5:$A$504,$B26,'Time Off Log'!$C$5:$C$504,"&lt;="&amp;S$5,'Time Off Log'!$J$5:$J$504,"&gt;="&amp;S$5,'Time Off Log'!$B$5:$B$504,"Sick",'Time Off Log'!$E$5:$E$504,"Approved")&gt;0,"S",IF(COUNTIFS('Time Off Log'!$A$5:$A$504,$B26,'Time Off Log'!$C$5:$C$504,"&lt;="&amp;S$5,'Time Off Log'!$J$5:$J$504,"&gt;="&amp;S$5,'Time Off Log'!$E$5:$E$504,"Approved")&gt;0,"U",IF(COUNTIFS('Time Off Log'!$A$5:$A$504,$B26,'Time Off Log'!$C$5:$C$504,"&lt;="&amp;S$5,'Time Off Log'!$J$5:$J$504,"&gt;="&amp;S$5,'Time Off Log'!$E$5:$E$504,"Pending")&gt;0,"?",""))))))</f>
        <v/>
      </c>
      <c r="T26" s="44">
        <f>IF(OR(T$5="",$B26=""),"",IF(OR(WEEKDAY(T$5,2)&gt;5,COUNTIF(Holidays!$A$5:$A$40,T$5)&gt;0),"",IF(COUNTIFS('Time Off Log'!$A$5:$A$504,$B26,'Time Off Log'!$C$5:$C$504,"&lt;="&amp;T$5,'Time Off Log'!$J$5:$J$504,"&gt;="&amp;T$5,'Time Off Log'!$B$5:$B$504,"PTO",'Time Off Log'!$E$5:$E$504,"Approved")&gt;0,"P",IF(COUNTIFS('Time Off Log'!$A$5:$A$504,$B26,'Time Off Log'!$C$5:$C$504,"&lt;="&amp;T$5,'Time Off Log'!$J$5:$J$504,"&gt;="&amp;T$5,'Time Off Log'!$B$5:$B$504,"Sick",'Time Off Log'!$E$5:$E$504,"Approved")&gt;0,"S",IF(COUNTIFS('Time Off Log'!$A$5:$A$504,$B26,'Time Off Log'!$C$5:$C$504,"&lt;="&amp;T$5,'Time Off Log'!$J$5:$J$504,"&gt;="&amp;T$5,'Time Off Log'!$E$5:$E$504,"Approved")&gt;0,"U",IF(COUNTIFS('Time Off Log'!$A$5:$A$504,$B26,'Time Off Log'!$C$5:$C$504,"&lt;="&amp;T$5,'Time Off Log'!$J$5:$J$504,"&gt;="&amp;T$5,'Time Off Log'!$E$5:$E$504,"Pending")&gt;0,"?",""))))))</f>
        <v/>
      </c>
      <c r="U26" s="44">
        <f>IF(OR(U$5="",$B26=""),"",IF(OR(WEEKDAY(U$5,2)&gt;5,COUNTIF(Holidays!$A$5:$A$40,U$5)&gt;0),"",IF(COUNTIFS('Time Off Log'!$A$5:$A$504,$B26,'Time Off Log'!$C$5:$C$504,"&lt;="&amp;U$5,'Time Off Log'!$J$5:$J$504,"&gt;="&amp;U$5,'Time Off Log'!$B$5:$B$504,"PTO",'Time Off Log'!$E$5:$E$504,"Approved")&gt;0,"P",IF(COUNTIFS('Time Off Log'!$A$5:$A$504,$B26,'Time Off Log'!$C$5:$C$504,"&lt;="&amp;U$5,'Time Off Log'!$J$5:$J$504,"&gt;="&amp;U$5,'Time Off Log'!$B$5:$B$504,"Sick",'Time Off Log'!$E$5:$E$504,"Approved")&gt;0,"S",IF(COUNTIFS('Time Off Log'!$A$5:$A$504,$B26,'Time Off Log'!$C$5:$C$504,"&lt;="&amp;U$5,'Time Off Log'!$J$5:$J$504,"&gt;="&amp;U$5,'Time Off Log'!$E$5:$E$504,"Approved")&gt;0,"U",IF(COUNTIFS('Time Off Log'!$A$5:$A$504,$B26,'Time Off Log'!$C$5:$C$504,"&lt;="&amp;U$5,'Time Off Log'!$J$5:$J$504,"&gt;="&amp;U$5,'Time Off Log'!$E$5:$E$504,"Pending")&gt;0,"?",""))))))</f>
        <v/>
      </c>
      <c r="V26" s="44">
        <f>IF(OR(V$5="",$B26=""),"",IF(OR(WEEKDAY(V$5,2)&gt;5,COUNTIF(Holidays!$A$5:$A$40,V$5)&gt;0),"",IF(COUNTIFS('Time Off Log'!$A$5:$A$504,$B26,'Time Off Log'!$C$5:$C$504,"&lt;="&amp;V$5,'Time Off Log'!$J$5:$J$504,"&gt;="&amp;V$5,'Time Off Log'!$B$5:$B$504,"PTO",'Time Off Log'!$E$5:$E$504,"Approved")&gt;0,"P",IF(COUNTIFS('Time Off Log'!$A$5:$A$504,$B26,'Time Off Log'!$C$5:$C$504,"&lt;="&amp;V$5,'Time Off Log'!$J$5:$J$504,"&gt;="&amp;V$5,'Time Off Log'!$B$5:$B$504,"Sick",'Time Off Log'!$E$5:$E$504,"Approved")&gt;0,"S",IF(COUNTIFS('Time Off Log'!$A$5:$A$504,$B26,'Time Off Log'!$C$5:$C$504,"&lt;="&amp;V$5,'Time Off Log'!$J$5:$J$504,"&gt;="&amp;V$5,'Time Off Log'!$E$5:$E$504,"Approved")&gt;0,"U",IF(COUNTIFS('Time Off Log'!$A$5:$A$504,$B26,'Time Off Log'!$C$5:$C$504,"&lt;="&amp;V$5,'Time Off Log'!$J$5:$J$504,"&gt;="&amp;V$5,'Time Off Log'!$E$5:$E$504,"Pending")&gt;0,"?",""))))))</f>
        <v/>
      </c>
      <c r="W26" s="44">
        <f>IF(OR(W$5="",$B26=""),"",IF(OR(WEEKDAY(W$5,2)&gt;5,COUNTIF(Holidays!$A$5:$A$40,W$5)&gt;0),"",IF(COUNTIFS('Time Off Log'!$A$5:$A$504,$B26,'Time Off Log'!$C$5:$C$504,"&lt;="&amp;W$5,'Time Off Log'!$J$5:$J$504,"&gt;="&amp;W$5,'Time Off Log'!$B$5:$B$504,"PTO",'Time Off Log'!$E$5:$E$504,"Approved")&gt;0,"P",IF(COUNTIFS('Time Off Log'!$A$5:$A$504,$B26,'Time Off Log'!$C$5:$C$504,"&lt;="&amp;W$5,'Time Off Log'!$J$5:$J$504,"&gt;="&amp;W$5,'Time Off Log'!$B$5:$B$504,"Sick",'Time Off Log'!$E$5:$E$504,"Approved")&gt;0,"S",IF(COUNTIFS('Time Off Log'!$A$5:$A$504,$B26,'Time Off Log'!$C$5:$C$504,"&lt;="&amp;W$5,'Time Off Log'!$J$5:$J$504,"&gt;="&amp;W$5,'Time Off Log'!$E$5:$E$504,"Approved")&gt;0,"U",IF(COUNTIFS('Time Off Log'!$A$5:$A$504,$B26,'Time Off Log'!$C$5:$C$504,"&lt;="&amp;W$5,'Time Off Log'!$J$5:$J$504,"&gt;="&amp;W$5,'Time Off Log'!$E$5:$E$504,"Pending")&gt;0,"?",""))))))</f>
        <v/>
      </c>
      <c r="X26" s="44">
        <f>IF(OR(X$5="",$B26=""),"",IF(OR(WEEKDAY(X$5,2)&gt;5,COUNTIF(Holidays!$A$5:$A$40,X$5)&gt;0),"",IF(COUNTIFS('Time Off Log'!$A$5:$A$504,$B26,'Time Off Log'!$C$5:$C$504,"&lt;="&amp;X$5,'Time Off Log'!$J$5:$J$504,"&gt;="&amp;X$5,'Time Off Log'!$B$5:$B$504,"PTO",'Time Off Log'!$E$5:$E$504,"Approved")&gt;0,"P",IF(COUNTIFS('Time Off Log'!$A$5:$A$504,$B26,'Time Off Log'!$C$5:$C$504,"&lt;="&amp;X$5,'Time Off Log'!$J$5:$J$504,"&gt;="&amp;X$5,'Time Off Log'!$B$5:$B$504,"Sick",'Time Off Log'!$E$5:$E$504,"Approved")&gt;0,"S",IF(COUNTIFS('Time Off Log'!$A$5:$A$504,$B26,'Time Off Log'!$C$5:$C$504,"&lt;="&amp;X$5,'Time Off Log'!$J$5:$J$504,"&gt;="&amp;X$5,'Time Off Log'!$E$5:$E$504,"Approved")&gt;0,"U",IF(COUNTIFS('Time Off Log'!$A$5:$A$504,$B26,'Time Off Log'!$C$5:$C$504,"&lt;="&amp;X$5,'Time Off Log'!$J$5:$J$504,"&gt;="&amp;X$5,'Time Off Log'!$E$5:$E$504,"Pending")&gt;0,"?",""))))))</f>
        <v/>
      </c>
      <c r="Y26" s="44">
        <f>IF(OR(Y$5="",$B26=""),"",IF(OR(WEEKDAY(Y$5,2)&gt;5,COUNTIF(Holidays!$A$5:$A$40,Y$5)&gt;0),"",IF(COUNTIFS('Time Off Log'!$A$5:$A$504,$B26,'Time Off Log'!$C$5:$C$504,"&lt;="&amp;Y$5,'Time Off Log'!$J$5:$J$504,"&gt;="&amp;Y$5,'Time Off Log'!$B$5:$B$504,"PTO",'Time Off Log'!$E$5:$E$504,"Approved")&gt;0,"P",IF(COUNTIFS('Time Off Log'!$A$5:$A$504,$B26,'Time Off Log'!$C$5:$C$504,"&lt;="&amp;Y$5,'Time Off Log'!$J$5:$J$504,"&gt;="&amp;Y$5,'Time Off Log'!$B$5:$B$504,"Sick",'Time Off Log'!$E$5:$E$504,"Approved")&gt;0,"S",IF(COUNTIFS('Time Off Log'!$A$5:$A$504,$B26,'Time Off Log'!$C$5:$C$504,"&lt;="&amp;Y$5,'Time Off Log'!$J$5:$J$504,"&gt;="&amp;Y$5,'Time Off Log'!$E$5:$E$504,"Approved")&gt;0,"U",IF(COUNTIFS('Time Off Log'!$A$5:$A$504,$B26,'Time Off Log'!$C$5:$C$504,"&lt;="&amp;Y$5,'Time Off Log'!$J$5:$J$504,"&gt;="&amp;Y$5,'Time Off Log'!$E$5:$E$504,"Pending")&gt;0,"?",""))))))</f>
        <v/>
      </c>
      <c r="Z26" s="44">
        <f>IF(OR(Z$5="",$B26=""),"",IF(OR(WEEKDAY(Z$5,2)&gt;5,COUNTIF(Holidays!$A$5:$A$40,Z$5)&gt;0),"",IF(COUNTIFS('Time Off Log'!$A$5:$A$504,$B26,'Time Off Log'!$C$5:$C$504,"&lt;="&amp;Z$5,'Time Off Log'!$J$5:$J$504,"&gt;="&amp;Z$5,'Time Off Log'!$B$5:$B$504,"PTO",'Time Off Log'!$E$5:$E$504,"Approved")&gt;0,"P",IF(COUNTIFS('Time Off Log'!$A$5:$A$504,$B26,'Time Off Log'!$C$5:$C$504,"&lt;="&amp;Z$5,'Time Off Log'!$J$5:$J$504,"&gt;="&amp;Z$5,'Time Off Log'!$B$5:$B$504,"Sick",'Time Off Log'!$E$5:$E$504,"Approved")&gt;0,"S",IF(COUNTIFS('Time Off Log'!$A$5:$A$504,$B26,'Time Off Log'!$C$5:$C$504,"&lt;="&amp;Z$5,'Time Off Log'!$J$5:$J$504,"&gt;="&amp;Z$5,'Time Off Log'!$E$5:$E$504,"Approved")&gt;0,"U",IF(COUNTIFS('Time Off Log'!$A$5:$A$504,$B26,'Time Off Log'!$C$5:$C$504,"&lt;="&amp;Z$5,'Time Off Log'!$J$5:$J$504,"&gt;="&amp;Z$5,'Time Off Log'!$E$5:$E$504,"Pending")&gt;0,"?",""))))))</f>
        <v/>
      </c>
      <c r="AA26" s="44">
        <f>IF(OR(AA$5="",$B26=""),"",IF(OR(WEEKDAY(AA$5,2)&gt;5,COUNTIF(Holidays!$A$5:$A$40,AA$5)&gt;0),"",IF(COUNTIFS('Time Off Log'!$A$5:$A$504,$B26,'Time Off Log'!$C$5:$C$504,"&lt;="&amp;AA$5,'Time Off Log'!$J$5:$J$504,"&gt;="&amp;AA$5,'Time Off Log'!$B$5:$B$504,"PTO",'Time Off Log'!$E$5:$E$504,"Approved")&gt;0,"P",IF(COUNTIFS('Time Off Log'!$A$5:$A$504,$B26,'Time Off Log'!$C$5:$C$504,"&lt;="&amp;AA$5,'Time Off Log'!$J$5:$J$504,"&gt;="&amp;AA$5,'Time Off Log'!$B$5:$B$504,"Sick",'Time Off Log'!$E$5:$E$504,"Approved")&gt;0,"S",IF(COUNTIFS('Time Off Log'!$A$5:$A$504,$B26,'Time Off Log'!$C$5:$C$504,"&lt;="&amp;AA$5,'Time Off Log'!$J$5:$J$504,"&gt;="&amp;AA$5,'Time Off Log'!$E$5:$E$504,"Approved")&gt;0,"U",IF(COUNTIFS('Time Off Log'!$A$5:$A$504,$B26,'Time Off Log'!$C$5:$C$504,"&lt;="&amp;AA$5,'Time Off Log'!$J$5:$J$504,"&gt;="&amp;AA$5,'Time Off Log'!$E$5:$E$504,"Pending")&gt;0,"?",""))))))</f>
        <v/>
      </c>
      <c r="AB26" s="44">
        <f>IF(OR(AB$5="",$B26=""),"",IF(OR(WEEKDAY(AB$5,2)&gt;5,COUNTIF(Holidays!$A$5:$A$40,AB$5)&gt;0),"",IF(COUNTIFS('Time Off Log'!$A$5:$A$504,$B26,'Time Off Log'!$C$5:$C$504,"&lt;="&amp;AB$5,'Time Off Log'!$J$5:$J$504,"&gt;="&amp;AB$5,'Time Off Log'!$B$5:$B$504,"PTO",'Time Off Log'!$E$5:$E$504,"Approved")&gt;0,"P",IF(COUNTIFS('Time Off Log'!$A$5:$A$504,$B26,'Time Off Log'!$C$5:$C$504,"&lt;="&amp;AB$5,'Time Off Log'!$J$5:$J$504,"&gt;="&amp;AB$5,'Time Off Log'!$B$5:$B$504,"Sick",'Time Off Log'!$E$5:$E$504,"Approved")&gt;0,"S",IF(COUNTIFS('Time Off Log'!$A$5:$A$504,$B26,'Time Off Log'!$C$5:$C$504,"&lt;="&amp;AB$5,'Time Off Log'!$J$5:$J$504,"&gt;="&amp;AB$5,'Time Off Log'!$E$5:$E$504,"Approved")&gt;0,"U",IF(COUNTIFS('Time Off Log'!$A$5:$A$504,$B26,'Time Off Log'!$C$5:$C$504,"&lt;="&amp;AB$5,'Time Off Log'!$J$5:$J$504,"&gt;="&amp;AB$5,'Time Off Log'!$E$5:$E$504,"Pending")&gt;0,"?",""))))))</f>
        <v/>
      </c>
      <c r="AC26" s="44">
        <f>IF(OR(AC$5="",$B26=""),"",IF(OR(WEEKDAY(AC$5,2)&gt;5,COUNTIF(Holidays!$A$5:$A$40,AC$5)&gt;0),"",IF(COUNTIFS('Time Off Log'!$A$5:$A$504,$B26,'Time Off Log'!$C$5:$C$504,"&lt;="&amp;AC$5,'Time Off Log'!$J$5:$J$504,"&gt;="&amp;AC$5,'Time Off Log'!$B$5:$B$504,"PTO",'Time Off Log'!$E$5:$E$504,"Approved")&gt;0,"P",IF(COUNTIFS('Time Off Log'!$A$5:$A$504,$B26,'Time Off Log'!$C$5:$C$504,"&lt;="&amp;AC$5,'Time Off Log'!$J$5:$J$504,"&gt;="&amp;AC$5,'Time Off Log'!$B$5:$B$504,"Sick",'Time Off Log'!$E$5:$E$504,"Approved")&gt;0,"S",IF(COUNTIFS('Time Off Log'!$A$5:$A$504,$B26,'Time Off Log'!$C$5:$C$504,"&lt;="&amp;AC$5,'Time Off Log'!$J$5:$J$504,"&gt;="&amp;AC$5,'Time Off Log'!$E$5:$E$504,"Approved")&gt;0,"U",IF(COUNTIFS('Time Off Log'!$A$5:$A$504,$B26,'Time Off Log'!$C$5:$C$504,"&lt;="&amp;AC$5,'Time Off Log'!$J$5:$J$504,"&gt;="&amp;AC$5,'Time Off Log'!$E$5:$E$504,"Pending")&gt;0,"?",""))))))</f>
        <v/>
      </c>
      <c r="AD26" s="44">
        <f>IF(OR(AD$5="",$B26=""),"",IF(OR(WEEKDAY(AD$5,2)&gt;5,COUNTIF(Holidays!$A$5:$A$40,AD$5)&gt;0),"",IF(COUNTIFS('Time Off Log'!$A$5:$A$504,$B26,'Time Off Log'!$C$5:$C$504,"&lt;="&amp;AD$5,'Time Off Log'!$J$5:$J$504,"&gt;="&amp;AD$5,'Time Off Log'!$B$5:$B$504,"PTO",'Time Off Log'!$E$5:$E$504,"Approved")&gt;0,"P",IF(COUNTIFS('Time Off Log'!$A$5:$A$504,$B26,'Time Off Log'!$C$5:$C$504,"&lt;="&amp;AD$5,'Time Off Log'!$J$5:$J$504,"&gt;="&amp;AD$5,'Time Off Log'!$B$5:$B$504,"Sick",'Time Off Log'!$E$5:$E$504,"Approved")&gt;0,"S",IF(COUNTIFS('Time Off Log'!$A$5:$A$504,$B26,'Time Off Log'!$C$5:$C$504,"&lt;="&amp;AD$5,'Time Off Log'!$J$5:$J$504,"&gt;="&amp;AD$5,'Time Off Log'!$E$5:$E$504,"Approved")&gt;0,"U",IF(COUNTIFS('Time Off Log'!$A$5:$A$504,$B26,'Time Off Log'!$C$5:$C$504,"&lt;="&amp;AD$5,'Time Off Log'!$J$5:$J$504,"&gt;="&amp;AD$5,'Time Off Log'!$E$5:$E$504,"Pending")&gt;0,"?",""))))))</f>
        <v/>
      </c>
      <c r="AE26" s="44">
        <f>IF(OR(AE$5="",$B26=""),"",IF(OR(WEEKDAY(AE$5,2)&gt;5,COUNTIF(Holidays!$A$5:$A$40,AE$5)&gt;0),"",IF(COUNTIFS('Time Off Log'!$A$5:$A$504,$B26,'Time Off Log'!$C$5:$C$504,"&lt;="&amp;AE$5,'Time Off Log'!$J$5:$J$504,"&gt;="&amp;AE$5,'Time Off Log'!$B$5:$B$504,"PTO",'Time Off Log'!$E$5:$E$504,"Approved")&gt;0,"P",IF(COUNTIFS('Time Off Log'!$A$5:$A$504,$B26,'Time Off Log'!$C$5:$C$504,"&lt;="&amp;AE$5,'Time Off Log'!$J$5:$J$504,"&gt;="&amp;AE$5,'Time Off Log'!$B$5:$B$504,"Sick",'Time Off Log'!$E$5:$E$504,"Approved")&gt;0,"S",IF(COUNTIFS('Time Off Log'!$A$5:$A$504,$B26,'Time Off Log'!$C$5:$C$504,"&lt;="&amp;AE$5,'Time Off Log'!$J$5:$J$504,"&gt;="&amp;AE$5,'Time Off Log'!$E$5:$E$504,"Approved")&gt;0,"U",IF(COUNTIFS('Time Off Log'!$A$5:$A$504,$B26,'Time Off Log'!$C$5:$C$504,"&lt;="&amp;AE$5,'Time Off Log'!$J$5:$J$504,"&gt;="&amp;AE$5,'Time Off Log'!$E$5:$E$504,"Pending")&gt;0,"?",""))))))</f>
        <v/>
      </c>
      <c r="AF26" s="44">
        <f>IF(OR(AF$5="",$B26=""),"",IF(OR(WEEKDAY(AF$5,2)&gt;5,COUNTIF(Holidays!$A$5:$A$40,AF$5)&gt;0),"",IF(COUNTIFS('Time Off Log'!$A$5:$A$504,$B26,'Time Off Log'!$C$5:$C$504,"&lt;="&amp;AF$5,'Time Off Log'!$J$5:$J$504,"&gt;="&amp;AF$5,'Time Off Log'!$B$5:$B$504,"PTO",'Time Off Log'!$E$5:$E$504,"Approved")&gt;0,"P",IF(COUNTIFS('Time Off Log'!$A$5:$A$504,$B26,'Time Off Log'!$C$5:$C$504,"&lt;="&amp;AF$5,'Time Off Log'!$J$5:$J$504,"&gt;="&amp;AF$5,'Time Off Log'!$B$5:$B$504,"Sick",'Time Off Log'!$E$5:$E$504,"Approved")&gt;0,"S",IF(COUNTIFS('Time Off Log'!$A$5:$A$504,$B26,'Time Off Log'!$C$5:$C$504,"&lt;="&amp;AF$5,'Time Off Log'!$J$5:$J$504,"&gt;="&amp;AF$5,'Time Off Log'!$E$5:$E$504,"Approved")&gt;0,"U",IF(COUNTIFS('Time Off Log'!$A$5:$A$504,$B26,'Time Off Log'!$C$5:$C$504,"&lt;="&amp;AF$5,'Time Off Log'!$J$5:$J$504,"&gt;="&amp;AF$5,'Time Off Log'!$E$5:$E$504,"Pending")&gt;0,"?",""))))))</f>
        <v/>
      </c>
      <c r="AG26" s="44">
        <f>IF(OR(AG$5="",$B26=""),"",IF(OR(WEEKDAY(AG$5,2)&gt;5,COUNTIF(Holidays!$A$5:$A$40,AG$5)&gt;0),"",IF(COUNTIFS('Time Off Log'!$A$5:$A$504,$B26,'Time Off Log'!$C$5:$C$504,"&lt;="&amp;AG$5,'Time Off Log'!$J$5:$J$504,"&gt;="&amp;AG$5,'Time Off Log'!$B$5:$B$504,"PTO",'Time Off Log'!$E$5:$E$504,"Approved")&gt;0,"P",IF(COUNTIFS('Time Off Log'!$A$5:$A$504,$B26,'Time Off Log'!$C$5:$C$504,"&lt;="&amp;AG$5,'Time Off Log'!$J$5:$J$504,"&gt;="&amp;AG$5,'Time Off Log'!$B$5:$B$504,"Sick",'Time Off Log'!$E$5:$E$504,"Approved")&gt;0,"S",IF(COUNTIFS('Time Off Log'!$A$5:$A$504,$B26,'Time Off Log'!$C$5:$C$504,"&lt;="&amp;AG$5,'Time Off Log'!$J$5:$J$504,"&gt;="&amp;AG$5,'Time Off Log'!$E$5:$E$504,"Approved")&gt;0,"U",IF(COUNTIFS('Time Off Log'!$A$5:$A$504,$B26,'Time Off Log'!$C$5:$C$504,"&lt;="&amp;AG$5,'Time Off Log'!$J$5:$J$504,"&gt;="&amp;AG$5,'Time Off Log'!$E$5:$E$504,"Pending")&gt;0,"?",""))))))</f>
        <v/>
      </c>
    </row>
    <row r="27">
      <c r="A27" s="24" t="n">
        <v>22</v>
      </c>
      <c r="B27" s="24">
        <f>IF(Employees!B26="","",Employees!B26)</f>
        <v/>
      </c>
      <c r="C27" s="44">
        <f>IF(OR(C$5="",$B27=""),"",IF(OR(WEEKDAY(C$5,2)&gt;5,COUNTIF(Holidays!$A$5:$A$40,C$5)&gt;0),"",IF(COUNTIFS('Time Off Log'!$A$5:$A$504,$B27,'Time Off Log'!$C$5:$C$504,"&lt;="&amp;C$5,'Time Off Log'!$J$5:$J$504,"&gt;="&amp;C$5,'Time Off Log'!$B$5:$B$504,"PTO",'Time Off Log'!$E$5:$E$504,"Approved")&gt;0,"P",IF(COUNTIFS('Time Off Log'!$A$5:$A$504,$B27,'Time Off Log'!$C$5:$C$504,"&lt;="&amp;C$5,'Time Off Log'!$J$5:$J$504,"&gt;="&amp;C$5,'Time Off Log'!$B$5:$B$504,"Sick",'Time Off Log'!$E$5:$E$504,"Approved")&gt;0,"S",IF(COUNTIFS('Time Off Log'!$A$5:$A$504,$B27,'Time Off Log'!$C$5:$C$504,"&lt;="&amp;C$5,'Time Off Log'!$J$5:$J$504,"&gt;="&amp;C$5,'Time Off Log'!$E$5:$E$504,"Approved")&gt;0,"U",IF(COUNTIFS('Time Off Log'!$A$5:$A$504,$B27,'Time Off Log'!$C$5:$C$504,"&lt;="&amp;C$5,'Time Off Log'!$J$5:$J$504,"&gt;="&amp;C$5,'Time Off Log'!$E$5:$E$504,"Pending")&gt;0,"?",""))))))</f>
        <v/>
      </c>
      <c r="D27" s="44">
        <f>IF(OR(D$5="",$B27=""),"",IF(OR(WEEKDAY(D$5,2)&gt;5,COUNTIF(Holidays!$A$5:$A$40,D$5)&gt;0),"",IF(COUNTIFS('Time Off Log'!$A$5:$A$504,$B27,'Time Off Log'!$C$5:$C$504,"&lt;="&amp;D$5,'Time Off Log'!$J$5:$J$504,"&gt;="&amp;D$5,'Time Off Log'!$B$5:$B$504,"PTO",'Time Off Log'!$E$5:$E$504,"Approved")&gt;0,"P",IF(COUNTIFS('Time Off Log'!$A$5:$A$504,$B27,'Time Off Log'!$C$5:$C$504,"&lt;="&amp;D$5,'Time Off Log'!$J$5:$J$504,"&gt;="&amp;D$5,'Time Off Log'!$B$5:$B$504,"Sick",'Time Off Log'!$E$5:$E$504,"Approved")&gt;0,"S",IF(COUNTIFS('Time Off Log'!$A$5:$A$504,$B27,'Time Off Log'!$C$5:$C$504,"&lt;="&amp;D$5,'Time Off Log'!$J$5:$J$504,"&gt;="&amp;D$5,'Time Off Log'!$E$5:$E$504,"Approved")&gt;0,"U",IF(COUNTIFS('Time Off Log'!$A$5:$A$504,$B27,'Time Off Log'!$C$5:$C$504,"&lt;="&amp;D$5,'Time Off Log'!$J$5:$J$504,"&gt;="&amp;D$5,'Time Off Log'!$E$5:$E$504,"Pending")&gt;0,"?",""))))))</f>
        <v/>
      </c>
      <c r="E27" s="44">
        <f>IF(OR(E$5="",$B27=""),"",IF(OR(WEEKDAY(E$5,2)&gt;5,COUNTIF(Holidays!$A$5:$A$40,E$5)&gt;0),"",IF(COUNTIFS('Time Off Log'!$A$5:$A$504,$B27,'Time Off Log'!$C$5:$C$504,"&lt;="&amp;E$5,'Time Off Log'!$J$5:$J$504,"&gt;="&amp;E$5,'Time Off Log'!$B$5:$B$504,"PTO",'Time Off Log'!$E$5:$E$504,"Approved")&gt;0,"P",IF(COUNTIFS('Time Off Log'!$A$5:$A$504,$B27,'Time Off Log'!$C$5:$C$504,"&lt;="&amp;E$5,'Time Off Log'!$J$5:$J$504,"&gt;="&amp;E$5,'Time Off Log'!$B$5:$B$504,"Sick",'Time Off Log'!$E$5:$E$504,"Approved")&gt;0,"S",IF(COUNTIFS('Time Off Log'!$A$5:$A$504,$B27,'Time Off Log'!$C$5:$C$504,"&lt;="&amp;E$5,'Time Off Log'!$J$5:$J$504,"&gt;="&amp;E$5,'Time Off Log'!$E$5:$E$504,"Approved")&gt;0,"U",IF(COUNTIFS('Time Off Log'!$A$5:$A$504,$B27,'Time Off Log'!$C$5:$C$504,"&lt;="&amp;E$5,'Time Off Log'!$J$5:$J$504,"&gt;="&amp;E$5,'Time Off Log'!$E$5:$E$504,"Pending")&gt;0,"?",""))))))</f>
        <v/>
      </c>
      <c r="F27" s="44">
        <f>IF(OR(F$5="",$B27=""),"",IF(OR(WEEKDAY(F$5,2)&gt;5,COUNTIF(Holidays!$A$5:$A$40,F$5)&gt;0),"",IF(COUNTIFS('Time Off Log'!$A$5:$A$504,$B27,'Time Off Log'!$C$5:$C$504,"&lt;="&amp;F$5,'Time Off Log'!$J$5:$J$504,"&gt;="&amp;F$5,'Time Off Log'!$B$5:$B$504,"PTO",'Time Off Log'!$E$5:$E$504,"Approved")&gt;0,"P",IF(COUNTIFS('Time Off Log'!$A$5:$A$504,$B27,'Time Off Log'!$C$5:$C$504,"&lt;="&amp;F$5,'Time Off Log'!$J$5:$J$504,"&gt;="&amp;F$5,'Time Off Log'!$B$5:$B$504,"Sick",'Time Off Log'!$E$5:$E$504,"Approved")&gt;0,"S",IF(COUNTIFS('Time Off Log'!$A$5:$A$504,$B27,'Time Off Log'!$C$5:$C$504,"&lt;="&amp;F$5,'Time Off Log'!$J$5:$J$504,"&gt;="&amp;F$5,'Time Off Log'!$E$5:$E$504,"Approved")&gt;0,"U",IF(COUNTIFS('Time Off Log'!$A$5:$A$504,$B27,'Time Off Log'!$C$5:$C$504,"&lt;="&amp;F$5,'Time Off Log'!$J$5:$J$504,"&gt;="&amp;F$5,'Time Off Log'!$E$5:$E$504,"Pending")&gt;0,"?",""))))))</f>
        <v/>
      </c>
      <c r="G27" s="44">
        <f>IF(OR(G$5="",$B27=""),"",IF(OR(WEEKDAY(G$5,2)&gt;5,COUNTIF(Holidays!$A$5:$A$40,G$5)&gt;0),"",IF(COUNTIFS('Time Off Log'!$A$5:$A$504,$B27,'Time Off Log'!$C$5:$C$504,"&lt;="&amp;G$5,'Time Off Log'!$J$5:$J$504,"&gt;="&amp;G$5,'Time Off Log'!$B$5:$B$504,"PTO",'Time Off Log'!$E$5:$E$504,"Approved")&gt;0,"P",IF(COUNTIFS('Time Off Log'!$A$5:$A$504,$B27,'Time Off Log'!$C$5:$C$504,"&lt;="&amp;G$5,'Time Off Log'!$J$5:$J$504,"&gt;="&amp;G$5,'Time Off Log'!$B$5:$B$504,"Sick",'Time Off Log'!$E$5:$E$504,"Approved")&gt;0,"S",IF(COUNTIFS('Time Off Log'!$A$5:$A$504,$B27,'Time Off Log'!$C$5:$C$504,"&lt;="&amp;G$5,'Time Off Log'!$J$5:$J$504,"&gt;="&amp;G$5,'Time Off Log'!$E$5:$E$504,"Approved")&gt;0,"U",IF(COUNTIFS('Time Off Log'!$A$5:$A$504,$B27,'Time Off Log'!$C$5:$C$504,"&lt;="&amp;G$5,'Time Off Log'!$J$5:$J$504,"&gt;="&amp;G$5,'Time Off Log'!$E$5:$E$504,"Pending")&gt;0,"?",""))))))</f>
        <v/>
      </c>
      <c r="H27" s="44">
        <f>IF(OR(H$5="",$B27=""),"",IF(OR(WEEKDAY(H$5,2)&gt;5,COUNTIF(Holidays!$A$5:$A$40,H$5)&gt;0),"",IF(COUNTIFS('Time Off Log'!$A$5:$A$504,$B27,'Time Off Log'!$C$5:$C$504,"&lt;="&amp;H$5,'Time Off Log'!$J$5:$J$504,"&gt;="&amp;H$5,'Time Off Log'!$B$5:$B$504,"PTO",'Time Off Log'!$E$5:$E$504,"Approved")&gt;0,"P",IF(COUNTIFS('Time Off Log'!$A$5:$A$504,$B27,'Time Off Log'!$C$5:$C$504,"&lt;="&amp;H$5,'Time Off Log'!$J$5:$J$504,"&gt;="&amp;H$5,'Time Off Log'!$B$5:$B$504,"Sick",'Time Off Log'!$E$5:$E$504,"Approved")&gt;0,"S",IF(COUNTIFS('Time Off Log'!$A$5:$A$504,$B27,'Time Off Log'!$C$5:$C$504,"&lt;="&amp;H$5,'Time Off Log'!$J$5:$J$504,"&gt;="&amp;H$5,'Time Off Log'!$E$5:$E$504,"Approved")&gt;0,"U",IF(COUNTIFS('Time Off Log'!$A$5:$A$504,$B27,'Time Off Log'!$C$5:$C$504,"&lt;="&amp;H$5,'Time Off Log'!$J$5:$J$504,"&gt;="&amp;H$5,'Time Off Log'!$E$5:$E$504,"Pending")&gt;0,"?",""))))))</f>
        <v/>
      </c>
      <c r="I27" s="44">
        <f>IF(OR(I$5="",$B27=""),"",IF(OR(WEEKDAY(I$5,2)&gt;5,COUNTIF(Holidays!$A$5:$A$40,I$5)&gt;0),"",IF(COUNTIFS('Time Off Log'!$A$5:$A$504,$B27,'Time Off Log'!$C$5:$C$504,"&lt;="&amp;I$5,'Time Off Log'!$J$5:$J$504,"&gt;="&amp;I$5,'Time Off Log'!$B$5:$B$504,"PTO",'Time Off Log'!$E$5:$E$504,"Approved")&gt;0,"P",IF(COUNTIFS('Time Off Log'!$A$5:$A$504,$B27,'Time Off Log'!$C$5:$C$504,"&lt;="&amp;I$5,'Time Off Log'!$J$5:$J$504,"&gt;="&amp;I$5,'Time Off Log'!$B$5:$B$504,"Sick",'Time Off Log'!$E$5:$E$504,"Approved")&gt;0,"S",IF(COUNTIFS('Time Off Log'!$A$5:$A$504,$B27,'Time Off Log'!$C$5:$C$504,"&lt;="&amp;I$5,'Time Off Log'!$J$5:$J$504,"&gt;="&amp;I$5,'Time Off Log'!$E$5:$E$504,"Approved")&gt;0,"U",IF(COUNTIFS('Time Off Log'!$A$5:$A$504,$B27,'Time Off Log'!$C$5:$C$504,"&lt;="&amp;I$5,'Time Off Log'!$J$5:$J$504,"&gt;="&amp;I$5,'Time Off Log'!$E$5:$E$504,"Pending")&gt;0,"?",""))))))</f>
        <v/>
      </c>
      <c r="J27" s="44">
        <f>IF(OR(J$5="",$B27=""),"",IF(OR(WEEKDAY(J$5,2)&gt;5,COUNTIF(Holidays!$A$5:$A$40,J$5)&gt;0),"",IF(COUNTIFS('Time Off Log'!$A$5:$A$504,$B27,'Time Off Log'!$C$5:$C$504,"&lt;="&amp;J$5,'Time Off Log'!$J$5:$J$504,"&gt;="&amp;J$5,'Time Off Log'!$B$5:$B$504,"PTO",'Time Off Log'!$E$5:$E$504,"Approved")&gt;0,"P",IF(COUNTIFS('Time Off Log'!$A$5:$A$504,$B27,'Time Off Log'!$C$5:$C$504,"&lt;="&amp;J$5,'Time Off Log'!$J$5:$J$504,"&gt;="&amp;J$5,'Time Off Log'!$B$5:$B$504,"Sick",'Time Off Log'!$E$5:$E$504,"Approved")&gt;0,"S",IF(COUNTIFS('Time Off Log'!$A$5:$A$504,$B27,'Time Off Log'!$C$5:$C$504,"&lt;="&amp;J$5,'Time Off Log'!$J$5:$J$504,"&gt;="&amp;J$5,'Time Off Log'!$E$5:$E$504,"Approved")&gt;0,"U",IF(COUNTIFS('Time Off Log'!$A$5:$A$504,$B27,'Time Off Log'!$C$5:$C$504,"&lt;="&amp;J$5,'Time Off Log'!$J$5:$J$504,"&gt;="&amp;J$5,'Time Off Log'!$E$5:$E$504,"Pending")&gt;0,"?",""))))))</f>
        <v/>
      </c>
      <c r="K27" s="44">
        <f>IF(OR(K$5="",$B27=""),"",IF(OR(WEEKDAY(K$5,2)&gt;5,COUNTIF(Holidays!$A$5:$A$40,K$5)&gt;0),"",IF(COUNTIFS('Time Off Log'!$A$5:$A$504,$B27,'Time Off Log'!$C$5:$C$504,"&lt;="&amp;K$5,'Time Off Log'!$J$5:$J$504,"&gt;="&amp;K$5,'Time Off Log'!$B$5:$B$504,"PTO",'Time Off Log'!$E$5:$E$504,"Approved")&gt;0,"P",IF(COUNTIFS('Time Off Log'!$A$5:$A$504,$B27,'Time Off Log'!$C$5:$C$504,"&lt;="&amp;K$5,'Time Off Log'!$J$5:$J$504,"&gt;="&amp;K$5,'Time Off Log'!$B$5:$B$504,"Sick",'Time Off Log'!$E$5:$E$504,"Approved")&gt;0,"S",IF(COUNTIFS('Time Off Log'!$A$5:$A$504,$B27,'Time Off Log'!$C$5:$C$504,"&lt;="&amp;K$5,'Time Off Log'!$J$5:$J$504,"&gt;="&amp;K$5,'Time Off Log'!$E$5:$E$504,"Approved")&gt;0,"U",IF(COUNTIFS('Time Off Log'!$A$5:$A$504,$B27,'Time Off Log'!$C$5:$C$504,"&lt;="&amp;K$5,'Time Off Log'!$J$5:$J$504,"&gt;="&amp;K$5,'Time Off Log'!$E$5:$E$504,"Pending")&gt;0,"?",""))))))</f>
        <v/>
      </c>
      <c r="L27" s="44">
        <f>IF(OR(L$5="",$B27=""),"",IF(OR(WEEKDAY(L$5,2)&gt;5,COUNTIF(Holidays!$A$5:$A$40,L$5)&gt;0),"",IF(COUNTIFS('Time Off Log'!$A$5:$A$504,$B27,'Time Off Log'!$C$5:$C$504,"&lt;="&amp;L$5,'Time Off Log'!$J$5:$J$504,"&gt;="&amp;L$5,'Time Off Log'!$B$5:$B$504,"PTO",'Time Off Log'!$E$5:$E$504,"Approved")&gt;0,"P",IF(COUNTIFS('Time Off Log'!$A$5:$A$504,$B27,'Time Off Log'!$C$5:$C$504,"&lt;="&amp;L$5,'Time Off Log'!$J$5:$J$504,"&gt;="&amp;L$5,'Time Off Log'!$B$5:$B$504,"Sick",'Time Off Log'!$E$5:$E$504,"Approved")&gt;0,"S",IF(COUNTIFS('Time Off Log'!$A$5:$A$504,$B27,'Time Off Log'!$C$5:$C$504,"&lt;="&amp;L$5,'Time Off Log'!$J$5:$J$504,"&gt;="&amp;L$5,'Time Off Log'!$E$5:$E$504,"Approved")&gt;0,"U",IF(COUNTIFS('Time Off Log'!$A$5:$A$504,$B27,'Time Off Log'!$C$5:$C$504,"&lt;="&amp;L$5,'Time Off Log'!$J$5:$J$504,"&gt;="&amp;L$5,'Time Off Log'!$E$5:$E$504,"Pending")&gt;0,"?",""))))))</f>
        <v/>
      </c>
      <c r="M27" s="44">
        <f>IF(OR(M$5="",$B27=""),"",IF(OR(WEEKDAY(M$5,2)&gt;5,COUNTIF(Holidays!$A$5:$A$40,M$5)&gt;0),"",IF(COUNTIFS('Time Off Log'!$A$5:$A$504,$B27,'Time Off Log'!$C$5:$C$504,"&lt;="&amp;M$5,'Time Off Log'!$J$5:$J$504,"&gt;="&amp;M$5,'Time Off Log'!$B$5:$B$504,"PTO",'Time Off Log'!$E$5:$E$504,"Approved")&gt;0,"P",IF(COUNTIFS('Time Off Log'!$A$5:$A$504,$B27,'Time Off Log'!$C$5:$C$504,"&lt;="&amp;M$5,'Time Off Log'!$J$5:$J$504,"&gt;="&amp;M$5,'Time Off Log'!$B$5:$B$504,"Sick",'Time Off Log'!$E$5:$E$504,"Approved")&gt;0,"S",IF(COUNTIFS('Time Off Log'!$A$5:$A$504,$B27,'Time Off Log'!$C$5:$C$504,"&lt;="&amp;M$5,'Time Off Log'!$J$5:$J$504,"&gt;="&amp;M$5,'Time Off Log'!$E$5:$E$504,"Approved")&gt;0,"U",IF(COUNTIFS('Time Off Log'!$A$5:$A$504,$B27,'Time Off Log'!$C$5:$C$504,"&lt;="&amp;M$5,'Time Off Log'!$J$5:$J$504,"&gt;="&amp;M$5,'Time Off Log'!$E$5:$E$504,"Pending")&gt;0,"?",""))))))</f>
        <v/>
      </c>
      <c r="N27" s="44">
        <f>IF(OR(N$5="",$B27=""),"",IF(OR(WEEKDAY(N$5,2)&gt;5,COUNTIF(Holidays!$A$5:$A$40,N$5)&gt;0),"",IF(COUNTIFS('Time Off Log'!$A$5:$A$504,$B27,'Time Off Log'!$C$5:$C$504,"&lt;="&amp;N$5,'Time Off Log'!$J$5:$J$504,"&gt;="&amp;N$5,'Time Off Log'!$B$5:$B$504,"PTO",'Time Off Log'!$E$5:$E$504,"Approved")&gt;0,"P",IF(COUNTIFS('Time Off Log'!$A$5:$A$504,$B27,'Time Off Log'!$C$5:$C$504,"&lt;="&amp;N$5,'Time Off Log'!$J$5:$J$504,"&gt;="&amp;N$5,'Time Off Log'!$B$5:$B$504,"Sick",'Time Off Log'!$E$5:$E$504,"Approved")&gt;0,"S",IF(COUNTIFS('Time Off Log'!$A$5:$A$504,$B27,'Time Off Log'!$C$5:$C$504,"&lt;="&amp;N$5,'Time Off Log'!$J$5:$J$504,"&gt;="&amp;N$5,'Time Off Log'!$E$5:$E$504,"Approved")&gt;0,"U",IF(COUNTIFS('Time Off Log'!$A$5:$A$504,$B27,'Time Off Log'!$C$5:$C$504,"&lt;="&amp;N$5,'Time Off Log'!$J$5:$J$504,"&gt;="&amp;N$5,'Time Off Log'!$E$5:$E$504,"Pending")&gt;0,"?",""))))))</f>
        <v/>
      </c>
      <c r="O27" s="44">
        <f>IF(OR(O$5="",$B27=""),"",IF(OR(WEEKDAY(O$5,2)&gt;5,COUNTIF(Holidays!$A$5:$A$40,O$5)&gt;0),"",IF(COUNTIFS('Time Off Log'!$A$5:$A$504,$B27,'Time Off Log'!$C$5:$C$504,"&lt;="&amp;O$5,'Time Off Log'!$J$5:$J$504,"&gt;="&amp;O$5,'Time Off Log'!$B$5:$B$504,"PTO",'Time Off Log'!$E$5:$E$504,"Approved")&gt;0,"P",IF(COUNTIFS('Time Off Log'!$A$5:$A$504,$B27,'Time Off Log'!$C$5:$C$504,"&lt;="&amp;O$5,'Time Off Log'!$J$5:$J$504,"&gt;="&amp;O$5,'Time Off Log'!$B$5:$B$504,"Sick",'Time Off Log'!$E$5:$E$504,"Approved")&gt;0,"S",IF(COUNTIFS('Time Off Log'!$A$5:$A$504,$B27,'Time Off Log'!$C$5:$C$504,"&lt;="&amp;O$5,'Time Off Log'!$J$5:$J$504,"&gt;="&amp;O$5,'Time Off Log'!$E$5:$E$504,"Approved")&gt;0,"U",IF(COUNTIFS('Time Off Log'!$A$5:$A$504,$B27,'Time Off Log'!$C$5:$C$504,"&lt;="&amp;O$5,'Time Off Log'!$J$5:$J$504,"&gt;="&amp;O$5,'Time Off Log'!$E$5:$E$504,"Pending")&gt;0,"?",""))))))</f>
        <v/>
      </c>
      <c r="P27" s="44">
        <f>IF(OR(P$5="",$B27=""),"",IF(OR(WEEKDAY(P$5,2)&gt;5,COUNTIF(Holidays!$A$5:$A$40,P$5)&gt;0),"",IF(COUNTIFS('Time Off Log'!$A$5:$A$504,$B27,'Time Off Log'!$C$5:$C$504,"&lt;="&amp;P$5,'Time Off Log'!$J$5:$J$504,"&gt;="&amp;P$5,'Time Off Log'!$B$5:$B$504,"PTO",'Time Off Log'!$E$5:$E$504,"Approved")&gt;0,"P",IF(COUNTIFS('Time Off Log'!$A$5:$A$504,$B27,'Time Off Log'!$C$5:$C$504,"&lt;="&amp;P$5,'Time Off Log'!$J$5:$J$504,"&gt;="&amp;P$5,'Time Off Log'!$B$5:$B$504,"Sick",'Time Off Log'!$E$5:$E$504,"Approved")&gt;0,"S",IF(COUNTIFS('Time Off Log'!$A$5:$A$504,$B27,'Time Off Log'!$C$5:$C$504,"&lt;="&amp;P$5,'Time Off Log'!$J$5:$J$504,"&gt;="&amp;P$5,'Time Off Log'!$E$5:$E$504,"Approved")&gt;0,"U",IF(COUNTIFS('Time Off Log'!$A$5:$A$504,$B27,'Time Off Log'!$C$5:$C$504,"&lt;="&amp;P$5,'Time Off Log'!$J$5:$J$504,"&gt;="&amp;P$5,'Time Off Log'!$E$5:$E$504,"Pending")&gt;0,"?",""))))))</f>
        <v/>
      </c>
      <c r="Q27" s="44">
        <f>IF(OR(Q$5="",$B27=""),"",IF(OR(WEEKDAY(Q$5,2)&gt;5,COUNTIF(Holidays!$A$5:$A$40,Q$5)&gt;0),"",IF(COUNTIFS('Time Off Log'!$A$5:$A$504,$B27,'Time Off Log'!$C$5:$C$504,"&lt;="&amp;Q$5,'Time Off Log'!$J$5:$J$504,"&gt;="&amp;Q$5,'Time Off Log'!$B$5:$B$504,"PTO",'Time Off Log'!$E$5:$E$504,"Approved")&gt;0,"P",IF(COUNTIFS('Time Off Log'!$A$5:$A$504,$B27,'Time Off Log'!$C$5:$C$504,"&lt;="&amp;Q$5,'Time Off Log'!$J$5:$J$504,"&gt;="&amp;Q$5,'Time Off Log'!$B$5:$B$504,"Sick",'Time Off Log'!$E$5:$E$504,"Approved")&gt;0,"S",IF(COUNTIFS('Time Off Log'!$A$5:$A$504,$B27,'Time Off Log'!$C$5:$C$504,"&lt;="&amp;Q$5,'Time Off Log'!$J$5:$J$504,"&gt;="&amp;Q$5,'Time Off Log'!$E$5:$E$504,"Approved")&gt;0,"U",IF(COUNTIFS('Time Off Log'!$A$5:$A$504,$B27,'Time Off Log'!$C$5:$C$504,"&lt;="&amp;Q$5,'Time Off Log'!$J$5:$J$504,"&gt;="&amp;Q$5,'Time Off Log'!$E$5:$E$504,"Pending")&gt;0,"?",""))))))</f>
        <v/>
      </c>
      <c r="R27" s="44">
        <f>IF(OR(R$5="",$B27=""),"",IF(OR(WEEKDAY(R$5,2)&gt;5,COUNTIF(Holidays!$A$5:$A$40,R$5)&gt;0),"",IF(COUNTIFS('Time Off Log'!$A$5:$A$504,$B27,'Time Off Log'!$C$5:$C$504,"&lt;="&amp;R$5,'Time Off Log'!$J$5:$J$504,"&gt;="&amp;R$5,'Time Off Log'!$B$5:$B$504,"PTO",'Time Off Log'!$E$5:$E$504,"Approved")&gt;0,"P",IF(COUNTIFS('Time Off Log'!$A$5:$A$504,$B27,'Time Off Log'!$C$5:$C$504,"&lt;="&amp;R$5,'Time Off Log'!$J$5:$J$504,"&gt;="&amp;R$5,'Time Off Log'!$B$5:$B$504,"Sick",'Time Off Log'!$E$5:$E$504,"Approved")&gt;0,"S",IF(COUNTIFS('Time Off Log'!$A$5:$A$504,$B27,'Time Off Log'!$C$5:$C$504,"&lt;="&amp;R$5,'Time Off Log'!$J$5:$J$504,"&gt;="&amp;R$5,'Time Off Log'!$E$5:$E$504,"Approved")&gt;0,"U",IF(COUNTIFS('Time Off Log'!$A$5:$A$504,$B27,'Time Off Log'!$C$5:$C$504,"&lt;="&amp;R$5,'Time Off Log'!$J$5:$J$504,"&gt;="&amp;R$5,'Time Off Log'!$E$5:$E$504,"Pending")&gt;0,"?",""))))))</f>
        <v/>
      </c>
      <c r="S27" s="44">
        <f>IF(OR(S$5="",$B27=""),"",IF(OR(WEEKDAY(S$5,2)&gt;5,COUNTIF(Holidays!$A$5:$A$40,S$5)&gt;0),"",IF(COUNTIFS('Time Off Log'!$A$5:$A$504,$B27,'Time Off Log'!$C$5:$C$504,"&lt;="&amp;S$5,'Time Off Log'!$J$5:$J$504,"&gt;="&amp;S$5,'Time Off Log'!$B$5:$B$504,"PTO",'Time Off Log'!$E$5:$E$504,"Approved")&gt;0,"P",IF(COUNTIFS('Time Off Log'!$A$5:$A$504,$B27,'Time Off Log'!$C$5:$C$504,"&lt;="&amp;S$5,'Time Off Log'!$J$5:$J$504,"&gt;="&amp;S$5,'Time Off Log'!$B$5:$B$504,"Sick",'Time Off Log'!$E$5:$E$504,"Approved")&gt;0,"S",IF(COUNTIFS('Time Off Log'!$A$5:$A$504,$B27,'Time Off Log'!$C$5:$C$504,"&lt;="&amp;S$5,'Time Off Log'!$J$5:$J$504,"&gt;="&amp;S$5,'Time Off Log'!$E$5:$E$504,"Approved")&gt;0,"U",IF(COUNTIFS('Time Off Log'!$A$5:$A$504,$B27,'Time Off Log'!$C$5:$C$504,"&lt;="&amp;S$5,'Time Off Log'!$J$5:$J$504,"&gt;="&amp;S$5,'Time Off Log'!$E$5:$E$504,"Pending")&gt;0,"?",""))))))</f>
        <v/>
      </c>
      <c r="T27" s="44">
        <f>IF(OR(T$5="",$B27=""),"",IF(OR(WEEKDAY(T$5,2)&gt;5,COUNTIF(Holidays!$A$5:$A$40,T$5)&gt;0),"",IF(COUNTIFS('Time Off Log'!$A$5:$A$504,$B27,'Time Off Log'!$C$5:$C$504,"&lt;="&amp;T$5,'Time Off Log'!$J$5:$J$504,"&gt;="&amp;T$5,'Time Off Log'!$B$5:$B$504,"PTO",'Time Off Log'!$E$5:$E$504,"Approved")&gt;0,"P",IF(COUNTIFS('Time Off Log'!$A$5:$A$504,$B27,'Time Off Log'!$C$5:$C$504,"&lt;="&amp;T$5,'Time Off Log'!$J$5:$J$504,"&gt;="&amp;T$5,'Time Off Log'!$B$5:$B$504,"Sick",'Time Off Log'!$E$5:$E$504,"Approved")&gt;0,"S",IF(COUNTIFS('Time Off Log'!$A$5:$A$504,$B27,'Time Off Log'!$C$5:$C$504,"&lt;="&amp;T$5,'Time Off Log'!$J$5:$J$504,"&gt;="&amp;T$5,'Time Off Log'!$E$5:$E$504,"Approved")&gt;0,"U",IF(COUNTIFS('Time Off Log'!$A$5:$A$504,$B27,'Time Off Log'!$C$5:$C$504,"&lt;="&amp;T$5,'Time Off Log'!$J$5:$J$504,"&gt;="&amp;T$5,'Time Off Log'!$E$5:$E$504,"Pending")&gt;0,"?",""))))))</f>
        <v/>
      </c>
      <c r="U27" s="44">
        <f>IF(OR(U$5="",$B27=""),"",IF(OR(WEEKDAY(U$5,2)&gt;5,COUNTIF(Holidays!$A$5:$A$40,U$5)&gt;0),"",IF(COUNTIFS('Time Off Log'!$A$5:$A$504,$B27,'Time Off Log'!$C$5:$C$504,"&lt;="&amp;U$5,'Time Off Log'!$J$5:$J$504,"&gt;="&amp;U$5,'Time Off Log'!$B$5:$B$504,"PTO",'Time Off Log'!$E$5:$E$504,"Approved")&gt;0,"P",IF(COUNTIFS('Time Off Log'!$A$5:$A$504,$B27,'Time Off Log'!$C$5:$C$504,"&lt;="&amp;U$5,'Time Off Log'!$J$5:$J$504,"&gt;="&amp;U$5,'Time Off Log'!$B$5:$B$504,"Sick",'Time Off Log'!$E$5:$E$504,"Approved")&gt;0,"S",IF(COUNTIFS('Time Off Log'!$A$5:$A$504,$B27,'Time Off Log'!$C$5:$C$504,"&lt;="&amp;U$5,'Time Off Log'!$J$5:$J$504,"&gt;="&amp;U$5,'Time Off Log'!$E$5:$E$504,"Approved")&gt;0,"U",IF(COUNTIFS('Time Off Log'!$A$5:$A$504,$B27,'Time Off Log'!$C$5:$C$504,"&lt;="&amp;U$5,'Time Off Log'!$J$5:$J$504,"&gt;="&amp;U$5,'Time Off Log'!$E$5:$E$504,"Pending")&gt;0,"?",""))))))</f>
        <v/>
      </c>
      <c r="V27" s="44">
        <f>IF(OR(V$5="",$B27=""),"",IF(OR(WEEKDAY(V$5,2)&gt;5,COUNTIF(Holidays!$A$5:$A$40,V$5)&gt;0),"",IF(COUNTIFS('Time Off Log'!$A$5:$A$504,$B27,'Time Off Log'!$C$5:$C$504,"&lt;="&amp;V$5,'Time Off Log'!$J$5:$J$504,"&gt;="&amp;V$5,'Time Off Log'!$B$5:$B$504,"PTO",'Time Off Log'!$E$5:$E$504,"Approved")&gt;0,"P",IF(COUNTIFS('Time Off Log'!$A$5:$A$504,$B27,'Time Off Log'!$C$5:$C$504,"&lt;="&amp;V$5,'Time Off Log'!$J$5:$J$504,"&gt;="&amp;V$5,'Time Off Log'!$B$5:$B$504,"Sick",'Time Off Log'!$E$5:$E$504,"Approved")&gt;0,"S",IF(COUNTIFS('Time Off Log'!$A$5:$A$504,$B27,'Time Off Log'!$C$5:$C$504,"&lt;="&amp;V$5,'Time Off Log'!$J$5:$J$504,"&gt;="&amp;V$5,'Time Off Log'!$E$5:$E$504,"Approved")&gt;0,"U",IF(COUNTIFS('Time Off Log'!$A$5:$A$504,$B27,'Time Off Log'!$C$5:$C$504,"&lt;="&amp;V$5,'Time Off Log'!$J$5:$J$504,"&gt;="&amp;V$5,'Time Off Log'!$E$5:$E$504,"Pending")&gt;0,"?",""))))))</f>
        <v/>
      </c>
      <c r="W27" s="44">
        <f>IF(OR(W$5="",$B27=""),"",IF(OR(WEEKDAY(W$5,2)&gt;5,COUNTIF(Holidays!$A$5:$A$40,W$5)&gt;0),"",IF(COUNTIFS('Time Off Log'!$A$5:$A$504,$B27,'Time Off Log'!$C$5:$C$504,"&lt;="&amp;W$5,'Time Off Log'!$J$5:$J$504,"&gt;="&amp;W$5,'Time Off Log'!$B$5:$B$504,"PTO",'Time Off Log'!$E$5:$E$504,"Approved")&gt;0,"P",IF(COUNTIFS('Time Off Log'!$A$5:$A$504,$B27,'Time Off Log'!$C$5:$C$504,"&lt;="&amp;W$5,'Time Off Log'!$J$5:$J$504,"&gt;="&amp;W$5,'Time Off Log'!$B$5:$B$504,"Sick",'Time Off Log'!$E$5:$E$504,"Approved")&gt;0,"S",IF(COUNTIFS('Time Off Log'!$A$5:$A$504,$B27,'Time Off Log'!$C$5:$C$504,"&lt;="&amp;W$5,'Time Off Log'!$J$5:$J$504,"&gt;="&amp;W$5,'Time Off Log'!$E$5:$E$504,"Approved")&gt;0,"U",IF(COUNTIFS('Time Off Log'!$A$5:$A$504,$B27,'Time Off Log'!$C$5:$C$504,"&lt;="&amp;W$5,'Time Off Log'!$J$5:$J$504,"&gt;="&amp;W$5,'Time Off Log'!$E$5:$E$504,"Pending")&gt;0,"?",""))))))</f>
        <v/>
      </c>
      <c r="X27" s="44">
        <f>IF(OR(X$5="",$B27=""),"",IF(OR(WEEKDAY(X$5,2)&gt;5,COUNTIF(Holidays!$A$5:$A$40,X$5)&gt;0),"",IF(COUNTIFS('Time Off Log'!$A$5:$A$504,$B27,'Time Off Log'!$C$5:$C$504,"&lt;="&amp;X$5,'Time Off Log'!$J$5:$J$504,"&gt;="&amp;X$5,'Time Off Log'!$B$5:$B$504,"PTO",'Time Off Log'!$E$5:$E$504,"Approved")&gt;0,"P",IF(COUNTIFS('Time Off Log'!$A$5:$A$504,$B27,'Time Off Log'!$C$5:$C$504,"&lt;="&amp;X$5,'Time Off Log'!$J$5:$J$504,"&gt;="&amp;X$5,'Time Off Log'!$B$5:$B$504,"Sick",'Time Off Log'!$E$5:$E$504,"Approved")&gt;0,"S",IF(COUNTIFS('Time Off Log'!$A$5:$A$504,$B27,'Time Off Log'!$C$5:$C$504,"&lt;="&amp;X$5,'Time Off Log'!$J$5:$J$504,"&gt;="&amp;X$5,'Time Off Log'!$E$5:$E$504,"Approved")&gt;0,"U",IF(COUNTIFS('Time Off Log'!$A$5:$A$504,$B27,'Time Off Log'!$C$5:$C$504,"&lt;="&amp;X$5,'Time Off Log'!$J$5:$J$504,"&gt;="&amp;X$5,'Time Off Log'!$E$5:$E$504,"Pending")&gt;0,"?",""))))))</f>
        <v/>
      </c>
      <c r="Y27" s="44">
        <f>IF(OR(Y$5="",$B27=""),"",IF(OR(WEEKDAY(Y$5,2)&gt;5,COUNTIF(Holidays!$A$5:$A$40,Y$5)&gt;0),"",IF(COUNTIFS('Time Off Log'!$A$5:$A$504,$B27,'Time Off Log'!$C$5:$C$504,"&lt;="&amp;Y$5,'Time Off Log'!$J$5:$J$504,"&gt;="&amp;Y$5,'Time Off Log'!$B$5:$B$504,"PTO",'Time Off Log'!$E$5:$E$504,"Approved")&gt;0,"P",IF(COUNTIFS('Time Off Log'!$A$5:$A$504,$B27,'Time Off Log'!$C$5:$C$504,"&lt;="&amp;Y$5,'Time Off Log'!$J$5:$J$504,"&gt;="&amp;Y$5,'Time Off Log'!$B$5:$B$504,"Sick",'Time Off Log'!$E$5:$E$504,"Approved")&gt;0,"S",IF(COUNTIFS('Time Off Log'!$A$5:$A$504,$B27,'Time Off Log'!$C$5:$C$504,"&lt;="&amp;Y$5,'Time Off Log'!$J$5:$J$504,"&gt;="&amp;Y$5,'Time Off Log'!$E$5:$E$504,"Approved")&gt;0,"U",IF(COUNTIFS('Time Off Log'!$A$5:$A$504,$B27,'Time Off Log'!$C$5:$C$504,"&lt;="&amp;Y$5,'Time Off Log'!$J$5:$J$504,"&gt;="&amp;Y$5,'Time Off Log'!$E$5:$E$504,"Pending")&gt;0,"?",""))))))</f>
        <v/>
      </c>
      <c r="Z27" s="44">
        <f>IF(OR(Z$5="",$B27=""),"",IF(OR(WEEKDAY(Z$5,2)&gt;5,COUNTIF(Holidays!$A$5:$A$40,Z$5)&gt;0),"",IF(COUNTIFS('Time Off Log'!$A$5:$A$504,$B27,'Time Off Log'!$C$5:$C$504,"&lt;="&amp;Z$5,'Time Off Log'!$J$5:$J$504,"&gt;="&amp;Z$5,'Time Off Log'!$B$5:$B$504,"PTO",'Time Off Log'!$E$5:$E$504,"Approved")&gt;0,"P",IF(COUNTIFS('Time Off Log'!$A$5:$A$504,$B27,'Time Off Log'!$C$5:$C$504,"&lt;="&amp;Z$5,'Time Off Log'!$J$5:$J$504,"&gt;="&amp;Z$5,'Time Off Log'!$B$5:$B$504,"Sick",'Time Off Log'!$E$5:$E$504,"Approved")&gt;0,"S",IF(COUNTIFS('Time Off Log'!$A$5:$A$504,$B27,'Time Off Log'!$C$5:$C$504,"&lt;="&amp;Z$5,'Time Off Log'!$J$5:$J$504,"&gt;="&amp;Z$5,'Time Off Log'!$E$5:$E$504,"Approved")&gt;0,"U",IF(COUNTIFS('Time Off Log'!$A$5:$A$504,$B27,'Time Off Log'!$C$5:$C$504,"&lt;="&amp;Z$5,'Time Off Log'!$J$5:$J$504,"&gt;="&amp;Z$5,'Time Off Log'!$E$5:$E$504,"Pending")&gt;0,"?",""))))))</f>
        <v/>
      </c>
      <c r="AA27" s="44">
        <f>IF(OR(AA$5="",$B27=""),"",IF(OR(WEEKDAY(AA$5,2)&gt;5,COUNTIF(Holidays!$A$5:$A$40,AA$5)&gt;0),"",IF(COUNTIFS('Time Off Log'!$A$5:$A$504,$B27,'Time Off Log'!$C$5:$C$504,"&lt;="&amp;AA$5,'Time Off Log'!$J$5:$J$504,"&gt;="&amp;AA$5,'Time Off Log'!$B$5:$B$504,"PTO",'Time Off Log'!$E$5:$E$504,"Approved")&gt;0,"P",IF(COUNTIFS('Time Off Log'!$A$5:$A$504,$B27,'Time Off Log'!$C$5:$C$504,"&lt;="&amp;AA$5,'Time Off Log'!$J$5:$J$504,"&gt;="&amp;AA$5,'Time Off Log'!$B$5:$B$504,"Sick",'Time Off Log'!$E$5:$E$504,"Approved")&gt;0,"S",IF(COUNTIFS('Time Off Log'!$A$5:$A$504,$B27,'Time Off Log'!$C$5:$C$504,"&lt;="&amp;AA$5,'Time Off Log'!$J$5:$J$504,"&gt;="&amp;AA$5,'Time Off Log'!$E$5:$E$504,"Approved")&gt;0,"U",IF(COUNTIFS('Time Off Log'!$A$5:$A$504,$B27,'Time Off Log'!$C$5:$C$504,"&lt;="&amp;AA$5,'Time Off Log'!$J$5:$J$504,"&gt;="&amp;AA$5,'Time Off Log'!$E$5:$E$504,"Pending")&gt;0,"?",""))))))</f>
        <v/>
      </c>
      <c r="AB27" s="44">
        <f>IF(OR(AB$5="",$B27=""),"",IF(OR(WEEKDAY(AB$5,2)&gt;5,COUNTIF(Holidays!$A$5:$A$40,AB$5)&gt;0),"",IF(COUNTIFS('Time Off Log'!$A$5:$A$504,$B27,'Time Off Log'!$C$5:$C$504,"&lt;="&amp;AB$5,'Time Off Log'!$J$5:$J$504,"&gt;="&amp;AB$5,'Time Off Log'!$B$5:$B$504,"PTO",'Time Off Log'!$E$5:$E$504,"Approved")&gt;0,"P",IF(COUNTIFS('Time Off Log'!$A$5:$A$504,$B27,'Time Off Log'!$C$5:$C$504,"&lt;="&amp;AB$5,'Time Off Log'!$J$5:$J$504,"&gt;="&amp;AB$5,'Time Off Log'!$B$5:$B$504,"Sick",'Time Off Log'!$E$5:$E$504,"Approved")&gt;0,"S",IF(COUNTIFS('Time Off Log'!$A$5:$A$504,$B27,'Time Off Log'!$C$5:$C$504,"&lt;="&amp;AB$5,'Time Off Log'!$J$5:$J$504,"&gt;="&amp;AB$5,'Time Off Log'!$E$5:$E$504,"Approved")&gt;0,"U",IF(COUNTIFS('Time Off Log'!$A$5:$A$504,$B27,'Time Off Log'!$C$5:$C$504,"&lt;="&amp;AB$5,'Time Off Log'!$J$5:$J$504,"&gt;="&amp;AB$5,'Time Off Log'!$E$5:$E$504,"Pending")&gt;0,"?",""))))))</f>
        <v/>
      </c>
      <c r="AC27" s="44">
        <f>IF(OR(AC$5="",$B27=""),"",IF(OR(WEEKDAY(AC$5,2)&gt;5,COUNTIF(Holidays!$A$5:$A$40,AC$5)&gt;0),"",IF(COUNTIFS('Time Off Log'!$A$5:$A$504,$B27,'Time Off Log'!$C$5:$C$504,"&lt;="&amp;AC$5,'Time Off Log'!$J$5:$J$504,"&gt;="&amp;AC$5,'Time Off Log'!$B$5:$B$504,"PTO",'Time Off Log'!$E$5:$E$504,"Approved")&gt;0,"P",IF(COUNTIFS('Time Off Log'!$A$5:$A$504,$B27,'Time Off Log'!$C$5:$C$504,"&lt;="&amp;AC$5,'Time Off Log'!$J$5:$J$504,"&gt;="&amp;AC$5,'Time Off Log'!$B$5:$B$504,"Sick",'Time Off Log'!$E$5:$E$504,"Approved")&gt;0,"S",IF(COUNTIFS('Time Off Log'!$A$5:$A$504,$B27,'Time Off Log'!$C$5:$C$504,"&lt;="&amp;AC$5,'Time Off Log'!$J$5:$J$504,"&gt;="&amp;AC$5,'Time Off Log'!$E$5:$E$504,"Approved")&gt;0,"U",IF(COUNTIFS('Time Off Log'!$A$5:$A$504,$B27,'Time Off Log'!$C$5:$C$504,"&lt;="&amp;AC$5,'Time Off Log'!$J$5:$J$504,"&gt;="&amp;AC$5,'Time Off Log'!$E$5:$E$504,"Pending")&gt;0,"?",""))))))</f>
        <v/>
      </c>
      <c r="AD27" s="44">
        <f>IF(OR(AD$5="",$B27=""),"",IF(OR(WEEKDAY(AD$5,2)&gt;5,COUNTIF(Holidays!$A$5:$A$40,AD$5)&gt;0),"",IF(COUNTIFS('Time Off Log'!$A$5:$A$504,$B27,'Time Off Log'!$C$5:$C$504,"&lt;="&amp;AD$5,'Time Off Log'!$J$5:$J$504,"&gt;="&amp;AD$5,'Time Off Log'!$B$5:$B$504,"PTO",'Time Off Log'!$E$5:$E$504,"Approved")&gt;0,"P",IF(COUNTIFS('Time Off Log'!$A$5:$A$504,$B27,'Time Off Log'!$C$5:$C$504,"&lt;="&amp;AD$5,'Time Off Log'!$J$5:$J$504,"&gt;="&amp;AD$5,'Time Off Log'!$B$5:$B$504,"Sick",'Time Off Log'!$E$5:$E$504,"Approved")&gt;0,"S",IF(COUNTIFS('Time Off Log'!$A$5:$A$504,$B27,'Time Off Log'!$C$5:$C$504,"&lt;="&amp;AD$5,'Time Off Log'!$J$5:$J$504,"&gt;="&amp;AD$5,'Time Off Log'!$E$5:$E$504,"Approved")&gt;0,"U",IF(COUNTIFS('Time Off Log'!$A$5:$A$504,$B27,'Time Off Log'!$C$5:$C$504,"&lt;="&amp;AD$5,'Time Off Log'!$J$5:$J$504,"&gt;="&amp;AD$5,'Time Off Log'!$E$5:$E$504,"Pending")&gt;0,"?",""))))))</f>
        <v/>
      </c>
      <c r="AE27" s="44">
        <f>IF(OR(AE$5="",$B27=""),"",IF(OR(WEEKDAY(AE$5,2)&gt;5,COUNTIF(Holidays!$A$5:$A$40,AE$5)&gt;0),"",IF(COUNTIFS('Time Off Log'!$A$5:$A$504,$B27,'Time Off Log'!$C$5:$C$504,"&lt;="&amp;AE$5,'Time Off Log'!$J$5:$J$504,"&gt;="&amp;AE$5,'Time Off Log'!$B$5:$B$504,"PTO",'Time Off Log'!$E$5:$E$504,"Approved")&gt;0,"P",IF(COUNTIFS('Time Off Log'!$A$5:$A$504,$B27,'Time Off Log'!$C$5:$C$504,"&lt;="&amp;AE$5,'Time Off Log'!$J$5:$J$504,"&gt;="&amp;AE$5,'Time Off Log'!$B$5:$B$504,"Sick",'Time Off Log'!$E$5:$E$504,"Approved")&gt;0,"S",IF(COUNTIFS('Time Off Log'!$A$5:$A$504,$B27,'Time Off Log'!$C$5:$C$504,"&lt;="&amp;AE$5,'Time Off Log'!$J$5:$J$504,"&gt;="&amp;AE$5,'Time Off Log'!$E$5:$E$504,"Approved")&gt;0,"U",IF(COUNTIFS('Time Off Log'!$A$5:$A$504,$B27,'Time Off Log'!$C$5:$C$504,"&lt;="&amp;AE$5,'Time Off Log'!$J$5:$J$504,"&gt;="&amp;AE$5,'Time Off Log'!$E$5:$E$504,"Pending")&gt;0,"?",""))))))</f>
        <v/>
      </c>
      <c r="AF27" s="44">
        <f>IF(OR(AF$5="",$B27=""),"",IF(OR(WEEKDAY(AF$5,2)&gt;5,COUNTIF(Holidays!$A$5:$A$40,AF$5)&gt;0),"",IF(COUNTIFS('Time Off Log'!$A$5:$A$504,$B27,'Time Off Log'!$C$5:$C$504,"&lt;="&amp;AF$5,'Time Off Log'!$J$5:$J$504,"&gt;="&amp;AF$5,'Time Off Log'!$B$5:$B$504,"PTO",'Time Off Log'!$E$5:$E$504,"Approved")&gt;0,"P",IF(COUNTIFS('Time Off Log'!$A$5:$A$504,$B27,'Time Off Log'!$C$5:$C$504,"&lt;="&amp;AF$5,'Time Off Log'!$J$5:$J$504,"&gt;="&amp;AF$5,'Time Off Log'!$B$5:$B$504,"Sick",'Time Off Log'!$E$5:$E$504,"Approved")&gt;0,"S",IF(COUNTIFS('Time Off Log'!$A$5:$A$504,$B27,'Time Off Log'!$C$5:$C$504,"&lt;="&amp;AF$5,'Time Off Log'!$J$5:$J$504,"&gt;="&amp;AF$5,'Time Off Log'!$E$5:$E$504,"Approved")&gt;0,"U",IF(COUNTIFS('Time Off Log'!$A$5:$A$504,$B27,'Time Off Log'!$C$5:$C$504,"&lt;="&amp;AF$5,'Time Off Log'!$J$5:$J$504,"&gt;="&amp;AF$5,'Time Off Log'!$E$5:$E$504,"Pending")&gt;0,"?",""))))))</f>
        <v/>
      </c>
      <c r="AG27" s="44">
        <f>IF(OR(AG$5="",$B27=""),"",IF(OR(WEEKDAY(AG$5,2)&gt;5,COUNTIF(Holidays!$A$5:$A$40,AG$5)&gt;0),"",IF(COUNTIFS('Time Off Log'!$A$5:$A$504,$B27,'Time Off Log'!$C$5:$C$504,"&lt;="&amp;AG$5,'Time Off Log'!$J$5:$J$504,"&gt;="&amp;AG$5,'Time Off Log'!$B$5:$B$504,"PTO",'Time Off Log'!$E$5:$E$504,"Approved")&gt;0,"P",IF(COUNTIFS('Time Off Log'!$A$5:$A$504,$B27,'Time Off Log'!$C$5:$C$504,"&lt;="&amp;AG$5,'Time Off Log'!$J$5:$J$504,"&gt;="&amp;AG$5,'Time Off Log'!$B$5:$B$504,"Sick",'Time Off Log'!$E$5:$E$504,"Approved")&gt;0,"S",IF(COUNTIFS('Time Off Log'!$A$5:$A$504,$B27,'Time Off Log'!$C$5:$C$504,"&lt;="&amp;AG$5,'Time Off Log'!$J$5:$J$504,"&gt;="&amp;AG$5,'Time Off Log'!$E$5:$E$504,"Approved")&gt;0,"U",IF(COUNTIFS('Time Off Log'!$A$5:$A$504,$B27,'Time Off Log'!$C$5:$C$504,"&lt;="&amp;AG$5,'Time Off Log'!$J$5:$J$504,"&gt;="&amp;AG$5,'Time Off Log'!$E$5:$E$504,"Pending")&gt;0,"?",""))))))</f>
        <v/>
      </c>
    </row>
    <row r="28">
      <c r="A28" s="24" t="n">
        <v>23</v>
      </c>
      <c r="B28" s="24">
        <f>IF(Employees!B27="","",Employees!B27)</f>
        <v/>
      </c>
      <c r="C28" s="44">
        <f>IF(OR(C$5="",$B28=""),"",IF(OR(WEEKDAY(C$5,2)&gt;5,COUNTIF(Holidays!$A$5:$A$40,C$5)&gt;0),"",IF(COUNTIFS('Time Off Log'!$A$5:$A$504,$B28,'Time Off Log'!$C$5:$C$504,"&lt;="&amp;C$5,'Time Off Log'!$J$5:$J$504,"&gt;="&amp;C$5,'Time Off Log'!$B$5:$B$504,"PTO",'Time Off Log'!$E$5:$E$504,"Approved")&gt;0,"P",IF(COUNTIFS('Time Off Log'!$A$5:$A$504,$B28,'Time Off Log'!$C$5:$C$504,"&lt;="&amp;C$5,'Time Off Log'!$J$5:$J$504,"&gt;="&amp;C$5,'Time Off Log'!$B$5:$B$504,"Sick",'Time Off Log'!$E$5:$E$504,"Approved")&gt;0,"S",IF(COUNTIFS('Time Off Log'!$A$5:$A$504,$B28,'Time Off Log'!$C$5:$C$504,"&lt;="&amp;C$5,'Time Off Log'!$J$5:$J$504,"&gt;="&amp;C$5,'Time Off Log'!$E$5:$E$504,"Approved")&gt;0,"U",IF(COUNTIFS('Time Off Log'!$A$5:$A$504,$B28,'Time Off Log'!$C$5:$C$504,"&lt;="&amp;C$5,'Time Off Log'!$J$5:$J$504,"&gt;="&amp;C$5,'Time Off Log'!$E$5:$E$504,"Pending")&gt;0,"?",""))))))</f>
        <v/>
      </c>
      <c r="D28" s="44">
        <f>IF(OR(D$5="",$B28=""),"",IF(OR(WEEKDAY(D$5,2)&gt;5,COUNTIF(Holidays!$A$5:$A$40,D$5)&gt;0),"",IF(COUNTIFS('Time Off Log'!$A$5:$A$504,$B28,'Time Off Log'!$C$5:$C$504,"&lt;="&amp;D$5,'Time Off Log'!$J$5:$J$504,"&gt;="&amp;D$5,'Time Off Log'!$B$5:$B$504,"PTO",'Time Off Log'!$E$5:$E$504,"Approved")&gt;0,"P",IF(COUNTIFS('Time Off Log'!$A$5:$A$504,$B28,'Time Off Log'!$C$5:$C$504,"&lt;="&amp;D$5,'Time Off Log'!$J$5:$J$504,"&gt;="&amp;D$5,'Time Off Log'!$B$5:$B$504,"Sick",'Time Off Log'!$E$5:$E$504,"Approved")&gt;0,"S",IF(COUNTIFS('Time Off Log'!$A$5:$A$504,$B28,'Time Off Log'!$C$5:$C$504,"&lt;="&amp;D$5,'Time Off Log'!$J$5:$J$504,"&gt;="&amp;D$5,'Time Off Log'!$E$5:$E$504,"Approved")&gt;0,"U",IF(COUNTIFS('Time Off Log'!$A$5:$A$504,$B28,'Time Off Log'!$C$5:$C$504,"&lt;="&amp;D$5,'Time Off Log'!$J$5:$J$504,"&gt;="&amp;D$5,'Time Off Log'!$E$5:$E$504,"Pending")&gt;0,"?",""))))))</f>
        <v/>
      </c>
      <c r="E28" s="44">
        <f>IF(OR(E$5="",$B28=""),"",IF(OR(WEEKDAY(E$5,2)&gt;5,COUNTIF(Holidays!$A$5:$A$40,E$5)&gt;0),"",IF(COUNTIFS('Time Off Log'!$A$5:$A$504,$B28,'Time Off Log'!$C$5:$C$504,"&lt;="&amp;E$5,'Time Off Log'!$J$5:$J$504,"&gt;="&amp;E$5,'Time Off Log'!$B$5:$B$504,"PTO",'Time Off Log'!$E$5:$E$504,"Approved")&gt;0,"P",IF(COUNTIFS('Time Off Log'!$A$5:$A$504,$B28,'Time Off Log'!$C$5:$C$504,"&lt;="&amp;E$5,'Time Off Log'!$J$5:$J$504,"&gt;="&amp;E$5,'Time Off Log'!$B$5:$B$504,"Sick",'Time Off Log'!$E$5:$E$504,"Approved")&gt;0,"S",IF(COUNTIFS('Time Off Log'!$A$5:$A$504,$B28,'Time Off Log'!$C$5:$C$504,"&lt;="&amp;E$5,'Time Off Log'!$J$5:$J$504,"&gt;="&amp;E$5,'Time Off Log'!$E$5:$E$504,"Approved")&gt;0,"U",IF(COUNTIFS('Time Off Log'!$A$5:$A$504,$B28,'Time Off Log'!$C$5:$C$504,"&lt;="&amp;E$5,'Time Off Log'!$J$5:$J$504,"&gt;="&amp;E$5,'Time Off Log'!$E$5:$E$504,"Pending")&gt;0,"?",""))))))</f>
        <v/>
      </c>
      <c r="F28" s="44">
        <f>IF(OR(F$5="",$B28=""),"",IF(OR(WEEKDAY(F$5,2)&gt;5,COUNTIF(Holidays!$A$5:$A$40,F$5)&gt;0),"",IF(COUNTIFS('Time Off Log'!$A$5:$A$504,$B28,'Time Off Log'!$C$5:$C$504,"&lt;="&amp;F$5,'Time Off Log'!$J$5:$J$504,"&gt;="&amp;F$5,'Time Off Log'!$B$5:$B$504,"PTO",'Time Off Log'!$E$5:$E$504,"Approved")&gt;0,"P",IF(COUNTIFS('Time Off Log'!$A$5:$A$504,$B28,'Time Off Log'!$C$5:$C$504,"&lt;="&amp;F$5,'Time Off Log'!$J$5:$J$504,"&gt;="&amp;F$5,'Time Off Log'!$B$5:$B$504,"Sick",'Time Off Log'!$E$5:$E$504,"Approved")&gt;0,"S",IF(COUNTIFS('Time Off Log'!$A$5:$A$504,$B28,'Time Off Log'!$C$5:$C$504,"&lt;="&amp;F$5,'Time Off Log'!$J$5:$J$504,"&gt;="&amp;F$5,'Time Off Log'!$E$5:$E$504,"Approved")&gt;0,"U",IF(COUNTIFS('Time Off Log'!$A$5:$A$504,$B28,'Time Off Log'!$C$5:$C$504,"&lt;="&amp;F$5,'Time Off Log'!$J$5:$J$504,"&gt;="&amp;F$5,'Time Off Log'!$E$5:$E$504,"Pending")&gt;0,"?",""))))))</f>
        <v/>
      </c>
      <c r="G28" s="44">
        <f>IF(OR(G$5="",$B28=""),"",IF(OR(WEEKDAY(G$5,2)&gt;5,COUNTIF(Holidays!$A$5:$A$40,G$5)&gt;0),"",IF(COUNTIFS('Time Off Log'!$A$5:$A$504,$B28,'Time Off Log'!$C$5:$C$504,"&lt;="&amp;G$5,'Time Off Log'!$J$5:$J$504,"&gt;="&amp;G$5,'Time Off Log'!$B$5:$B$504,"PTO",'Time Off Log'!$E$5:$E$504,"Approved")&gt;0,"P",IF(COUNTIFS('Time Off Log'!$A$5:$A$504,$B28,'Time Off Log'!$C$5:$C$504,"&lt;="&amp;G$5,'Time Off Log'!$J$5:$J$504,"&gt;="&amp;G$5,'Time Off Log'!$B$5:$B$504,"Sick",'Time Off Log'!$E$5:$E$504,"Approved")&gt;0,"S",IF(COUNTIFS('Time Off Log'!$A$5:$A$504,$B28,'Time Off Log'!$C$5:$C$504,"&lt;="&amp;G$5,'Time Off Log'!$J$5:$J$504,"&gt;="&amp;G$5,'Time Off Log'!$E$5:$E$504,"Approved")&gt;0,"U",IF(COUNTIFS('Time Off Log'!$A$5:$A$504,$B28,'Time Off Log'!$C$5:$C$504,"&lt;="&amp;G$5,'Time Off Log'!$J$5:$J$504,"&gt;="&amp;G$5,'Time Off Log'!$E$5:$E$504,"Pending")&gt;0,"?",""))))))</f>
        <v/>
      </c>
      <c r="H28" s="44">
        <f>IF(OR(H$5="",$B28=""),"",IF(OR(WEEKDAY(H$5,2)&gt;5,COUNTIF(Holidays!$A$5:$A$40,H$5)&gt;0),"",IF(COUNTIFS('Time Off Log'!$A$5:$A$504,$B28,'Time Off Log'!$C$5:$C$504,"&lt;="&amp;H$5,'Time Off Log'!$J$5:$J$504,"&gt;="&amp;H$5,'Time Off Log'!$B$5:$B$504,"PTO",'Time Off Log'!$E$5:$E$504,"Approved")&gt;0,"P",IF(COUNTIFS('Time Off Log'!$A$5:$A$504,$B28,'Time Off Log'!$C$5:$C$504,"&lt;="&amp;H$5,'Time Off Log'!$J$5:$J$504,"&gt;="&amp;H$5,'Time Off Log'!$B$5:$B$504,"Sick",'Time Off Log'!$E$5:$E$504,"Approved")&gt;0,"S",IF(COUNTIFS('Time Off Log'!$A$5:$A$504,$B28,'Time Off Log'!$C$5:$C$504,"&lt;="&amp;H$5,'Time Off Log'!$J$5:$J$504,"&gt;="&amp;H$5,'Time Off Log'!$E$5:$E$504,"Approved")&gt;0,"U",IF(COUNTIFS('Time Off Log'!$A$5:$A$504,$B28,'Time Off Log'!$C$5:$C$504,"&lt;="&amp;H$5,'Time Off Log'!$J$5:$J$504,"&gt;="&amp;H$5,'Time Off Log'!$E$5:$E$504,"Pending")&gt;0,"?",""))))))</f>
        <v/>
      </c>
      <c r="I28" s="44">
        <f>IF(OR(I$5="",$B28=""),"",IF(OR(WEEKDAY(I$5,2)&gt;5,COUNTIF(Holidays!$A$5:$A$40,I$5)&gt;0),"",IF(COUNTIFS('Time Off Log'!$A$5:$A$504,$B28,'Time Off Log'!$C$5:$C$504,"&lt;="&amp;I$5,'Time Off Log'!$J$5:$J$504,"&gt;="&amp;I$5,'Time Off Log'!$B$5:$B$504,"PTO",'Time Off Log'!$E$5:$E$504,"Approved")&gt;0,"P",IF(COUNTIFS('Time Off Log'!$A$5:$A$504,$B28,'Time Off Log'!$C$5:$C$504,"&lt;="&amp;I$5,'Time Off Log'!$J$5:$J$504,"&gt;="&amp;I$5,'Time Off Log'!$B$5:$B$504,"Sick",'Time Off Log'!$E$5:$E$504,"Approved")&gt;0,"S",IF(COUNTIFS('Time Off Log'!$A$5:$A$504,$B28,'Time Off Log'!$C$5:$C$504,"&lt;="&amp;I$5,'Time Off Log'!$J$5:$J$504,"&gt;="&amp;I$5,'Time Off Log'!$E$5:$E$504,"Approved")&gt;0,"U",IF(COUNTIFS('Time Off Log'!$A$5:$A$504,$B28,'Time Off Log'!$C$5:$C$504,"&lt;="&amp;I$5,'Time Off Log'!$J$5:$J$504,"&gt;="&amp;I$5,'Time Off Log'!$E$5:$E$504,"Pending")&gt;0,"?",""))))))</f>
        <v/>
      </c>
      <c r="J28" s="44">
        <f>IF(OR(J$5="",$B28=""),"",IF(OR(WEEKDAY(J$5,2)&gt;5,COUNTIF(Holidays!$A$5:$A$40,J$5)&gt;0),"",IF(COUNTIFS('Time Off Log'!$A$5:$A$504,$B28,'Time Off Log'!$C$5:$C$504,"&lt;="&amp;J$5,'Time Off Log'!$J$5:$J$504,"&gt;="&amp;J$5,'Time Off Log'!$B$5:$B$504,"PTO",'Time Off Log'!$E$5:$E$504,"Approved")&gt;0,"P",IF(COUNTIFS('Time Off Log'!$A$5:$A$504,$B28,'Time Off Log'!$C$5:$C$504,"&lt;="&amp;J$5,'Time Off Log'!$J$5:$J$504,"&gt;="&amp;J$5,'Time Off Log'!$B$5:$B$504,"Sick",'Time Off Log'!$E$5:$E$504,"Approved")&gt;0,"S",IF(COUNTIFS('Time Off Log'!$A$5:$A$504,$B28,'Time Off Log'!$C$5:$C$504,"&lt;="&amp;J$5,'Time Off Log'!$J$5:$J$504,"&gt;="&amp;J$5,'Time Off Log'!$E$5:$E$504,"Approved")&gt;0,"U",IF(COUNTIFS('Time Off Log'!$A$5:$A$504,$B28,'Time Off Log'!$C$5:$C$504,"&lt;="&amp;J$5,'Time Off Log'!$J$5:$J$504,"&gt;="&amp;J$5,'Time Off Log'!$E$5:$E$504,"Pending")&gt;0,"?",""))))))</f>
        <v/>
      </c>
      <c r="K28" s="44">
        <f>IF(OR(K$5="",$B28=""),"",IF(OR(WEEKDAY(K$5,2)&gt;5,COUNTIF(Holidays!$A$5:$A$40,K$5)&gt;0),"",IF(COUNTIFS('Time Off Log'!$A$5:$A$504,$B28,'Time Off Log'!$C$5:$C$504,"&lt;="&amp;K$5,'Time Off Log'!$J$5:$J$504,"&gt;="&amp;K$5,'Time Off Log'!$B$5:$B$504,"PTO",'Time Off Log'!$E$5:$E$504,"Approved")&gt;0,"P",IF(COUNTIFS('Time Off Log'!$A$5:$A$504,$B28,'Time Off Log'!$C$5:$C$504,"&lt;="&amp;K$5,'Time Off Log'!$J$5:$J$504,"&gt;="&amp;K$5,'Time Off Log'!$B$5:$B$504,"Sick",'Time Off Log'!$E$5:$E$504,"Approved")&gt;0,"S",IF(COUNTIFS('Time Off Log'!$A$5:$A$504,$B28,'Time Off Log'!$C$5:$C$504,"&lt;="&amp;K$5,'Time Off Log'!$J$5:$J$504,"&gt;="&amp;K$5,'Time Off Log'!$E$5:$E$504,"Approved")&gt;0,"U",IF(COUNTIFS('Time Off Log'!$A$5:$A$504,$B28,'Time Off Log'!$C$5:$C$504,"&lt;="&amp;K$5,'Time Off Log'!$J$5:$J$504,"&gt;="&amp;K$5,'Time Off Log'!$E$5:$E$504,"Pending")&gt;0,"?",""))))))</f>
        <v/>
      </c>
      <c r="L28" s="44">
        <f>IF(OR(L$5="",$B28=""),"",IF(OR(WEEKDAY(L$5,2)&gt;5,COUNTIF(Holidays!$A$5:$A$40,L$5)&gt;0),"",IF(COUNTIFS('Time Off Log'!$A$5:$A$504,$B28,'Time Off Log'!$C$5:$C$504,"&lt;="&amp;L$5,'Time Off Log'!$J$5:$J$504,"&gt;="&amp;L$5,'Time Off Log'!$B$5:$B$504,"PTO",'Time Off Log'!$E$5:$E$504,"Approved")&gt;0,"P",IF(COUNTIFS('Time Off Log'!$A$5:$A$504,$B28,'Time Off Log'!$C$5:$C$504,"&lt;="&amp;L$5,'Time Off Log'!$J$5:$J$504,"&gt;="&amp;L$5,'Time Off Log'!$B$5:$B$504,"Sick",'Time Off Log'!$E$5:$E$504,"Approved")&gt;0,"S",IF(COUNTIFS('Time Off Log'!$A$5:$A$504,$B28,'Time Off Log'!$C$5:$C$504,"&lt;="&amp;L$5,'Time Off Log'!$J$5:$J$504,"&gt;="&amp;L$5,'Time Off Log'!$E$5:$E$504,"Approved")&gt;0,"U",IF(COUNTIFS('Time Off Log'!$A$5:$A$504,$B28,'Time Off Log'!$C$5:$C$504,"&lt;="&amp;L$5,'Time Off Log'!$J$5:$J$504,"&gt;="&amp;L$5,'Time Off Log'!$E$5:$E$504,"Pending")&gt;0,"?",""))))))</f>
        <v/>
      </c>
      <c r="M28" s="44">
        <f>IF(OR(M$5="",$B28=""),"",IF(OR(WEEKDAY(M$5,2)&gt;5,COUNTIF(Holidays!$A$5:$A$40,M$5)&gt;0),"",IF(COUNTIFS('Time Off Log'!$A$5:$A$504,$B28,'Time Off Log'!$C$5:$C$504,"&lt;="&amp;M$5,'Time Off Log'!$J$5:$J$504,"&gt;="&amp;M$5,'Time Off Log'!$B$5:$B$504,"PTO",'Time Off Log'!$E$5:$E$504,"Approved")&gt;0,"P",IF(COUNTIFS('Time Off Log'!$A$5:$A$504,$B28,'Time Off Log'!$C$5:$C$504,"&lt;="&amp;M$5,'Time Off Log'!$J$5:$J$504,"&gt;="&amp;M$5,'Time Off Log'!$B$5:$B$504,"Sick",'Time Off Log'!$E$5:$E$504,"Approved")&gt;0,"S",IF(COUNTIFS('Time Off Log'!$A$5:$A$504,$B28,'Time Off Log'!$C$5:$C$504,"&lt;="&amp;M$5,'Time Off Log'!$J$5:$J$504,"&gt;="&amp;M$5,'Time Off Log'!$E$5:$E$504,"Approved")&gt;0,"U",IF(COUNTIFS('Time Off Log'!$A$5:$A$504,$B28,'Time Off Log'!$C$5:$C$504,"&lt;="&amp;M$5,'Time Off Log'!$J$5:$J$504,"&gt;="&amp;M$5,'Time Off Log'!$E$5:$E$504,"Pending")&gt;0,"?",""))))))</f>
        <v/>
      </c>
      <c r="N28" s="44">
        <f>IF(OR(N$5="",$B28=""),"",IF(OR(WEEKDAY(N$5,2)&gt;5,COUNTIF(Holidays!$A$5:$A$40,N$5)&gt;0),"",IF(COUNTIFS('Time Off Log'!$A$5:$A$504,$B28,'Time Off Log'!$C$5:$C$504,"&lt;="&amp;N$5,'Time Off Log'!$J$5:$J$504,"&gt;="&amp;N$5,'Time Off Log'!$B$5:$B$504,"PTO",'Time Off Log'!$E$5:$E$504,"Approved")&gt;0,"P",IF(COUNTIFS('Time Off Log'!$A$5:$A$504,$B28,'Time Off Log'!$C$5:$C$504,"&lt;="&amp;N$5,'Time Off Log'!$J$5:$J$504,"&gt;="&amp;N$5,'Time Off Log'!$B$5:$B$504,"Sick",'Time Off Log'!$E$5:$E$504,"Approved")&gt;0,"S",IF(COUNTIFS('Time Off Log'!$A$5:$A$504,$B28,'Time Off Log'!$C$5:$C$504,"&lt;="&amp;N$5,'Time Off Log'!$J$5:$J$504,"&gt;="&amp;N$5,'Time Off Log'!$E$5:$E$504,"Approved")&gt;0,"U",IF(COUNTIFS('Time Off Log'!$A$5:$A$504,$B28,'Time Off Log'!$C$5:$C$504,"&lt;="&amp;N$5,'Time Off Log'!$J$5:$J$504,"&gt;="&amp;N$5,'Time Off Log'!$E$5:$E$504,"Pending")&gt;0,"?",""))))))</f>
        <v/>
      </c>
      <c r="O28" s="44">
        <f>IF(OR(O$5="",$B28=""),"",IF(OR(WEEKDAY(O$5,2)&gt;5,COUNTIF(Holidays!$A$5:$A$40,O$5)&gt;0),"",IF(COUNTIFS('Time Off Log'!$A$5:$A$504,$B28,'Time Off Log'!$C$5:$C$504,"&lt;="&amp;O$5,'Time Off Log'!$J$5:$J$504,"&gt;="&amp;O$5,'Time Off Log'!$B$5:$B$504,"PTO",'Time Off Log'!$E$5:$E$504,"Approved")&gt;0,"P",IF(COUNTIFS('Time Off Log'!$A$5:$A$504,$B28,'Time Off Log'!$C$5:$C$504,"&lt;="&amp;O$5,'Time Off Log'!$J$5:$J$504,"&gt;="&amp;O$5,'Time Off Log'!$B$5:$B$504,"Sick",'Time Off Log'!$E$5:$E$504,"Approved")&gt;0,"S",IF(COUNTIFS('Time Off Log'!$A$5:$A$504,$B28,'Time Off Log'!$C$5:$C$504,"&lt;="&amp;O$5,'Time Off Log'!$J$5:$J$504,"&gt;="&amp;O$5,'Time Off Log'!$E$5:$E$504,"Approved")&gt;0,"U",IF(COUNTIFS('Time Off Log'!$A$5:$A$504,$B28,'Time Off Log'!$C$5:$C$504,"&lt;="&amp;O$5,'Time Off Log'!$J$5:$J$504,"&gt;="&amp;O$5,'Time Off Log'!$E$5:$E$504,"Pending")&gt;0,"?",""))))))</f>
        <v/>
      </c>
      <c r="P28" s="44">
        <f>IF(OR(P$5="",$B28=""),"",IF(OR(WEEKDAY(P$5,2)&gt;5,COUNTIF(Holidays!$A$5:$A$40,P$5)&gt;0),"",IF(COUNTIFS('Time Off Log'!$A$5:$A$504,$B28,'Time Off Log'!$C$5:$C$504,"&lt;="&amp;P$5,'Time Off Log'!$J$5:$J$504,"&gt;="&amp;P$5,'Time Off Log'!$B$5:$B$504,"PTO",'Time Off Log'!$E$5:$E$504,"Approved")&gt;0,"P",IF(COUNTIFS('Time Off Log'!$A$5:$A$504,$B28,'Time Off Log'!$C$5:$C$504,"&lt;="&amp;P$5,'Time Off Log'!$J$5:$J$504,"&gt;="&amp;P$5,'Time Off Log'!$B$5:$B$504,"Sick",'Time Off Log'!$E$5:$E$504,"Approved")&gt;0,"S",IF(COUNTIFS('Time Off Log'!$A$5:$A$504,$B28,'Time Off Log'!$C$5:$C$504,"&lt;="&amp;P$5,'Time Off Log'!$J$5:$J$504,"&gt;="&amp;P$5,'Time Off Log'!$E$5:$E$504,"Approved")&gt;0,"U",IF(COUNTIFS('Time Off Log'!$A$5:$A$504,$B28,'Time Off Log'!$C$5:$C$504,"&lt;="&amp;P$5,'Time Off Log'!$J$5:$J$504,"&gt;="&amp;P$5,'Time Off Log'!$E$5:$E$504,"Pending")&gt;0,"?",""))))))</f>
        <v/>
      </c>
      <c r="Q28" s="44">
        <f>IF(OR(Q$5="",$B28=""),"",IF(OR(WEEKDAY(Q$5,2)&gt;5,COUNTIF(Holidays!$A$5:$A$40,Q$5)&gt;0),"",IF(COUNTIFS('Time Off Log'!$A$5:$A$504,$B28,'Time Off Log'!$C$5:$C$504,"&lt;="&amp;Q$5,'Time Off Log'!$J$5:$J$504,"&gt;="&amp;Q$5,'Time Off Log'!$B$5:$B$504,"PTO",'Time Off Log'!$E$5:$E$504,"Approved")&gt;0,"P",IF(COUNTIFS('Time Off Log'!$A$5:$A$504,$B28,'Time Off Log'!$C$5:$C$504,"&lt;="&amp;Q$5,'Time Off Log'!$J$5:$J$504,"&gt;="&amp;Q$5,'Time Off Log'!$B$5:$B$504,"Sick",'Time Off Log'!$E$5:$E$504,"Approved")&gt;0,"S",IF(COUNTIFS('Time Off Log'!$A$5:$A$504,$B28,'Time Off Log'!$C$5:$C$504,"&lt;="&amp;Q$5,'Time Off Log'!$J$5:$J$504,"&gt;="&amp;Q$5,'Time Off Log'!$E$5:$E$504,"Approved")&gt;0,"U",IF(COUNTIFS('Time Off Log'!$A$5:$A$504,$B28,'Time Off Log'!$C$5:$C$504,"&lt;="&amp;Q$5,'Time Off Log'!$J$5:$J$504,"&gt;="&amp;Q$5,'Time Off Log'!$E$5:$E$504,"Pending")&gt;0,"?",""))))))</f>
        <v/>
      </c>
      <c r="R28" s="44">
        <f>IF(OR(R$5="",$B28=""),"",IF(OR(WEEKDAY(R$5,2)&gt;5,COUNTIF(Holidays!$A$5:$A$40,R$5)&gt;0),"",IF(COUNTIFS('Time Off Log'!$A$5:$A$504,$B28,'Time Off Log'!$C$5:$C$504,"&lt;="&amp;R$5,'Time Off Log'!$J$5:$J$504,"&gt;="&amp;R$5,'Time Off Log'!$B$5:$B$504,"PTO",'Time Off Log'!$E$5:$E$504,"Approved")&gt;0,"P",IF(COUNTIFS('Time Off Log'!$A$5:$A$504,$B28,'Time Off Log'!$C$5:$C$504,"&lt;="&amp;R$5,'Time Off Log'!$J$5:$J$504,"&gt;="&amp;R$5,'Time Off Log'!$B$5:$B$504,"Sick",'Time Off Log'!$E$5:$E$504,"Approved")&gt;0,"S",IF(COUNTIFS('Time Off Log'!$A$5:$A$504,$B28,'Time Off Log'!$C$5:$C$504,"&lt;="&amp;R$5,'Time Off Log'!$J$5:$J$504,"&gt;="&amp;R$5,'Time Off Log'!$E$5:$E$504,"Approved")&gt;0,"U",IF(COUNTIFS('Time Off Log'!$A$5:$A$504,$B28,'Time Off Log'!$C$5:$C$504,"&lt;="&amp;R$5,'Time Off Log'!$J$5:$J$504,"&gt;="&amp;R$5,'Time Off Log'!$E$5:$E$504,"Pending")&gt;0,"?",""))))))</f>
        <v/>
      </c>
      <c r="S28" s="44">
        <f>IF(OR(S$5="",$B28=""),"",IF(OR(WEEKDAY(S$5,2)&gt;5,COUNTIF(Holidays!$A$5:$A$40,S$5)&gt;0),"",IF(COUNTIFS('Time Off Log'!$A$5:$A$504,$B28,'Time Off Log'!$C$5:$C$504,"&lt;="&amp;S$5,'Time Off Log'!$J$5:$J$504,"&gt;="&amp;S$5,'Time Off Log'!$B$5:$B$504,"PTO",'Time Off Log'!$E$5:$E$504,"Approved")&gt;0,"P",IF(COUNTIFS('Time Off Log'!$A$5:$A$504,$B28,'Time Off Log'!$C$5:$C$504,"&lt;="&amp;S$5,'Time Off Log'!$J$5:$J$504,"&gt;="&amp;S$5,'Time Off Log'!$B$5:$B$504,"Sick",'Time Off Log'!$E$5:$E$504,"Approved")&gt;0,"S",IF(COUNTIFS('Time Off Log'!$A$5:$A$504,$B28,'Time Off Log'!$C$5:$C$504,"&lt;="&amp;S$5,'Time Off Log'!$J$5:$J$504,"&gt;="&amp;S$5,'Time Off Log'!$E$5:$E$504,"Approved")&gt;0,"U",IF(COUNTIFS('Time Off Log'!$A$5:$A$504,$B28,'Time Off Log'!$C$5:$C$504,"&lt;="&amp;S$5,'Time Off Log'!$J$5:$J$504,"&gt;="&amp;S$5,'Time Off Log'!$E$5:$E$504,"Pending")&gt;0,"?",""))))))</f>
        <v/>
      </c>
      <c r="T28" s="44">
        <f>IF(OR(T$5="",$B28=""),"",IF(OR(WEEKDAY(T$5,2)&gt;5,COUNTIF(Holidays!$A$5:$A$40,T$5)&gt;0),"",IF(COUNTIFS('Time Off Log'!$A$5:$A$504,$B28,'Time Off Log'!$C$5:$C$504,"&lt;="&amp;T$5,'Time Off Log'!$J$5:$J$504,"&gt;="&amp;T$5,'Time Off Log'!$B$5:$B$504,"PTO",'Time Off Log'!$E$5:$E$504,"Approved")&gt;0,"P",IF(COUNTIFS('Time Off Log'!$A$5:$A$504,$B28,'Time Off Log'!$C$5:$C$504,"&lt;="&amp;T$5,'Time Off Log'!$J$5:$J$504,"&gt;="&amp;T$5,'Time Off Log'!$B$5:$B$504,"Sick",'Time Off Log'!$E$5:$E$504,"Approved")&gt;0,"S",IF(COUNTIFS('Time Off Log'!$A$5:$A$504,$B28,'Time Off Log'!$C$5:$C$504,"&lt;="&amp;T$5,'Time Off Log'!$J$5:$J$504,"&gt;="&amp;T$5,'Time Off Log'!$E$5:$E$504,"Approved")&gt;0,"U",IF(COUNTIFS('Time Off Log'!$A$5:$A$504,$B28,'Time Off Log'!$C$5:$C$504,"&lt;="&amp;T$5,'Time Off Log'!$J$5:$J$504,"&gt;="&amp;T$5,'Time Off Log'!$E$5:$E$504,"Pending")&gt;0,"?",""))))))</f>
        <v/>
      </c>
      <c r="U28" s="44">
        <f>IF(OR(U$5="",$B28=""),"",IF(OR(WEEKDAY(U$5,2)&gt;5,COUNTIF(Holidays!$A$5:$A$40,U$5)&gt;0),"",IF(COUNTIFS('Time Off Log'!$A$5:$A$504,$B28,'Time Off Log'!$C$5:$C$504,"&lt;="&amp;U$5,'Time Off Log'!$J$5:$J$504,"&gt;="&amp;U$5,'Time Off Log'!$B$5:$B$504,"PTO",'Time Off Log'!$E$5:$E$504,"Approved")&gt;0,"P",IF(COUNTIFS('Time Off Log'!$A$5:$A$504,$B28,'Time Off Log'!$C$5:$C$504,"&lt;="&amp;U$5,'Time Off Log'!$J$5:$J$504,"&gt;="&amp;U$5,'Time Off Log'!$B$5:$B$504,"Sick",'Time Off Log'!$E$5:$E$504,"Approved")&gt;0,"S",IF(COUNTIFS('Time Off Log'!$A$5:$A$504,$B28,'Time Off Log'!$C$5:$C$504,"&lt;="&amp;U$5,'Time Off Log'!$J$5:$J$504,"&gt;="&amp;U$5,'Time Off Log'!$E$5:$E$504,"Approved")&gt;0,"U",IF(COUNTIFS('Time Off Log'!$A$5:$A$504,$B28,'Time Off Log'!$C$5:$C$504,"&lt;="&amp;U$5,'Time Off Log'!$J$5:$J$504,"&gt;="&amp;U$5,'Time Off Log'!$E$5:$E$504,"Pending")&gt;0,"?",""))))))</f>
        <v/>
      </c>
      <c r="V28" s="44">
        <f>IF(OR(V$5="",$B28=""),"",IF(OR(WEEKDAY(V$5,2)&gt;5,COUNTIF(Holidays!$A$5:$A$40,V$5)&gt;0),"",IF(COUNTIFS('Time Off Log'!$A$5:$A$504,$B28,'Time Off Log'!$C$5:$C$504,"&lt;="&amp;V$5,'Time Off Log'!$J$5:$J$504,"&gt;="&amp;V$5,'Time Off Log'!$B$5:$B$504,"PTO",'Time Off Log'!$E$5:$E$504,"Approved")&gt;0,"P",IF(COUNTIFS('Time Off Log'!$A$5:$A$504,$B28,'Time Off Log'!$C$5:$C$504,"&lt;="&amp;V$5,'Time Off Log'!$J$5:$J$504,"&gt;="&amp;V$5,'Time Off Log'!$B$5:$B$504,"Sick",'Time Off Log'!$E$5:$E$504,"Approved")&gt;0,"S",IF(COUNTIFS('Time Off Log'!$A$5:$A$504,$B28,'Time Off Log'!$C$5:$C$504,"&lt;="&amp;V$5,'Time Off Log'!$J$5:$J$504,"&gt;="&amp;V$5,'Time Off Log'!$E$5:$E$504,"Approved")&gt;0,"U",IF(COUNTIFS('Time Off Log'!$A$5:$A$504,$B28,'Time Off Log'!$C$5:$C$504,"&lt;="&amp;V$5,'Time Off Log'!$J$5:$J$504,"&gt;="&amp;V$5,'Time Off Log'!$E$5:$E$504,"Pending")&gt;0,"?",""))))))</f>
        <v/>
      </c>
      <c r="W28" s="44">
        <f>IF(OR(W$5="",$B28=""),"",IF(OR(WEEKDAY(W$5,2)&gt;5,COUNTIF(Holidays!$A$5:$A$40,W$5)&gt;0),"",IF(COUNTIFS('Time Off Log'!$A$5:$A$504,$B28,'Time Off Log'!$C$5:$C$504,"&lt;="&amp;W$5,'Time Off Log'!$J$5:$J$504,"&gt;="&amp;W$5,'Time Off Log'!$B$5:$B$504,"PTO",'Time Off Log'!$E$5:$E$504,"Approved")&gt;0,"P",IF(COUNTIFS('Time Off Log'!$A$5:$A$504,$B28,'Time Off Log'!$C$5:$C$504,"&lt;="&amp;W$5,'Time Off Log'!$J$5:$J$504,"&gt;="&amp;W$5,'Time Off Log'!$B$5:$B$504,"Sick",'Time Off Log'!$E$5:$E$504,"Approved")&gt;0,"S",IF(COUNTIFS('Time Off Log'!$A$5:$A$504,$B28,'Time Off Log'!$C$5:$C$504,"&lt;="&amp;W$5,'Time Off Log'!$J$5:$J$504,"&gt;="&amp;W$5,'Time Off Log'!$E$5:$E$504,"Approved")&gt;0,"U",IF(COUNTIFS('Time Off Log'!$A$5:$A$504,$B28,'Time Off Log'!$C$5:$C$504,"&lt;="&amp;W$5,'Time Off Log'!$J$5:$J$504,"&gt;="&amp;W$5,'Time Off Log'!$E$5:$E$504,"Pending")&gt;0,"?",""))))))</f>
        <v/>
      </c>
      <c r="X28" s="44">
        <f>IF(OR(X$5="",$B28=""),"",IF(OR(WEEKDAY(X$5,2)&gt;5,COUNTIF(Holidays!$A$5:$A$40,X$5)&gt;0),"",IF(COUNTIFS('Time Off Log'!$A$5:$A$504,$B28,'Time Off Log'!$C$5:$C$504,"&lt;="&amp;X$5,'Time Off Log'!$J$5:$J$504,"&gt;="&amp;X$5,'Time Off Log'!$B$5:$B$504,"PTO",'Time Off Log'!$E$5:$E$504,"Approved")&gt;0,"P",IF(COUNTIFS('Time Off Log'!$A$5:$A$504,$B28,'Time Off Log'!$C$5:$C$504,"&lt;="&amp;X$5,'Time Off Log'!$J$5:$J$504,"&gt;="&amp;X$5,'Time Off Log'!$B$5:$B$504,"Sick",'Time Off Log'!$E$5:$E$504,"Approved")&gt;0,"S",IF(COUNTIFS('Time Off Log'!$A$5:$A$504,$B28,'Time Off Log'!$C$5:$C$504,"&lt;="&amp;X$5,'Time Off Log'!$J$5:$J$504,"&gt;="&amp;X$5,'Time Off Log'!$E$5:$E$504,"Approved")&gt;0,"U",IF(COUNTIFS('Time Off Log'!$A$5:$A$504,$B28,'Time Off Log'!$C$5:$C$504,"&lt;="&amp;X$5,'Time Off Log'!$J$5:$J$504,"&gt;="&amp;X$5,'Time Off Log'!$E$5:$E$504,"Pending")&gt;0,"?",""))))))</f>
        <v/>
      </c>
      <c r="Y28" s="44">
        <f>IF(OR(Y$5="",$B28=""),"",IF(OR(WEEKDAY(Y$5,2)&gt;5,COUNTIF(Holidays!$A$5:$A$40,Y$5)&gt;0),"",IF(COUNTIFS('Time Off Log'!$A$5:$A$504,$B28,'Time Off Log'!$C$5:$C$504,"&lt;="&amp;Y$5,'Time Off Log'!$J$5:$J$504,"&gt;="&amp;Y$5,'Time Off Log'!$B$5:$B$504,"PTO",'Time Off Log'!$E$5:$E$504,"Approved")&gt;0,"P",IF(COUNTIFS('Time Off Log'!$A$5:$A$504,$B28,'Time Off Log'!$C$5:$C$504,"&lt;="&amp;Y$5,'Time Off Log'!$J$5:$J$504,"&gt;="&amp;Y$5,'Time Off Log'!$B$5:$B$504,"Sick",'Time Off Log'!$E$5:$E$504,"Approved")&gt;0,"S",IF(COUNTIFS('Time Off Log'!$A$5:$A$504,$B28,'Time Off Log'!$C$5:$C$504,"&lt;="&amp;Y$5,'Time Off Log'!$J$5:$J$504,"&gt;="&amp;Y$5,'Time Off Log'!$E$5:$E$504,"Approved")&gt;0,"U",IF(COUNTIFS('Time Off Log'!$A$5:$A$504,$B28,'Time Off Log'!$C$5:$C$504,"&lt;="&amp;Y$5,'Time Off Log'!$J$5:$J$504,"&gt;="&amp;Y$5,'Time Off Log'!$E$5:$E$504,"Pending")&gt;0,"?",""))))))</f>
        <v/>
      </c>
      <c r="Z28" s="44">
        <f>IF(OR(Z$5="",$B28=""),"",IF(OR(WEEKDAY(Z$5,2)&gt;5,COUNTIF(Holidays!$A$5:$A$40,Z$5)&gt;0),"",IF(COUNTIFS('Time Off Log'!$A$5:$A$504,$B28,'Time Off Log'!$C$5:$C$504,"&lt;="&amp;Z$5,'Time Off Log'!$J$5:$J$504,"&gt;="&amp;Z$5,'Time Off Log'!$B$5:$B$504,"PTO",'Time Off Log'!$E$5:$E$504,"Approved")&gt;0,"P",IF(COUNTIFS('Time Off Log'!$A$5:$A$504,$B28,'Time Off Log'!$C$5:$C$504,"&lt;="&amp;Z$5,'Time Off Log'!$J$5:$J$504,"&gt;="&amp;Z$5,'Time Off Log'!$B$5:$B$504,"Sick",'Time Off Log'!$E$5:$E$504,"Approved")&gt;0,"S",IF(COUNTIFS('Time Off Log'!$A$5:$A$504,$B28,'Time Off Log'!$C$5:$C$504,"&lt;="&amp;Z$5,'Time Off Log'!$J$5:$J$504,"&gt;="&amp;Z$5,'Time Off Log'!$E$5:$E$504,"Approved")&gt;0,"U",IF(COUNTIFS('Time Off Log'!$A$5:$A$504,$B28,'Time Off Log'!$C$5:$C$504,"&lt;="&amp;Z$5,'Time Off Log'!$J$5:$J$504,"&gt;="&amp;Z$5,'Time Off Log'!$E$5:$E$504,"Pending")&gt;0,"?",""))))))</f>
        <v/>
      </c>
      <c r="AA28" s="44">
        <f>IF(OR(AA$5="",$B28=""),"",IF(OR(WEEKDAY(AA$5,2)&gt;5,COUNTIF(Holidays!$A$5:$A$40,AA$5)&gt;0),"",IF(COUNTIFS('Time Off Log'!$A$5:$A$504,$B28,'Time Off Log'!$C$5:$C$504,"&lt;="&amp;AA$5,'Time Off Log'!$J$5:$J$504,"&gt;="&amp;AA$5,'Time Off Log'!$B$5:$B$504,"PTO",'Time Off Log'!$E$5:$E$504,"Approved")&gt;0,"P",IF(COUNTIFS('Time Off Log'!$A$5:$A$504,$B28,'Time Off Log'!$C$5:$C$504,"&lt;="&amp;AA$5,'Time Off Log'!$J$5:$J$504,"&gt;="&amp;AA$5,'Time Off Log'!$B$5:$B$504,"Sick",'Time Off Log'!$E$5:$E$504,"Approved")&gt;0,"S",IF(COUNTIFS('Time Off Log'!$A$5:$A$504,$B28,'Time Off Log'!$C$5:$C$504,"&lt;="&amp;AA$5,'Time Off Log'!$J$5:$J$504,"&gt;="&amp;AA$5,'Time Off Log'!$E$5:$E$504,"Approved")&gt;0,"U",IF(COUNTIFS('Time Off Log'!$A$5:$A$504,$B28,'Time Off Log'!$C$5:$C$504,"&lt;="&amp;AA$5,'Time Off Log'!$J$5:$J$504,"&gt;="&amp;AA$5,'Time Off Log'!$E$5:$E$504,"Pending")&gt;0,"?",""))))))</f>
        <v/>
      </c>
      <c r="AB28" s="44">
        <f>IF(OR(AB$5="",$B28=""),"",IF(OR(WEEKDAY(AB$5,2)&gt;5,COUNTIF(Holidays!$A$5:$A$40,AB$5)&gt;0),"",IF(COUNTIFS('Time Off Log'!$A$5:$A$504,$B28,'Time Off Log'!$C$5:$C$504,"&lt;="&amp;AB$5,'Time Off Log'!$J$5:$J$504,"&gt;="&amp;AB$5,'Time Off Log'!$B$5:$B$504,"PTO",'Time Off Log'!$E$5:$E$504,"Approved")&gt;0,"P",IF(COUNTIFS('Time Off Log'!$A$5:$A$504,$B28,'Time Off Log'!$C$5:$C$504,"&lt;="&amp;AB$5,'Time Off Log'!$J$5:$J$504,"&gt;="&amp;AB$5,'Time Off Log'!$B$5:$B$504,"Sick",'Time Off Log'!$E$5:$E$504,"Approved")&gt;0,"S",IF(COUNTIFS('Time Off Log'!$A$5:$A$504,$B28,'Time Off Log'!$C$5:$C$504,"&lt;="&amp;AB$5,'Time Off Log'!$J$5:$J$504,"&gt;="&amp;AB$5,'Time Off Log'!$E$5:$E$504,"Approved")&gt;0,"U",IF(COUNTIFS('Time Off Log'!$A$5:$A$504,$B28,'Time Off Log'!$C$5:$C$504,"&lt;="&amp;AB$5,'Time Off Log'!$J$5:$J$504,"&gt;="&amp;AB$5,'Time Off Log'!$E$5:$E$504,"Pending")&gt;0,"?",""))))))</f>
        <v/>
      </c>
      <c r="AC28" s="44">
        <f>IF(OR(AC$5="",$B28=""),"",IF(OR(WEEKDAY(AC$5,2)&gt;5,COUNTIF(Holidays!$A$5:$A$40,AC$5)&gt;0),"",IF(COUNTIFS('Time Off Log'!$A$5:$A$504,$B28,'Time Off Log'!$C$5:$C$504,"&lt;="&amp;AC$5,'Time Off Log'!$J$5:$J$504,"&gt;="&amp;AC$5,'Time Off Log'!$B$5:$B$504,"PTO",'Time Off Log'!$E$5:$E$504,"Approved")&gt;0,"P",IF(COUNTIFS('Time Off Log'!$A$5:$A$504,$B28,'Time Off Log'!$C$5:$C$504,"&lt;="&amp;AC$5,'Time Off Log'!$J$5:$J$504,"&gt;="&amp;AC$5,'Time Off Log'!$B$5:$B$504,"Sick",'Time Off Log'!$E$5:$E$504,"Approved")&gt;0,"S",IF(COUNTIFS('Time Off Log'!$A$5:$A$504,$B28,'Time Off Log'!$C$5:$C$504,"&lt;="&amp;AC$5,'Time Off Log'!$J$5:$J$504,"&gt;="&amp;AC$5,'Time Off Log'!$E$5:$E$504,"Approved")&gt;0,"U",IF(COUNTIFS('Time Off Log'!$A$5:$A$504,$B28,'Time Off Log'!$C$5:$C$504,"&lt;="&amp;AC$5,'Time Off Log'!$J$5:$J$504,"&gt;="&amp;AC$5,'Time Off Log'!$E$5:$E$504,"Pending")&gt;0,"?",""))))))</f>
        <v/>
      </c>
      <c r="AD28" s="44">
        <f>IF(OR(AD$5="",$B28=""),"",IF(OR(WEEKDAY(AD$5,2)&gt;5,COUNTIF(Holidays!$A$5:$A$40,AD$5)&gt;0),"",IF(COUNTIFS('Time Off Log'!$A$5:$A$504,$B28,'Time Off Log'!$C$5:$C$504,"&lt;="&amp;AD$5,'Time Off Log'!$J$5:$J$504,"&gt;="&amp;AD$5,'Time Off Log'!$B$5:$B$504,"PTO",'Time Off Log'!$E$5:$E$504,"Approved")&gt;0,"P",IF(COUNTIFS('Time Off Log'!$A$5:$A$504,$B28,'Time Off Log'!$C$5:$C$504,"&lt;="&amp;AD$5,'Time Off Log'!$J$5:$J$504,"&gt;="&amp;AD$5,'Time Off Log'!$B$5:$B$504,"Sick",'Time Off Log'!$E$5:$E$504,"Approved")&gt;0,"S",IF(COUNTIFS('Time Off Log'!$A$5:$A$504,$B28,'Time Off Log'!$C$5:$C$504,"&lt;="&amp;AD$5,'Time Off Log'!$J$5:$J$504,"&gt;="&amp;AD$5,'Time Off Log'!$E$5:$E$504,"Approved")&gt;0,"U",IF(COUNTIFS('Time Off Log'!$A$5:$A$504,$B28,'Time Off Log'!$C$5:$C$504,"&lt;="&amp;AD$5,'Time Off Log'!$J$5:$J$504,"&gt;="&amp;AD$5,'Time Off Log'!$E$5:$E$504,"Pending")&gt;0,"?",""))))))</f>
        <v/>
      </c>
      <c r="AE28" s="44">
        <f>IF(OR(AE$5="",$B28=""),"",IF(OR(WEEKDAY(AE$5,2)&gt;5,COUNTIF(Holidays!$A$5:$A$40,AE$5)&gt;0),"",IF(COUNTIFS('Time Off Log'!$A$5:$A$504,$B28,'Time Off Log'!$C$5:$C$504,"&lt;="&amp;AE$5,'Time Off Log'!$J$5:$J$504,"&gt;="&amp;AE$5,'Time Off Log'!$B$5:$B$504,"PTO",'Time Off Log'!$E$5:$E$504,"Approved")&gt;0,"P",IF(COUNTIFS('Time Off Log'!$A$5:$A$504,$B28,'Time Off Log'!$C$5:$C$504,"&lt;="&amp;AE$5,'Time Off Log'!$J$5:$J$504,"&gt;="&amp;AE$5,'Time Off Log'!$B$5:$B$504,"Sick",'Time Off Log'!$E$5:$E$504,"Approved")&gt;0,"S",IF(COUNTIFS('Time Off Log'!$A$5:$A$504,$B28,'Time Off Log'!$C$5:$C$504,"&lt;="&amp;AE$5,'Time Off Log'!$J$5:$J$504,"&gt;="&amp;AE$5,'Time Off Log'!$E$5:$E$504,"Approved")&gt;0,"U",IF(COUNTIFS('Time Off Log'!$A$5:$A$504,$B28,'Time Off Log'!$C$5:$C$504,"&lt;="&amp;AE$5,'Time Off Log'!$J$5:$J$504,"&gt;="&amp;AE$5,'Time Off Log'!$E$5:$E$504,"Pending")&gt;0,"?",""))))))</f>
        <v/>
      </c>
      <c r="AF28" s="44">
        <f>IF(OR(AF$5="",$B28=""),"",IF(OR(WEEKDAY(AF$5,2)&gt;5,COUNTIF(Holidays!$A$5:$A$40,AF$5)&gt;0),"",IF(COUNTIFS('Time Off Log'!$A$5:$A$504,$B28,'Time Off Log'!$C$5:$C$504,"&lt;="&amp;AF$5,'Time Off Log'!$J$5:$J$504,"&gt;="&amp;AF$5,'Time Off Log'!$B$5:$B$504,"PTO",'Time Off Log'!$E$5:$E$504,"Approved")&gt;0,"P",IF(COUNTIFS('Time Off Log'!$A$5:$A$504,$B28,'Time Off Log'!$C$5:$C$504,"&lt;="&amp;AF$5,'Time Off Log'!$J$5:$J$504,"&gt;="&amp;AF$5,'Time Off Log'!$B$5:$B$504,"Sick",'Time Off Log'!$E$5:$E$504,"Approved")&gt;0,"S",IF(COUNTIFS('Time Off Log'!$A$5:$A$504,$B28,'Time Off Log'!$C$5:$C$504,"&lt;="&amp;AF$5,'Time Off Log'!$J$5:$J$504,"&gt;="&amp;AF$5,'Time Off Log'!$E$5:$E$504,"Approved")&gt;0,"U",IF(COUNTIFS('Time Off Log'!$A$5:$A$504,$B28,'Time Off Log'!$C$5:$C$504,"&lt;="&amp;AF$5,'Time Off Log'!$J$5:$J$504,"&gt;="&amp;AF$5,'Time Off Log'!$E$5:$E$504,"Pending")&gt;0,"?",""))))))</f>
        <v/>
      </c>
      <c r="AG28" s="44">
        <f>IF(OR(AG$5="",$B28=""),"",IF(OR(WEEKDAY(AG$5,2)&gt;5,COUNTIF(Holidays!$A$5:$A$40,AG$5)&gt;0),"",IF(COUNTIFS('Time Off Log'!$A$5:$A$504,$B28,'Time Off Log'!$C$5:$C$504,"&lt;="&amp;AG$5,'Time Off Log'!$J$5:$J$504,"&gt;="&amp;AG$5,'Time Off Log'!$B$5:$B$504,"PTO",'Time Off Log'!$E$5:$E$504,"Approved")&gt;0,"P",IF(COUNTIFS('Time Off Log'!$A$5:$A$504,$B28,'Time Off Log'!$C$5:$C$504,"&lt;="&amp;AG$5,'Time Off Log'!$J$5:$J$504,"&gt;="&amp;AG$5,'Time Off Log'!$B$5:$B$504,"Sick",'Time Off Log'!$E$5:$E$504,"Approved")&gt;0,"S",IF(COUNTIFS('Time Off Log'!$A$5:$A$504,$B28,'Time Off Log'!$C$5:$C$504,"&lt;="&amp;AG$5,'Time Off Log'!$J$5:$J$504,"&gt;="&amp;AG$5,'Time Off Log'!$E$5:$E$504,"Approved")&gt;0,"U",IF(COUNTIFS('Time Off Log'!$A$5:$A$504,$B28,'Time Off Log'!$C$5:$C$504,"&lt;="&amp;AG$5,'Time Off Log'!$J$5:$J$504,"&gt;="&amp;AG$5,'Time Off Log'!$E$5:$E$504,"Pending")&gt;0,"?",""))))))</f>
        <v/>
      </c>
    </row>
    <row r="29">
      <c r="A29" s="24" t="n">
        <v>24</v>
      </c>
      <c r="B29" s="24">
        <f>IF(Employees!B28="","",Employees!B28)</f>
        <v/>
      </c>
      <c r="C29" s="44">
        <f>IF(OR(C$5="",$B29=""),"",IF(OR(WEEKDAY(C$5,2)&gt;5,COUNTIF(Holidays!$A$5:$A$40,C$5)&gt;0),"",IF(COUNTIFS('Time Off Log'!$A$5:$A$504,$B29,'Time Off Log'!$C$5:$C$504,"&lt;="&amp;C$5,'Time Off Log'!$J$5:$J$504,"&gt;="&amp;C$5,'Time Off Log'!$B$5:$B$504,"PTO",'Time Off Log'!$E$5:$E$504,"Approved")&gt;0,"P",IF(COUNTIFS('Time Off Log'!$A$5:$A$504,$B29,'Time Off Log'!$C$5:$C$504,"&lt;="&amp;C$5,'Time Off Log'!$J$5:$J$504,"&gt;="&amp;C$5,'Time Off Log'!$B$5:$B$504,"Sick",'Time Off Log'!$E$5:$E$504,"Approved")&gt;0,"S",IF(COUNTIFS('Time Off Log'!$A$5:$A$504,$B29,'Time Off Log'!$C$5:$C$504,"&lt;="&amp;C$5,'Time Off Log'!$J$5:$J$504,"&gt;="&amp;C$5,'Time Off Log'!$E$5:$E$504,"Approved")&gt;0,"U",IF(COUNTIFS('Time Off Log'!$A$5:$A$504,$B29,'Time Off Log'!$C$5:$C$504,"&lt;="&amp;C$5,'Time Off Log'!$J$5:$J$504,"&gt;="&amp;C$5,'Time Off Log'!$E$5:$E$504,"Pending")&gt;0,"?",""))))))</f>
        <v/>
      </c>
      <c r="D29" s="44">
        <f>IF(OR(D$5="",$B29=""),"",IF(OR(WEEKDAY(D$5,2)&gt;5,COUNTIF(Holidays!$A$5:$A$40,D$5)&gt;0),"",IF(COUNTIFS('Time Off Log'!$A$5:$A$504,$B29,'Time Off Log'!$C$5:$C$504,"&lt;="&amp;D$5,'Time Off Log'!$J$5:$J$504,"&gt;="&amp;D$5,'Time Off Log'!$B$5:$B$504,"PTO",'Time Off Log'!$E$5:$E$504,"Approved")&gt;0,"P",IF(COUNTIFS('Time Off Log'!$A$5:$A$504,$B29,'Time Off Log'!$C$5:$C$504,"&lt;="&amp;D$5,'Time Off Log'!$J$5:$J$504,"&gt;="&amp;D$5,'Time Off Log'!$B$5:$B$504,"Sick",'Time Off Log'!$E$5:$E$504,"Approved")&gt;0,"S",IF(COUNTIFS('Time Off Log'!$A$5:$A$504,$B29,'Time Off Log'!$C$5:$C$504,"&lt;="&amp;D$5,'Time Off Log'!$J$5:$J$504,"&gt;="&amp;D$5,'Time Off Log'!$E$5:$E$504,"Approved")&gt;0,"U",IF(COUNTIFS('Time Off Log'!$A$5:$A$504,$B29,'Time Off Log'!$C$5:$C$504,"&lt;="&amp;D$5,'Time Off Log'!$J$5:$J$504,"&gt;="&amp;D$5,'Time Off Log'!$E$5:$E$504,"Pending")&gt;0,"?",""))))))</f>
        <v/>
      </c>
      <c r="E29" s="44">
        <f>IF(OR(E$5="",$B29=""),"",IF(OR(WEEKDAY(E$5,2)&gt;5,COUNTIF(Holidays!$A$5:$A$40,E$5)&gt;0),"",IF(COUNTIFS('Time Off Log'!$A$5:$A$504,$B29,'Time Off Log'!$C$5:$C$504,"&lt;="&amp;E$5,'Time Off Log'!$J$5:$J$504,"&gt;="&amp;E$5,'Time Off Log'!$B$5:$B$504,"PTO",'Time Off Log'!$E$5:$E$504,"Approved")&gt;0,"P",IF(COUNTIFS('Time Off Log'!$A$5:$A$504,$B29,'Time Off Log'!$C$5:$C$504,"&lt;="&amp;E$5,'Time Off Log'!$J$5:$J$504,"&gt;="&amp;E$5,'Time Off Log'!$B$5:$B$504,"Sick",'Time Off Log'!$E$5:$E$504,"Approved")&gt;0,"S",IF(COUNTIFS('Time Off Log'!$A$5:$A$504,$B29,'Time Off Log'!$C$5:$C$504,"&lt;="&amp;E$5,'Time Off Log'!$J$5:$J$504,"&gt;="&amp;E$5,'Time Off Log'!$E$5:$E$504,"Approved")&gt;0,"U",IF(COUNTIFS('Time Off Log'!$A$5:$A$504,$B29,'Time Off Log'!$C$5:$C$504,"&lt;="&amp;E$5,'Time Off Log'!$J$5:$J$504,"&gt;="&amp;E$5,'Time Off Log'!$E$5:$E$504,"Pending")&gt;0,"?",""))))))</f>
        <v/>
      </c>
      <c r="F29" s="44">
        <f>IF(OR(F$5="",$B29=""),"",IF(OR(WEEKDAY(F$5,2)&gt;5,COUNTIF(Holidays!$A$5:$A$40,F$5)&gt;0),"",IF(COUNTIFS('Time Off Log'!$A$5:$A$504,$B29,'Time Off Log'!$C$5:$C$504,"&lt;="&amp;F$5,'Time Off Log'!$J$5:$J$504,"&gt;="&amp;F$5,'Time Off Log'!$B$5:$B$504,"PTO",'Time Off Log'!$E$5:$E$504,"Approved")&gt;0,"P",IF(COUNTIFS('Time Off Log'!$A$5:$A$504,$B29,'Time Off Log'!$C$5:$C$504,"&lt;="&amp;F$5,'Time Off Log'!$J$5:$J$504,"&gt;="&amp;F$5,'Time Off Log'!$B$5:$B$504,"Sick",'Time Off Log'!$E$5:$E$504,"Approved")&gt;0,"S",IF(COUNTIFS('Time Off Log'!$A$5:$A$504,$B29,'Time Off Log'!$C$5:$C$504,"&lt;="&amp;F$5,'Time Off Log'!$J$5:$J$504,"&gt;="&amp;F$5,'Time Off Log'!$E$5:$E$504,"Approved")&gt;0,"U",IF(COUNTIFS('Time Off Log'!$A$5:$A$504,$B29,'Time Off Log'!$C$5:$C$504,"&lt;="&amp;F$5,'Time Off Log'!$J$5:$J$504,"&gt;="&amp;F$5,'Time Off Log'!$E$5:$E$504,"Pending")&gt;0,"?",""))))))</f>
        <v/>
      </c>
      <c r="G29" s="44">
        <f>IF(OR(G$5="",$B29=""),"",IF(OR(WEEKDAY(G$5,2)&gt;5,COUNTIF(Holidays!$A$5:$A$40,G$5)&gt;0),"",IF(COUNTIFS('Time Off Log'!$A$5:$A$504,$B29,'Time Off Log'!$C$5:$C$504,"&lt;="&amp;G$5,'Time Off Log'!$J$5:$J$504,"&gt;="&amp;G$5,'Time Off Log'!$B$5:$B$504,"PTO",'Time Off Log'!$E$5:$E$504,"Approved")&gt;0,"P",IF(COUNTIFS('Time Off Log'!$A$5:$A$504,$B29,'Time Off Log'!$C$5:$C$504,"&lt;="&amp;G$5,'Time Off Log'!$J$5:$J$504,"&gt;="&amp;G$5,'Time Off Log'!$B$5:$B$504,"Sick",'Time Off Log'!$E$5:$E$504,"Approved")&gt;0,"S",IF(COUNTIFS('Time Off Log'!$A$5:$A$504,$B29,'Time Off Log'!$C$5:$C$504,"&lt;="&amp;G$5,'Time Off Log'!$J$5:$J$504,"&gt;="&amp;G$5,'Time Off Log'!$E$5:$E$504,"Approved")&gt;0,"U",IF(COUNTIFS('Time Off Log'!$A$5:$A$504,$B29,'Time Off Log'!$C$5:$C$504,"&lt;="&amp;G$5,'Time Off Log'!$J$5:$J$504,"&gt;="&amp;G$5,'Time Off Log'!$E$5:$E$504,"Pending")&gt;0,"?",""))))))</f>
        <v/>
      </c>
      <c r="H29" s="44">
        <f>IF(OR(H$5="",$B29=""),"",IF(OR(WEEKDAY(H$5,2)&gt;5,COUNTIF(Holidays!$A$5:$A$40,H$5)&gt;0),"",IF(COUNTIFS('Time Off Log'!$A$5:$A$504,$B29,'Time Off Log'!$C$5:$C$504,"&lt;="&amp;H$5,'Time Off Log'!$J$5:$J$504,"&gt;="&amp;H$5,'Time Off Log'!$B$5:$B$504,"PTO",'Time Off Log'!$E$5:$E$504,"Approved")&gt;0,"P",IF(COUNTIFS('Time Off Log'!$A$5:$A$504,$B29,'Time Off Log'!$C$5:$C$504,"&lt;="&amp;H$5,'Time Off Log'!$J$5:$J$504,"&gt;="&amp;H$5,'Time Off Log'!$B$5:$B$504,"Sick",'Time Off Log'!$E$5:$E$504,"Approved")&gt;0,"S",IF(COUNTIFS('Time Off Log'!$A$5:$A$504,$B29,'Time Off Log'!$C$5:$C$504,"&lt;="&amp;H$5,'Time Off Log'!$J$5:$J$504,"&gt;="&amp;H$5,'Time Off Log'!$E$5:$E$504,"Approved")&gt;0,"U",IF(COUNTIFS('Time Off Log'!$A$5:$A$504,$B29,'Time Off Log'!$C$5:$C$504,"&lt;="&amp;H$5,'Time Off Log'!$J$5:$J$504,"&gt;="&amp;H$5,'Time Off Log'!$E$5:$E$504,"Pending")&gt;0,"?",""))))))</f>
        <v/>
      </c>
      <c r="I29" s="44">
        <f>IF(OR(I$5="",$B29=""),"",IF(OR(WEEKDAY(I$5,2)&gt;5,COUNTIF(Holidays!$A$5:$A$40,I$5)&gt;0),"",IF(COUNTIFS('Time Off Log'!$A$5:$A$504,$B29,'Time Off Log'!$C$5:$C$504,"&lt;="&amp;I$5,'Time Off Log'!$J$5:$J$504,"&gt;="&amp;I$5,'Time Off Log'!$B$5:$B$504,"PTO",'Time Off Log'!$E$5:$E$504,"Approved")&gt;0,"P",IF(COUNTIFS('Time Off Log'!$A$5:$A$504,$B29,'Time Off Log'!$C$5:$C$504,"&lt;="&amp;I$5,'Time Off Log'!$J$5:$J$504,"&gt;="&amp;I$5,'Time Off Log'!$B$5:$B$504,"Sick",'Time Off Log'!$E$5:$E$504,"Approved")&gt;0,"S",IF(COUNTIFS('Time Off Log'!$A$5:$A$504,$B29,'Time Off Log'!$C$5:$C$504,"&lt;="&amp;I$5,'Time Off Log'!$J$5:$J$504,"&gt;="&amp;I$5,'Time Off Log'!$E$5:$E$504,"Approved")&gt;0,"U",IF(COUNTIFS('Time Off Log'!$A$5:$A$504,$B29,'Time Off Log'!$C$5:$C$504,"&lt;="&amp;I$5,'Time Off Log'!$J$5:$J$504,"&gt;="&amp;I$5,'Time Off Log'!$E$5:$E$504,"Pending")&gt;0,"?",""))))))</f>
        <v/>
      </c>
      <c r="J29" s="44">
        <f>IF(OR(J$5="",$B29=""),"",IF(OR(WEEKDAY(J$5,2)&gt;5,COUNTIF(Holidays!$A$5:$A$40,J$5)&gt;0),"",IF(COUNTIFS('Time Off Log'!$A$5:$A$504,$B29,'Time Off Log'!$C$5:$C$504,"&lt;="&amp;J$5,'Time Off Log'!$J$5:$J$504,"&gt;="&amp;J$5,'Time Off Log'!$B$5:$B$504,"PTO",'Time Off Log'!$E$5:$E$504,"Approved")&gt;0,"P",IF(COUNTIFS('Time Off Log'!$A$5:$A$504,$B29,'Time Off Log'!$C$5:$C$504,"&lt;="&amp;J$5,'Time Off Log'!$J$5:$J$504,"&gt;="&amp;J$5,'Time Off Log'!$B$5:$B$504,"Sick",'Time Off Log'!$E$5:$E$504,"Approved")&gt;0,"S",IF(COUNTIFS('Time Off Log'!$A$5:$A$504,$B29,'Time Off Log'!$C$5:$C$504,"&lt;="&amp;J$5,'Time Off Log'!$J$5:$J$504,"&gt;="&amp;J$5,'Time Off Log'!$E$5:$E$504,"Approved")&gt;0,"U",IF(COUNTIFS('Time Off Log'!$A$5:$A$504,$B29,'Time Off Log'!$C$5:$C$504,"&lt;="&amp;J$5,'Time Off Log'!$J$5:$J$504,"&gt;="&amp;J$5,'Time Off Log'!$E$5:$E$504,"Pending")&gt;0,"?",""))))))</f>
        <v/>
      </c>
      <c r="K29" s="44">
        <f>IF(OR(K$5="",$B29=""),"",IF(OR(WEEKDAY(K$5,2)&gt;5,COUNTIF(Holidays!$A$5:$A$40,K$5)&gt;0),"",IF(COUNTIFS('Time Off Log'!$A$5:$A$504,$B29,'Time Off Log'!$C$5:$C$504,"&lt;="&amp;K$5,'Time Off Log'!$J$5:$J$504,"&gt;="&amp;K$5,'Time Off Log'!$B$5:$B$504,"PTO",'Time Off Log'!$E$5:$E$504,"Approved")&gt;0,"P",IF(COUNTIFS('Time Off Log'!$A$5:$A$504,$B29,'Time Off Log'!$C$5:$C$504,"&lt;="&amp;K$5,'Time Off Log'!$J$5:$J$504,"&gt;="&amp;K$5,'Time Off Log'!$B$5:$B$504,"Sick",'Time Off Log'!$E$5:$E$504,"Approved")&gt;0,"S",IF(COUNTIFS('Time Off Log'!$A$5:$A$504,$B29,'Time Off Log'!$C$5:$C$504,"&lt;="&amp;K$5,'Time Off Log'!$J$5:$J$504,"&gt;="&amp;K$5,'Time Off Log'!$E$5:$E$504,"Approved")&gt;0,"U",IF(COUNTIFS('Time Off Log'!$A$5:$A$504,$B29,'Time Off Log'!$C$5:$C$504,"&lt;="&amp;K$5,'Time Off Log'!$J$5:$J$504,"&gt;="&amp;K$5,'Time Off Log'!$E$5:$E$504,"Pending")&gt;0,"?",""))))))</f>
        <v/>
      </c>
      <c r="L29" s="44">
        <f>IF(OR(L$5="",$B29=""),"",IF(OR(WEEKDAY(L$5,2)&gt;5,COUNTIF(Holidays!$A$5:$A$40,L$5)&gt;0),"",IF(COUNTIFS('Time Off Log'!$A$5:$A$504,$B29,'Time Off Log'!$C$5:$C$504,"&lt;="&amp;L$5,'Time Off Log'!$J$5:$J$504,"&gt;="&amp;L$5,'Time Off Log'!$B$5:$B$504,"PTO",'Time Off Log'!$E$5:$E$504,"Approved")&gt;0,"P",IF(COUNTIFS('Time Off Log'!$A$5:$A$504,$B29,'Time Off Log'!$C$5:$C$504,"&lt;="&amp;L$5,'Time Off Log'!$J$5:$J$504,"&gt;="&amp;L$5,'Time Off Log'!$B$5:$B$504,"Sick",'Time Off Log'!$E$5:$E$504,"Approved")&gt;0,"S",IF(COUNTIFS('Time Off Log'!$A$5:$A$504,$B29,'Time Off Log'!$C$5:$C$504,"&lt;="&amp;L$5,'Time Off Log'!$J$5:$J$504,"&gt;="&amp;L$5,'Time Off Log'!$E$5:$E$504,"Approved")&gt;0,"U",IF(COUNTIFS('Time Off Log'!$A$5:$A$504,$B29,'Time Off Log'!$C$5:$C$504,"&lt;="&amp;L$5,'Time Off Log'!$J$5:$J$504,"&gt;="&amp;L$5,'Time Off Log'!$E$5:$E$504,"Pending")&gt;0,"?",""))))))</f>
        <v/>
      </c>
      <c r="M29" s="44">
        <f>IF(OR(M$5="",$B29=""),"",IF(OR(WEEKDAY(M$5,2)&gt;5,COUNTIF(Holidays!$A$5:$A$40,M$5)&gt;0),"",IF(COUNTIFS('Time Off Log'!$A$5:$A$504,$B29,'Time Off Log'!$C$5:$C$504,"&lt;="&amp;M$5,'Time Off Log'!$J$5:$J$504,"&gt;="&amp;M$5,'Time Off Log'!$B$5:$B$504,"PTO",'Time Off Log'!$E$5:$E$504,"Approved")&gt;0,"P",IF(COUNTIFS('Time Off Log'!$A$5:$A$504,$B29,'Time Off Log'!$C$5:$C$504,"&lt;="&amp;M$5,'Time Off Log'!$J$5:$J$504,"&gt;="&amp;M$5,'Time Off Log'!$B$5:$B$504,"Sick",'Time Off Log'!$E$5:$E$504,"Approved")&gt;0,"S",IF(COUNTIFS('Time Off Log'!$A$5:$A$504,$B29,'Time Off Log'!$C$5:$C$504,"&lt;="&amp;M$5,'Time Off Log'!$J$5:$J$504,"&gt;="&amp;M$5,'Time Off Log'!$E$5:$E$504,"Approved")&gt;0,"U",IF(COUNTIFS('Time Off Log'!$A$5:$A$504,$B29,'Time Off Log'!$C$5:$C$504,"&lt;="&amp;M$5,'Time Off Log'!$J$5:$J$504,"&gt;="&amp;M$5,'Time Off Log'!$E$5:$E$504,"Pending")&gt;0,"?",""))))))</f>
        <v/>
      </c>
      <c r="N29" s="44">
        <f>IF(OR(N$5="",$B29=""),"",IF(OR(WEEKDAY(N$5,2)&gt;5,COUNTIF(Holidays!$A$5:$A$40,N$5)&gt;0),"",IF(COUNTIFS('Time Off Log'!$A$5:$A$504,$B29,'Time Off Log'!$C$5:$C$504,"&lt;="&amp;N$5,'Time Off Log'!$J$5:$J$504,"&gt;="&amp;N$5,'Time Off Log'!$B$5:$B$504,"PTO",'Time Off Log'!$E$5:$E$504,"Approved")&gt;0,"P",IF(COUNTIFS('Time Off Log'!$A$5:$A$504,$B29,'Time Off Log'!$C$5:$C$504,"&lt;="&amp;N$5,'Time Off Log'!$J$5:$J$504,"&gt;="&amp;N$5,'Time Off Log'!$B$5:$B$504,"Sick",'Time Off Log'!$E$5:$E$504,"Approved")&gt;0,"S",IF(COUNTIFS('Time Off Log'!$A$5:$A$504,$B29,'Time Off Log'!$C$5:$C$504,"&lt;="&amp;N$5,'Time Off Log'!$J$5:$J$504,"&gt;="&amp;N$5,'Time Off Log'!$E$5:$E$504,"Approved")&gt;0,"U",IF(COUNTIFS('Time Off Log'!$A$5:$A$504,$B29,'Time Off Log'!$C$5:$C$504,"&lt;="&amp;N$5,'Time Off Log'!$J$5:$J$504,"&gt;="&amp;N$5,'Time Off Log'!$E$5:$E$504,"Pending")&gt;0,"?",""))))))</f>
        <v/>
      </c>
      <c r="O29" s="44">
        <f>IF(OR(O$5="",$B29=""),"",IF(OR(WEEKDAY(O$5,2)&gt;5,COUNTIF(Holidays!$A$5:$A$40,O$5)&gt;0),"",IF(COUNTIFS('Time Off Log'!$A$5:$A$504,$B29,'Time Off Log'!$C$5:$C$504,"&lt;="&amp;O$5,'Time Off Log'!$J$5:$J$504,"&gt;="&amp;O$5,'Time Off Log'!$B$5:$B$504,"PTO",'Time Off Log'!$E$5:$E$504,"Approved")&gt;0,"P",IF(COUNTIFS('Time Off Log'!$A$5:$A$504,$B29,'Time Off Log'!$C$5:$C$504,"&lt;="&amp;O$5,'Time Off Log'!$J$5:$J$504,"&gt;="&amp;O$5,'Time Off Log'!$B$5:$B$504,"Sick",'Time Off Log'!$E$5:$E$504,"Approved")&gt;0,"S",IF(COUNTIFS('Time Off Log'!$A$5:$A$504,$B29,'Time Off Log'!$C$5:$C$504,"&lt;="&amp;O$5,'Time Off Log'!$J$5:$J$504,"&gt;="&amp;O$5,'Time Off Log'!$E$5:$E$504,"Approved")&gt;0,"U",IF(COUNTIFS('Time Off Log'!$A$5:$A$504,$B29,'Time Off Log'!$C$5:$C$504,"&lt;="&amp;O$5,'Time Off Log'!$J$5:$J$504,"&gt;="&amp;O$5,'Time Off Log'!$E$5:$E$504,"Pending")&gt;0,"?",""))))))</f>
        <v/>
      </c>
      <c r="P29" s="44">
        <f>IF(OR(P$5="",$B29=""),"",IF(OR(WEEKDAY(P$5,2)&gt;5,COUNTIF(Holidays!$A$5:$A$40,P$5)&gt;0),"",IF(COUNTIFS('Time Off Log'!$A$5:$A$504,$B29,'Time Off Log'!$C$5:$C$504,"&lt;="&amp;P$5,'Time Off Log'!$J$5:$J$504,"&gt;="&amp;P$5,'Time Off Log'!$B$5:$B$504,"PTO",'Time Off Log'!$E$5:$E$504,"Approved")&gt;0,"P",IF(COUNTIFS('Time Off Log'!$A$5:$A$504,$B29,'Time Off Log'!$C$5:$C$504,"&lt;="&amp;P$5,'Time Off Log'!$J$5:$J$504,"&gt;="&amp;P$5,'Time Off Log'!$B$5:$B$504,"Sick",'Time Off Log'!$E$5:$E$504,"Approved")&gt;0,"S",IF(COUNTIFS('Time Off Log'!$A$5:$A$504,$B29,'Time Off Log'!$C$5:$C$504,"&lt;="&amp;P$5,'Time Off Log'!$J$5:$J$504,"&gt;="&amp;P$5,'Time Off Log'!$E$5:$E$504,"Approved")&gt;0,"U",IF(COUNTIFS('Time Off Log'!$A$5:$A$504,$B29,'Time Off Log'!$C$5:$C$504,"&lt;="&amp;P$5,'Time Off Log'!$J$5:$J$504,"&gt;="&amp;P$5,'Time Off Log'!$E$5:$E$504,"Pending")&gt;0,"?",""))))))</f>
        <v/>
      </c>
      <c r="Q29" s="44">
        <f>IF(OR(Q$5="",$B29=""),"",IF(OR(WEEKDAY(Q$5,2)&gt;5,COUNTIF(Holidays!$A$5:$A$40,Q$5)&gt;0),"",IF(COUNTIFS('Time Off Log'!$A$5:$A$504,$B29,'Time Off Log'!$C$5:$C$504,"&lt;="&amp;Q$5,'Time Off Log'!$J$5:$J$504,"&gt;="&amp;Q$5,'Time Off Log'!$B$5:$B$504,"PTO",'Time Off Log'!$E$5:$E$504,"Approved")&gt;0,"P",IF(COUNTIFS('Time Off Log'!$A$5:$A$504,$B29,'Time Off Log'!$C$5:$C$504,"&lt;="&amp;Q$5,'Time Off Log'!$J$5:$J$504,"&gt;="&amp;Q$5,'Time Off Log'!$B$5:$B$504,"Sick",'Time Off Log'!$E$5:$E$504,"Approved")&gt;0,"S",IF(COUNTIFS('Time Off Log'!$A$5:$A$504,$B29,'Time Off Log'!$C$5:$C$504,"&lt;="&amp;Q$5,'Time Off Log'!$J$5:$J$504,"&gt;="&amp;Q$5,'Time Off Log'!$E$5:$E$504,"Approved")&gt;0,"U",IF(COUNTIFS('Time Off Log'!$A$5:$A$504,$B29,'Time Off Log'!$C$5:$C$504,"&lt;="&amp;Q$5,'Time Off Log'!$J$5:$J$504,"&gt;="&amp;Q$5,'Time Off Log'!$E$5:$E$504,"Pending")&gt;0,"?",""))))))</f>
        <v/>
      </c>
      <c r="R29" s="44">
        <f>IF(OR(R$5="",$B29=""),"",IF(OR(WEEKDAY(R$5,2)&gt;5,COUNTIF(Holidays!$A$5:$A$40,R$5)&gt;0),"",IF(COUNTIFS('Time Off Log'!$A$5:$A$504,$B29,'Time Off Log'!$C$5:$C$504,"&lt;="&amp;R$5,'Time Off Log'!$J$5:$J$504,"&gt;="&amp;R$5,'Time Off Log'!$B$5:$B$504,"PTO",'Time Off Log'!$E$5:$E$504,"Approved")&gt;0,"P",IF(COUNTIFS('Time Off Log'!$A$5:$A$504,$B29,'Time Off Log'!$C$5:$C$504,"&lt;="&amp;R$5,'Time Off Log'!$J$5:$J$504,"&gt;="&amp;R$5,'Time Off Log'!$B$5:$B$504,"Sick",'Time Off Log'!$E$5:$E$504,"Approved")&gt;0,"S",IF(COUNTIFS('Time Off Log'!$A$5:$A$504,$B29,'Time Off Log'!$C$5:$C$504,"&lt;="&amp;R$5,'Time Off Log'!$J$5:$J$504,"&gt;="&amp;R$5,'Time Off Log'!$E$5:$E$504,"Approved")&gt;0,"U",IF(COUNTIFS('Time Off Log'!$A$5:$A$504,$B29,'Time Off Log'!$C$5:$C$504,"&lt;="&amp;R$5,'Time Off Log'!$J$5:$J$504,"&gt;="&amp;R$5,'Time Off Log'!$E$5:$E$504,"Pending")&gt;0,"?",""))))))</f>
        <v/>
      </c>
      <c r="S29" s="44">
        <f>IF(OR(S$5="",$B29=""),"",IF(OR(WEEKDAY(S$5,2)&gt;5,COUNTIF(Holidays!$A$5:$A$40,S$5)&gt;0),"",IF(COUNTIFS('Time Off Log'!$A$5:$A$504,$B29,'Time Off Log'!$C$5:$C$504,"&lt;="&amp;S$5,'Time Off Log'!$J$5:$J$504,"&gt;="&amp;S$5,'Time Off Log'!$B$5:$B$504,"PTO",'Time Off Log'!$E$5:$E$504,"Approved")&gt;0,"P",IF(COUNTIFS('Time Off Log'!$A$5:$A$504,$B29,'Time Off Log'!$C$5:$C$504,"&lt;="&amp;S$5,'Time Off Log'!$J$5:$J$504,"&gt;="&amp;S$5,'Time Off Log'!$B$5:$B$504,"Sick",'Time Off Log'!$E$5:$E$504,"Approved")&gt;0,"S",IF(COUNTIFS('Time Off Log'!$A$5:$A$504,$B29,'Time Off Log'!$C$5:$C$504,"&lt;="&amp;S$5,'Time Off Log'!$J$5:$J$504,"&gt;="&amp;S$5,'Time Off Log'!$E$5:$E$504,"Approved")&gt;0,"U",IF(COUNTIFS('Time Off Log'!$A$5:$A$504,$B29,'Time Off Log'!$C$5:$C$504,"&lt;="&amp;S$5,'Time Off Log'!$J$5:$J$504,"&gt;="&amp;S$5,'Time Off Log'!$E$5:$E$504,"Pending")&gt;0,"?",""))))))</f>
        <v/>
      </c>
      <c r="T29" s="44">
        <f>IF(OR(T$5="",$B29=""),"",IF(OR(WEEKDAY(T$5,2)&gt;5,COUNTIF(Holidays!$A$5:$A$40,T$5)&gt;0),"",IF(COUNTIFS('Time Off Log'!$A$5:$A$504,$B29,'Time Off Log'!$C$5:$C$504,"&lt;="&amp;T$5,'Time Off Log'!$J$5:$J$504,"&gt;="&amp;T$5,'Time Off Log'!$B$5:$B$504,"PTO",'Time Off Log'!$E$5:$E$504,"Approved")&gt;0,"P",IF(COUNTIFS('Time Off Log'!$A$5:$A$504,$B29,'Time Off Log'!$C$5:$C$504,"&lt;="&amp;T$5,'Time Off Log'!$J$5:$J$504,"&gt;="&amp;T$5,'Time Off Log'!$B$5:$B$504,"Sick",'Time Off Log'!$E$5:$E$504,"Approved")&gt;0,"S",IF(COUNTIFS('Time Off Log'!$A$5:$A$504,$B29,'Time Off Log'!$C$5:$C$504,"&lt;="&amp;T$5,'Time Off Log'!$J$5:$J$504,"&gt;="&amp;T$5,'Time Off Log'!$E$5:$E$504,"Approved")&gt;0,"U",IF(COUNTIFS('Time Off Log'!$A$5:$A$504,$B29,'Time Off Log'!$C$5:$C$504,"&lt;="&amp;T$5,'Time Off Log'!$J$5:$J$504,"&gt;="&amp;T$5,'Time Off Log'!$E$5:$E$504,"Pending")&gt;0,"?",""))))))</f>
        <v/>
      </c>
      <c r="U29" s="44">
        <f>IF(OR(U$5="",$B29=""),"",IF(OR(WEEKDAY(U$5,2)&gt;5,COUNTIF(Holidays!$A$5:$A$40,U$5)&gt;0),"",IF(COUNTIFS('Time Off Log'!$A$5:$A$504,$B29,'Time Off Log'!$C$5:$C$504,"&lt;="&amp;U$5,'Time Off Log'!$J$5:$J$504,"&gt;="&amp;U$5,'Time Off Log'!$B$5:$B$504,"PTO",'Time Off Log'!$E$5:$E$504,"Approved")&gt;0,"P",IF(COUNTIFS('Time Off Log'!$A$5:$A$504,$B29,'Time Off Log'!$C$5:$C$504,"&lt;="&amp;U$5,'Time Off Log'!$J$5:$J$504,"&gt;="&amp;U$5,'Time Off Log'!$B$5:$B$504,"Sick",'Time Off Log'!$E$5:$E$504,"Approved")&gt;0,"S",IF(COUNTIFS('Time Off Log'!$A$5:$A$504,$B29,'Time Off Log'!$C$5:$C$504,"&lt;="&amp;U$5,'Time Off Log'!$J$5:$J$504,"&gt;="&amp;U$5,'Time Off Log'!$E$5:$E$504,"Approved")&gt;0,"U",IF(COUNTIFS('Time Off Log'!$A$5:$A$504,$B29,'Time Off Log'!$C$5:$C$504,"&lt;="&amp;U$5,'Time Off Log'!$J$5:$J$504,"&gt;="&amp;U$5,'Time Off Log'!$E$5:$E$504,"Pending")&gt;0,"?",""))))))</f>
        <v/>
      </c>
      <c r="V29" s="44">
        <f>IF(OR(V$5="",$B29=""),"",IF(OR(WEEKDAY(V$5,2)&gt;5,COUNTIF(Holidays!$A$5:$A$40,V$5)&gt;0),"",IF(COUNTIFS('Time Off Log'!$A$5:$A$504,$B29,'Time Off Log'!$C$5:$C$504,"&lt;="&amp;V$5,'Time Off Log'!$J$5:$J$504,"&gt;="&amp;V$5,'Time Off Log'!$B$5:$B$504,"PTO",'Time Off Log'!$E$5:$E$504,"Approved")&gt;0,"P",IF(COUNTIFS('Time Off Log'!$A$5:$A$504,$B29,'Time Off Log'!$C$5:$C$504,"&lt;="&amp;V$5,'Time Off Log'!$J$5:$J$504,"&gt;="&amp;V$5,'Time Off Log'!$B$5:$B$504,"Sick",'Time Off Log'!$E$5:$E$504,"Approved")&gt;0,"S",IF(COUNTIFS('Time Off Log'!$A$5:$A$504,$B29,'Time Off Log'!$C$5:$C$504,"&lt;="&amp;V$5,'Time Off Log'!$J$5:$J$504,"&gt;="&amp;V$5,'Time Off Log'!$E$5:$E$504,"Approved")&gt;0,"U",IF(COUNTIFS('Time Off Log'!$A$5:$A$504,$B29,'Time Off Log'!$C$5:$C$504,"&lt;="&amp;V$5,'Time Off Log'!$J$5:$J$504,"&gt;="&amp;V$5,'Time Off Log'!$E$5:$E$504,"Pending")&gt;0,"?",""))))))</f>
        <v/>
      </c>
      <c r="W29" s="44">
        <f>IF(OR(W$5="",$B29=""),"",IF(OR(WEEKDAY(W$5,2)&gt;5,COUNTIF(Holidays!$A$5:$A$40,W$5)&gt;0),"",IF(COUNTIFS('Time Off Log'!$A$5:$A$504,$B29,'Time Off Log'!$C$5:$C$504,"&lt;="&amp;W$5,'Time Off Log'!$J$5:$J$504,"&gt;="&amp;W$5,'Time Off Log'!$B$5:$B$504,"PTO",'Time Off Log'!$E$5:$E$504,"Approved")&gt;0,"P",IF(COUNTIFS('Time Off Log'!$A$5:$A$504,$B29,'Time Off Log'!$C$5:$C$504,"&lt;="&amp;W$5,'Time Off Log'!$J$5:$J$504,"&gt;="&amp;W$5,'Time Off Log'!$B$5:$B$504,"Sick",'Time Off Log'!$E$5:$E$504,"Approved")&gt;0,"S",IF(COUNTIFS('Time Off Log'!$A$5:$A$504,$B29,'Time Off Log'!$C$5:$C$504,"&lt;="&amp;W$5,'Time Off Log'!$J$5:$J$504,"&gt;="&amp;W$5,'Time Off Log'!$E$5:$E$504,"Approved")&gt;0,"U",IF(COUNTIFS('Time Off Log'!$A$5:$A$504,$B29,'Time Off Log'!$C$5:$C$504,"&lt;="&amp;W$5,'Time Off Log'!$J$5:$J$504,"&gt;="&amp;W$5,'Time Off Log'!$E$5:$E$504,"Pending")&gt;0,"?",""))))))</f>
        <v/>
      </c>
      <c r="X29" s="44">
        <f>IF(OR(X$5="",$B29=""),"",IF(OR(WEEKDAY(X$5,2)&gt;5,COUNTIF(Holidays!$A$5:$A$40,X$5)&gt;0),"",IF(COUNTIFS('Time Off Log'!$A$5:$A$504,$B29,'Time Off Log'!$C$5:$C$504,"&lt;="&amp;X$5,'Time Off Log'!$J$5:$J$504,"&gt;="&amp;X$5,'Time Off Log'!$B$5:$B$504,"PTO",'Time Off Log'!$E$5:$E$504,"Approved")&gt;0,"P",IF(COUNTIFS('Time Off Log'!$A$5:$A$504,$B29,'Time Off Log'!$C$5:$C$504,"&lt;="&amp;X$5,'Time Off Log'!$J$5:$J$504,"&gt;="&amp;X$5,'Time Off Log'!$B$5:$B$504,"Sick",'Time Off Log'!$E$5:$E$504,"Approved")&gt;0,"S",IF(COUNTIFS('Time Off Log'!$A$5:$A$504,$B29,'Time Off Log'!$C$5:$C$504,"&lt;="&amp;X$5,'Time Off Log'!$J$5:$J$504,"&gt;="&amp;X$5,'Time Off Log'!$E$5:$E$504,"Approved")&gt;0,"U",IF(COUNTIFS('Time Off Log'!$A$5:$A$504,$B29,'Time Off Log'!$C$5:$C$504,"&lt;="&amp;X$5,'Time Off Log'!$J$5:$J$504,"&gt;="&amp;X$5,'Time Off Log'!$E$5:$E$504,"Pending")&gt;0,"?",""))))))</f>
        <v/>
      </c>
      <c r="Y29" s="44">
        <f>IF(OR(Y$5="",$B29=""),"",IF(OR(WEEKDAY(Y$5,2)&gt;5,COUNTIF(Holidays!$A$5:$A$40,Y$5)&gt;0),"",IF(COUNTIFS('Time Off Log'!$A$5:$A$504,$B29,'Time Off Log'!$C$5:$C$504,"&lt;="&amp;Y$5,'Time Off Log'!$J$5:$J$504,"&gt;="&amp;Y$5,'Time Off Log'!$B$5:$B$504,"PTO",'Time Off Log'!$E$5:$E$504,"Approved")&gt;0,"P",IF(COUNTIFS('Time Off Log'!$A$5:$A$504,$B29,'Time Off Log'!$C$5:$C$504,"&lt;="&amp;Y$5,'Time Off Log'!$J$5:$J$504,"&gt;="&amp;Y$5,'Time Off Log'!$B$5:$B$504,"Sick",'Time Off Log'!$E$5:$E$504,"Approved")&gt;0,"S",IF(COUNTIFS('Time Off Log'!$A$5:$A$504,$B29,'Time Off Log'!$C$5:$C$504,"&lt;="&amp;Y$5,'Time Off Log'!$J$5:$J$504,"&gt;="&amp;Y$5,'Time Off Log'!$E$5:$E$504,"Approved")&gt;0,"U",IF(COUNTIFS('Time Off Log'!$A$5:$A$504,$B29,'Time Off Log'!$C$5:$C$504,"&lt;="&amp;Y$5,'Time Off Log'!$J$5:$J$504,"&gt;="&amp;Y$5,'Time Off Log'!$E$5:$E$504,"Pending")&gt;0,"?",""))))))</f>
        <v/>
      </c>
      <c r="Z29" s="44">
        <f>IF(OR(Z$5="",$B29=""),"",IF(OR(WEEKDAY(Z$5,2)&gt;5,COUNTIF(Holidays!$A$5:$A$40,Z$5)&gt;0),"",IF(COUNTIFS('Time Off Log'!$A$5:$A$504,$B29,'Time Off Log'!$C$5:$C$504,"&lt;="&amp;Z$5,'Time Off Log'!$J$5:$J$504,"&gt;="&amp;Z$5,'Time Off Log'!$B$5:$B$504,"PTO",'Time Off Log'!$E$5:$E$504,"Approved")&gt;0,"P",IF(COUNTIFS('Time Off Log'!$A$5:$A$504,$B29,'Time Off Log'!$C$5:$C$504,"&lt;="&amp;Z$5,'Time Off Log'!$J$5:$J$504,"&gt;="&amp;Z$5,'Time Off Log'!$B$5:$B$504,"Sick",'Time Off Log'!$E$5:$E$504,"Approved")&gt;0,"S",IF(COUNTIFS('Time Off Log'!$A$5:$A$504,$B29,'Time Off Log'!$C$5:$C$504,"&lt;="&amp;Z$5,'Time Off Log'!$J$5:$J$504,"&gt;="&amp;Z$5,'Time Off Log'!$E$5:$E$504,"Approved")&gt;0,"U",IF(COUNTIFS('Time Off Log'!$A$5:$A$504,$B29,'Time Off Log'!$C$5:$C$504,"&lt;="&amp;Z$5,'Time Off Log'!$J$5:$J$504,"&gt;="&amp;Z$5,'Time Off Log'!$E$5:$E$504,"Pending")&gt;0,"?",""))))))</f>
        <v/>
      </c>
      <c r="AA29" s="44">
        <f>IF(OR(AA$5="",$B29=""),"",IF(OR(WEEKDAY(AA$5,2)&gt;5,COUNTIF(Holidays!$A$5:$A$40,AA$5)&gt;0),"",IF(COUNTIFS('Time Off Log'!$A$5:$A$504,$B29,'Time Off Log'!$C$5:$C$504,"&lt;="&amp;AA$5,'Time Off Log'!$J$5:$J$504,"&gt;="&amp;AA$5,'Time Off Log'!$B$5:$B$504,"PTO",'Time Off Log'!$E$5:$E$504,"Approved")&gt;0,"P",IF(COUNTIFS('Time Off Log'!$A$5:$A$504,$B29,'Time Off Log'!$C$5:$C$504,"&lt;="&amp;AA$5,'Time Off Log'!$J$5:$J$504,"&gt;="&amp;AA$5,'Time Off Log'!$B$5:$B$504,"Sick",'Time Off Log'!$E$5:$E$504,"Approved")&gt;0,"S",IF(COUNTIFS('Time Off Log'!$A$5:$A$504,$B29,'Time Off Log'!$C$5:$C$504,"&lt;="&amp;AA$5,'Time Off Log'!$J$5:$J$504,"&gt;="&amp;AA$5,'Time Off Log'!$E$5:$E$504,"Approved")&gt;0,"U",IF(COUNTIFS('Time Off Log'!$A$5:$A$504,$B29,'Time Off Log'!$C$5:$C$504,"&lt;="&amp;AA$5,'Time Off Log'!$J$5:$J$504,"&gt;="&amp;AA$5,'Time Off Log'!$E$5:$E$504,"Pending")&gt;0,"?",""))))))</f>
        <v/>
      </c>
      <c r="AB29" s="44">
        <f>IF(OR(AB$5="",$B29=""),"",IF(OR(WEEKDAY(AB$5,2)&gt;5,COUNTIF(Holidays!$A$5:$A$40,AB$5)&gt;0),"",IF(COUNTIFS('Time Off Log'!$A$5:$A$504,$B29,'Time Off Log'!$C$5:$C$504,"&lt;="&amp;AB$5,'Time Off Log'!$J$5:$J$504,"&gt;="&amp;AB$5,'Time Off Log'!$B$5:$B$504,"PTO",'Time Off Log'!$E$5:$E$504,"Approved")&gt;0,"P",IF(COUNTIFS('Time Off Log'!$A$5:$A$504,$B29,'Time Off Log'!$C$5:$C$504,"&lt;="&amp;AB$5,'Time Off Log'!$J$5:$J$504,"&gt;="&amp;AB$5,'Time Off Log'!$B$5:$B$504,"Sick",'Time Off Log'!$E$5:$E$504,"Approved")&gt;0,"S",IF(COUNTIFS('Time Off Log'!$A$5:$A$504,$B29,'Time Off Log'!$C$5:$C$504,"&lt;="&amp;AB$5,'Time Off Log'!$J$5:$J$504,"&gt;="&amp;AB$5,'Time Off Log'!$E$5:$E$504,"Approved")&gt;0,"U",IF(COUNTIFS('Time Off Log'!$A$5:$A$504,$B29,'Time Off Log'!$C$5:$C$504,"&lt;="&amp;AB$5,'Time Off Log'!$J$5:$J$504,"&gt;="&amp;AB$5,'Time Off Log'!$E$5:$E$504,"Pending")&gt;0,"?",""))))))</f>
        <v/>
      </c>
      <c r="AC29" s="44">
        <f>IF(OR(AC$5="",$B29=""),"",IF(OR(WEEKDAY(AC$5,2)&gt;5,COUNTIF(Holidays!$A$5:$A$40,AC$5)&gt;0),"",IF(COUNTIFS('Time Off Log'!$A$5:$A$504,$B29,'Time Off Log'!$C$5:$C$504,"&lt;="&amp;AC$5,'Time Off Log'!$J$5:$J$504,"&gt;="&amp;AC$5,'Time Off Log'!$B$5:$B$504,"PTO",'Time Off Log'!$E$5:$E$504,"Approved")&gt;0,"P",IF(COUNTIFS('Time Off Log'!$A$5:$A$504,$B29,'Time Off Log'!$C$5:$C$504,"&lt;="&amp;AC$5,'Time Off Log'!$J$5:$J$504,"&gt;="&amp;AC$5,'Time Off Log'!$B$5:$B$504,"Sick",'Time Off Log'!$E$5:$E$504,"Approved")&gt;0,"S",IF(COUNTIFS('Time Off Log'!$A$5:$A$504,$B29,'Time Off Log'!$C$5:$C$504,"&lt;="&amp;AC$5,'Time Off Log'!$J$5:$J$504,"&gt;="&amp;AC$5,'Time Off Log'!$E$5:$E$504,"Approved")&gt;0,"U",IF(COUNTIFS('Time Off Log'!$A$5:$A$504,$B29,'Time Off Log'!$C$5:$C$504,"&lt;="&amp;AC$5,'Time Off Log'!$J$5:$J$504,"&gt;="&amp;AC$5,'Time Off Log'!$E$5:$E$504,"Pending")&gt;0,"?",""))))))</f>
        <v/>
      </c>
      <c r="AD29" s="44">
        <f>IF(OR(AD$5="",$B29=""),"",IF(OR(WEEKDAY(AD$5,2)&gt;5,COUNTIF(Holidays!$A$5:$A$40,AD$5)&gt;0),"",IF(COUNTIFS('Time Off Log'!$A$5:$A$504,$B29,'Time Off Log'!$C$5:$C$504,"&lt;="&amp;AD$5,'Time Off Log'!$J$5:$J$504,"&gt;="&amp;AD$5,'Time Off Log'!$B$5:$B$504,"PTO",'Time Off Log'!$E$5:$E$504,"Approved")&gt;0,"P",IF(COUNTIFS('Time Off Log'!$A$5:$A$504,$B29,'Time Off Log'!$C$5:$C$504,"&lt;="&amp;AD$5,'Time Off Log'!$J$5:$J$504,"&gt;="&amp;AD$5,'Time Off Log'!$B$5:$B$504,"Sick",'Time Off Log'!$E$5:$E$504,"Approved")&gt;0,"S",IF(COUNTIFS('Time Off Log'!$A$5:$A$504,$B29,'Time Off Log'!$C$5:$C$504,"&lt;="&amp;AD$5,'Time Off Log'!$J$5:$J$504,"&gt;="&amp;AD$5,'Time Off Log'!$E$5:$E$504,"Approved")&gt;0,"U",IF(COUNTIFS('Time Off Log'!$A$5:$A$504,$B29,'Time Off Log'!$C$5:$C$504,"&lt;="&amp;AD$5,'Time Off Log'!$J$5:$J$504,"&gt;="&amp;AD$5,'Time Off Log'!$E$5:$E$504,"Pending")&gt;0,"?",""))))))</f>
        <v/>
      </c>
      <c r="AE29" s="44">
        <f>IF(OR(AE$5="",$B29=""),"",IF(OR(WEEKDAY(AE$5,2)&gt;5,COUNTIF(Holidays!$A$5:$A$40,AE$5)&gt;0),"",IF(COUNTIFS('Time Off Log'!$A$5:$A$504,$B29,'Time Off Log'!$C$5:$C$504,"&lt;="&amp;AE$5,'Time Off Log'!$J$5:$J$504,"&gt;="&amp;AE$5,'Time Off Log'!$B$5:$B$504,"PTO",'Time Off Log'!$E$5:$E$504,"Approved")&gt;0,"P",IF(COUNTIFS('Time Off Log'!$A$5:$A$504,$B29,'Time Off Log'!$C$5:$C$504,"&lt;="&amp;AE$5,'Time Off Log'!$J$5:$J$504,"&gt;="&amp;AE$5,'Time Off Log'!$B$5:$B$504,"Sick",'Time Off Log'!$E$5:$E$504,"Approved")&gt;0,"S",IF(COUNTIFS('Time Off Log'!$A$5:$A$504,$B29,'Time Off Log'!$C$5:$C$504,"&lt;="&amp;AE$5,'Time Off Log'!$J$5:$J$504,"&gt;="&amp;AE$5,'Time Off Log'!$E$5:$E$504,"Approved")&gt;0,"U",IF(COUNTIFS('Time Off Log'!$A$5:$A$504,$B29,'Time Off Log'!$C$5:$C$504,"&lt;="&amp;AE$5,'Time Off Log'!$J$5:$J$504,"&gt;="&amp;AE$5,'Time Off Log'!$E$5:$E$504,"Pending")&gt;0,"?",""))))))</f>
        <v/>
      </c>
      <c r="AF29" s="44">
        <f>IF(OR(AF$5="",$B29=""),"",IF(OR(WEEKDAY(AF$5,2)&gt;5,COUNTIF(Holidays!$A$5:$A$40,AF$5)&gt;0),"",IF(COUNTIFS('Time Off Log'!$A$5:$A$504,$B29,'Time Off Log'!$C$5:$C$504,"&lt;="&amp;AF$5,'Time Off Log'!$J$5:$J$504,"&gt;="&amp;AF$5,'Time Off Log'!$B$5:$B$504,"PTO",'Time Off Log'!$E$5:$E$504,"Approved")&gt;0,"P",IF(COUNTIFS('Time Off Log'!$A$5:$A$504,$B29,'Time Off Log'!$C$5:$C$504,"&lt;="&amp;AF$5,'Time Off Log'!$J$5:$J$504,"&gt;="&amp;AF$5,'Time Off Log'!$B$5:$B$504,"Sick",'Time Off Log'!$E$5:$E$504,"Approved")&gt;0,"S",IF(COUNTIFS('Time Off Log'!$A$5:$A$504,$B29,'Time Off Log'!$C$5:$C$504,"&lt;="&amp;AF$5,'Time Off Log'!$J$5:$J$504,"&gt;="&amp;AF$5,'Time Off Log'!$E$5:$E$504,"Approved")&gt;0,"U",IF(COUNTIFS('Time Off Log'!$A$5:$A$504,$B29,'Time Off Log'!$C$5:$C$504,"&lt;="&amp;AF$5,'Time Off Log'!$J$5:$J$504,"&gt;="&amp;AF$5,'Time Off Log'!$E$5:$E$504,"Pending")&gt;0,"?",""))))))</f>
        <v/>
      </c>
      <c r="AG29" s="44">
        <f>IF(OR(AG$5="",$B29=""),"",IF(OR(WEEKDAY(AG$5,2)&gt;5,COUNTIF(Holidays!$A$5:$A$40,AG$5)&gt;0),"",IF(COUNTIFS('Time Off Log'!$A$5:$A$504,$B29,'Time Off Log'!$C$5:$C$504,"&lt;="&amp;AG$5,'Time Off Log'!$J$5:$J$504,"&gt;="&amp;AG$5,'Time Off Log'!$B$5:$B$504,"PTO",'Time Off Log'!$E$5:$E$504,"Approved")&gt;0,"P",IF(COUNTIFS('Time Off Log'!$A$5:$A$504,$B29,'Time Off Log'!$C$5:$C$504,"&lt;="&amp;AG$5,'Time Off Log'!$J$5:$J$504,"&gt;="&amp;AG$5,'Time Off Log'!$B$5:$B$504,"Sick",'Time Off Log'!$E$5:$E$504,"Approved")&gt;0,"S",IF(COUNTIFS('Time Off Log'!$A$5:$A$504,$B29,'Time Off Log'!$C$5:$C$504,"&lt;="&amp;AG$5,'Time Off Log'!$J$5:$J$504,"&gt;="&amp;AG$5,'Time Off Log'!$E$5:$E$504,"Approved")&gt;0,"U",IF(COUNTIFS('Time Off Log'!$A$5:$A$504,$B29,'Time Off Log'!$C$5:$C$504,"&lt;="&amp;AG$5,'Time Off Log'!$J$5:$J$504,"&gt;="&amp;AG$5,'Time Off Log'!$E$5:$E$504,"Pending")&gt;0,"?",""))))))</f>
        <v/>
      </c>
    </row>
    <row r="30">
      <c r="A30" s="24" t="n">
        <v>25</v>
      </c>
      <c r="B30" s="24">
        <f>IF(Employees!B29="","",Employees!B29)</f>
        <v/>
      </c>
      <c r="C30" s="44">
        <f>IF(OR(C$5="",$B30=""),"",IF(OR(WEEKDAY(C$5,2)&gt;5,COUNTIF(Holidays!$A$5:$A$40,C$5)&gt;0),"",IF(COUNTIFS('Time Off Log'!$A$5:$A$504,$B30,'Time Off Log'!$C$5:$C$504,"&lt;="&amp;C$5,'Time Off Log'!$J$5:$J$504,"&gt;="&amp;C$5,'Time Off Log'!$B$5:$B$504,"PTO",'Time Off Log'!$E$5:$E$504,"Approved")&gt;0,"P",IF(COUNTIFS('Time Off Log'!$A$5:$A$504,$B30,'Time Off Log'!$C$5:$C$504,"&lt;="&amp;C$5,'Time Off Log'!$J$5:$J$504,"&gt;="&amp;C$5,'Time Off Log'!$B$5:$B$504,"Sick",'Time Off Log'!$E$5:$E$504,"Approved")&gt;0,"S",IF(COUNTIFS('Time Off Log'!$A$5:$A$504,$B30,'Time Off Log'!$C$5:$C$504,"&lt;="&amp;C$5,'Time Off Log'!$J$5:$J$504,"&gt;="&amp;C$5,'Time Off Log'!$E$5:$E$504,"Approved")&gt;0,"U",IF(COUNTIFS('Time Off Log'!$A$5:$A$504,$B30,'Time Off Log'!$C$5:$C$504,"&lt;="&amp;C$5,'Time Off Log'!$J$5:$J$504,"&gt;="&amp;C$5,'Time Off Log'!$E$5:$E$504,"Pending")&gt;0,"?",""))))))</f>
        <v/>
      </c>
      <c r="D30" s="44">
        <f>IF(OR(D$5="",$B30=""),"",IF(OR(WEEKDAY(D$5,2)&gt;5,COUNTIF(Holidays!$A$5:$A$40,D$5)&gt;0),"",IF(COUNTIFS('Time Off Log'!$A$5:$A$504,$B30,'Time Off Log'!$C$5:$C$504,"&lt;="&amp;D$5,'Time Off Log'!$J$5:$J$504,"&gt;="&amp;D$5,'Time Off Log'!$B$5:$B$504,"PTO",'Time Off Log'!$E$5:$E$504,"Approved")&gt;0,"P",IF(COUNTIFS('Time Off Log'!$A$5:$A$504,$B30,'Time Off Log'!$C$5:$C$504,"&lt;="&amp;D$5,'Time Off Log'!$J$5:$J$504,"&gt;="&amp;D$5,'Time Off Log'!$B$5:$B$504,"Sick",'Time Off Log'!$E$5:$E$504,"Approved")&gt;0,"S",IF(COUNTIFS('Time Off Log'!$A$5:$A$504,$B30,'Time Off Log'!$C$5:$C$504,"&lt;="&amp;D$5,'Time Off Log'!$J$5:$J$504,"&gt;="&amp;D$5,'Time Off Log'!$E$5:$E$504,"Approved")&gt;0,"U",IF(COUNTIFS('Time Off Log'!$A$5:$A$504,$B30,'Time Off Log'!$C$5:$C$504,"&lt;="&amp;D$5,'Time Off Log'!$J$5:$J$504,"&gt;="&amp;D$5,'Time Off Log'!$E$5:$E$504,"Pending")&gt;0,"?",""))))))</f>
        <v/>
      </c>
      <c r="E30" s="44">
        <f>IF(OR(E$5="",$B30=""),"",IF(OR(WEEKDAY(E$5,2)&gt;5,COUNTIF(Holidays!$A$5:$A$40,E$5)&gt;0),"",IF(COUNTIFS('Time Off Log'!$A$5:$A$504,$B30,'Time Off Log'!$C$5:$C$504,"&lt;="&amp;E$5,'Time Off Log'!$J$5:$J$504,"&gt;="&amp;E$5,'Time Off Log'!$B$5:$B$504,"PTO",'Time Off Log'!$E$5:$E$504,"Approved")&gt;0,"P",IF(COUNTIFS('Time Off Log'!$A$5:$A$504,$B30,'Time Off Log'!$C$5:$C$504,"&lt;="&amp;E$5,'Time Off Log'!$J$5:$J$504,"&gt;="&amp;E$5,'Time Off Log'!$B$5:$B$504,"Sick",'Time Off Log'!$E$5:$E$504,"Approved")&gt;0,"S",IF(COUNTIFS('Time Off Log'!$A$5:$A$504,$B30,'Time Off Log'!$C$5:$C$504,"&lt;="&amp;E$5,'Time Off Log'!$J$5:$J$504,"&gt;="&amp;E$5,'Time Off Log'!$E$5:$E$504,"Approved")&gt;0,"U",IF(COUNTIFS('Time Off Log'!$A$5:$A$504,$B30,'Time Off Log'!$C$5:$C$504,"&lt;="&amp;E$5,'Time Off Log'!$J$5:$J$504,"&gt;="&amp;E$5,'Time Off Log'!$E$5:$E$504,"Pending")&gt;0,"?",""))))))</f>
        <v/>
      </c>
      <c r="F30" s="44">
        <f>IF(OR(F$5="",$B30=""),"",IF(OR(WEEKDAY(F$5,2)&gt;5,COUNTIF(Holidays!$A$5:$A$40,F$5)&gt;0),"",IF(COUNTIFS('Time Off Log'!$A$5:$A$504,$B30,'Time Off Log'!$C$5:$C$504,"&lt;="&amp;F$5,'Time Off Log'!$J$5:$J$504,"&gt;="&amp;F$5,'Time Off Log'!$B$5:$B$504,"PTO",'Time Off Log'!$E$5:$E$504,"Approved")&gt;0,"P",IF(COUNTIFS('Time Off Log'!$A$5:$A$504,$B30,'Time Off Log'!$C$5:$C$504,"&lt;="&amp;F$5,'Time Off Log'!$J$5:$J$504,"&gt;="&amp;F$5,'Time Off Log'!$B$5:$B$504,"Sick",'Time Off Log'!$E$5:$E$504,"Approved")&gt;0,"S",IF(COUNTIFS('Time Off Log'!$A$5:$A$504,$B30,'Time Off Log'!$C$5:$C$504,"&lt;="&amp;F$5,'Time Off Log'!$J$5:$J$504,"&gt;="&amp;F$5,'Time Off Log'!$E$5:$E$504,"Approved")&gt;0,"U",IF(COUNTIFS('Time Off Log'!$A$5:$A$504,$B30,'Time Off Log'!$C$5:$C$504,"&lt;="&amp;F$5,'Time Off Log'!$J$5:$J$504,"&gt;="&amp;F$5,'Time Off Log'!$E$5:$E$504,"Pending")&gt;0,"?",""))))))</f>
        <v/>
      </c>
      <c r="G30" s="44">
        <f>IF(OR(G$5="",$B30=""),"",IF(OR(WEEKDAY(G$5,2)&gt;5,COUNTIF(Holidays!$A$5:$A$40,G$5)&gt;0),"",IF(COUNTIFS('Time Off Log'!$A$5:$A$504,$B30,'Time Off Log'!$C$5:$C$504,"&lt;="&amp;G$5,'Time Off Log'!$J$5:$J$504,"&gt;="&amp;G$5,'Time Off Log'!$B$5:$B$504,"PTO",'Time Off Log'!$E$5:$E$504,"Approved")&gt;0,"P",IF(COUNTIFS('Time Off Log'!$A$5:$A$504,$B30,'Time Off Log'!$C$5:$C$504,"&lt;="&amp;G$5,'Time Off Log'!$J$5:$J$504,"&gt;="&amp;G$5,'Time Off Log'!$B$5:$B$504,"Sick",'Time Off Log'!$E$5:$E$504,"Approved")&gt;0,"S",IF(COUNTIFS('Time Off Log'!$A$5:$A$504,$B30,'Time Off Log'!$C$5:$C$504,"&lt;="&amp;G$5,'Time Off Log'!$J$5:$J$504,"&gt;="&amp;G$5,'Time Off Log'!$E$5:$E$504,"Approved")&gt;0,"U",IF(COUNTIFS('Time Off Log'!$A$5:$A$504,$B30,'Time Off Log'!$C$5:$C$504,"&lt;="&amp;G$5,'Time Off Log'!$J$5:$J$504,"&gt;="&amp;G$5,'Time Off Log'!$E$5:$E$504,"Pending")&gt;0,"?",""))))))</f>
        <v/>
      </c>
      <c r="H30" s="44">
        <f>IF(OR(H$5="",$B30=""),"",IF(OR(WEEKDAY(H$5,2)&gt;5,COUNTIF(Holidays!$A$5:$A$40,H$5)&gt;0),"",IF(COUNTIFS('Time Off Log'!$A$5:$A$504,$B30,'Time Off Log'!$C$5:$C$504,"&lt;="&amp;H$5,'Time Off Log'!$J$5:$J$504,"&gt;="&amp;H$5,'Time Off Log'!$B$5:$B$504,"PTO",'Time Off Log'!$E$5:$E$504,"Approved")&gt;0,"P",IF(COUNTIFS('Time Off Log'!$A$5:$A$504,$B30,'Time Off Log'!$C$5:$C$504,"&lt;="&amp;H$5,'Time Off Log'!$J$5:$J$504,"&gt;="&amp;H$5,'Time Off Log'!$B$5:$B$504,"Sick",'Time Off Log'!$E$5:$E$504,"Approved")&gt;0,"S",IF(COUNTIFS('Time Off Log'!$A$5:$A$504,$B30,'Time Off Log'!$C$5:$C$504,"&lt;="&amp;H$5,'Time Off Log'!$J$5:$J$504,"&gt;="&amp;H$5,'Time Off Log'!$E$5:$E$504,"Approved")&gt;0,"U",IF(COUNTIFS('Time Off Log'!$A$5:$A$504,$B30,'Time Off Log'!$C$5:$C$504,"&lt;="&amp;H$5,'Time Off Log'!$J$5:$J$504,"&gt;="&amp;H$5,'Time Off Log'!$E$5:$E$504,"Pending")&gt;0,"?",""))))))</f>
        <v/>
      </c>
      <c r="I30" s="44">
        <f>IF(OR(I$5="",$B30=""),"",IF(OR(WEEKDAY(I$5,2)&gt;5,COUNTIF(Holidays!$A$5:$A$40,I$5)&gt;0),"",IF(COUNTIFS('Time Off Log'!$A$5:$A$504,$B30,'Time Off Log'!$C$5:$C$504,"&lt;="&amp;I$5,'Time Off Log'!$J$5:$J$504,"&gt;="&amp;I$5,'Time Off Log'!$B$5:$B$504,"PTO",'Time Off Log'!$E$5:$E$504,"Approved")&gt;0,"P",IF(COUNTIFS('Time Off Log'!$A$5:$A$504,$B30,'Time Off Log'!$C$5:$C$504,"&lt;="&amp;I$5,'Time Off Log'!$J$5:$J$504,"&gt;="&amp;I$5,'Time Off Log'!$B$5:$B$504,"Sick",'Time Off Log'!$E$5:$E$504,"Approved")&gt;0,"S",IF(COUNTIFS('Time Off Log'!$A$5:$A$504,$B30,'Time Off Log'!$C$5:$C$504,"&lt;="&amp;I$5,'Time Off Log'!$J$5:$J$504,"&gt;="&amp;I$5,'Time Off Log'!$E$5:$E$504,"Approved")&gt;0,"U",IF(COUNTIFS('Time Off Log'!$A$5:$A$504,$B30,'Time Off Log'!$C$5:$C$504,"&lt;="&amp;I$5,'Time Off Log'!$J$5:$J$504,"&gt;="&amp;I$5,'Time Off Log'!$E$5:$E$504,"Pending")&gt;0,"?",""))))))</f>
        <v/>
      </c>
      <c r="J30" s="44">
        <f>IF(OR(J$5="",$B30=""),"",IF(OR(WEEKDAY(J$5,2)&gt;5,COUNTIF(Holidays!$A$5:$A$40,J$5)&gt;0),"",IF(COUNTIFS('Time Off Log'!$A$5:$A$504,$B30,'Time Off Log'!$C$5:$C$504,"&lt;="&amp;J$5,'Time Off Log'!$J$5:$J$504,"&gt;="&amp;J$5,'Time Off Log'!$B$5:$B$504,"PTO",'Time Off Log'!$E$5:$E$504,"Approved")&gt;0,"P",IF(COUNTIFS('Time Off Log'!$A$5:$A$504,$B30,'Time Off Log'!$C$5:$C$504,"&lt;="&amp;J$5,'Time Off Log'!$J$5:$J$504,"&gt;="&amp;J$5,'Time Off Log'!$B$5:$B$504,"Sick",'Time Off Log'!$E$5:$E$504,"Approved")&gt;0,"S",IF(COUNTIFS('Time Off Log'!$A$5:$A$504,$B30,'Time Off Log'!$C$5:$C$504,"&lt;="&amp;J$5,'Time Off Log'!$J$5:$J$504,"&gt;="&amp;J$5,'Time Off Log'!$E$5:$E$504,"Approved")&gt;0,"U",IF(COUNTIFS('Time Off Log'!$A$5:$A$504,$B30,'Time Off Log'!$C$5:$C$504,"&lt;="&amp;J$5,'Time Off Log'!$J$5:$J$504,"&gt;="&amp;J$5,'Time Off Log'!$E$5:$E$504,"Pending")&gt;0,"?",""))))))</f>
        <v/>
      </c>
      <c r="K30" s="44">
        <f>IF(OR(K$5="",$B30=""),"",IF(OR(WEEKDAY(K$5,2)&gt;5,COUNTIF(Holidays!$A$5:$A$40,K$5)&gt;0),"",IF(COUNTIFS('Time Off Log'!$A$5:$A$504,$B30,'Time Off Log'!$C$5:$C$504,"&lt;="&amp;K$5,'Time Off Log'!$J$5:$J$504,"&gt;="&amp;K$5,'Time Off Log'!$B$5:$B$504,"PTO",'Time Off Log'!$E$5:$E$504,"Approved")&gt;0,"P",IF(COUNTIFS('Time Off Log'!$A$5:$A$504,$B30,'Time Off Log'!$C$5:$C$504,"&lt;="&amp;K$5,'Time Off Log'!$J$5:$J$504,"&gt;="&amp;K$5,'Time Off Log'!$B$5:$B$504,"Sick",'Time Off Log'!$E$5:$E$504,"Approved")&gt;0,"S",IF(COUNTIFS('Time Off Log'!$A$5:$A$504,$B30,'Time Off Log'!$C$5:$C$504,"&lt;="&amp;K$5,'Time Off Log'!$J$5:$J$504,"&gt;="&amp;K$5,'Time Off Log'!$E$5:$E$504,"Approved")&gt;0,"U",IF(COUNTIFS('Time Off Log'!$A$5:$A$504,$B30,'Time Off Log'!$C$5:$C$504,"&lt;="&amp;K$5,'Time Off Log'!$J$5:$J$504,"&gt;="&amp;K$5,'Time Off Log'!$E$5:$E$504,"Pending")&gt;0,"?",""))))))</f>
        <v/>
      </c>
      <c r="L30" s="44">
        <f>IF(OR(L$5="",$B30=""),"",IF(OR(WEEKDAY(L$5,2)&gt;5,COUNTIF(Holidays!$A$5:$A$40,L$5)&gt;0),"",IF(COUNTIFS('Time Off Log'!$A$5:$A$504,$B30,'Time Off Log'!$C$5:$C$504,"&lt;="&amp;L$5,'Time Off Log'!$J$5:$J$504,"&gt;="&amp;L$5,'Time Off Log'!$B$5:$B$504,"PTO",'Time Off Log'!$E$5:$E$504,"Approved")&gt;0,"P",IF(COUNTIFS('Time Off Log'!$A$5:$A$504,$B30,'Time Off Log'!$C$5:$C$504,"&lt;="&amp;L$5,'Time Off Log'!$J$5:$J$504,"&gt;="&amp;L$5,'Time Off Log'!$B$5:$B$504,"Sick",'Time Off Log'!$E$5:$E$504,"Approved")&gt;0,"S",IF(COUNTIFS('Time Off Log'!$A$5:$A$504,$B30,'Time Off Log'!$C$5:$C$504,"&lt;="&amp;L$5,'Time Off Log'!$J$5:$J$504,"&gt;="&amp;L$5,'Time Off Log'!$E$5:$E$504,"Approved")&gt;0,"U",IF(COUNTIFS('Time Off Log'!$A$5:$A$504,$B30,'Time Off Log'!$C$5:$C$504,"&lt;="&amp;L$5,'Time Off Log'!$J$5:$J$504,"&gt;="&amp;L$5,'Time Off Log'!$E$5:$E$504,"Pending")&gt;0,"?",""))))))</f>
        <v/>
      </c>
      <c r="M30" s="44">
        <f>IF(OR(M$5="",$B30=""),"",IF(OR(WEEKDAY(M$5,2)&gt;5,COUNTIF(Holidays!$A$5:$A$40,M$5)&gt;0),"",IF(COUNTIFS('Time Off Log'!$A$5:$A$504,$B30,'Time Off Log'!$C$5:$C$504,"&lt;="&amp;M$5,'Time Off Log'!$J$5:$J$504,"&gt;="&amp;M$5,'Time Off Log'!$B$5:$B$504,"PTO",'Time Off Log'!$E$5:$E$504,"Approved")&gt;0,"P",IF(COUNTIFS('Time Off Log'!$A$5:$A$504,$B30,'Time Off Log'!$C$5:$C$504,"&lt;="&amp;M$5,'Time Off Log'!$J$5:$J$504,"&gt;="&amp;M$5,'Time Off Log'!$B$5:$B$504,"Sick",'Time Off Log'!$E$5:$E$504,"Approved")&gt;0,"S",IF(COUNTIFS('Time Off Log'!$A$5:$A$504,$B30,'Time Off Log'!$C$5:$C$504,"&lt;="&amp;M$5,'Time Off Log'!$J$5:$J$504,"&gt;="&amp;M$5,'Time Off Log'!$E$5:$E$504,"Approved")&gt;0,"U",IF(COUNTIFS('Time Off Log'!$A$5:$A$504,$B30,'Time Off Log'!$C$5:$C$504,"&lt;="&amp;M$5,'Time Off Log'!$J$5:$J$504,"&gt;="&amp;M$5,'Time Off Log'!$E$5:$E$504,"Pending")&gt;0,"?",""))))))</f>
        <v/>
      </c>
      <c r="N30" s="44">
        <f>IF(OR(N$5="",$B30=""),"",IF(OR(WEEKDAY(N$5,2)&gt;5,COUNTIF(Holidays!$A$5:$A$40,N$5)&gt;0),"",IF(COUNTIFS('Time Off Log'!$A$5:$A$504,$B30,'Time Off Log'!$C$5:$C$504,"&lt;="&amp;N$5,'Time Off Log'!$J$5:$J$504,"&gt;="&amp;N$5,'Time Off Log'!$B$5:$B$504,"PTO",'Time Off Log'!$E$5:$E$504,"Approved")&gt;0,"P",IF(COUNTIFS('Time Off Log'!$A$5:$A$504,$B30,'Time Off Log'!$C$5:$C$504,"&lt;="&amp;N$5,'Time Off Log'!$J$5:$J$504,"&gt;="&amp;N$5,'Time Off Log'!$B$5:$B$504,"Sick",'Time Off Log'!$E$5:$E$504,"Approved")&gt;0,"S",IF(COUNTIFS('Time Off Log'!$A$5:$A$504,$B30,'Time Off Log'!$C$5:$C$504,"&lt;="&amp;N$5,'Time Off Log'!$J$5:$J$504,"&gt;="&amp;N$5,'Time Off Log'!$E$5:$E$504,"Approved")&gt;0,"U",IF(COUNTIFS('Time Off Log'!$A$5:$A$504,$B30,'Time Off Log'!$C$5:$C$504,"&lt;="&amp;N$5,'Time Off Log'!$J$5:$J$504,"&gt;="&amp;N$5,'Time Off Log'!$E$5:$E$504,"Pending")&gt;0,"?",""))))))</f>
        <v/>
      </c>
      <c r="O30" s="44">
        <f>IF(OR(O$5="",$B30=""),"",IF(OR(WEEKDAY(O$5,2)&gt;5,COUNTIF(Holidays!$A$5:$A$40,O$5)&gt;0),"",IF(COUNTIFS('Time Off Log'!$A$5:$A$504,$B30,'Time Off Log'!$C$5:$C$504,"&lt;="&amp;O$5,'Time Off Log'!$J$5:$J$504,"&gt;="&amp;O$5,'Time Off Log'!$B$5:$B$504,"PTO",'Time Off Log'!$E$5:$E$504,"Approved")&gt;0,"P",IF(COUNTIFS('Time Off Log'!$A$5:$A$504,$B30,'Time Off Log'!$C$5:$C$504,"&lt;="&amp;O$5,'Time Off Log'!$J$5:$J$504,"&gt;="&amp;O$5,'Time Off Log'!$B$5:$B$504,"Sick",'Time Off Log'!$E$5:$E$504,"Approved")&gt;0,"S",IF(COUNTIFS('Time Off Log'!$A$5:$A$504,$B30,'Time Off Log'!$C$5:$C$504,"&lt;="&amp;O$5,'Time Off Log'!$J$5:$J$504,"&gt;="&amp;O$5,'Time Off Log'!$E$5:$E$504,"Approved")&gt;0,"U",IF(COUNTIFS('Time Off Log'!$A$5:$A$504,$B30,'Time Off Log'!$C$5:$C$504,"&lt;="&amp;O$5,'Time Off Log'!$J$5:$J$504,"&gt;="&amp;O$5,'Time Off Log'!$E$5:$E$504,"Pending")&gt;0,"?",""))))))</f>
        <v/>
      </c>
      <c r="P30" s="44">
        <f>IF(OR(P$5="",$B30=""),"",IF(OR(WEEKDAY(P$5,2)&gt;5,COUNTIF(Holidays!$A$5:$A$40,P$5)&gt;0),"",IF(COUNTIFS('Time Off Log'!$A$5:$A$504,$B30,'Time Off Log'!$C$5:$C$504,"&lt;="&amp;P$5,'Time Off Log'!$J$5:$J$504,"&gt;="&amp;P$5,'Time Off Log'!$B$5:$B$504,"PTO",'Time Off Log'!$E$5:$E$504,"Approved")&gt;0,"P",IF(COUNTIFS('Time Off Log'!$A$5:$A$504,$B30,'Time Off Log'!$C$5:$C$504,"&lt;="&amp;P$5,'Time Off Log'!$J$5:$J$504,"&gt;="&amp;P$5,'Time Off Log'!$B$5:$B$504,"Sick",'Time Off Log'!$E$5:$E$504,"Approved")&gt;0,"S",IF(COUNTIFS('Time Off Log'!$A$5:$A$504,$B30,'Time Off Log'!$C$5:$C$504,"&lt;="&amp;P$5,'Time Off Log'!$J$5:$J$504,"&gt;="&amp;P$5,'Time Off Log'!$E$5:$E$504,"Approved")&gt;0,"U",IF(COUNTIFS('Time Off Log'!$A$5:$A$504,$B30,'Time Off Log'!$C$5:$C$504,"&lt;="&amp;P$5,'Time Off Log'!$J$5:$J$504,"&gt;="&amp;P$5,'Time Off Log'!$E$5:$E$504,"Pending")&gt;0,"?",""))))))</f>
        <v/>
      </c>
      <c r="Q30" s="44">
        <f>IF(OR(Q$5="",$B30=""),"",IF(OR(WEEKDAY(Q$5,2)&gt;5,COUNTIF(Holidays!$A$5:$A$40,Q$5)&gt;0),"",IF(COUNTIFS('Time Off Log'!$A$5:$A$504,$B30,'Time Off Log'!$C$5:$C$504,"&lt;="&amp;Q$5,'Time Off Log'!$J$5:$J$504,"&gt;="&amp;Q$5,'Time Off Log'!$B$5:$B$504,"PTO",'Time Off Log'!$E$5:$E$504,"Approved")&gt;0,"P",IF(COUNTIFS('Time Off Log'!$A$5:$A$504,$B30,'Time Off Log'!$C$5:$C$504,"&lt;="&amp;Q$5,'Time Off Log'!$J$5:$J$504,"&gt;="&amp;Q$5,'Time Off Log'!$B$5:$B$504,"Sick",'Time Off Log'!$E$5:$E$504,"Approved")&gt;0,"S",IF(COUNTIFS('Time Off Log'!$A$5:$A$504,$B30,'Time Off Log'!$C$5:$C$504,"&lt;="&amp;Q$5,'Time Off Log'!$J$5:$J$504,"&gt;="&amp;Q$5,'Time Off Log'!$E$5:$E$504,"Approved")&gt;0,"U",IF(COUNTIFS('Time Off Log'!$A$5:$A$504,$B30,'Time Off Log'!$C$5:$C$504,"&lt;="&amp;Q$5,'Time Off Log'!$J$5:$J$504,"&gt;="&amp;Q$5,'Time Off Log'!$E$5:$E$504,"Pending")&gt;0,"?",""))))))</f>
        <v/>
      </c>
      <c r="R30" s="44">
        <f>IF(OR(R$5="",$B30=""),"",IF(OR(WEEKDAY(R$5,2)&gt;5,COUNTIF(Holidays!$A$5:$A$40,R$5)&gt;0),"",IF(COUNTIFS('Time Off Log'!$A$5:$A$504,$B30,'Time Off Log'!$C$5:$C$504,"&lt;="&amp;R$5,'Time Off Log'!$J$5:$J$504,"&gt;="&amp;R$5,'Time Off Log'!$B$5:$B$504,"PTO",'Time Off Log'!$E$5:$E$504,"Approved")&gt;0,"P",IF(COUNTIFS('Time Off Log'!$A$5:$A$504,$B30,'Time Off Log'!$C$5:$C$504,"&lt;="&amp;R$5,'Time Off Log'!$J$5:$J$504,"&gt;="&amp;R$5,'Time Off Log'!$B$5:$B$504,"Sick",'Time Off Log'!$E$5:$E$504,"Approved")&gt;0,"S",IF(COUNTIFS('Time Off Log'!$A$5:$A$504,$B30,'Time Off Log'!$C$5:$C$504,"&lt;="&amp;R$5,'Time Off Log'!$J$5:$J$504,"&gt;="&amp;R$5,'Time Off Log'!$E$5:$E$504,"Approved")&gt;0,"U",IF(COUNTIFS('Time Off Log'!$A$5:$A$504,$B30,'Time Off Log'!$C$5:$C$504,"&lt;="&amp;R$5,'Time Off Log'!$J$5:$J$504,"&gt;="&amp;R$5,'Time Off Log'!$E$5:$E$504,"Pending")&gt;0,"?",""))))))</f>
        <v/>
      </c>
      <c r="S30" s="44">
        <f>IF(OR(S$5="",$B30=""),"",IF(OR(WEEKDAY(S$5,2)&gt;5,COUNTIF(Holidays!$A$5:$A$40,S$5)&gt;0),"",IF(COUNTIFS('Time Off Log'!$A$5:$A$504,$B30,'Time Off Log'!$C$5:$C$504,"&lt;="&amp;S$5,'Time Off Log'!$J$5:$J$504,"&gt;="&amp;S$5,'Time Off Log'!$B$5:$B$504,"PTO",'Time Off Log'!$E$5:$E$504,"Approved")&gt;0,"P",IF(COUNTIFS('Time Off Log'!$A$5:$A$504,$B30,'Time Off Log'!$C$5:$C$504,"&lt;="&amp;S$5,'Time Off Log'!$J$5:$J$504,"&gt;="&amp;S$5,'Time Off Log'!$B$5:$B$504,"Sick",'Time Off Log'!$E$5:$E$504,"Approved")&gt;0,"S",IF(COUNTIFS('Time Off Log'!$A$5:$A$504,$B30,'Time Off Log'!$C$5:$C$504,"&lt;="&amp;S$5,'Time Off Log'!$J$5:$J$504,"&gt;="&amp;S$5,'Time Off Log'!$E$5:$E$504,"Approved")&gt;0,"U",IF(COUNTIFS('Time Off Log'!$A$5:$A$504,$B30,'Time Off Log'!$C$5:$C$504,"&lt;="&amp;S$5,'Time Off Log'!$J$5:$J$504,"&gt;="&amp;S$5,'Time Off Log'!$E$5:$E$504,"Pending")&gt;0,"?",""))))))</f>
        <v/>
      </c>
      <c r="T30" s="44">
        <f>IF(OR(T$5="",$B30=""),"",IF(OR(WEEKDAY(T$5,2)&gt;5,COUNTIF(Holidays!$A$5:$A$40,T$5)&gt;0),"",IF(COUNTIFS('Time Off Log'!$A$5:$A$504,$B30,'Time Off Log'!$C$5:$C$504,"&lt;="&amp;T$5,'Time Off Log'!$J$5:$J$504,"&gt;="&amp;T$5,'Time Off Log'!$B$5:$B$504,"PTO",'Time Off Log'!$E$5:$E$504,"Approved")&gt;0,"P",IF(COUNTIFS('Time Off Log'!$A$5:$A$504,$B30,'Time Off Log'!$C$5:$C$504,"&lt;="&amp;T$5,'Time Off Log'!$J$5:$J$504,"&gt;="&amp;T$5,'Time Off Log'!$B$5:$B$504,"Sick",'Time Off Log'!$E$5:$E$504,"Approved")&gt;0,"S",IF(COUNTIFS('Time Off Log'!$A$5:$A$504,$B30,'Time Off Log'!$C$5:$C$504,"&lt;="&amp;T$5,'Time Off Log'!$J$5:$J$504,"&gt;="&amp;T$5,'Time Off Log'!$E$5:$E$504,"Approved")&gt;0,"U",IF(COUNTIFS('Time Off Log'!$A$5:$A$504,$B30,'Time Off Log'!$C$5:$C$504,"&lt;="&amp;T$5,'Time Off Log'!$J$5:$J$504,"&gt;="&amp;T$5,'Time Off Log'!$E$5:$E$504,"Pending")&gt;0,"?",""))))))</f>
        <v/>
      </c>
      <c r="U30" s="44">
        <f>IF(OR(U$5="",$B30=""),"",IF(OR(WEEKDAY(U$5,2)&gt;5,COUNTIF(Holidays!$A$5:$A$40,U$5)&gt;0),"",IF(COUNTIFS('Time Off Log'!$A$5:$A$504,$B30,'Time Off Log'!$C$5:$C$504,"&lt;="&amp;U$5,'Time Off Log'!$J$5:$J$504,"&gt;="&amp;U$5,'Time Off Log'!$B$5:$B$504,"PTO",'Time Off Log'!$E$5:$E$504,"Approved")&gt;0,"P",IF(COUNTIFS('Time Off Log'!$A$5:$A$504,$B30,'Time Off Log'!$C$5:$C$504,"&lt;="&amp;U$5,'Time Off Log'!$J$5:$J$504,"&gt;="&amp;U$5,'Time Off Log'!$B$5:$B$504,"Sick",'Time Off Log'!$E$5:$E$504,"Approved")&gt;0,"S",IF(COUNTIFS('Time Off Log'!$A$5:$A$504,$B30,'Time Off Log'!$C$5:$C$504,"&lt;="&amp;U$5,'Time Off Log'!$J$5:$J$504,"&gt;="&amp;U$5,'Time Off Log'!$E$5:$E$504,"Approved")&gt;0,"U",IF(COUNTIFS('Time Off Log'!$A$5:$A$504,$B30,'Time Off Log'!$C$5:$C$504,"&lt;="&amp;U$5,'Time Off Log'!$J$5:$J$504,"&gt;="&amp;U$5,'Time Off Log'!$E$5:$E$504,"Pending")&gt;0,"?",""))))))</f>
        <v/>
      </c>
      <c r="V30" s="44">
        <f>IF(OR(V$5="",$B30=""),"",IF(OR(WEEKDAY(V$5,2)&gt;5,COUNTIF(Holidays!$A$5:$A$40,V$5)&gt;0),"",IF(COUNTIFS('Time Off Log'!$A$5:$A$504,$B30,'Time Off Log'!$C$5:$C$504,"&lt;="&amp;V$5,'Time Off Log'!$J$5:$J$504,"&gt;="&amp;V$5,'Time Off Log'!$B$5:$B$504,"PTO",'Time Off Log'!$E$5:$E$504,"Approved")&gt;0,"P",IF(COUNTIFS('Time Off Log'!$A$5:$A$504,$B30,'Time Off Log'!$C$5:$C$504,"&lt;="&amp;V$5,'Time Off Log'!$J$5:$J$504,"&gt;="&amp;V$5,'Time Off Log'!$B$5:$B$504,"Sick",'Time Off Log'!$E$5:$E$504,"Approved")&gt;0,"S",IF(COUNTIFS('Time Off Log'!$A$5:$A$504,$B30,'Time Off Log'!$C$5:$C$504,"&lt;="&amp;V$5,'Time Off Log'!$J$5:$J$504,"&gt;="&amp;V$5,'Time Off Log'!$E$5:$E$504,"Approved")&gt;0,"U",IF(COUNTIFS('Time Off Log'!$A$5:$A$504,$B30,'Time Off Log'!$C$5:$C$504,"&lt;="&amp;V$5,'Time Off Log'!$J$5:$J$504,"&gt;="&amp;V$5,'Time Off Log'!$E$5:$E$504,"Pending")&gt;0,"?",""))))))</f>
        <v/>
      </c>
      <c r="W30" s="44">
        <f>IF(OR(W$5="",$B30=""),"",IF(OR(WEEKDAY(W$5,2)&gt;5,COUNTIF(Holidays!$A$5:$A$40,W$5)&gt;0),"",IF(COUNTIFS('Time Off Log'!$A$5:$A$504,$B30,'Time Off Log'!$C$5:$C$504,"&lt;="&amp;W$5,'Time Off Log'!$J$5:$J$504,"&gt;="&amp;W$5,'Time Off Log'!$B$5:$B$504,"PTO",'Time Off Log'!$E$5:$E$504,"Approved")&gt;0,"P",IF(COUNTIFS('Time Off Log'!$A$5:$A$504,$B30,'Time Off Log'!$C$5:$C$504,"&lt;="&amp;W$5,'Time Off Log'!$J$5:$J$504,"&gt;="&amp;W$5,'Time Off Log'!$B$5:$B$504,"Sick",'Time Off Log'!$E$5:$E$504,"Approved")&gt;0,"S",IF(COUNTIFS('Time Off Log'!$A$5:$A$504,$B30,'Time Off Log'!$C$5:$C$504,"&lt;="&amp;W$5,'Time Off Log'!$J$5:$J$504,"&gt;="&amp;W$5,'Time Off Log'!$E$5:$E$504,"Approved")&gt;0,"U",IF(COUNTIFS('Time Off Log'!$A$5:$A$504,$B30,'Time Off Log'!$C$5:$C$504,"&lt;="&amp;W$5,'Time Off Log'!$J$5:$J$504,"&gt;="&amp;W$5,'Time Off Log'!$E$5:$E$504,"Pending")&gt;0,"?",""))))))</f>
        <v/>
      </c>
      <c r="X30" s="44">
        <f>IF(OR(X$5="",$B30=""),"",IF(OR(WEEKDAY(X$5,2)&gt;5,COUNTIF(Holidays!$A$5:$A$40,X$5)&gt;0),"",IF(COUNTIFS('Time Off Log'!$A$5:$A$504,$B30,'Time Off Log'!$C$5:$C$504,"&lt;="&amp;X$5,'Time Off Log'!$J$5:$J$504,"&gt;="&amp;X$5,'Time Off Log'!$B$5:$B$504,"PTO",'Time Off Log'!$E$5:$E$504,"Approved")&gt;0,"P",IF(COUNTIFS('Time Off Log'!$A$5:$A$504,$B30,'Time Off Log'!$C$5:$C$504,"&lt;="&amp;X$5,'Time Off Log'!$J$5:$J$504,"&gt;="&amp;X$5,'Time Off Log'!$B$5:$B$504,"Sick",'Time Off Log'!$E$5:$E$504,"Approved")&gt;0,"S",IF(COUNTIFS('Time Off Log'!$A$5:$A$504,$B30,'Time Off Log'!$C$5:$C$504,"&lt;="&amp;X$5,'Time Off Log'!$J$5:$J$504,"&gt;="&amp;X$5,'Time Off Log'!$E$5:$E$504,"Approved")&gt;0,"U",IF(COUNTIFS('Time Off Log'!$A$5:$A$504,$B30,'Time Off Log'!$C$5:$C$504,"&lt;="&amp;X$5,'Time Off Log'!$J$5:$J$504,"&gt;="&amp;X$5,'Time Off Log'!$E$5:$E$504,"Pending")&gt;0,"?",""))))))</f>
        <v/>
      </c>
      <c r="Y30" s="44">
        <f>IF(OR(Y$5="",$B30=""),"",IF(OR(WEEKDAY(Y$5,2)&gt;5,COUNTIF(Holidays!$A$5:$A$40,Y$5)&gt;0),"",IF(COUNTIFS('Time Off Log'!$A$5:$A$504,$B30,'Time Off Log'!$C$5:$C$504,"&lt;="&amp;Y$5,'Time Off Log'!$J$5:$J$504,"&gt;="&amp;Y$5,'Time Off Log'!$B$5:$B$504,"PTO",'Time Off Log'!$E$5:$E$504,"Approved")&gt;0,"P",IF(COUNTIFS('Time Off Log'!$A$5:$A$504,$B30,'Time Off Log'!$C$5:$C$504,"&lt;="&amp;Y$5,'Time Off Log'!$J$5:$J$504,"&gt;="&amp;Y$5,'Time Off Log'!$B$5:$B$504,"Sick",'Time Off Log'!$E$5:$E$504,"Approved")&gt;0,"S",IF(COUNTIFS('Time Off Log'!$A$5:$A$504,$B30,'Time Off Log'!$C$5:$C$504,"&lt;="&amp;Y$5,'Time Off Log'!$J$5:$J$504,"&gt;="&amp;Y$5,'Time Off Log'!$E$5:$E$504,"Approved")&gt;0,"U",IF(COUNTIFS('Time Off Log'!$A$5:$A$504,$B30,'Time Off Log'!$C$5:$C$504,"&lt;="&amp;Y$5,'Time Off Log'!$J$5:$J$504,"&gt;="&amp;Y$5,'Time Off Log'!$E$5:$E$504,"Pending")&gt;0,"?",""))))))</f>
        <v/>
      </c>
      <c r="Z30" s="44">
        <f>IF(OR(Z$5="",$B30=""),"",IF(OR(WEEKDAY(Z$5,2)&gt;5,COUNTIF(Holidays!$A$5:$A$40,Z$5)&gt;0),"",IF(COUNTIFS('Time Off Log'!$A$5:$A$504,$B30,'Time Off Log'!$C$5:$C$504,"&lt;="&amp;Z$5,'Time Off Log'!$J$5:$J$504,"&gt;="&amp;Z$5,'Time Off Log'!$B$5:$B$504,"PTO",'Time Off Log'!$E$5:$E$504,"Approved")&gt;0,"P",IF(COUNTIFS('Time Off Log'!$A$5:$A$504,$B30,'Time Off Log'!$C$5:$C$504,"&lt;="&amp;Z$5,'Time Off Log'!$J$5:$J$504,"&gt;="&amp;Z$5,'Time Off Log'!$B$5:$B$504,"Sick",'Time Off Log'!$E$5:$E$504,"Approved")&gt;0,"S",IF(COUNTIFS('Time Off Log'!$A$5:$A$504,$B30,'Time Off Log'!$C$5:$C$504,"&lt;="&amp;Z$5,'Time Off Log'!$J$5:$J$504,"&gt;="&amp;Z$5,'Time Off Log'!$E$5:$E$504,"Approved")&gt;0,"U",IF(COUNTIFS('Time Off Log'!$A$5:$A$504,$B30,'Time Off Log'!$C$5:$C$504,"&lt;="&amp;Z$5,'Time Off Log'!$J$5:$J$504,"&gt;="&amp;Z$5,'Time Off Log'!$E$5:$E$504,"Pending")&gt;0,"?",""))))))</f>
        <v/>
      </c>
      <c r="AA30" s="44">
        <f>IF(OR(AA$5="",$B30=""),"",IF(OR(WEEKDAY(AA$5,2)&gt;5,COUNTIF(Holidays!$A$5:$A$40,AA$5)&gt;0),"",IF(COUNTIFS('Time Off Log'!$A$5:$A$504,$B30,'Time Off Log'!$C$5:$C$504,"&lt;="&amp;AA$5,'Time Off Log'!$J$5:$J$504,"&gt;="&amp;AA$5,'Time Off Log'!$B$5:$B$504,"PTO",'Time Off Log'!$E$5:$E$504,"Approved")&gt;0,"P",IF(COUNTIFS('Time Off Log'!$A$5:$A$504,$B30,'Time Off Log'!$C$5:$C$504,"&lt;="&amp;AA$5,'Time Off Log'!$J$5:$J$504,"&gt;="&amp;AA$5,'Time Off Log'!$B$5:$B$504,"Sick",'Time Off Log'!$E$5:$E$504,"Approved")&gt;0,"S",IF(COUNTIFS('Time Off Log'!$A$5:$A$504,$B30,'Time Off Log'!$C$5:$C$504,"&lt;="&amp;AA$5,'Time Off Log'!$J$5:$J$504,"&gt;="&amp;AA$5,'Time Off Log'!$E$5:$E$504,"Approved")&gt;0,"U",IF(COUNTIFS('Time Off Log'!$A$5:$A$504,$B30,'Time Off Log'!$C$5:$C$504,"&lt;="&amp;AA$5,'Time Off Log'!$J$5:$J$504,"&gt;="&amp;AA$5,'Time Off Log'!$E$5:$E$504,"Pending")&gt;0,"?",""))))))</f>
        <v/>
      </c>
      <c r="AB30" s="44">
        <f>IF(OR(AB$5="",$B30=""),"",IF(OR(WEEKDAY(AB$5,2)&gt;5,COUNTIF(Holidays!$A$5:$A$40,AB$5)&gt;0),"",IF(COUNTIFS('Time Off Log'!$A$5:$A$504,$B30,'Time Off Log'!$C$5:$C$504,"&lt;="&amp;AB$5,'Time Off Log'!$J$5:$J$504,"&gt;="&amp;AB$5,'Time Off Log'!$B$5:$B$504,"PTO",'Time Off Log'!$E$5:$E$504,"Approved")&gt;0,"P",IF(COUNTIFS('Time Off Log'!$A$5:$A$504,$B30,'Time Off Log'!$C$5:$C$504,"&lt;="&amp;AB$5,'Time Off Log'!$J$5:$J$504,"&gt;="&amp;AB$5,'Time Off Log'!$B$5:$B$504,"Sick",'Time Off Log'!$E$5:$E$504,"Approved")&gt;0,"S",IF(COUNTIFS('Time Off Log'!$A$5:$A$504,$B30,'Time Off Log'!$C$5:$C$504,"&lt;="&amp;AB$5,'Time Off Log'!$J$5:$J$504,"&gt;="&amp;AB$5,'Time Off Log'!$E$5:$E$504,"Approved")&gt;0,"U",IF(COUNTIFS('Time Off Log'!$A$5:$A$504,$B30,'Time Off Log'!$C$5:$C$504,"&lt;="&amp;AB$5,'Time Off Log'!$J$5:$J$504,"&gt;="&amp;AB$5,'Time Off Log'!$E$5:$E$504,"Pending")&gt;0,"?",""))))))</f>
        <v/>
      </c>
      <c r="AC30" s="44">
        <f>IF(OR(AC$5="",$B30=""),"",IF(OR(WEEKDAY(AC$5,2)&gt;5,COUNTIF(Holidays!$A$5:$A$40,AC$5)&gt;0),"",IF(COUNTIFS('Time Off Log'!$A$5:$A$504,$B30,'Time Off Log'!$C$5:$C$504,"&lt;="&amp;AC$5,'Time Off Log'!$J$5:$J$504,"&gt;="&amp;AC$5,'Time Off Log'!$B$5:$B$504,"PTO",'Time Off Log'!$E$5:$E$504,"Approved")&gt;0,"P",IF(COUNTIFS('Time Off Log'!$A$5:$A$504,$B30,'Time Off Log'!$C$5:$C$504,"&lt;="&amp;AC$5,'Time Off Log'!$J$5:$J$504,"&gt;="&amp;AC$5,'Time Off Log'!$B$5:$B$504,"Sick",'Time Off Log'!$E$5:$E$504,"Approved")&gt;0,"S",IF(COUNTIFS('Time Off Log'!$A$5:$A$504,$B30,'Time Off Log'!$C$5:$C$504,"&lt;="&amp;AC$5,'Time Off Log'!$J$5:$J$504,"&gt;="&amp;AC$5,'Time Off Log'!$E$5:$E$504,"Approved")&gt;0,"U",IF(COUNTIFS('Time Off Log'!$A$5:$A$504,$B30,'Time Off Log'!$C$5:$C$504,"&lt;="&amp;AC$5,'Time Off Log'!$J$5:$J$504,"&gt;="&amp;AC$5,'Time Off Log'!$E$5:$E$504,"Pending")&gt;0,"?",""))))))</f>
        <v/>
      </c>
      <c r="AD30" s="44">
        <f>IF(OR(AD$5="",$B30=""),"",IF(OR(WEEKDAY(AD$5,2)&gt;5,COUNTIF(Holidays!$A$5:$A$40,AD$5)&gt;0),"",IF(COUNTIFS('Time Off Log'!$A$5:$A$504,$B30,'Time Off Log'!$C$5:$C$504,"&lt;="&amp;AD$5,'Time Off Log'!$J$5:$J$504,"&gt;="&amp;AD$5,'Time Off Log'!$B$5:$B$504,"PTO",'Time Off Log'!$E$5:$E$504,"Approved")&gt;0,"P",IF(COUNTIFS('Time Off Log'!$A$5:$A$504,$B30,'Time Off Log'!$C$5:$C$504,"&lt;="&amp;AD$5,'Time Off Log'!$J$5:$J$504,"&gt;="&amp;AD$5,'Time Off Log'!$B$5:$B$504,"Sick",'Time Off Log'!$E$5:$E$504,"Approved")&gt;0,"S",IF(COUNTIFS('Time Off Log'!$A$5:$A$504,$B30,'Time Off Log'!$C$5:$C$504,"&lt;="&amp;AD$5,'Time Off Log'!$J$5:$J$504,"&gt;="&amp;AD$5,'Time Off Log'!$E$5:$E$504,"Approved")&gt;0,"U",IF(COUNTIFS('Time Off Log'!$A$5:$A$504,$B30,'Time Off Log'!$C$5:$C$504,"&lt;="&amp;AD$5,'Time Off Log'!$J$5:$J$504,"&gt;="&amp;AD$5,'Time Off Log'!$E$5:$E$504,"Pending")&gt;0,"?",""))))))</f>
        <v/>
      </c>
      <c r="AE30" s="44">
        <f>IF(OR(AE$5="",$B30=""),"",IF(OR(WEEKDAY(AE$5,2)&gt;5,COUNTIF(Holidays!$A$5:$A$40,AE$5)&gt;0),"",IF(COUNTIFS('Time Off Log'!$A$5:$A$504,$B30,'Time Off Log'!$C$5:$C$504,"&lt;="&amp;AE$5,'Time Off Log'!$J$5:$J$504,"&gt;="&amp;AE$5,'Time Off Log'!$B$5:$B$504,"PTO",'Time Off Log'!$E$5:$E$504,"Approved")&gt;0,"P",IF(COUNTIFS('Time Off Log'!$A$5:$A$504,$B30,'Time Off Log'!$C$5:$C$504,"&lt;="&amp;AE$5,'Time Off Log'!$J$5:$J$504,"&gt;="&amp;AE$5,'Time Off Log'!$B$5:$B$504,"Sick",'Time Off Log'!$E$5:$E$504,"Approved")&gt;0,"S",IF(COUNTIFS('Time Off Log'!$A$5:$A$504,$B30,'Time Off Log'!$C$5:$C$504,"&lt;="&amp;AE$5,'Time Off Log'!$J$5:$J$504,"&gt;="&amp;AE$5,'Time Off Log'!$E$5:$E$504,"Approved")&gt;0,"U",IF(COUNTIFS('Time Off Log'!$A$5:$A$504,$B30,'Time Off Log'!$C$5:$C$504,"&lt;="&amp;AE$5,'Time Off Log'!$J$5:$J$504,"&gt;="&amp;AE$5,'Time Off Log'!$E$5:$E$504,"Pending")&gt;0,"?",""))))))</f>
        <v/>
      </c>
      <c r="AF30" s="44">
        <f>IF(OR(AF$5="",$B30=""),"",IF(OR(WEEKDAY(AF$5,2)&gt;5,COUNTIF(Holidays!$A$5:$A$40,AF$5)&gt;0),"",IF(COUNTIFS('Time Off Log'!$A$5:$A$504,$B30,'Time Off Log'!$C$5:$C$504,"&lt;="&amp;AF$5,'Time Off Log'!$J$5:$J$504,"&gt;="&amp;AF$5,'Time Off Log'!$B$5:$B$504,"PTO",'Time Off Log'!$E$5:$E$504,"Approved")&gt;0,"P",IF(COUNTIFS('Time Off Log'!$A$5:$A$504,$B30,'Time Off Log'!$C$5:$C$504,"&lt;="&amp;AF$5,'Time Off Log'!$J$5:$J$504,"&gt;="&amp;AF$5,'Time Off Log'!$B$5:$B$504,"Sick",'Time Off Log'!$E$5:$E$504,"Approved")&gt;0,"S",IF(COUNTIFS('Time Off Log'!$A$5:$A$504,$B30,'Time Off Log'!$C$5:$C$504,"&lt;="&amp;AF$5,'Time Off Log'!$J$5:$J$504,"&gt;="&amp;AF$5,'Time Off Log'!$E$5:$E$504,"Approved")&gt;0,"U",IF(COUNTIFS('Time Off Log'!$A$5:$A$504,$B30,'Time Off Log'!$C$5:$C$504,"&lt;="&amp;AF$5,'Time Off Log'!$J$5:$J$504,"&gt;="&amp;AF$5,'Time Off Log'!$E$5:$E$504,"Pending")&gt;0,"?",""))))))</f>
        <v/>
      </c>
      <c r="AG30" s="44">
        <f>IF(OR(AG$5="",$B30=""),"",IF(OR(WEEKDAY(AG$5,2)&gt;5,COUNTIF(Holidays!$A$5:$A$40,AG$5)&gt;0),"",IF(COUNTIFS('Time Off Log'!$A$5:$A$504,$B30,'Time Off Log'!$C$5:$C$504,"&lt;="&amp;AG$5,'Time Off Log'!$J$5:$J$504,"&gt;="&amp;AG$5,'Time Off Log'!$B$5:$B$504,"PTO",'Time Off Log'!$E$5:$E$504,"Approved")&gt;0,"P",IF(COUNTIFS('Time Off Log'!$A$5:$A$504,$B30,'Time Off Log'!$C$5:$C$504,"&lt;="&amp;AG$5,'Time Off Log'!$J$5:$J$504,"&gt;="&amp;AG$5,'Time Off Log'!$B$5:$B$504,"Sick",'Time Off Log'!$E$5:$E$504,"Approved")&gt;0,"S",IF(COUNTIFS('Time Off Log'!$A$5:$A$504,$B30,'Time Off Log'!$C$5:$C$504,"&lt;="&amp;AG$5,'Time Off Log'!$J$5:$J$504,"&gt;="&amp;AG$5,'Time Off Log'!$E$5:$E$504,"Approved")&gt;0,"U",IF(COUNTIFS('Time Off Log'!$A$5:$A$504,$B30,'Time Off Log'!$C$5:$C$504,"&lt;="&amp;AG$5,'Time Off Log'!$J$5:$J$504,"&gt;="&amp;AG$5,'Time Off Log'!$E$5:$E$504,"Pending")&gt;0,"?",""))))))</f>
        <v/>
      </c>
    </row>
    <row r="31">
      <c r="B31" s="45" t="inlineStr">
        <is>
          <t>Holiday</t>
        </is>
      </c>
      <c r="C31" s="45">
        <f>IF(C$5="","",IF(COUNTIF(Holidays!$A$5:$A$40,C$5)&gt;0,"H",""))</f>
        <v/>
      </c>
      <c r="D31" s="45">
        <f>IF(D$5="","",IF(COUNTIF(Holidays!$A$5:$A$40,D$5)&gt;0,"H",""))</f>
        <v/>
      </c>
      <c r="E31" s="45">
        <f>IF(E$5="","",IF(COUNTIF(Holidays!$A$5:$A$40,E$5)&gt;0,"H",""))</f>
        <v/>
      </c>
      <c r="F31" s="45">
        <f>IF(F$5="","",IF(COUNTIF(Holidays!$A$5:$A$40,F$5)&gt;0,"H",""))</f>
        <v/>
      </c>
      <c r="G31" s="45">
        <f>IF(G$5="","",IF(COUNTIF(Holidays!$A$5:$A$40,G$5)&gt;0,"H",""))</f>
        <v/>
      </c>
      <c r="H31" s="45">
        <f>IF(H$5="","",IF(COUNTIF(Holidays!$A$5:$A$40,H$5)&gt;0,"H",""))</f>
        <v/>
      </c>
      <c r="I31" s="45">
        <f>IF(I$5="","",IF(COUNTIF(Holidays!$A$5:$A$40,I$5)&gt;0,"H",""))</f>
        <v/>
      </c>
      <c r="J31" s="45">
        <f>IF(J$5="","",IF(COUNTIF(Holidays!$A$5:$A$40,J$5)&gt;0,"H",""))</f>
        <v/>
      </c>
      <c r="K31" s="45">
        <f>IF(K$5="","",IF(COUNTIF(Holidays!$A$5:$A$40,K$5)&gt;0,"H",""))</f>
        <v/>
      </c>
      <c r="L31" s="45">
        <f>IF(L$5="","",IF(COUNTIF(Holidays!$A$5:$A$40,L$5)&gt;0,"H",""))</f>
        <v/>
      </c>
      <c r="M31" s="45">
        <f>IF(M$5="","",IF(COUNTIF(Holidays!$A$5:$A$40,M$5)&gt;0,"H",""))</f>
        <v/>
      </c>
      <c r="N31" s="45">
        <f>IF(N$5="","",IF(COUNTIF(Holidays!$A$5:$A$40,N$5)&gt;0,"H",""))</f>
        <v/>
      </c>
      <c r="O31" s="45">
        <f>IF(O$5="","",IF(COUNTIF(Holidays!$A$5:$A$40,O$5)&gt;0,"H",""))</f>
        <v/>
      </c>
      <c r="P31" s="45">
        <f>IF(P$5="","",IF(COUNTIF(Holidays!$A$5:$A$40,P$5)&gt;0,"H",""))</f>
        <v/>
      </c>
      <c r="Q31" s="45">
        <f>IF(Q$5="","",IF(COUNTIF(Holidays!$A$5:$A$40,Q$5)&gt;0,"H",""))</f>
        <v/>
      </c>
      <c r="R31" s="45">
        <f>IF(R$5="","",IF(COUNTIF(Holidays!$A$5:$A$40,R$5)&gt;0,"H",""))</f>
        <v/>
      </c>
      <c r="S31" s="45">
        <f>IF(S$5="","",IF(COUNTIF(Holidays!$A$5:$A$40,S$5)&gt;0,"H",""))</f>
        <v/>
      </c>
      <c r="T31" s="45">
        <f>IF(T$5="","",IF(COUNTIF(Holidays!$A$5:$A$40,T$5)&gt;0,"H",""))</f>
        <v/>
      </c>
      <c r="U31" s="45">
        <f>IF(U$5="","",IF(COUNTIF(Holidays!$A$5:$A$40,U$5)&gt;0,"H",""))</f>
        <v/>
      </c>
      <c r="V31" s="45">
        <f>IF(V$5="","",IF(COUNTIF(Holidays!$A$5:$A$40,V$5)&gt;0,"H",""))</f>
        <v/>
      </c>
      <c r="W31" s="45">
        <f>IF(W$5="","",IF(COUNTIF(Holidays!$A$5:$A$40,W$5)&gt;0,"H",""))</f>
        <v/>
      </c>
      <c r="X31" s="45">
        <f>IF(X$5="","",IF(COUNTIF(Holidays!$A$5:$A$40,X$5)&gt;0,"H",""))</f>
        <v/>
      </c>
      <c r="Y31" s="45">
        <f>IF(Y$5="","",IF(COUNTIF(Holidays!$A$5:$A$40,Y$5)&gt;0,"H",""))</f>
        <v/>
      </c>
      <c r="Z31" s="45">
        <f>IF(Z$5="","",IF(COUNTIF(Holidays!$A$5:$A$40,Z$5)&gt;0,"H",""))</f>
        <v/>
      </c>
      <c r="AA31" s="45">
        <f>IF(AA$5="","",IF(COUNTIF(Holidays!$A$5:$A$40,AA$5)&gt;0,"H",""))</f>
        <v/>
      </c>
      <c r="AB31" s="45">
        <f>IF(AB$5="","",IF(COUNTIF(Holidays!$A$5:$A$40,AB$5)&gt;0,"H",""))</f>
        <v/>
      </c>
      <c r="AC31" s="45">
        <f>IF(AC$5="","",IF(COUNTIF(Holidays!$A$5:$A$40,AC$5)&gt;0,"H",""))</f>
        <v/>
      </c>
      <c r="AD31" s="45">
        <f>IF(AD$5="","",IF(COUNTIF(Holidays!$A$5:$A$40,AD$5)&gt;0,"H",""))</f>
        <v/>
      </c>
      <c r="AE31" s="45">
        <f>IF(AE$5="","",IF(COUNTIF(Holidays!$A$5:$A$40,AE$5)&gt;0,"H",""))</f>
        <v/>
      </c>
      <c r="AF31" s="45">
        <f>IF(AF$5="","",IF(COUNTIF(Holidays!$A$5:$A$40,AF$5)&gt;0,"H",""))</f>
        <v/>
      </c>
      <c r="AG31" s="45">
        <f>IF(AG$5="","",IF(COUNTIF(Holidays!$A$5:$A$40,AG$5)&gt;0,"H",""))</f>
        <v/>
      </c>
    </row>
    <row r="32">
      <c r="B32" s="45" t="inlineStr">
        <is>
          <t>Out (approved)</t>
        </is>
      </c>
      <c r="C32" s="45">
        <f>IF(C$5="","",IF(OR(WEEKDAY(C$5,2)&gt;5,C31="H"),"",COUNTIF(C6:C30,"P")+COUNTIF(C6:C30,"S")+COUNTIF(C6:C30,"U")))</f>
        <v/>
      </c>
      <c r="D32" s="45">
        <f>IF(D$5="","",IF(OR(WEEKDAY(D$5,2)&gt;5,D31="H"),"",COUNTIF(D6:D30,"P")+COUNTIF(D6:D30,"S")+COUNTIF(D6:D30,"U")))</f>
        <v/>
      </c>
      <c r="E32" s="45">
        <f>IF(E$5="","",IF(OR(WEEKDAY(E$5,2)&gt;5,E31="H"),"",COUNTIF(E6:E30,"P")+COUNTIF(E6:E30,"S")+COUNTIF(E6:E30,"U")))</f>
        <v/>
      </c>
      <c r="F32" s="45">
        <f>IF(F$5="","",IF(OR(WEEKDAY(F$5,2)&gt;5,F31="H"),"",COUNTIF(F6:F30,"P")+COUNTIF(F6:F30,"S")+COUNTIF(F6:F30,"U")))</f>
        <v/>
      </c>
      <c r="G32" s="45">
        <f>IF(G$5="","",IF(OR(WEEKDAY(G$5,2)&gt;5,G31="H"),"",COUNTIF(G6:G30,"P")+COUNTIF(G6:G30,"S")+COUNTIF(G6:G30,"U")))</f>
        <v/>
      </c>
      <c r="H32" s="45">
        <f>IF(H$5="","",IF(OR(WEEKDAY(H$5,2)&gt;5,H31="H"),"",COUNTIF(H6:H30,"P")+COUNTIF(H6:H30,"S")+COUNTIF(H6:H30,"U")))</f>
        <v/>
      </c>
      <c r="I32" s="45">
        <f>IF(I$5="","",IF(OR(WEEKDAY(I$5,2)&gt;5,I31="H"),"",COUNTIF(I6:I30,"P")+COUNTIF(I6:I30,"S")+COUNTIF(I6:I30,"U")))</f>
        <v/>
      </c>
      <c r="J32" s="45">
        <f>IF(J$5="","",IF(OR(WEEKDAY(J$5,2)&gt;5,J31="H"),"",COUNTIF(J6:J30,"P")+COUNTIF(J6:J30,"S")+COUNTIF(J6:J30,"U")))</f>
        <v/>
      </c>
      <c r="K32" s="45">
        <f>IF(K$5="","",IF(OR(WEEKDAY(K$5,2)&gt;5,K31="H"),"",COUNTIF(K6:K30,"P")+COUNTIF(K6:K30,"S")+COUNTIF(K6:K30,"U")))</f>
        <v/>
      </c>
      <c r="L32" s="45">
        <f>IF(L$5="","",IF(OR(WEEKDAY(L$5,2)&gt;5,L31="H"),"",COUNTIF(L6:L30,"P")+COUNTIF(L6:L30,"S")+COUNTIF(L6:L30,"U")))</f>
        <v/>
      </c>
      <c r="M32" s="45">
        <f>IF(M$5="","",IF(OR(WEEKDAY(M$5,2)&gt;5,M31="H"),"",COUNTIF(M6:M30,"P")+COUNTIF(M6:M30,"S")+COUNTIF(M6:M30,"U")))</f>
        <v/>
      </c>
      <c r="N32" s="45">
        <f>IF(N$5="","",IF(OR(WEEKDAY(N$5,2)&gt;5,N31="H"),"",COUNTIF(N6:N30,"P")+COUNTIF(N6:N30,"S")+COUNTIF(N6:N30,"U")))</f>
        <v/>
      </c>
      <c r="O32" s="45">
        <f>IF(O$5="","",IF(OR(WEEKDAY(O$5,2)&gt;5,O31="H"),"",COUNTIF(O6:O30,"P")+COUNTIF(O6:O30,"S")+COUNTIF(O6:O30,"U")))</f>
        <v/>
      </c>
      <c r="P32" s="45">
        <f>IF(P$5="","",IF(OR(WEEKDAY(P$5,2)&gt;5,P31="H"),"",COUNTIF(P6:P30,"P")+COUNTIF(P6:P30,"S")+COUNTIF(P6:P30,"U")))</f>
        <v/>
      </c>
      <c r="Q32" s="45">
        <f>IF(Q$5="","",IF(OR(WEEKDAY(Q$5,2)&gt;5,Q31="H"),"",COUNTIF(Q6:Q30,"P")+COUNTIF(Q6:Q30,"S")+COUNTIF(Q6:Q30,"U")))</f>
        <v/>
      </c>
      <c r="R32" s="45">
        <f>IF(R$5="","",IF(OR(WEEKDAY(R$5,2)&gt;5,R31="H"),"",COUNTIF(R6:R30,"P")+COUNTIF(R6:R30,"S")+COUNTIF(R6:R30,"U")))</f>
        <v/>
      </c>
      <c r="S32" s="45">
        <f>IF(S$5="","",IF(OR(WEEKDAY(S$5,2)&gt;5,S31="H"),"",COUNTIF(S6:S30,"P")+COUNTIF(S6:S30,"S")+COUNTIF(S6:S30,"U")))</f>
        <v/>
      </c>
      <c r="T32" s="45">
        <f>IF(T$5="","",IF(OR(WEEKDAY(T$5,2)&gt;5,T31="H"),"",COUNTIF(T6:T30,"P")+COUNTIF(T6:T30,"S")+COUNTIF(T6:T30,"U")))</f>
        <v/>
      </c>
      <c r="U32" s="45">
        <f>IF(U$5="","",IF(OR(WEEKDAY(U$5,2)&gt;5,U31="H"),"",COUNTIF(U6:U30,"P")+COUNTIF(U6:U30,"S")+COUNTIF(U6:U30,"U")))</f>
        <v/>
      </c>
      <c r="V32" s="45">
        <f>IF(V$5="","",IF(OR(WEEKDAY(V$5,2)&gt;5,V31="H"),"",COUNTIF(V6:V30,"P")+COUNTIF(V6:V30,"S")+COUNTIF(V6:V30,"U")))</f>
        <v/>
      </c>
      <c r="W32" s="45">
        <f>IF(W$5="","",IF(OR(WEEKDAY(W$5,2)&gt;5,W31="H"),"",COUNTIF(W6:W30,"P")+COUNTIF(W6:W30,"S")+COUNTIF(W6:W30,"U")))</f>
        <v/>
      </c>
      <c r="X32" s="45">
        <f>IF(X$5="","",IF(OR(WEEKDAY(X$5,2)&gt;5,X31="H"),"",COUNTIF(X6:X30,"P")+COUNTIF(X6:X30,"S")+COUNTIF(X6:X30,"U")))</f>
        <v/>
      </c>
      <c r="Y32" s="45">
        <f>IF(Y$5="","",IF(OR(WEEKDAY(Y$5,2)&gt;5,Y31="H"),"",COUNTIF(Y6:Y30,"P")+COUNTIF(Y6:Y30,"S")+COUNTIF(Y6:Y30,"U")))</f>
        <v/>
      </c>
      <c r="Z32" s="45">
        <f>IF(Z$5="","",IF(OR(WEEKDAY(Z$5,2)&gt;5,Z31="H"),"",COUNTIF(Z6:Z30,"P")+COUNTIF(Z6:Z30,"S")+COUNTIF(Z6:Z30,"U")))</f>
        <v/>
      </c>
      <c r="AA32" s="45">
        <f>IF(AA$5="","",IF(OR(WEEKDAY(AA$5,2)&gt;5,AA31="H"),"",COUNTIF(AA6:AA30,"P")+COUNTIF(AA6:AA30,"S")+COUNTIF(AA6:AA30,"U")))</f>
        <v/>
      </c>
      <c r="AB32" s="45">
        <f>IF(AB$5="","",IF(OR(WEEKDAY(AB$5,2)&gt;5,AB31="H"),"",COUNTIF(AB6:AB30,"P")+COUNTIF(AB6:AB30,"S")+COUNTIF(AB6:AB30,"U")))</f>
        <v/>
      </c>
      <c r="AC32" s="45">
        <f>IF(AC$5="","",IF(OR(WEEKDAY(AC$5,2)&gt;5,AC31="H"),"",COUNTIF(AC6:AC30,"P")+COUNTIF(AC6:AC30,"S")+COUNTIF(AC6:AC30,"U")))</f>
        <v/>
      </c>
      <c r="AD32" s="45">
        <f>IF(AD$5="","",IF(OR(WEEKDAY(AD$5,2)&gt;5,AD31="H"),"",COUNTIF(AD6:AD30,"P")+COUNTIF(AD6:AD30,"S")+COUNTIF(AD6:AD30,"U")))</f>
        <v/>
      </c>
      <c r="AE32" s="45">
        <f>IF(AE$5="","",IF(OR(WEEKDAY(AE$5,2)&gt;5,AE31="H"),"",COUNTIF(AE6:AE30,"P")+COUNTIF(AE6:AE30,"S")+COUNTIF(AE6:AE30,"U")))</f>
        <v/>
      </c>
      <c r="AF32" s="45">
        <f>IF(AF$5="","",IF(OR(WEEKDAY(AF$5,2)&gt;5,AF31="H"),"",COUNTIF(AF6:AF30,"P")+COUNTIF(AF6:AF30,"S")+COUNTIF(AF6:AF30,"U")))</f>
        <v/>
      </c>
      <c r="AG32" s="45">
        <f>IF(AG$5="","",IF(OR(WEEKDAY(AG$5,2)&gt;5,AG31="H"),"",COUNTIF(AG6:AG30,"P")+COUNTIF(AG6:AG30,"S")+COUNTIF(AG6:AG30,"U")))</f>
        <v/>
      </c>
    </row>
    <row r="33">
      <c r="B33" s="45" t="inlineStr">
        <is>
          <t>On duty</t>
        </is>
      </c>
      <c r="C33" s="45">
        <f>IF(C32="","",COUNTIF($B$6:$B$30,"?*")-C32)</f>
        <v/>
      </c>
      <c r="D33" s="45">
        <f>IF(D32="","",COUNTIF($B$6:$B$30,"?*")-D32)</f>
        <v/>
      </c>
      <c r="E33" s="45">
        <f>IF(E32="","",COUNTIF($B$6:$B$30,"?*")-E32)</f>
        <v/>
      </c>
      <c r="F33" s="45">
        <f>IF(F32="","",COUNTIF($B$6:$B$30,"?*")-F32)</f>
        <v/>
      </c>
      <c r="G33" s="45">
        <f>IF(G32="","",COUNTIF($B$6:$B$30,"?*")-G32)</f>
        <v/>
      </c>
      <c r="H33" s="45">
        <f>IF(H32="","",COUNTIF($B$6:$B$30,"?*")-H32)</f>
        <v/>
      </c>
      <c r="I33" s="45">
        <f>IF(I32="","",COUNTIF($B$6:$B$30,"?*")-I32)</f>
        <v/>
      </c>
      <c r="J33" s="45">
        <f>IF(J32="","",COUNTIF($B$6:$B$30,"?*")-J32)</f>
        <v/>
      </c>
      <c r="K33" s="45">
        <f>IF(K32="","",COUNTIF($B$6:$B$30,"?*")-K32)</f>
        <v/>
      </c>
      <c r="L33" s="45">
        <f>IF(L32="","",COUNTIF($B$6:$B$30,"?*")-L32)</f>
        <v/>
      </c>
      <c r="M33" s="45">
        <f>IF(M32="","",COUNTIF($B$6:$B$30,"?*")-M32)</f>
        <v/>
      </c>
      <c r="N33" s="45">
        <f>IF(N32="","",COUNTIF($B$6:$B$30,"?*")-N32)</f>
        <v/>
      </c>
      <c r="O33" s="45">
        <f>IF(O32="","",COUNTIF($B$6:$B$30,"?*")-O32)</f>
        <v/>
      </c>
      <c r="P33" s="45">
        <f>IF(P32="","",COUNTIF($B$6:$B$30,"?*")-P32)</f>
        <v/>
      </c>
      <c r="Q33" s="45">
        <f>IF(Q32="","",COUNTIF($B$6:$B$30,"?*")-Q32)</f>
        <v/>
      </c>
      <c r="R33" s="45">
        <f>IF(R32="","",COUNTIF($B$6:$B$30,"?*")-R32)</f>
        <v/>
      </c>
      <c r="S33" s="45">
        <f>IF(S32="","",COUNTIF($B$6:$B$30,"?*")-S32)</f>
        <v/>
      </c>
      <c r="T33" s="45">
        <f>IF(T32="","",COUNTIF($B$6:$B$30,"?*")-T32)</f>
        <v/>
      </c>
      <c r="U33" s="45">
        <f>IF(U32="","",COUNTIF($B$6:$B$30,"?*")-U32)</f>
        <v/>
      </c>
      <c r="V33" s="45">
        <f>IF(V32="","",COUNTIF($B$6:$B$30,"?*")-V32)</f>
        <v/>
      </c>
      <c r="W33" s="45">
        <f>IF(W32="","",COUNTIF($B$6:$B$30,"?*")-W32)</f>
        <v/>
      </c>
      <c r="X33" s="45">
        <f>IF(X32="","",COUNTIF($B$6:$B$30,"?*")-X32)</f>
        <v/>
      </c>
      <c r="Y33" s="45">
        <f>IF(Y32="","",COUNTIF($B$6:$B$30,"?*")-Y32)</f>
        <v/>
      </c>
      <c r="Z33" s="45">
        <f>IF(Z32="","",COUNTIF($B$6:$B$30,"?*")-Z32)</f>
        <v/>
      </c>
      <c r="AA33" s="45">
        <f>IF(AA32="","",COUNTIF($B$6:$B$30,"?*")-AA32)</f>
        <v/>
      </c>
      <c r="AB33" s="45">
        <f>IF(AB32="","",COUNTIF($B$6:$B$30,"?*")-AB32)</f>
        <v/>
      </c>
      <c r="AC33" s="45">
        <f>IF(AC32="","",COUNTIF($B$6:$B$30,"?*")-AC32)</f>
        <v/>
      </c>
      <c r="AD33" s="45">
        <f>IF(AD32="","",COUNTIF($B$6:$B$30,"?*")-AD32)</f>
        <v/>
      </c>
      <c r="AE33" s="45">
        <f>IF(AE32="","",COUNTIF($B$6:$B$30,"?*")-AE32)</f>
        <v/>
      </c>
      <c r="AF33" s="45">
        <f>IF(AF32="","",COUNTIF($B$6:$B$30,"?*")-AF32)</f>
        <v/>
      </c>
      <c r="AG33" s="45">
        <f>IF(AG32="","",COUNTIF($B$6:$B$30,"?*")-AG32)</f>
        <v/>
      </c>
    </row>
  </sheetData>
  <mergeCells count="1">
    <mergeCell ref="C3:J3"/>
  </mergeCells>
  <conditionalFormatting sqref="C6:AG30">
    <cfRule type="cellIs" priority="1" operator="equal" dxfId="9">
      <formula>"P"</formula>
    </cfRule>
    <cfRule type="cellIs" priority="2" operator="equal" dxfId="10">
      <formula>"S"</formula>
    </cfRule>
    <cfRule type="cellIs" priority="3" operator="equal" dxfId="11">
      <formula>"U"</formula>
    </cfRule>
    <cfRule type="cellIs" priority="4" operator="equal" dxfId="12">
      <formula>"?"</formula>
    </cfRule>
  </conditionalFormatting>
  <conditionalFormatting sqref="C33:AG33">
    <cfRule type="expression" priority="5" dxfId="3">
      <formula>AND(C33&lt;&gt;"",N(Settings!$B$10)&gt;0,C33&lt;Settings!$B$10)</formula>
    </cfRule>
  </conditionalFormatting>
  <conditionalFormatting sqref="C6:AG33">
    <cfRule type="expression" priority="6" dxfId="13">
      <formula>AND(C$5&lt;&gt;"",OR(WEEKDAY(C$5,2)&gt;5,COUNTIF(Holidays!$A$5:$A$40,C$5)&gt;0))</formula>
    </cfRule>
  </conditionalFormatting>
  <printOptions horizontalCentered="1"/>
  <pageMargins left="0.4" right="0.4" top="0.5" bottom="0.5" header="0.5" footer="0.5"/>
  <pageSetup orientation="landscape" paperSize="1" fitToHeight="1" fitToWidth="1"/>
</worksheet>
</file>

<file path=xl/worksheets/sheet9.xml><?xml version="1.0" encoding="utf-8"?>
<worksheet xmlns="http://schemas.openxmlformats.org/spreadsheetml/2006/main">
  <sheetPr>
    <outlinePr summaryBelow="1" summaryRight="1"/>
    <pageSetUpPr fitToPage="1"/>
  </sheetPr>
  <dimension ref="A1:B40"/>
  <sheetViews>
    <sheetView showGridLines="0" workbookViewId="0">
      <selection activeCell="A1" sqref="A1"/>
    </sheetView>
  </sheetViews>
  <sheetFormatPr baseColWidth="8" defaultRowHeight="15"/>
  <cols>
    <col width="20" customWidth="1" min="1" max="1"/>
    <col width="34" customWidth="1" min="2" max="2"/>
  </cols>
  <sheetData>
    <row r="1">
      <c r="A1" s="1" t="inlineStr">
        <is>
          <t>Company holidays</t>
        </is>
      </c>
    </row>
    <row r="2">
      <c r="A2" s="2" t="inlineStr">
        <is>
          <t>Not counted as workdays when leave is logged. Sample: 2026 US federal-style holidays; replace with your own.</t>
        </is>
      </c>
    </row>
    <row r="4" ht="32" customHeight="1">
      <c r="A4" s="8" t="inlineStr">
        <is>
          <t>Date</t>
        </is>
      </c>
      <c r="B4" s="8" t="inlineStr">
        <is>
          <t>Holiday</t>
        </is>
      </c>
    </row>
    <row r="5">
      <c r="A5" s="46" t="n">
        <v>46023</v>
      </c>
      <c r="B5" s="10" t="inlineStr">
        <is>
          <t>New Year's Day</t>
        </is>
      </c>
    </row>
    <row r="6">
      <c r="A6" s="46" t="n">
        <v>46041</v>
      </c>
      <c r="B6" s="10" t="inlineStr">
        <is>
          <t>Martin Luther King Jr. Day</t>
        </is>
      </c>
    </row>
    <row r="7">
      <c r="A7" s="46" t="n">
        <v>46069</v>
      </c>
      <c r="B7" s="10" t="inlineStr">
        <is>
          <t>Presidents' Day</t>
        </is>
      </c>
    </row>
    <row r="8">
      <c r="A8" s="46" t="n">
        <v>46167</v>
      </c>
      <c r="B8" s="10" t="inlineStr">
        <is>
          <t>Memorial Day</t>
        </is>
      </c>
    </row>
    <row r="9">
      <c r="A9" s="46" t="n">
        <v>46192</v>
      </c>
      <c r="B9" s="10" t="inlineStr">
        <is>
          <t>Juneteenth</t>
        </is>
      </c>
    </row>
    <row r="10">
      <c r="A10" s="46" t="n">
        <v>46206</v>
      </c>
      <c r="B10" s="10" t="inlineStr">
        <is>
          <t>Independence Day (observed)</t>
        </is>
      </c>
    </row>
    <row r="11">
      <c r="A11" s="46" t="n">
        <v>46272</v>
      </c>
      <c r="B11" s="10" t="inlineStr">
        <is>
          <t>Labor Day</t>
        </is>
      </c>
    </row>
    <row r="12">
      <c r="A12" s="46" t="n">
        <v>46352</v>
      </c>
      <c r="B12" s="10" t="inlineStr">
        <is>
          <t>Thanksgiving Day</t>
        </is>
      </c>
    </row>
    <row r="13">
      <c r="A13" s="46" t="n">
        <v>46353</v>
      </c>
      <c r="B13" s="10" t="inlineStr">
        <is>
          <t>Day after Thanksgiving</t>
        </is>
      </c>
    </row>
    <row r="14">
      <c r="A14" s="46" t="n">
        <v>46381</v>
      </c>
      <c r="B14" s="10" t="inlineStr">
        <is>
          <t>Christmas Day</t>
        </is>
      </c>
    </row>
    <row r="15">
      <c r="A15" s="46" t="n"/>
      <c r="B15" s="10" t="n"/>
    </row>
    <row r="16">
      <c r="A16" s="46" t="n"/>
      <c r="B16" s="10" t="n"/>
    </row>
    <row r="17">
      <c r="A17" s="46" t="n"/>
      <c r="B17" s="10" t="n"/>
    </row>
    <row r="18">
      <c r="A18" s="46" t="n"/>
      <c r="B18" s="10" t="n"/>
    </row>
    <row r="19">
      <c r="A19" s="46" t="n"/>
      <c r="B19" s="10" t="n"/>
    </row>
    <row r="20">
      <c r="A20" s="46" t="n"/>
      <c r="B20" s="10" t="n"/>
    </row>
    <row r="21">
      <c r="A21" s="46" t="n"/>
      <c r="B21" s="10" t="n"/>
    </row>
    <row r="22">
      <c r="A22" s="46" t="n"/>
      <c r="B22" s="10" t="n"/>
    </row>
    <row r="23">
      <c r="A23" s="46" t="n"/>
      <c r="B23" s="10" t="n"/>
    </row>
    <row r="24">
      <c r="A24" s="46" t="n"/>
      <c r="B24" s="10" t="n"/>
    </row>
    <row r="25">
      <c r="A25" s="46" t="n"/>
      <c r="B25" s="10" t="n"/>
    </row>
    <row r="26">
      <c r="A26" s="46" t="n"/>
      <c r="B26" s="10" t="n"/>
    </row>
    <row r="27">
      <c r="A27" s="46" t="n"/>
      <c r="B27" s="10" t="n"/>
    </row>
    <row r="28">
      <c r="A28" s="46" t="n"/>
      <c r="B28" s="10" t="n"/>
    </row>
    <row r="29">
      <c r="A29" s="46" t="n"/>
      <c r="B29" s="10" t="n"/>
    </row>
    <row r="30">
      <c r="A30" s="46" t="n"/>
      <c r="B30" s="10" t="n"/>
    </row>
    <row r="31">
      <c r="A31" s="46" t="n"/>
      <c r="B31" s="10" t="n"/>
    </row>
    <row r="32">
      <c r="A32" s="46" t="n"/>
      <c r="B32" s="10" t="n"/>
    </row>
    <row r="33">
      <c r="A33" s="46" t="n"/>
      <c r="B33" s="10" t="n"/>
    </row>
    <row r="34">
      <c r="A34" s="46" t="n"/>
      <c r="B34" s="10" t="n"/>
    </row>
    <row r="35">
      <c r="A35" s="46" t="n"/>
      <c r="B35" s="10" t="n"/>
    </row>
    <row r="36">
      <c r="A36" s="46" t="n"/>
      <c r="B36" s="10" t="n"/>
    </row>
    <row r="37">
      <c r="A37" s="46" t="n"/>
      <c r="B37" s="10" t="n"/>
    </row>
    <row r="38">
      <c r="A38" s="46" t="n"/>
      <c r="B38" s="10" t="n"/>
    </row>
    <row r="39">
      <c r="A39" s="46" t="n"/>
      <c r="B39" s="10" t="n"/>
    </row>
    <row r="40">
      <c r="A40" s="46" t="n"/>
      <c r="B40" s="10" t="n"/>
    </row>
  </sheetData>
  <printOptions horizontalCentered="1"/>
  <pageMargins left="0.4" right="0.4" top="0.5" bottom="0.5" header="0.5" footer="0.5"/>
  <pageSetup orientation="landscape" paperSize="1" fitToHeight="1" fitToWidth="1"/>
</worksheet>
</file>

<file path=xl/worksheets/sheet10.xml><?xml version="1.0" encoding="utf-8"?>
<worksheet xmlns="http://schemas.openxmlformats.org/spreadsheetml/2006/main">
  <sheetPr>
    <outlinePr summaryBelow="1" summaryRight="1"/>
    <pageSetUpPr fitToPage="1"/>
  </sheetPr>
  <dimension ref="A1:F57"/>
  <sheetViews>
    <sheetView showGridLines="0" workbookViewId="0">
      <selection activeCell="A1" sqref="A1"/>
    </sheetView>
  </sheetViews>
  <sheetFormatPr baseColWidth="8" defaultRowHeight="15"/>
  <cols>
    <col width="5" customWidth="1" min="1" max="1"/>
    <col width="15" customWidth="1" min="2" max="2"/>
    <col width="18" customWidth="1" min="3" max="3"/>
    <col width="12" customWidth="1" min="4" max="4"/>
    <col width="15" customWidth="1" min="5" max="5"/>
    <col width="15" customWidth="1" min="6" max="6"/>
  </cols>
  <sheetData>
    <row r="1">
      <c r="A1" s="1" t="inlineStr">
        <is>
          <t>Pay periods (calculated)</t>
        </is>
      </c>
    </row>
    <row r="2">
      <c r="A2" s="2" t="inlineStr">
        <is>
          <t>Built from Settings. Leave is charged to the period whose window contains its first day.</t>
        </is>
      </c>
    </row>
    <row r="4" ht="32" customHeight="1">
      <c r="A4" s="8" t="inlineStr">
        <is>
          <t>#</t>
        </is>
      </c>
      <c r="B4" s="8" t="inlineStr">
        <is>
          <t>Period start</t>
        </is>
      </c>
      <c r="C4" s="8" t="inlineStr">
        <is>
          <t>Period end (payday)</t>
        </is>
      </c>
      <c r="D4" s="8" t="inlineStr">
        <is>
          <t>In plan year? (1/0)</t>
        </is>
      </c>
      <c r="E4" s="8" t="inlineStr">
        <is>
          <t>Leave window start</t>
        </is>
      </c>
      <c r="F4" s="8" t="inlineStr">
        <is>
          <t>Leave window end</t>
        </is>
      </c>
    </row>
    <row r="5">
      <c r="A5" s="16" t="n">
        <v>1</v>
      </c>
      <c r="B5" s="15">
        <f>IF(C5="","",IF(Settings!$B$6="Weekly",C5-6,IF(Settings!$B$6="Biweekly",C5-13,Settings!$B$5)))</f>
        <v/>
      </c>
      <c r="C5" s="15">
        <f>IF($A5&gt;Settings!$B$14,"",IF(Settings!$B$6="Weekly",Settings!$B$7+7*($A5-1),IF(Settings!$B$6="Biweekly",Settings!$B$7+14*($A5-1),IF(Settings!$B$6="Semi-monthly",IF(MOD($A5,2)=1,DATE(YEAR(Settings!$B$5),MONTH(Settings!$B$5)+INT(($A5-1)/2),15),EOMONTH(Settings!$B$5,INT(($A5-1)/2))),EOMONTH(Settings!$B$5,$A5-1)))))</f>
        <v/>
      </c>
      <c r="D5" s="16">
        <f>IF(C5="",0,IF(AND(C5&gt;=Settings!$B$5,C5&lt;=Settings!$B$12),1,0))</f>
        <v/>
      </c>
      <c r="E5" s="15">
        <f>IF(D5=0,"",IF($A5=1,MIN(B5,Settings!$B$5),B5))</f>
        <v/>
      </c>
      <c r="F5" s="15">
        <f>IF(D5=0,"",IF(D6=1,C5,MAX(C5,Settings!$B$12)))</f>
        <v/>
      </c>
    </row>
    <row r="6">
      <c r="A6" s="16" t="n">
        <v>2</v>
      </c>
      <c r="B6" s="15">
        <f>IF(C6="","",C5+1)</f>
        <v/>
      </c>
      <c r="C6" s="15">
        <f>IF($A6&gt;Settings!$B$14,"",IF(Settings!$B$6="Weekly",Settings!$B$7+7*($A6-1),IF(Settings!$B$6="Biweekly",Settings!$B$7+14*($A6-1),IF(Settings!$B$6="Semi-monthly",IF(MOD($A6,2)=1,DATE(YEAR(Settings!$B$5),MONTH(Settings!$B$5)+INT(($A6-1)/2),15),EOMONTH(Settings!$B$5,INT(($A6-1)/2))),EOMONTH(Settings!$B$5,$A6-1)))))</f>
        <v/>
      </c>
      <c r="D6" s="16">
        <f>IF(C6="",0,IF(AND(C6&gt;=Settings!$B$5,C6&lt;=Settings!$B$12),1,0))</f>
        <v/>
      </c>
      <c r="E6" s="15">
        <f>IF(D6=0,"",IF($A6=1,MIN(B6,Settings!$B$5),B6))</f>
        <v/>
      </c>
      <c r="F6" s="15">
        <f>IF(D6=0,"",IF(D7=1,C6,MAX(C6,Settings!$B$12)))</f>
        <v/>
      </c>
    </row>
    <row r="7">
      <c r="A7" s="16" t="n">
        <v>3</v>
      </c>
      <c r="B7" s="15">
        <f>IF(C7="","",C6+1)</f>
        <v/>
      </c>
      <c r="C7" s="15">
        <f>IF($A7&gt;Settings!$B$14,"",IF(Settings!$B$6="Weekly",Settings!$B$7+7*($A7-1),IF(Settings!$B$6="Biweekly",Settings!$B$7+14*($A7-1),IF(Settings!$B$6="Semi-monthly",IF(MOD($A7,2)=1,DATE(YEAR(Settings!$B$5),MONTH(Settings!$B$5)+INT(($A7-1)/2),15),EOMONTH(Settings!$B$5,INT(($A7-1)/2))),EOMONTH(Settings!$B$5,$A7-1)))))</f>
        <v/>
      </c>
      <c r="D7" s="16">
        <f>IF(C7="",0,IF(AND(C7&gt;=Settings!$B$5,C7&lt;=Settings!$B$12),1,0))</f>
        <v/>
      </c>
      <c r="E7" s="15">
        <f>IF(D7=0,"",IF($A7=1,MIN(B7,Settings!$B$5),B7))</f>
        <v/>
      </c>
      <c r="F7" s="15">
        <f>IF(D7=0,"",IF(D8=1,C7,MAX(C7,Settings!$B$12)))</f>
        <v/>
      </c>
    </row>
    <row r="8">
      <c r="A8" s="16" t="n">
        <v>4</v>
      </c>
      <c r="B8" s="15">
        <f>IF(C8="","",C7+1)</f>
        <v/>
      </c>
      <c r="C8" s="15">
        <f>IF($A8&gt;Settings!$B$14,"",IF(Settings!$B$6="Weekly",Settings!$B$7+7*($A8-1),IF(Settings!$B$6="Biweekly",Settings!$B$7+14*($A8-1),IF(Settings!$B$6="Semi-monthly",IF(MOD($A8,2)=1,DATE(YEAR(Settings!$B$5),MONTH(Settings!$B$5)+INT(($A8-1)/2),15),EOMONTH(Settings!$B$5,INT(($A8-1)/2))),EOMONTH(Settings!$B$5,$A8-1)))))</f>
        <v/>
      </c>
      <c r="D8" s="16">
        <f>IF(C8="",0,IF(AND(C8&gt;=Settings!$B$5,C8&lt;=Settings!$B$12),1,0))</f>
        <v/>
      </c>
      <c r="E8" s="15">
        <f>IF(D8=0,"",IF($A8=1,MIN(B8,Settings!$B$5),B8))</f>
        <v/>
      </c>
      <c r="F8" s="15">
        <f>IF(D8=0,"",IF(D9=1,C8,MAX(C8,Settings!$B$12)))</f>
        <v/>
      </c>
    </row>
    <row r="9">
      <c r="A9" s="16" t="n">
        <v>5</v>
      </c>
      <c r="B9" s="15">
        <f>IF(C9="","",C8+1)</f>
        <v/>
      </c>
      <c r="C9" s="15">
        <f>IF($A9&gt;Settings!$B$14,"",IF(Settings!$B$6="Weekly",Settings!$B$7+7*($A9-1),IF(Settings!$B$6="Biweekly",Settings!$B$7+14*($A9-1),IF(Settings!$B$6="Semi-monthly",IF(MOD($A9,2)=1,DATE(YEAR(Settings!$B$5),MONTH(Settings!$B$5)+INT(($A9-1)/2),15),EOMONTH(Settings!$B$5,INT(($A9-1)/2))),EOMONTH(Settings!$B$5,$A9-1)))))</f>
        <v/>
      </c>
      <c r="D9" s="16">
        <f>IF(C9="",0,IF(AND(C9&gt;=Settings!$B$5,C9&lt;=Settings!$B$12),1,0))</f>
        <v/>
      </c>
      <c r="E9" s="15">
        <f>IF(D9=0,"",IF($A9=1,MIN(B9,Settings!$B$5),B9))</f>
        <v/>
      </c>
      <c r="F9" s="15">
        <f>IF(D9=0,"",IF(D10=1,C9,MAX(C9,Settings!$B$12)))</f>
        <v/>
      </c>
    </row>
    <row r="10">
      <c r="A10" s="16" t="n">
        <v>6</v>
      </c>
      <c r="B10" s="15">
        <f>IF(C10="","",C9+1)</f>
        <v/>
      </c>
      <c r="C10" s="15">
        <f>IF($A10&gt;Settings!$B$14,"",IF(Settings!$B$6="Weekly",Settings!$B$7+7*($A10-1),IF(Settings!$B$6="Biweekly",Settings!$B$7+14*($A10-1),IF(Settings!$B$6="Semi-monthly",IF(MOD($A10,2)=1,DATE(YEAR(Settings!$B$5),MONTH(Settings!$B$5)+INT(($A10-1)/2),15),EOMONTH(Settings!$B$5,INT(($A10-1)/2))),EOMONTH(Settings!$B$5,$A10-1)))))</f>
        <v/>
      </c>
      <c r="D10" s="16">
        <f>IF(C10="",0,IF(AND(C10&gt;=Settings!$B$5,C10&lt;=Settings!$B$12),1,0))</f>
        <v/>
      </c>
      <c r="E10" s="15">
        <f>IF(D10=0,"",IF($A10=1,MIN(B10,Settings!$B$5),B10))</f>
        <v/>
      </c>
      <c r="F10" s="15">
        <f>IF(D10=0,"",IF(D11=1,C10,MAX(C10,Settings!$B$12)))</f>
        <v/>
      </c>
    </row>
    <row r="11">
      <c r="A11" s="16" t="n">
        <v>7</v>
      </c>
      <c r="B11" s="15">
        <f>IF(C11="","",C10+1)</f>
        <v/>
      </c>
      <c r="C11" s="15">
        <f>IF($A11&gt;Settings!$B$14,"",IF(Settings!$B$6="Weekly",Settings!$B$7+7*($A11-1),IF(Settings!$B$6="Biweekly",Settings!$B$7+14*($A11-1),IF(Settings!$B$6="Semi-monthly",IF(MOD($A11,2)=1,DATE(YEAR(Settings!$B$5),MONTH(Settings!$B$5)+INT(($A11-1)/2),15),EOMONTH(Settings!$B$5,INT(($A11-1)/2))),EOMONTH(Settings!$B$5,$A11-1)))))</f>
        <v/>
      </c>
      <c r="D11" s="16">
        <f>IF(C11="",0,IF(AND(C11&gt;=Settings!$B$5,C11&lt;=Settings!$B$12),1,0))</f>
        <v/>
      </c>
      <c r="E11" s="15">
        <f>IF(D11=0,"",IF($A11=1,MIN(B11,Settings!$B$5),B11))</f>
        <v/>
      </c>
      <c r="F11" s="15">
        <f>IF(D11=0,"",IF(D12=1,C11,MAX(C11,Settings!$B$12)))</f>
        <v/>
      </c>
    </row>
    <row r="12">
      <c r="A12" s="16" t="n">
        <v>8</v>
      </c>
      <c r="B12" s="15">
        <f>IF(C12="","",C11+1)</f>
        <v/>
      </c>
      <c r="C12" s="15">
        <f>IF($A12&gt;Settings!$B$14,"",IF(Settings!$B$6="Weekly",Settings!$B$7+7*($A12-1),IF(Settings!$B$6="Biweekly",Settings!$B$7+14*($A12-1),IF(Settings!$B$6="Semi-monthly",IF(MOD($A12,2)=1,DATE(YEAR(Settings!$B$5),MONTH(Settings!$B$5)+INT(($A12-1)/2),15),EOMONTH(Settings!$B$5,INT(($A12-1)/2))),EOMONTH(Settings!$B$5,$A12-1)))))</f>
        <v/>
      </c>
      <c r="D12" s="16">
        <f>IF(C12="",0,IF(AND(C12&gt;=Settings!$B$5,C12&lt;=Settings!$B$12),1,0))</f>
        <v/>
      </c>
      <c r="E12" s="15">
        <f>IF(D12=0,"",IF($A12=1,MIN(B12,Settings!$B$5),B12))</f>
        <v/>
      </c>
      <c r="F12" s="15">
        <f>IF(D12=0,"",IF(D13=1,C12,MAX(C12,Settings!$B$12)))</f>
        <v/>
      </c>
    </row>
    <row r="13">
      <c r="A13" s="16" t="n">
        <v>9</v>
      </c>
      <c r="B13" s="15">
        <f>IF(C13="","",C12+1)</f>
        <v/>
      </c>
      <c r="C13" s="15">
        <f>IF($A13&gt;Settings!$B$14,"",IF(Settings!$B$6="Weekly",Settings!$B$7+7*($A13-1),IF(Settings!$B$6="Biweekly",Settings!$B$7+14*($A13-1),IF(Settings!$B$6="Semi-monthly",IF(MOD($A13,2)=1,DATE(YEAR(Settings!$B$5),MONTH(Settings!$B$5)+INT(($A13-1)/2),15),EOMONTH(Settings!$B$5,INT(($A13-1)/2))),EOMONTH(Settings!$B$5,$A13-1)))))</f>
        <v/>
      </c>
      <c r="D13" s="16">
        <f>IF(C13="",0,IF(AND(C13&gt;=Settings!$B$5,C13&lt;=Settings!$B$12),1,0))</f>
        <v/>
      </c>
      <c r="E13" s="15">
        <f>IF(D13=0,"",IF($A13=1,MIN(B13,Settings!$B$5),B13))</f>
        <v/>
      </c>
      <c r="F13" s="15">
        <f>IF(D13=0,"",IF(D14=1,C13,MAX(C13,Settings!$B$12)))</f>
        <v/>
      </c>
    </row>
    <row r="14">
      <c r="A14" s="16" t="n">
        <v>10</v>
      </c>
      <c r="B14" s="15">
        <f>IF(C14="","",C13+1)</f>
        <v/>
      </c>
      <c r="C14" s="15">
        <f>IF($A14&gt;Settings!$B$14,"",IF(Settings!$B$6="Weekly",Settings!$B$7+7*($A14-1),IF(Settings!$B$6="Biweekly",Settings!$B$7+14*($A14-1),IF(Settings!$B$6="Semi-monthly",IF(MOD($A14,2)=1,DATE(YEAR(Settings!$B$5),MONTH(Settings!$B$5)+INT(($A14-1)/2),15),EOMONTH(Settings!$B$5,INT(($A14-1)/2))),EOMONTH(Settings!$B$5,$A14-1)))))</f>
        <v/>
      </c>
      <c r="D14" s="16">
        <f>IF(C14="",0,IF(AND(C14&gt;=Settings!$B$5,C14&lt;=Settings!$B$12),1,0))</f>
        <v/>
      </c>
      <c r="E14" s="15">
        <f>IF(D14=0,"",IF($A14=1,MIN(B14,Settings!$B$5),B14))</f>
        <v/>
      </c>
      <c r="F14" s="15">
        <f>IF(D14=0,"",IF(D15=1,C14,MAX(C14,Settings!$B$12)))</f>
        <v/>
      </c>
    </row>
    <row r="15">
      <c r="A15" s="16" t="n">
        <v>11</v>
      </c>
      <c r="B15" s="15">
        <f>IF(C15="","",C14+1)</f>
        <v/>
      </c>
      <c r="C15" s="15">
        <f>IF($A15&gt;Settings!$B$14,"",IF(Settings!$B$6="Weekly",Settings!$B$7+7*($A15-1),IF(Settings!$B$6="Biweekly",Settings!$B$7+14*($A15-1),IF(Settings!$B$6="Semi-monthly",IF(MOD($A15,2)=1,DATE(YEAR(Settings!$B$5),MONTH(Settings!$B$5)+INT(($A15-1)/2),15),EOMONTH(Settings!$B$5,INT(($A15-1)/2))),EOMONTH(Settings!$B$5,$A15-1)))))</f>
        <v/>
      </c>
      <c r="D15" s="16">
        <f>IF(C15="",0,IF(AND(C15&gt;=Settings!$B$5,C15&lt;=Settings!$B$12),1,0))</f>
        <v/>
      </c>
      <c r="E15" s="15">
        <f>IF(D15=0,"",IF($A15=1,MIN(B15,Settings!$B$5),B15))</f>
        <v/>
      </c>
      <c r="F15" s="15">
        <f>IF(D15=0,"",IF(D16=1,C15,MAX(C15,Settings!$B$12)))</f>
        <v/>
      </c>
    </row>
    <row r="16">
      <c r="A16" s="16" t="n">
        <v>12</v>
      </c>
      <c r="B16" s="15">
        <f>IF(C16="","",C15+1)</f>
        <v/>
      </c>
      <c r="C16" s="15">
        <f>IF($A16&gt;Settings!$B$14,"",IF(Settings!$B$6="Weekly",Settings!$B$7+7*($A16-1),IF(Settings!$B$6="Biweekly",Settings!$B$7+14*($A16-1),IF(Settings!$B$6="Semi-monthly",IF(MOD($A16,2)=1,DATE(YEAR(Settings!$B$5),MONTH(Settings!$B$5)+INT(($A16-1)/2),15),EOMONTH(Settings!$B$5,INT(($A16-1)/2))),EOMONTH(Settings!$B$5,$A16-1)))))</f>
        <v/>
      </c>
      <c r="D16" s="16">
        <f>IF(C16="",0,IF(AND(C16&gt;=Settings!$B$5,C16&lt;=Settings!$B$12),1,0))</f>
        <v/>
      </c>
      <c r="E16" s="15">
        <f>IF(D16=0,"",IF($A16=1,MIN(B16,Settings!$B$5),B16))</f>
        <v/>
      </c>
      <c r="F16" s="15">
        <f>IF(D16=0,"",IF(D17=1,C16,MAX(C16,Settings!$B$12)))</f>
        <v/>
      </c>
    </row>
    <row r="17">
      <c r="A17" s="16" t="n">
        <v>13</v>
      </c>
      <c r="B17" s="15">
        <f>IF(C17="","",C16+1)</f>
        <v/>
      </c>
      <c r="C17" s="15">
        <f>IF($A17&gt;Settings!$B$14,"",IF(Settings!$B$6="Weekly",Settings!$B$7+7*($A17-1),IF(Settings!$B$6="Biweekly",Settings!$B$7+14*($A17-1),IF(Settings!$B$6="Semi-monthly",IF(MOD($A17,2)=1,DATE(YEAR(Settings!$B$5),MONTH(Settings!$B$5)+INT(($A17-1)/2),15),EOMONTH(Settings!$B$5,INT(($A17-1)/2))),EOMONTH(Settings!$B$5,$A17-1)))))</f>
        <v/>
      </c>
      <c r="D17" s="16">
        <f>IF(C17="",0,IF(AND(C17&gt;=Settings!$B$5,C17&lt;=Settings!$B$12),1,0))</f>
        <v/>
      </c>
      <c r="E17" s="15">
        <f>IF(D17=0,"",IF($A17=1,MIN(B17,Settings!$B$5),B17))</f>
        <v/>
      </c>
      <c r="F17" s="15">
        <f>IF(D17=0,"",IF(D18=1,C17,MAX(C17,Settings!$B$12)))</f>
        <v/>
      </c>
    </row>
    <row r="18">
      <c r="A18" s="16" t="n">
        <v>14</v>
      </c>
      <c r="B18" s="15">
        <f>IF(C18="","",C17+1)</f>
        <v/>
      </c>
      <c r="C18" s="15">
        <f>IF($A18&gt;Settings!$B$14,"",IF(Settings!$B$6="Weekly",Settings!$B$7+7*($A18-1),IF(Settings!$B$6="Biweekly",Settings!$B$7+14*($A18-1),IF(Settings!$B$6="Semi-monthly",IF(MOD($A18,2)=1,DATE(YEAR(Settings!$B$5),MONTH(Settings!$B$5)+INT(($A18-1)/2),15),EOMONTH(Settings!$B$5,INT(($A18-1)/2))),EOMONTH(Settings!$B$5,$A18-1)))))</f>
        <v/>
      </c>
      <c r="D18" s="16">
        <f>IF(C18="",0,IF(AND(C18&gt;=Settings!$B$5,C18&lt;=Settings!$B$12),1,0))</f>
        <v/>
      </c>
      <c r="E18" s="15">
        <f>IF(D18=0,"",IF($A18=1,MIN(B18,Settings!$B$5),B18))</f>
        <v/>
      </c>
      <c r="F18" s="15">
        <f>IF(D18=0,"",IF(D19=1,C18,MAX(C18,Settings!$B$12)))</f>
        <v/>
      </c>
    </row>
    <row r="19">
      <c r="A19" s="16" t="n">
        <v>15</v>
      </c>
      <c r="B19" s="15">
        <f>IF(C19="","",C18+1)</f>
        <v/>
      </c>
      <c r="C19" s="15">
        <f>IF($A19&gt;Settings!$B$14,"",IF(Settings!$B$6="Weekly",Settings!$B$7+7*($A19-1),IF(Settings!$B$6="Biweekly",Settings!$B$7+14*($A19-1),IF(Settings!$B$6="Semi-monthly",IF(MOD($A19,2)=1,DATE(YEAR(Settings!$B$5),MONTH(Settings!$B$5)+INT(($A19-1)/2),15),EOMONTH(Settings!$B$5,INT(($A19-1)/2))),EOMONTH(Settings!$B$5,$A19-1)))))</f>
        <v/>
      </c>
      <c r="D19" s="16">
        <f>IF(C19="",0,IF(AND(C19&gt;=Settings!$B$5,C19&lt;=Settings!$B$12),1,0))</f>
        <v/>
      </c>
      <c r="E19" s="15">
        <f>IF(D19=0,"",IF($A19=1,MIN(B19,Settings!$B$5),B19))</f>
        <v/>
      </c>
      <c r="F19" s="15">
        <f>IF(D19=0,"",IF(D20=1,C19,MAX(C19,Settings!$B$12)))</f>
        <v/>
      </c>
    </row>
    <row r="20">
      <c r="A20" s="16" t="n">
        <v>16</v>
      </c>
      <c r="B20" s="15">
        <f>IF(C20="","",C19+1)</f>
        <v/>
      </c>
      <c r="C20" s="15">
        <f>IF($A20&gt;Settings!$B$14,"",IF(Settings!$B$6="Weekly",Settings!$B$7+7*($A20-1),IF(Settings!$B$6="Biweekly",Settings!$B$7+14*($A20-1),IF(Settings!$B$6="Semi-monthly",IF(MOD($A20,2)=1,DATE(YEAR(Settings!$B$5),MONTH(Settings!$B$5)+INT(($A20-1)/2),15),EOMONTH(Settings!$B$5,INT(($A20-1)/2))),EOMONTH(Settings!$B$5,$A20-1)))))</f>
        <v/>
      </c>
      <c r="D20" s="16">
        <f>IF(C20="",0,IF(AND(C20&gt;=Settings!$B$5,C20&lt;=Settings!$B$12),1,0))</f>
        <v/>
      </c>
      <c r="E20" s="15">
        <f>IF(D20=0,"",IF($A20=1,MIN(B20,Settings!$B$5),B20))</f>
        <v/>
      </c>
      <c r="F20" s="15">
        <f>IF(D20=0,"",IF(D21=1,C20,MAX(C20,Settings!$B$12)))</f>
        <v/>
      </c>
    </row>
    <row r="21">
      <c r="A21" s="16" t="n">
        <v>17</v>
      </c>
      <c r="B21" s="15">
        <f>IF(C21="","",C20+1)</f>
        <v/>
      </c>
      <c r="C21" s="15">
        <f>IF($A21&gt;Settings!$B$14,"",IF(Settings!$B$6="Weekly",Settings!$B$7+7*($A21-1),IF(Settings!$B$6="Biweekly",Settings!$B$7+14*($A21-1),IF(Settings!$B$6="Semi-monthly",IF(MOD($A21,2)=1,DATE(YEAR(Settings!$B$5),MONTH(Settings!$B$5)+INT(($A21-1)/2),15),EOMONTH(Settings!$B$5,INT(($A21-1)/2))),EOMONTH(Settings!$B$5,$A21-1)))))</f>
        <v/>
      </c>
      <c r="D21" s="16">
        <f>IF(C21="",0,IF(AND(C21&gt;=Settings!$B$5,C21&lt;=Settings!$B$12),1,0))</f>
        <v/>
      </c>
      <c r="E21" s="15">
        <f>IF(D21=0,"",IF($A21=1,MIN(B21,Settings!$B$5),B21))</f>
        <v/>
      </c>
      <c r="F21" s="15">
        <f>IF(D21=0,"",IF(D22=1,C21,MAX(C21,Settings!$B$12)))</f>
        <v/>
      </c>
    </row>
    <row r="22">
      <c r="A22" s="16" t="n">
        <v>18</v>
      </c>
      <c r="B22" s="15">
        <f>IF(C22="","",C21+1)</f>
        <v/>
      </c>
      <c r="C22" s="15">
        <f>IF($A22&gt;Settings!$B$14,"",IF(Settings!$B$6="Weekly",Settings!$B$7+7*($A22-1),IF(Settings!$B$6="Biweekly",Settings!$B$7+14*($A22-1),IF(Settings!$B$6="Semi-monthly",IF(MOD($A22,2)=1,DATE(YEAR(Settings!$B$5),MONTH(Settings!$B$5)+INT(($A22-1)/2),15),EOMONTH(Settings!$B$5,INT(($A22-1)/2))),EOMONTH(Settings!$B$5,$A22-1)))))</f>
        <v/>
      </c>
      <c r="D22" s="16">
        <f>IF(C22="",0,IF(AND(C22&gt;=Settings!$B$5,C22&lt;=Settings!$B$12),1,0))</f>
        <v/>
      </c>
      <c r="E22" s="15">
        <f>IF(D22=0,"",IF($A22=1,MIN(B22,Settings!$B$5),B22))</f>
        <v/>
      </c>
      <c r="F22" s="15">
        <f>IF(D22=0,"",IF(D23=1,C22,MAX(C22,Settings!$B$12)))</f>
        <v/>
      </c>
    </row>
    <row r="23">
      <c r="A23" s="16" t="n">
        <v>19</v>
      </c>
      <c r="B23" s="15">
        <f>IF(C23="","",C22+1)</f>
        <v/>
      </c>
      <c r="C23" s="15">
        <f>IF($A23&gt;Settings!$B$14,"",IF(Settings!$B$6="Weekly",Settings!$B$7+7*($A23-1),IF(Settings!$B$6="Biweekly",Settings!$B$7+14*($A23-1),IF(Settings!$B$6="Semi-monthly",IF(MOD($A23,2)=1,DATE(YEAR(Settings!$B$5),MONTH(Settings!$B$5)+INT(($A23-1)/2),15),EOMONTH(Settings!$B$5,INT(($A23-1)/2))),EOMONTH(Settings!$B$5,$A23-1)))))</f>
        <v/>
      </c>
      <c r="D23" s="16">
        <f>IF(C23="",0,IF(AND(C23&gt;=Settings!$B$5,C23&lt;=Settings!$B$12),1,0))</f>
        <v/>
      </c>
      <c r="E23" s="15">
        <f>IF(D23=0,"",IF($A23=1,MIN(B23,Settings!$B$5),B23))</f>
        <v/>
      </c>
      <c r="F23" s="15">
        <f>IF(D23=0,"",IF(D24=1,C23,MAX(C23,Settings!$B$12)))</f>
        <v/>
      </c>
    </row>
    <row r="24">
      <c r="A24" s="16" t="n">
        <v>20</v>
      </c>
      <c r="B24" s="15">
        <f>IF(C24="","",C23+1)</f>
        <v/>
      </c>
      <c r="C24" s="15">
        <f>IF($A24&gt;Settings!$B$14,"",IF(Settings!$B$6="Weekly",Settings!$B$7+7*($A24-1),IF(Settings!$B$6="Biweekly",Settings!$B$7+14*($A24-1),IF(Settings!$B$6="Semi-monthly",IF(MOD($A24,2)=1,DATE(YEAR(Settings!$B$5),MONTH(Settings!$B$5)+INT(($A24-1)/2),15),EOMONTH(Settings!$B$5,INT(($A24-1)/2))),EOMONTH(Settings!$B$5,$A24-1)))))</f>
        <v/>
      </c>
      <c r="D24" s="16">
        <f>IF(C24="",0,IF(AND(C24&gt;=Settings!$B$5,C24&lt;=Settings!$B$12),1,0))</f>
        <v/>
      </c>
      <c r="E24" s="15">
        <f>IF(D24=0,"",IF($A24=1,MIN(B24,Settings!$B$5),B24))</f>
        <v/>
      </c>
      <c r="F24" s="15">
        <f>IF(D24=0,"",IF(D25=1,C24,MAX(C24,Settings!$B$12)))</f>
        <v/>
      </c>
    </row>
    <row r="25">
      <c r="A25" s="16" t="n">
        <v>21</v>
      </c>
      <c r="B25" s="15">
        <f>IF(C25="","",C24+1)</f>
        <v/>
      </c>
      <c r="C25" s="15">
        <f>IF($A25&gt;Settings!$B$14,"",IF(Settings!$B$6="Weekly",Settings!$B$7+7*($A25-1),IF(Settings!$B$6="Biweekly",Settings!$B$7+14*($A25-1),IF(Settings!$B$6="Semi-monthly",IF(MOD($A25,2)=1,DATE(YEAR(Settings!$B$5),MONTH(Settings!$B$5)+INT(($A25-1)/2),15),EOMONTH(Settings!$B$5,INT(($A25-1)/2))),EOMONTH(Settings!$B$5,$A25-1)))))</f>
        <v/>
      </c>
      <c r="D25" s="16">
        <f>IF(C25="",0,IF(AND(C25&gt;=Settings!$B$5,C25&lt;=Settings!$B$12),1,0))</f>
        <v/>
      </c>
      <c r="E25" s="15">
        <f>IF(D25=0,"",IF($A25=1,MIN(B25,Settings!$B$5),B25))</f>
        <v/>
      </c>
      <c r="F25" s="15">
        <f>IF(D25=0,"",IF(D26=1,C25,MAX(C25,Settings!$B$12)))</f>
        <v/>
      </c>
    </row>
    <row r="26">
      <c r="A26" s="16" t="n">
        <v>22</v>
      </c>
      <c r="B26" s="15">
        <f>IF(C26="","",C25+1)</f>
        <v/>
      </c>
      <c r="C26" s="15">
        <f>IF($A26&gt;Settings!$B$14,"",IF(Settings!$B$6="Weekly",Settings!$B$7+7*($A26-1),IF(Settings!$B$6="Biweekly",Settings!$B$7+14*($A26-1),IF(Settings!$B$6="Semi-monthly",IF(MOD($A26,2)=1,DATE(YEAR(Settings!$B$5),MONTH(Settings!$B$5)+INT(($A26-1)/2),15),EOMONTH(Settings!$B$5,INT(($A26-1)/2))),EOMONTH(Settings!$B$5,$A26-1)))))</f>
        <v/>
      </c>
      <c r="D26" s="16">
        <f>IF(C26="",0,IF(AND(C26&gt;=Settings!$B$5,C26&lt;=Settings!$B$12),1,0))</f>
        <v/>
      </c>
      <c r="E26" s="15">
        <f>IF(D26=0,"",IF($A26=1,MIN(B26,Settings!$B$5),B26))</f>
        <v/>
      </c>
      <c r="F26" s="15">
        <f>IF(D26=0,"",IF(D27=1,C26,MAX(C26,Settings!$B$12)))</f>
        <v/>
      </c>
    </row>
    <row r="27">
      <c r="A27" s="16" t="n">
        <v>23</v>
      </c>
      <c r="B27" s="15">
        <f>IF(C27="","",C26+1)</f>
        <v/>
      </c>
      <c r="C27" s="15">
        <f>IF($A27&gt;Settings!$B$14,"",IF(Settings!$B$6="Weekly",Settings!$B$7+7*($A27-1),IF(Settings!$B$6="Biweekly",Settings!$B$7+14*($A27-1),IF(Settings!$B$6="Semi-monthly",IF(MOD($A27,2)=1,DATE(YEAR(Settings!$B$5),MONTH(Settings!$B$5)+INT(($A27-1)/2),15),EOMONTH(Settings!$B$5,INT(($A27-1)/2))),EOMONTH(Settings!$B$5,$A27-1)))))</f>
        <v/>
      </c>
      <c r="D27" s="16">
        <f>IF(C27="",0,IF(AND(C27&gt;=Settings!$B$5,C27&lt;=Settings!$B$12),1,0))</f>
        <v/>
      </c>
      <c r="E27" s="15">
        <f>IF(D27=0,"",IF($A27=1,MIN(B27,Settings!$B$5),B27))</f>
        <v/>
      </c>
      <c r="F27" s="15">
        <f>IF(D27=0,"",IF(D28=1,C27,MAX(C27,Settings!$B$12)))</f>
        <v/>
      </c>
    </row>
    <row r="28">
      <c r="A28" s="16" t="n">
        <v>24</v>
      </c>
      <c r="B28" s="15">
        <f>IF(C28="","",C27+1)</f>
        <v/>
      </c>
      <c r="C28" s="15">
        <f>IF($A28&gt;Settings!$B$14,"",IF(Settings!$B$6="Weekly",Settings!$B$7+7*($A28-1),IF(Settings!$B$6="Biweekly",Settings!$B$7+14*($A28-1),IF(Settings!$B$6="Semi-monthly",IF(MOD($A28,2)=1,DATE(YEAR(Settings!$B$5),MONTH(Settings!$B$5)+INT(($A28-1)/2),15),EOMONTH(Settings!$B$5,INT(($A28-1)/2))),EOMONTH(Settings!$B$5,$A28-1)))))</f>
        <v/>
      </c>
      <c r="D28" s="16">
        <f>IF(C28="",0,IF(AND(C28&gt;=Settings!$B$5,C28&lt;=Settings!$B$12),1,0))</f>
        <v/>
      </c>
      <c r="E28" s="15">
        <f>IF(D28=0,"",IF($A28=1,MIN(B28,Settings!$B$5),B28))</f>
        <v/>
      </c>
      <c r="F28" s="15">
        <f>IF(D28=0,"",IF(D29=1,C28,MAX(C28,Settings!$B$12)))</f>
        <v/>
      </c>
    </row>
    <row r="29">
      <c r="A29" s="16" t="n">
        <v>25</v>
      </c>
      <c r="B29" s="15">
        <f>IF(C29="","",C28+1)</f>
        <v/>
      </c>
      <c r="C29" s="15">
        <f>IF($A29&gt;Settings!$B$14,"",IF(Settings!$B$6="Weekly",Settings!$B$7+7*($A29-1),IF(Settings!$B$6="Biweekly",Settings!$B$7+14*($A29-1),IF(Settings!$B$6="Semi-monthly",IF(MOD($A29,2)=1,DATE(YEAR(Settings!$B$5),MONTH(Settings!$B$5)+INT(($A29-1)/2),15),EOMONTH(Settings!$B$5,INT(($A29-1)/2))),EOMONTH(Settings!$B$5,$A29-1)))))</f>
        <v/>
      </c>
      <c r="D29" s="16">
        <f>IF(C29="",0,IF(AND(C29&gt;=Settings!$B$5,C29&lt;=Settings!$B$12),1,0))</f>
        <v/>
      </c>
      <c r="E29" s="15">
        <f>IF(D29=0,"",IF($A29=1,MIN(B29,Settings!$B$5),B29))</f>
        <v/>
      </c>
      <c r="F29" s="15">
        <f>IF(D29=0,"",IF(D30=1,C29,MAX(C29,Settings!$B$12)))</f>
        <v/>
      </c>
    </row>
    <row r="30">
      <c r="A30" s="16" t="n">
        <v>26</v>
      </c>
      <c r="B30" s="15">
        <f>IF(C30="","",C29+1)</f>
        <v/>
      </c>
      <c r="C30" s="15">
        <f>IF($A30&gt;Settings!$B$14,"",IF(Settings!$B$6="Weekly",Settings!$B$7+7*($A30-1),IF(Settings!$B$6="Biweekly",Settings!$B$7+14*($A30-1),IF(Settings!$B$6="Semi-monthly",IF(MOD($A30,2)=1,DATE(YEAR(Settings!$B$5),MONTH(Settings!$B$5)+INT(($A30-1)/2),15),EOMONTH(Settings!$B$5,INT(($A30-1)/2))),EOMONTH(Settings!$B$5,$A30-1)))))</f>
        <v/>
      </c>
      <c r="D30" s="16">
        <f>IF(C30="",0,IF(AND(C30&gt;=Settings!$B$5,C30&lt;=Settings!$B$12),1,0))</f>
        <v/>
      </c>
      <c r="E30" s="15">
        <f>IF(D30=0,"",IF($A30=1,MIN(B30,Settings!$B$5),B30))</f>
        <v/>
      </c>
      <c r="F30" s="15">
        <f>IF(D30=0,"",IF(D31=1,C30,MAX(C30,Settings!$B$12)))</f>
        <v/>
      </c>
    </row>
    <row r="31">
      <c r="A31" s="16" t="n">
        <v>27</v>
      </c>
      <c r="B31" s="15">
        <f>IF(C31="","",C30+1)</f>
        <v/>
      </c>
      <c r="C31" s="15">
        <f>IF($A31&gt;Settings!$B$14,"",IF(Settings!$B$6="Weekly",Settings!$B$7+7*($A31-1),IF(Settings!$B$6="Biweekly",Settings!$B$7+14*($A31-1),IF(Settings!$B$6="Semi-monthly",IF(MOD($A31,2)=1,DATE(YEAR(Settings!$B$5),MONTH(Settings!$B$5)+INT(($A31-1)/2),15),EOMONTH(Settings!$B$5,INT(($A31-1)/2))),EOMONTH(Settings!$B$5,$A31-1)))))</f>
        <v/>
      </c>
      <c r="D31" s="16">
        <f>IF(C31="",0,IF(AND(C31&gt;=Settings!$B$5,C31&lt;=Settings!$B$12),1,0))</f>
        <v/>
      </c>
      <c r="E31" s="15">
        <f>IF(D31=0,"",IF($A31=1,MIN(B31,Settings!$B$5),B31))</f>
        <v/>
      </c>
      <c r="F31" s="15">
        <f>IF(D31=0,"",IF(D32=1,C31,MAX(C31,Settings!$B$12)))</f>
        <v/>
      </c>
    </row>
    <row r="32">
      <c r="A32" s="16" t="n">
        <v>28</v>
      </c>
      <c r="B32" s="15">
        <f>IF(C32="","",C31+1)</f>
        <v/>
      </c>
      <c r="C32" s="15">
        <f>IF($A32&gt;Settings!$B$14,"",IF(Settings!$B$6="Weekly",Settings!$B$7+7*($A32-1),IF(Settings!$B$6="Biweekly",Settings!$B$7+14*($A32-1),IF(Settings!$B$6="Semi-monthly",IF(MOD($A32,2)=1,DATE(YEAR(Settings!$B$5),MONTH(Settings!$B$5)+INT(($A32-1)/2),15),EOMONTH(Settings!$B$5,INT(($A32-1)/2))),EOMONTH(Settings!$B$5,$A32-1)))))</f>
        <v/>
      </c>
      <c r="D32" s="16">
        <f>IF(C32="",0,IF(AND(C32&gt;=Settings!$B$5,C32&lt;=Settings!$B$12),1,0))</f>
        <v/>
      </c>
      <c r="E32" s="15">
        <f>IF(D32=0,"",IF($A32=1,MIN(B32,Settings!$B$5),B32))</f>
        <v/>
      </c>
      <c r="F32" s="15">
        <f>IF(D32=0,"",IF(D33=1,C32,MAX(C32,Settings!$B$12)))</f>
        <v/>
      </c>
    </row>
    <row r="33">
      <c r="A33" s="16" t="n">
        <v>29</v>
      </c>
      <c r="B33" s="15">
        <f>IF(C33="","",C32+1)</f>
        <v/>
      </c>
      <c r="C33" s="15">
        <f>IF($A33&gt;Settings!$B$14,"",IF(Settings!$B$6="Weekly",Settings!$B$7+7*($A33-1),IF(Settings!$B$6="Biweekly",Settings!$B$7+14*($A33-1),IF(Settings!$B$6="Semi-monthly",IF(MOD($A33,2)=1,DATE(YEAR(Settings!$B$5),MONTH(Settings!$B$5)+INT(($A33-1)/2),15),EOMONTH(Settings!$B$5,INT(($A33-1)/2))),EOMONTH(Settings!$B$5,$A33-1)))))</f>
        <v/>
      </c>
      <c r="D33" s="16">
        <f>IF(C33="",0,IF(AND(C33&gt;=Settings!$B$5,C33&lt;=Settings!$B$12),1,0))</f>
        <v/>
      </c>
      <c r="E33" s="15">
        <f>IF(D33=0,"",IF($A33=1,MIN(B33,Settings!$B$5),B33))</f>
        <v/>
      </c>
      <c r="F33" s="15">
        <f>IF(D33=0,"",IF(D34=1,C33,MAX(C33,Settings!$B$12)))</f>
        <v/>
      </c>
    </row>
    <row r="34">
      <c r="A34" s="16" t="n">
        <v>30</v>
      </c>
      <c r="B34" s="15">
        <f>IF(C34="","",C33+1)</f>
        <v/>
      </c>
      <c r="C34" s="15">
        <f>IF($A34&gt;Settings!$B$14,"",IF(Settings!$B$6="Weekly",Settings!$B$7+7*($A34-1),IF(Settings!$B$6="Biweekly",Settings!$B$7+14*($A34-1),IF(Settings!$B$6="Semi-monthly",IF(MOD($A34,2)=1,DATE(YEAR(Settings!$B$5),MONTH(Settings!$B$5)+INT(($A34-1)/2),15),EOMONTH(Settings!$B$5,INT(($A34-1)/2))),EOMONTH(Settings!$B$5,$A34-1)))))</f>
        <v/>
      </c>
      <c r="D34" s="16">
        <f>IF(C34="",0,IF(AND(C34&gt;=Settings!$B$5,C34&lt;=Settings!$B$12),1,0))</f>
        <v/>
      </c>
      <c r="E34" s="15">
        <f>IF(D34=0,"",IF($A34=1,MIN(B34,Settings!$B$5),B34))</f>
        <v/>
      </c>
      <c r="F34" s="15">
        <f>IF(D34=0,"",IF(D35=1,C34,MAX(C34,Settings!$B$12)))</f>
        <v/>
      </c>
    </row>
    <row r="35">
      <c r="A35" s="16" t="n">
        <v>31</v>
      </c>
      <c r="B35" s="15">
        <f>IF(C35="","",C34+1)</f>
        <v/>
      </c>
      <c r="C35" s="15">
        <f>IF($A35&gt;Settings!$B$14,"",IF(Settings!$B$6="Weekly",Settings!$B$7+7*($A35-1),IF(Settings!$B$6="Biweekly",Settings!$B$7+14*($A35-1),IF(Settings!$B$6="Semi-monthly",IF(MOD($A35,2)=1,DATE(YEAR(Settings!$B$5),MONTH(Settings!$B$5)+INT(($A35-1)/2),15),EOMONTH(Settings!$B$5,INT(($A35-1)/2))),EOMONTH(Settings!$B$5,$A35-1)))))</f>
        <v/>
      </c>
      <c r="D35" s="16">
        <f>IF(C35="",0,IF(AND(C35&gt;=Settings!$B$5,C35&lt;=Settings!$B$12),1,0))</f>
        <v/>
      </c>
      <c r="E35" s="15">
        <f>IF(D35=0,"",IF($A35=1,MIN(B35,Settings!$B$5),B35))</f>
        <v/>
      </c>
      <c r="F35" s="15">
        <f>IF(D35=0,"",IF(D36=1,C35,MAX(C35,Settings!$B$12)))</f>
        <v/>
      </c>
    </row>
    <row r="36">
      <c r="A36" s="16" t="n">
        <v>32</v>
      </c>
      <c r="B36" s="15">
        <f>IF(C36="","",C35+1)</f>
        <v/>
      </c>
      <c r="C36" s="15">
        <f>IF($A36&gt;Settings!$B$14,"",IF(Settings!$B$6="Weekly",Settings!$B$7+7*($A36-1),IF(Settings!$B$6="Biweekly",Settings!$B$7+14*($A36-1),IF(Settings!$B$6="Semi-monthly",IF(MOD($A36,2)=1,DATE(YEAR(Settings!$B$5),MONTH(Settings!$B$5)+INT(($A36-1)/2),15),EOMONTH(Settings!$B$5,INT(($A36-1)/2))),EOMONTH(Settings!$B$5,$A36-1)))))</f>
        <v/>
      </c>
      <c r="D36" s="16">
        <f>IF(C36="",0,IF(AND(C36&gt;=Settings!$B$5,C36&lt;=Settings!$B$12),1,0))</f>
        <v/>
      </c>
      <c r="E36" s="15">
        <f>IF(D36=0,"",IF($A36=1,MIN(B36,Settings!$B$5),B36))</f>
        <v/>
      </c>
      <c r="F36" s="15">
        <f>IF(D36=0,"",IF(D37=1,C36,MAX(C36,Settings!$B$12)))</f>
        <v/>
      </c>
    </row>
    <row r="37">
      <c r="A37" s="16" t="n">
        <v>33</v>
      </c>
      <c r="B37" s="15">
        <f>IF(C37="","",C36+1)</f>
        <v/>
      </c>
      <c r="C37" s="15">
        <f>IF($A37&gt;Settings!$B$14,"",IF(Settings!$B$6="Weekly",Settings!$B$7+7*($A37-1),IF(Settings!$B$6="Biweekly",Settings!$B$7+14*($A37-1),IF(Settings!$B$6="Semi-monthly",IF(MOD($A37,2)=1,DATE(YEAR(Settings!$B$5),MONTH(Settings!$B$5)+INT(($A37-1)/2),15),EOMONTH(Settings!$B$5,INT(($A37-1)/2))),EOMONTH(Settings!$B$5,$A37-1)))))</f>
        <v/>
      </c>
      <c r="D37" s="16">
        <f>IF(C37="",0,IF(AND(C37&gt;=Settings!$B$5,C37&lt;=Settings!$B$12),1,0))</f>
        <v/>
      </c>
      <c r="E37" s="15">
        <f>IF(D37=0,"",IF($A37=1,MIN(B37,Settings!$B$5),B37))</f>
        <v/>
      </c>
      <c r="F37" s="15">
        <f>IF(D37=0,"",IF(D38=1,C37,MAX(C37,Settings!$B$12)))</f>
        <v/>
      </c>
    </row>
    <row r="38">
      <c r="A38" s="16" t="n">
        <v>34</v>
      </c>
      <c r="B38" s="15">
        <f>IF(C38="","",C37+1)</f>
        <v/>
      </c>
      <c r="C38" s="15">
        <f>IF($A38&gt;Settings!$B$14,"",IF(Settings!$B$6="Weekly",Settings!$B$7+7*($A38-1),IF(Settings!$B$6="Biweekly",Settings!$B$7+14*($A38-1),IF(Settings!$B$6="Semi-monthly",IF(MOD($A38,2)=1,DATE(YEAR(Settings!$B$5),MONTH(Settings!$B$5)+INT(($A38-1)/2),15),EOMONTH(Settings!$B$5,INT(($A38-1)/2))),EOMONTH(Settings!$B$5,$A38-1)))))</f>
        <v/>
      </c>
      <c r="D38" s="16">
        <f>IF(C38="",0,IF(AND(C38&gt;=Settings!$B$5,C38&lt;=Settings!$B$12),1,0))</f>
        <v/>
      </c>
      <c r="E38" s="15">
        <f>IF(D38=0,"",IF($A38=1,MIN(B38,Settings!$B$5),B38))</f>
        <v/>
      </c>
      <c r="F38" s="15">
        <f>IF(D38=0,"",IF(D39=1,C38,MAX(C38,Settings!$B$12)))</f>
        <v/>
      </c>
    </row>
    <row r="39">
      <c r="A39" s="16" t="n">
        <v>35</v>
      </c>
      <c r="B39" s="15">
        <f>IF(C39="","",C38+1)</f>
        <v/>
      </c>
      <c r="C39" s="15">
        <f>IF($A39&gt;Settings!$B$14,"",IF(Settings!$B$6="Weekly",Settings!$B$7+7*($A39-1),IF(Settings!$B$6="Biweekly",Settings!$B$7+14*($A39-1),IF(Settings!$B$6="Semi-monthly",IF(MOD($A39,2)=1,DATE(YEAR(Settings!$B$5),MONTH(Settings!$B$5)+INT(($A39-1)/2),15),EOMONTH(Settings!$B$5,INT(($A39-1)/2))),EOMONTH(Settings!$B$5,$A39-1)))))</f>
        <v/>
      </c>
      <c r="D39" s="16">
        <f>IF(C39="",0,IF(AND(C39&gt;=Settings!$B$5,C39&lt;=Settings!$B$12),1,0))</f>
        <v/>
      </c>
      <c r="E39" s="15">
        <f>IF(D39=0,"",IF($A39=1,MIN(B39,Settings!$B$5),B39))</f>
        <v/>
      </c>
      <c r="F39" s="15">
        <f>IF(D39=0,"",IF(D40=1,C39,MAX(C39,Settings!$B$12)))</f>
        <v/>
      </c>
    </row>
    <row r="40">
      <c r="A40" s="16" t="n">
        <v>36</v>
      </c>
      <c r="B40" s="15">
        <f>IF(C40="","",C39+1)</f>
        <v/>
      </c>
      <c r="C40" s="15">
        <f>IF($A40&gt;Settings!$B$14,"",IF(Settings!$B$6="Weekly",Settings!$B$7+7*($A40-1),IF(Settings!$B$6="Biweekly",Settings!$B$7+14*($A40-1),IF(Settings!$B$6="Semi-monthly",IF(MOD($A40,2)=1,DATE(YEAR(Settings!$B$5),MONTH(Settings!$B$5)+INT(($A40-1)/2),15),EOMONTH(Settings!$B$5,INT(($A40-1)/2))),EOMONTH(Settings!$B$5,$A40-1)))))</f>
        <v/>
      </c>
      <c r="D40" s="16">
        <f>IF(C40="",0,IF(AND(C40&gt;=Settings!$B$5,C40&lt;=Settings!$B$12),1,0))</f>
        <v/>
      </c>
      <c r="E40" s="15">
        <f>IF(D40=0,"",IF($A40=1,MIN(B40,Settings!$B$5),B40))</f>
        <v/>
      </c>
      <c r="F40" s="15">
        <f>IF(D40=0,"",IF(D41=1,C40,MAX(C40,Settings!$B$12)))</f>
        <v/>
      </c>
    </row>
    <row r="41">
      <c r="A41" s="16" t="n">
        <v>37</v>
      </c>
      <c r="B41" s="15">
        <f>IF(C41="","",C40+1)</f>
        <v/>
      </c>
      <c r="C41" s="15">
        <f>IF($A41&gt;Settings!$B$14,"",IF(Settings!$B$6="Weekly",Settings!$B$7+7*($A41-1),IF(Settings!$B$6="Biweekly",Settings!$B$7+14*($A41-1),IF(Settings!$B$6="Semi-monthly",IF(MOD($A41,2)=1,DATE(YEAR(Settings!$B$5),MONTH(Settings!$B$5)+INT(($A41-1)/2),15),EOMONTH(Settings!$B$5,INT(($A41-1)/2))),EOMONTH(Settings!$B$5,$A41-1)))))</f>
        <v/>
      </c>
      <c r="D41" s="16">
        <f>IF(C41="",0,IF(AND(C41&gt;=Settings!$B$5,C41&lt;=Settings!$B$12),1,0))</f>
        <v/>
      </c>
      <c r="E41" s="15">
        <f>IF(D41=0,"",IF($A41=1,MIN(B41,Settings!$B$5),B41))</f>
        <v/>
      </c>
      <c r="F41" s="15">
        <f>IF(D41=0,"",IF(D42=1,C41,MAX(C41,Settings!$B$12)))</f>
        <v/>
      </c>
    </row>
    <row r="42">
      <c r="A42" s="16" t="n">
        <v>38</v>
      </c>
      <c r="B42" s="15">
        <f>IF(C42="","",C41+1)</f>
        <v/>
      </c>
      <c r="C42" s="15">
        <f>IF($A42&gt;Settings!$B$14,"",IF(Settings!$B$6="Weekly",Settings!$B$7+7*($A42-1),IF(Settings!$B$6="Biweekly",Settings!$B$7+14*($A42-1),IF(Settings!$B$6="Semi-monthly",IF(MOD($A42,2)=1,DATE(YEAR(Settings!$B$5),MONTH(Settings!$B$5)+INT(($A42-1)/2),15),EOMONTH(Settings!$B$5,INT(($A42-1)/2))),EOMONTH(Settings!$B$5,$A42-1)))))</f>
        <v/>
      </c>
      <c r="D42" s="16">
        <f>IF(C42="",0,IF(AND(C42&gt;=Settings!$B$5,C42&lt;=Settings!$B$12),1,0))</f>
        <v/>
      </c>
      <c r="E42" s="15">
        <f>IF(D42=0,"",IF($A42=1,MIN(B42,Settings!$B$5),B42))</f>
        <v/>
      </c>
      <c r="F42" s="15">
        <f>IF(D42=0,"",IF(D43=1,C42,MAX(C42,Settings!$B$12)))</f>
        <v/>
      </c>
    </row>
    <row r="43">
      <c r="A43" s="16" t="n">
        <v>39</v>
      </c>
      <c r="B43" s="15">
        <f>IF(C43="","",C42+1)</f>
        <v/>
      </c>
      <c r="C43" s="15">
        <f>IF($A43&gt;Settings!$B$14,"",IF(Settings!$B$6="Weekly",Settings!$B$7+7*($A43-1),IF(Settings!$B$6="Biweekly",Settings!$B$7+14*($A43-1),IF(Settings!$B$6="Semi-monthly",IF(MOD($A43,2)=1,DATE(YEAR(Settings!$B$5),MONTH(Settings!$B$5)+INT(($A43-1)/2),15),EOMONTH(Settings!$B$5,INT(($A43-1)/2))),EOMONTH(Settings!$B$5,$A43-1)))))</f>
        <v/>
      </c>
      <c r="D43" s="16">
        <f>IF(C43="",0,IF(AND(C43&gt;=Settings!$B$5,C43&lt;=Settings!$B$12),1,0))</f>
        <v/>
      </c>
      <c r="E43" s="15">
        <f>IF(D43=0,"",IF($A43=1,MIN(B43,Settings!$B$5),B43))</f>
        <v/>
      </c>
      <c r="F43" s="15">
        <f>IF(D43=0,"",IF(D44=1,C43,MAX(C43,Settings!$B$12)))</f>
        <v/>
      </c>
    </row>
    <row r="44">
      <c r="A44" s="16" t="n">
        <v>40</v>
      </c>
      <c r="B44" s="15">
        <f>IF(C44="","",C43+1)</f>
        <v/>
      </c>
      <c r="C44" s="15">
        <f>IF($A44&gt;Settings!$B$14,"",IF(Settings!$B$6="Weekly",Settings!$B$7+7*($A44-1),IF(Settings!$B$6="Biweekly",Settings!$B$7+14*($A44-1),IF(Settings!$B$6="Semi-monthly",IF(MOD($A44,2)=1,DATE(YEAR(Settings!$B$5),MONTH(Settings!$B$5)+INT(($A44-1)/2),15),EOMONTH(Settings!$B$5,INT(($A44-1)/2))),EOMONTH(Settings!$B$5,$A44-1)))))</f>
        <v/>
      </c>
      <c r="D44" s="16">
        <f>IF(C44="",0,IF(AND(C44&gt;=Settings!$B$5,C44&lt;=Settings!$B$12),1,0))</f>
        <v/>
      </c>
      <c r="E44" s="15">
        <f>IF(D44=0,"",IF($A44=1,MIN(B44,Settings!$B$5),B44))</f>
        <v/>
      </c>
      <c r="F44" s="15">
        <f>IF(D44=0,"",IF(D45=1,C44,MAX(C44,Settings!$B$12)))</f>
        <v/>
      </c>
    </row>
    <row r="45">
      <c r="A45" s="16" t="n">
        <v>41</v>
      </c>
      <c r="B45" s="15">
        <f>IF(C45="","",C44+1)</f>
        <v/>
      </c>
      <c r="C45" s="15">
        <f>IF($A45&gt;Settings!$B$14,"",IF(Settings!$B$6="Weekly",Settings!$B$7+7*($A45-1),IF(Settings!$B$6="Biweekly",Settings!$B$7+14*($A45-1),IF(Settings!$B$6="Semi-monthly",IF(MOD($A45,2)=1,DATE(YEAR(Settings!$B$5),MONTH(Settings!$B$5)+INT(($A45-1)/2),15),EOMONTH(Settings!$B$5,INT(($A45-1)/2))),EOMONTH(Settings!$B$5,$A45-1)))))</f>
        <v/>
      </c>
      <c r="D45" s="16">
        <f>IF(C45="",0,IF(AND(C45&gt;=Settings!$B$5,C45&lt;=Settings!$B$12),1,0))</f>
        <v/>
      </c>
      <c r="E45" s="15">
        <f>IF(D45=0,"",IF($A45=1,MIN(B45,Settings!$B$5),B45))</f>
        <v/>
      </c>
      <c r="F45" s="15">
        <f>IF(D45=0,"",IF(D46=1,C45,MAX(C45,Settings!$B$12)))</f>
        <v/>
      </c>
    </row>
    <row r="46">
      <c r="A46" s="16" t="n">
        <v>42</v>
      </c>
      <c r="B46" s="15">
        <f>IF(C46="","",C45+1)</f>
        <v/>
      </c>
      <c r="C46" s="15">
        <f>IF($A46&gt;Settings!$B$14,"",IF(Settings!$B$6="Weekly",Settings!$B$7+7*($A46-1),IF(Settings!$B$6="Biweekly",Settings!$B$7+14*($A46-1),IF(Settings!$B$6="Semi-monthly",IF(MOD($A46,2)=1,DATE(YEAR(Settings!$B$5),MONTH(Settings!$B$5)+INT(($A46-1)/2),15),EOMONTH(Settings!$B$5,INT(($A46-1)/2))),EOMONTH(Settings!$B$5,$A46-1)))))</f>
        <v/>
      </c>
      <c r="D46" s="16">
        <f>IF(C46="",0,IF(AND(C46&gt;=Settings!$B$5,C46&lt;=Settings!$B$12),1,0))</f>
        <v/>
      </c>
      <c r="E46" s="15">
        <f>IF(D46=0,"",IF($A46=1,MIN(B46,Settings!$B$5),B46))</f>
        <v/>
      </c>
      <c r="F46" s="15">
        <f>IF(D46=0,"",IF(D47=1,C46,MAX(C46,Settings!$B$12)))</f>
        <v/>
      </c>
    </row>
    <row r="47">
      <c r="A47" s="16" t="n">
        <v>43</v>
      </c>
      <c r="B47" s="15">
        <f>IF(C47="","",C46+1)</f>
        <v/>
      </c>
      <c r="C47" s="15">
        <f>IF($A47&gt;Settings!$B$14,"",IF(Settings!$B$6="Weekly",Settings!$B$7+7*($A47-1),IF(Settings!$B$6="Biweekly",Settings!$B$7+14*($A47-1),IF(Settings!$B$6="Semi-monthly",IF(MOD($A47,2)=1,DATE(YEAR(Settings!$B$5),MONTH(Settings!$B$5)+INT(($A47-1)/2),15),EOMONTH(Settings!$B$5,INT(($A47-1)/2))),EOMONTH(Settings!$B$5,$A47-1)))))</f>
        <v/>
      </c>
      <c r="D47" s="16">
        <f>IF(C47="",0,IF(AND(C47&gt;=Settings!$B$5,C47&lt;=Settings!$B$12),1,0))</f>
        <v/>
      </c>
      <c r="E47" s="15">
        <f>IF(D47=0,"",IF($A47=1,MIN(B47,Settings!$B$5),B47))</f>
        <v/>
      </c>
      <c r="F47" s="15">
        <f>IF(D47=0,"",IF(D48=1,C47,MAX(C47,Settings!$B$12)))</f>
        <v/>
      </c>
    </row>
    <row r="48">
      <c r="A48" s="16" t="n">
        <v>44</v>
      </c>
      <c r="B48" s="15">
        <f>IF(C48="","",C47+1)</f>
        <v/>
      </c>
      <c r="C48" s="15">
        <f>IF($A48&gt;Settings!$B$14,"",IF(Settings!$B$6="Weekly",Settings!$B$7+7*($A48-1),IF(Settings!$B$6="Biweekly",Settings!$B$7+14*($A48-1),IF(Settings!$B$6="Semi-monthly",IF(MOD($A48,2)=1,DATE(YEAR(Settings!$B$5),MONTH(Settings!$B$5)+INT(($A48-1)/2),15),EOMONTH(Settings!$B$5,INT(($A48-1)/2))),EOMONTH(Settings!$B$5,$A48-1)))))</f>
        <v/>
      </c>
      <c r="D48" s="16">
        <f>IF(C48="",0,IF(AND(C48&gt;=Settings!$B$5,C48&lt;=Settings!$B$12),1,0))</f>
        <v/>
      </c>
      <c r="E48" s="15">
        <f>IF(D48=0,"",IF($A48=1,MIN(B48,Settings!$B$5),B48))</f>
        <v/>
      </c>
      <c r="F48" s="15">
        <f>IF(D48=0,"",IF(D49=1,C48,MAX(C48,Settings!$B$12)))</f>
        <v/>
      </c>
    </row>
    <row r="49">
      <c r="A49" s="16" t="n">
        <v>45</v>
      </c>
      <c r="B49" s="15">
        <f>IF(C49="","",C48+1)</f>
        <v/>
      </c>
      <c r="C49" s="15">
        <f>IF($A49&gt;Settings!$B$14,"",IF(Settings!$B$6="Weekly",Settings!$B$7+7*($A49-1),IF(Settings!$B$6="Biweekly",Settings!$B$7+14*($A49-1),IF(Settings!$B$6="Semi-monthly",IF(MOD($A49,2)=1,DATE(YEAR(Settings!$B$5),MONTH(Settings!$B$5)+INT(($A49-1)/2),15),EOMONTH(Settings!$B$5,INT(($A49-1)/2))),EOMONTH(Settings!$B$5,$A49-1)))))</f>
        <v/>
      </c>
      <c r="D49" s="16">
        <f>IF(C49="",0,IF(AND(C49&gt;=Settings!$B$5,C49&lt;=Settings!$B$12),1,0))</f>
        <v/>
      </c>
      <c r="E49" s="15">
        <f>IF(D49=0,"",IF($A49=1,MIN(B49,Settings!$B$5),B49))</f>
        <v/>
      </c>
      <c r="F49" s="15">
        <f>IF(D49=0,"",IF(D50=1,C49,MAX(C49,Settings!$B$12)))</f>
        <v/>
      </c>
    </row>
    <row r="50">
      <c r="A50" s="16" t="n">
        <v>46</v>
      </c>
      <c r="B50" s="15">
        <f>IF(C50="","",C49+1)</f>
        <v/>
      </c>
      <c r="C50" s="15">
        <f>IF($A50&gt;Settings!$B$14,"",IF(Settings!$B$6="Weekly",Settings!$B$7+7*($A50-1),IF(Settings!$B$6="Biweekly",Settings!$B$7+14*($A50-1),IF(Settings!$B$6="Semi-monthly",IF(MOD($A50,2)=1,DATE(YEAR(Settings!$B$5),MONTH(Settings!$B$5)+INT(($A50-1)/2),15),EOMONTH(Settings!$B$5,INT(($A50-1)/2))),EOMONTH(Settings!$B$5,$A50-1)))))</f>
        <v/>
      </c>
      <c r="D50" s="16">
        <f>IF(C50="",0,IF(AND(C50&gt;=Settings!$B$5,C50&lt;=Settings!$B$12),1,0))</f>
        <v/>
      </c>
      <c r="E50" s="15">
        <f>IF(D50=0,"",IF($A50=1,MIN(B50,Settings!$B$5),B50))</f>
        <v/>
      </c>
      <c r="F50" s="15">
        <f>IF(D50=0,"",IF(D51=1,C50,MAX(C50,Settings!$B$12)))</f>
        <v/>
      </c>
    </row>
    <row r="51">
      <c r="A51" s="16" t="n">
        <v>47</v>
      </c>
      <c r="B51" s="15">
        <f>IF(C51="","",C50+1)</f>
        <v/>
      </c>
      <c r="C51" s="15">
        <f>IF($A51&gt;Settings!$B$14,"",IF(Settings!$B$6="Weekly",Settings!$B$7+7*($A51-1),IF(Settings!$B$6="Biweekly",Settings!$B$7+14*($A51-1),IF(Settings!$B$6="Semi-monthly",IF(MOD($A51,2)=1,DATE(YEAR(Settings!$B$5),MONTH(Settings!$B$5)+INT(($A51-1)/2),15),EOMONTH(Settings!$B$5,INT(($A51-1)/2))),EOMONTH(Settings!$B$5,$A51-1)))))</f>
        <v/>
      </c>
      <c r="D51" s="16">
        <f>IF(C51="",0,IF(AND(C51&gt;=Settings!$B$5,C51&lt;=Settings!$B$12),1,0))</f>
        <v/>
      </c>
      <c r="E51" s="15">
        <f>IF(D51=0,"",IF($A51=1,MIN(B51,Settings!$B$5),B51))</f>
        <v/>
      </c>
      <c r="F51" s="15">
        <f>IF(D51=0,"",IF(D52=1,C51,MAX(C51,Settings!$B$12)))</f>
        <v/>
      </c>
    </row>
    <row r="52">
      <c r="A52" s="16" t="n">
        <v>48</v>
      </c>
      <c r="B52" s="15">
        <f>IF(C52="","",C51+1)</f>
        <v/>
      </c>
      <c r="C52" s="15">
        <f>IF($A52&gt;Settings!$B$14,"",IF(Settings!$B$6="Weekly",Settings!$B$7+7*($A52-1),IF(Settings!$B$6="Biweekly",Settings!$B$7+14*($A52-1),IF(Settings!$B$6="Semi-monthly",IF(MOD($A52,2)=1,DATE(YEAR(Settings!$B$5),MONTH(Settings!$B$5)+INT(($A52-1)/2),15),EOMONTH(Settings!$B$5,INT(($A52-1)/2))),EOMONTH(Settings!$B$5,$A52-1)))))</f>
        <v/>
      </c>
      <c r="D52" s="16">
        <f>IF(C52="",0,IF(AND(C52&gt;=Settings!$B$5,C52&lt;=Settings!$B$12),1,0))</f>
        <v/>
      </c>
      <c r="E52" s="15">
        <f>IF(D52=0,"",IF($A52=1,MIN(B52,Settings!$B$5),B52))</f>
        <v/>
      </c>
      <c r="F52" s="15">
        <f>IF(D52=0,"",IF(D53=1,C52,MAX(C52,Settings!$B$12)))</f>
        <v/>
      </c>
    </row>
    <row r="53">
      <c r="A53" s="16" t="n">
        <v>49</v>
      </c>
      <c r="B53" s="15">
        <f>IF(C53="","",C52+1)</f>
        <v/>
      </c>
      <c r="C53" s="15">
        <f>IF($A53&gt;Settings!$B$14,"",IF(Settings!$B$6="Weekly",Settings!$B$7+7*($A53-1),IF(Settings!$B$6="Biweekly",Settings!$B$7+14*($A53-1),IF(Settings!$B$6="Semi-monthly",IF(MOD($A53,2)=1,DATE(YEAR(Settings!$B$5),MONTH(Settings!$B$5)+INT(($A53-1)/2),15),EOMONTH(Settings!$B$5,INT(($A53-1)/2))),EOMONTH(Settings!$B$5,$A53-1)))))</f>
        <v/>
      </c>
      <c r="D53" s="16">
        <f>IF(C53="",0,IF(AND(C53&gt;=Settings!$B$5,C53&lt;=Settings!$B$12),1,0))</f>
        <v/>
      </c>
      <c r="E53" s="15">
        <f>IF(D53=0,"",IF($A53=1,MIN(B53,Settings!$B$5),B53))</f>
        <v/>
      </c>
      <c r="F53" s="15">
        <f>IF(D53=0,"",IF(D54=1,C53,MAX(C53,Settings!$B$12)))</f>
        <v/>
      </c>
    </row>
    <row r="54">
      <c r="A54" s="16" t="n">
        <v>50</v>
      </c>
      <c r="B54" s="15">
        <f>IF(C54="","",C53+1)</f>
        <v/>
      </c>
      <c r="C54" s="15">
        <f>IF($A54&gt;Settings!$B$14,"",IF(Settings!$B$6="Weekly",Settings!$B$7+7*($A54-1),IF(Settings!$B$6="Biweekly",Settings!$B$7+14*($A54-1),IF(Settings!$B$6="Semi-monthly",IF(MOD($A54,2)=1,DATE(YEAR(Settings!$B$5),MONTH(Settings!$B$5)+INT(($A54-1)/2),15),EOMONTH(Settings!$B$5,INT(($A54-1)/2))),EOMONTH(Settings!$B$5,$A54-1)))))</f>
        <v/>
      </c>
      <c r="D54" s="16">
        <f>IF(C54="",0,IF(AND(C54&gt;=Settings!$B$5,C54&lt;=Settings!$B$12),1,0))</f>
        <v/>
      </c>
      <c r="E54" s="15">
        <f>IF(D54=0,"",IF($A54=1,MIN(B54,Settings!$B$5),B54))</f>
        <v/>
      </c>
      <c r="F54" s="15">
        <f>IF(D54=0,"",IF(D55=1,C54,MAX(C54,Settings!$B$12)))</f>
        <v/>
      </c>
    </row>
    <row r="55">
      <c r="A55" s="16" t="n">
        <v>51</v>
      </c>
      <c r="B55" s="15">
        <f>IF(C55="","",C54+1)</f>
        <v/>
      </c>
      <c r="C55" s="15">
        <f>IF($A55&gt;Settings!$B$14,"",IF(Settings!$B$6="Weekly",Settings!$B$7+7*($A55-1),IF(Settings!$B$6="Biweekly",Settings!$B$7+14*($A55-1),IF(Settings!$B$6="Semi-monthly",IF(MOD($A55,2)=1,DATE(YEAR(Settings!$B$5),MONTH(Settings!$B$5)+INT(($A55-1)/2),15),EOMONTH(Settings!$B$5,INT(($A55-1)/2))),EOMONTH(Settings!$B$5,$A55-1)))))</f>
        <v/>
      </c>
      <c r="D55" s="16">
        <f>IF(C55="",0,IF(AND(C55&gt;=Settings!$B$5,C55&lt;=Settings!$B$12),1,0))</f>
        <v/>
      </c>
      <c r="E55" s="15">
        <f>IF(D55=0,"",IF($A55=1,MIN(B55,Settings!$B$5),B55))</f>
        <v/>
      </c>
      <c r="F55" s="15">
        <f>IF(D55=0,"",IF(D56=1,C55,MAX(C55,Settings!$B$12)))</f>
        <v/>
      </c>
    </row>
    <row r="56">
      <c r="A56" s="16" t="n">
        <v>52</v>
      </c>
      <c r="B56" s="15">
        <f>IF(C56="","",C55+1)</f>
        <v/>
      </c>
      <c r="C56" s="15">
        <f>IF($A56&gt;Settings!$B$14,"",IF(Settings!$B$6="Weekly",Settings!$B$7+7*($A56-1),IF(Settings!$B$6="Biweekly",Settings!$B$7+14*($A56-1),IF(Settings!$B$6="Semi-monthly",IF(MOD($A56,2)=1,DATE(YEAR(Settings!$B$5),MONTH(Settings!$B$5)+INT(($A56-1)/2),15),EOMONTH(Settings!$B$5,INT(($A56-1)/2))),EOMONTH(Settings!$B$5,$A56-1)))))</f>
        <v/>
      </c>
      <c r="D56" s="16">
        <f>IF(C56="",0,IF(AND(C56&gt;=Settings!$B$5,C56&lt;=Settings!$B$12),1,0))</f>
        <v/>
      </c>
      <c r="E56" s="15">
        <f>IF(D56=0,"",IF($A56=1,MIN(B56,Settings!$B$5),B56))</f>
        <v/>
      </c>
      <c r="F56" s="15">
        <f>IF(D56=0,"",IF(D57=1,C56,MAX(C56,Settings!$B$12)))</f>
        <v/>
      </c>
    </row>
    <row r="57">
      <c r="A57" s="16" t="n">
        <v>53</v>
      </c>
      <c r="B57" s="15">
        <f>IF(C57="","",C56+1)</f>
        <v/>
      </c>
      <c r="C57" s="15">
        <f>IF($A57&gt;Settings!$B$14,"",IF(Settings!$B$6="Weekly",Settings!$B$7+7*($A57-1),IF(Settings!$B$6="Biweekly",Settings!$B$7+14*($A57-1),IF(Settings!$B$6="Semi-monthly",IF(MOD($A57,2)=1,DATE(YEAR(Settings!$B$5),MONTH(Settings!$B$5)+INT(($A57-1)/2),15),EOMONTH(Settings!$B$5,INT(($A57-1)/2))),EOMONTH(Settings!$B$5,$A57-1)))))</f>
        <v/>
      </c>
      <c r="D57" s="16">
        <f>IF(C57="",0,IF(AND(C57&gt;=Settings!$B$5,C57&lt;=Settings!$B$12),1,0))</f>
        <v/>
      </c>
      <c r="E57" s="15">
        <f>IF(D57=0,"",IF($A57=1,MIN(B57,Settings!$B$5),B57))</f>
        <v/>
      </c>
      <c r="F57" s="15">
        <f>IF(D57=0,"",IF(0=1,C57,MAX(C57,Settings!$B$12)))</f>
        <v/>
      </c>
    </row>
  </sheetData>
  <sheetProtection selectLockedCells="0" selectUnlockedCells="0" sheet="1" objects="0" insertRows="1" insertHyperlinks="1" autoFilter="0" scenarios="0" formatColumns="0" deleteColumns="1" insertColumns="1" pivotTables="1" deleteRows="1" formatCells="1" formatRows="1" sort="0"/>
  <printOptions horizontalCentered="1"/>
  <pageMargins left="0.4" right="0.4" top="0.5" bottom="0.5" header="0.5" footer="0.5"/>
  <pageSetup orientation="landscape" paperSize="1" fitToHeight="1" fitToWidth="1"/>
</worksheet>
</file>

<file path=xl/worksheets/sheet11.xml><?xml version="1.0" encoding="utf-8"?>
<worksheet xmlns="http://schemas.openxmlformats.org/spreadsheetml/2006/main">
  <sheetPr>
    <outlinePr summaryBelow="1" summaryRight="1"/>
    <pageSetUpPr fitToPage="1"/>
  </sheetPr>
  <dimension ref="A1:V1329"/>
  <sheetViews>
    <sheetView showGridLines="0" workbookViewId="0">
      <pane xSplit="3" ySplit="4" topLeftCell="D5" activePane="bottomRight" state="frozen"/>
      <selection pane="topRight"/>
      <selection pane="bottomLeft"/>
      <selection pane="bottomRight" activeCell="A1" sqref="A1"/>
    </sheetView>
  </sheetViews>
  <sheetFormatPr baseColWidth="8" defaultRowHeight="15"/>
  <cols>
    <col width="6" customWidth="1" min="1" max="1"/>
    <col width="6" customWidth="1" min="2" max="2"/>
    <col width="16" customWidth="1" min="3" max="3"/>
    <col width="12" customWidth="1" min="4" max="4"/>
    <col width="12" customWidth="1" min="5" max="5"/>
    <col width="7" customWidth="1" min="6" max="6"/>
    <col width="9" customWidth="1" min="7" max="7"/>
    <col width="7" customWidth="1" min="8" max="8"/>
    <col width="8" customWidth="1" min="9" max="9"/>
    <col width="8" customWidth="1" min="10" max="10"/>
    <col width="9" customWidth="1" min="11" max="11"/>
    <col width="9" customWidth="1" min="12" max="12"/>
    <col width="9" customWidth="1" min="13" max="13"/>
    <col width="9" customWidth="1" min="14" max="14"/>
    <col width="9" customWidth="1" min="15" max="15"/>
    <col width="9" customWidth="1" min="16" max="16"/>
    <col width="9" customWidth="1" min="17" max="17"/>
    <col width="9" customWidth="1" min="18" max="18"/>
    <col width="9" customWidth="1" min="19" max="19"/>
    <col width="9" customWidth="1" min="20" max="20"/>
    <col width="9" customWidth="1" min="21" max="21"/>
    <col width="9" customWidth="1" min="22" max="22"/>
  </cols>
  <sheetData>
    <row r="1">
      <c r="A1" s="1" t="inlineStr">
        <is>
          <t>Ledger: one row per employee per pay period (calculated)</t>
        </is>
      </c>
    </row>
    <row r="2">
      <c r="A2" s="2" t="inlineStr">
        <is>
          <t>Start − approved leave + accrual (accrual fills only up to the cap; the rest shows as 'lost to cap').</t>
        </is>
      </c>
    </row>
    <row r="4" ht="44" customHeight="1">
      <c r="A4" s="8" t="inlineStr">
        <is>
          <t>Emp #</t>
        </is>
      </c>
      <c r="B4" s="8" t="inlineStr">
        <is>
          <t>Period</t>
        </is>
      </c>
      <c r="C4" s="8" t="inlineStr">
        <is>
          <t>Employee</t>
        </is>
      </c>
      <c r="D4" s="8" t="inlineStr">
        <is>
          <t>Period start</t>
        </is>
      </c>
      <c r="E4" s="8" t="inlineStr">
        <is>
          <t>Period end</t>
        </is>
      </c>
      <c r="F4" s="8" t="inlineStr">
        <is>
          <t>Active</t>
        </is>
      </c>
      <c r="G4" s="8" t="inlineStr">
        <is>
          <t>Accruing</t>
        </is>
      </c>
      <c r="H4" s="8" t="inlineStr">
        <is>
          <t>Years of service</t>
        </is>
      </c>
      <c r="I4" s="8" t="inlineStr">
        <is>
          <t>Hours worked</t>
        </is>
      </c>
      <c r="J4" s="8" t="inlineStr">
        <is>
          <t>Tenure bonus (h/yr)</t>
        </is>
      </c>
      <c r="K4" s="8" t="inlineStr">
        <is>
          <t>PTO earned</t>
        </is>
      </c>
      <c r="L4" s="8" t="inlineStr">
        <is>
          <t>PTO used</t>
        </is>
      </c>
      <c r="M4" s="8" t="inlineStr">
        <is>
          <t>PTO start</t>
        </is>
      </c>
      <c r="N4" s="8" t="inlineStr">
        <is>
          <t>PTO credited</t>
        </is>
      </c>
      <c r="O4" s="8" t="inlineStr">
        <is>
          <t>PTO lost to cap</t>
        </is>
      </c>
      <c r="P4" s="8" t="inlineStr">
        <is>
          <t>PTO end</t>
        </is>
      </c>
      <c r="Q4" s="8" t="inlineStr">
        <is>
          <t>Sick earned</t>
        </is>
      </c>
      <c r="R4" s="8" t="inlineStr">
        <is>
          <t>Sick used</t>
        </is>
      </c>
      <c r="S4" s="8" t="inlineStr">
        <is>
          <t>Sick start</t>
        </is>
      </c>
      <c r="T4" s="8" t="inlineStr">
        <is>
          <t>Sick credited</t>
        </is>
      </c>
      <c r="U4" s="8" t="inlineStr">
        <is>
          <t>Sick lost to cap</t>
        </is>
      </c>
      <c r="V4" s="8" t="inlineStr">
        <is>
          <t>Sick end</t>
        </is>
      </c>
    </row>
    <row r="5">
      <c r="A5" s="47" t="n">
        <v>1</v>
      </c>
      <c r="B5" s="47" t="n">
        <v>1</v>
      </c>
      <c r="C5" s="48">
        <f>INDEX(Employees!$B$5:$B$29,$A5)&amp;""</f>
        <v/>
      </c>
      <c r="D5" s="49">
        <f>INDEX(Periods!$B$5:$B$57,$B5)</f>
        <v/>
      </c>
      <c r="E5" s="49">
        <f>INDEX(Periods!$C$5:$C$57,$B5)</f>
        <v/>
      </c>
      <c r="F5" s="47">
        <f>IF(AND($C5&lt;&gt;"",INDEX(Periods!$D$5:$D$57,$B5)=1),1,0)</f>
        <v/>
      </c>
      <c r="G5" s="47">
        <f>IF($F5=0,0,IF(AND(OR(INDEX(Employees!$D$5:$D$29,$A5)="",$E5&gt;=INDEX(Employees!$D$5:$D$29,$A5)+N(INDEX(Employees!$U$5:$U$29,$A5))),OR(INDEX(Employees!$E$5:$E$29,$A5)="",$D5&lt;=INDEX(Employees!$E$5:$E$29,$A5))),1,0))</f>
        <v/>
      </c>
      <c r="H5" s="47">
        <f>IF($G5=0,0,IF(INDEX(Employees!$D$5:$D$29,$A5)="",0,DATEDIF(INDEX(Employees!$D$5:$D$29,$A5),$E5,"y")))</f>
        <v/>
      </c>
      <c r="I5" s="48">
        <f>IF($G5=0,0,IF(INDEX('Hours Worked'!$D$5:$BD$29,$A5,$B5)="",N(INDEX(Employees!$H$5:$H$29,$A5)),INDEX('Hours Worked'!$D$5:$BD$29,$A5,$B5)))</f>
        <v/>
      </c>
      <c r="J5" s="48">
        <f>IF(OR($G5=0,INDEX(Employees!$O$5:$O$29,$A5)&lt;&gt;"Yes"),0,IF(COUNTIF(Settings!$D$4:$D$9,"&lt;="&amp;$H5)=0,0,INDEX(Settings!$E$4:$E$9,COUNTIF(Settings!$D$4:$D$9,"&lt;="&amp;$H5))))</f>
        <v/>
      </c>
      <c r="K5" s="48">
        <f>IF($G5=0,0,IF(INDEX(Employees!$I$5:$I$29,$A5)="Per pay period",(N(INDEX(Employees!$J$5:$J$29,$A5))+$J5)/Settings!$B$13,IF(INDEX(Employees!$I$5:$I$29,$A5)="Per hour worked",N(INDEX(Employees!$K$5:$K$29,$A5))*$I5,IF(INDEX(Employees!$I$5:$I$29,$A5)="Front-loaded",IF(TRUE,N(INDEX(Employees!$J$5:$J$29,$A5))+$J5,0),0))))</f>
        <v/>
      </c>
      <c r="L5" s="48">
        <f>IF($F5=0,0,SUMIFS('Time Off Log'!$H$5:$H$504,'Time Off Log'!$A$5:$A$504,$C5,'Time Off Log'!$B$5:$B$504,"PTO",'Time Off Log'!$E$5:$E$504,"Approved",'Time Off Log'!$C$5:$C$504,"&gt;="&amp;INDEX(Periods!$E$5:$E$57,$B5),'Time Off Log'!$C$5:$C$504,"&lt;="&amp;INDEX(Periods!$F$5:$F$57,$B5)))</f>
        <v/>
      </c>
      <c r="M5" s="48">
        <f>N(INDEX(Employees!$N$5:$N$29,$A5))</f>
        <v/>
      </c>
      <c r="N5" s="48">
        <f>IF(INDEX(Employees!$L$5:$L$29,$A5)="",K5,MAX(0,MIN(K5,INDEX(Employees!$L$5:$L$29,$A5)-(M5-L5))))</f>
        <v/>
      </c>
      <c r="O5" s="48">
        <f>K5-N5</f>
        <v/>
      </c>
      <c r="P5" s="48">
        <f>M5-L5+N5</f>
        <v/>
      </c>
      <c r="Q5" s="48">
        <f>IF($G5=0,0,IF(INDEX(Employees!$P$5:$P$29,$A5)="Per pay period",(N(INDEX(Employees!$Q$5:$Q$29,$A5)))/Settings!$B$13,IF(INDEX(Employees!$P$5:$P$29,$A5)="Per hour worked",N(INDEX(Employees!$R$5:$R$29,$A5))*$I5,IF(INDEX(Employees!$P$5:$P$29,$A5)="Front-loaded",IF(TRUE,N(INDEX(Employees!$Q$5:$Q$29,$A5)),0),0))))</f>
        <v/>
      </c>
      <c r="R5" s="48">
        <f>IF($F5=0,0,SUMIFS('Time Off Log'!$H$5:$H$504,'Time Off Log'!$A$5:$A$504,$C5,'Time Off Log'!$B$5:$B$504,"Sick",'Time Off Log'!$E$5:$E$504,"Approved",'Time Off Log'!$C$5:$C$504,"&gt;="&amp;INDEX(Periods!$E$5:$E$57,$B5),'Time Off Log'!$C$5:$C$504,"&lt;="&amp;INDEX(Periods!$F$5:$F$57,$B5)))</f>
        <v/>
      </c>
      <c r="S5" s="48">
        <f>N(INDEX(Employees!$T$5:$T$29,$A5))</f>
        <v/>
      </c>
      <c r="T5" s="48">
        <f>IF(INDEX(Employees!$S$5:$S$29,$A5)="",Q5,MAX(0,MIN(Q5,INDEX(Employees!$S$5:$S$29,$A5)-(S5-R5))))</f>
        <v/>
      </c>
      <c r="U5" s="48">
        <f>Q5-T5</f>
        <v/>
      </c>
      <c r="V5" s="48">
        <f>S5-R5+T5</f>
        <v/>
      </c>
    </row>
    <row r="6">
      <c r="A6" s="47" t="n">
        <v>1</v>
      </c>
      <c r="B6" s="47" t="n">
        <v>2</v>
      </c>
      <c r="C6" s="48">
        <f>INDEX(Employees!$B$5:$B$29,$A6)&amp;""</f>
        <v/>
      </c>
      <c r="D6" s="49">
        <f>INDEX(Periods!$B$5:$B$57,$B6)</f>
        <v/>
      </c>
      <c r="E6" s="49">
        <f>INDEX(Periods!$C$5:$C$57,$B6)</f>
        <v/>
      </c>
      <c r="F6" s="47">
        <f>IF(AND($C6&lt;&gt;"",INDEX(Periods!$D$5:$D$57,$B6)=1),1,0)</f>
        <v/>
      </c>
      <c r="G6" s="47">
        <f>IF($F6=0,0,IF(AND(OR(INDEX(Employees!$D$5:$D$29,$A6)="",$E6&gt;=INDEX(Employees!$D$5:$D$29,$A6)+N(INDEX(Employees!$U$5:$U$29,$A6))),OR(INDEX(Employees!$E$5:$E$29,$A6)="",$D6&lt;=INDEX(Employees!$E$5:$E$29,$A6))),1,0))</f>
        <v/>
      </c>
      <c r="H6" s="47">
        <f>IF($G6=0,0,IF(INDEX(Employees!$D$5:$D$29,$A6)="",0,DATEDIF(INDEX(Employees!$D$5:$D$29,$A6),$E6,"y")))</f>
        <v/>
      </c>
      <c r="I6" s="48">
        <f>IF($G6=0,0,IF(INDEX('Hours Worked'!$D$5:$BD$29,$A6,$B6)="",N(INDEX(Employees!$H$5:$H$29,$A6)),INDEX('Hours Worked'!$D$5:$BD$29,$A6,$B6)))</f>
        <v/>
      </c>
      <c r="J6" s="48">
        <f>IF(OR($G6=0,INDEX(Employees!$O$5:$O$29,$A6)&lt;&gt;"Yes"),0,IF(COUNTIF(Settings!$D$4:$D$9,"&lt;="&amp;$H6)=0,0,INDEX(Settings!$E$4:$E$9,COUNTIF(Settings!$D$4:$D$9,"&lt;="&amp;$H6))))</f>
        <v/>
      </c>
      <c r="K6" s="48">
        <f>IF($G6=0,0,IF(INDEX(Employees!$I$5:$I$29,$A6)="Per pay period",(N(INDEX(Employees!$J$5:$J$29,$A6))+$J6)/Settings!$B$13,IF(INDEX(Employees!$I$5:$I$29,$A6)="Per hour worked",N(INDEX(Employees!$K$5:$K$29,$A6))*$I6,IF(INDEX(Employees!$I$5:$I$29,$A6)="Front-loaded",IF(OR($B6=1,N($G5)=0),N(INDEX(Employees!$J$5:$J$29,$A6))+$J6,0),0))))</f>
        <v/>
      </c>
      <c r="L6" s="48">
        <f>IF($F6=0,0,SUMIFS('Time Off Log'!$H$5:$H$504,'Time Off Log'!$A$5:$A$504,$C6,'Time Off Log'!$B$5:$B$504,"PTO",'Time Off Log'!$E$5:$E$504,"Approved",'Time Off Log'!$C$5:$C$504,"&gt;="&amp;INDEX(Periods!$E$5:$E$57,$B6),'Time Off Log'!$C$5:$C$504,"&lt;="&amp;INDEX(Periods!$F$5:$F$57,$B6)))</f>
        <v/>
      </c>
      <c r="M6" s="48">
        <f>IF($B6=1,N(INDEX(Employees!$N$5:$N$29,$A6)),P5)</f>
        <v/>
      </c>
      <c r="N6" s="48">
        <f>IF(INDEX(Employees!$L$5:$L$29,$A6)="",K6,MAX(0,MIN(K6,INDEX(Employees!$L$5:$L$29,$A6)-(M6-L6))))</f>
        <v/>
      </c>
      <c r="O6" s="48">
        <f>K6-N6</f>
        <v/>
      </c>
      <c r="P6" s="48">
        <f>M6-L6+N6</f>
        <v/>
      </c>
      <c r="Q6" s="48">
        <f>IF($G6=0,0,IF(INDEX(Employees!$P$5:$P$29,$A6)="Per pay period",(N(INDEX(Employees!$Q$5:$Q$29,$A6)))/Settings!$B$13,IF(INDEX(Employees!$P$5:$P$29,$A6)="Per hour worked",N(INDEX(Employees!$R$5:$R$29,$A6))*$I6,IF(INDEX(Employees!$P$5:$P$29,$A6)="Front-loaded",IF(OR($B6=1,N($G5)=0),N(INDEX(Employees!$Q$5:$Q$29,$A6)),0),0))))</f>
        <v/>
      </c>
      <c r="R6" s="48">
        <f>IF($F6=0,0,SUMIFS('Time Off Log'!$H$5:$H$504,'Time Off Log'!$A$5:$A$504,$C6,'Time Off Log'!$B$5:$B$504,"Sick",'Time Off Log'!$E$5:$E$504,"Approved",'Time Off Log'!$C$5:$C$504,"&gt;="&amp;INDEX(Periods!$E$5:$E$57,$B6),'Time Off Log'!$C$5:$C$504,"&lt;="&amp;INDEX(Periods!$F$5:$F$57,$B6)))</f>
        <v/>
      </c>
      <c r="S6" s="48">
        <f>IF($B6=1,N(INDEX(Employees!$T$5:$T$29,$A6)),V5)</f>
        <v/>
      </c>
      <c r="T6" s="48">
        <f>IF(INDEX(Employees!$S$5:$S$29,$A6)="",Q6,MAX(0,MIN(Q6,INDEX(Employees!$S$5:$S$29,$A6)-(S6-R6))))</f>
        <v/>
      </c>
      <c r="U6" s="48">
        <f>Q6-T6</f>
        <v/>
      </c>
      <c r="V6" s="48">
        <f>S6-R6+T6</f>
        <v/>
      </c>
    </row>
    <row r="7">
      <c r="A7" s="47" t="n">
        <v>1</v>
      </c>
      <c r="B7" s="47" t="n">
        <v>3</v>
      </c>
      <c r="C7" s="48">
        <f>INDEX(Employees!$B$5:$B$29,$A7)&amp;""</f>
        <v/>
      </c>
      <c r="D7" s="49">
        <f>INDEX(Periods!$B$5:$B$57,$B7)</f>
        <v/>
      </c>
      <c r="E7" s="49">
        <f>INDEX(Periods!$C$5:$C$57,$B7)</f>
        <v/>
      </c>
      <c r="F7" s="47">
        <f>IF(AND($C7&lt;&gt;"",INDEX(Periods!$D$5:$D$57,$B7)=1),1,0)</f>
        <v/>
      </c>
      <c r="G7" s="47">
        <f>IF($F7=0,0,IF(AND(OR(INDEX(Employees!$D$5:$D$29,$A7)="",$E7&gt;=INDEX(Employees!$D$5:$D$29,$A7)+N(INDEX(Employees!$U$5:$U$29,$A7))),OR(INDEX(Employees!$E$5:$E$29,$A7)="",$D7&lt;=INDEX(Employees!$E$5:$E$29,$A7))),1,0))</f>
        <v/>
      </c>
      <c r="H7" s="47">
        <f>IF($G7=0,0,IF(INDEX(Employees!$D$5:$D$29,$A7)="",0,DATEDIF(INDEX(Employees!$D$5:$D$29,$A7),$E7,"y")))</f>
        <v/>
      </c>
      <c r="I7" s="48">
        <f>IF($G7=0,0,IF(INDEX('Hours Worked'!$D$5:$BD$29,$A7,$B7)="",N(INDEX(Employees!$H$5:$H$29,$A7)),INDEX('Hours Worked'!$D$5:$BD$29,$A7,$B7)))</f>
        <v/>
      </c>
      <c r="J7" s="48">
        <f>IF(OR($G7=0,INDEX(Employees!$O$5:$O$29,$A7)&lt;&gt;"Yes"),0,IF(COUNTIF(Settings!$D$4:$D$9,"&lt;="&amp;$H7)=0,0,INDEX(Settings!$E$4:$E$9,COUNTIF(Settings!$D$4:$D$9,"&lt;="&amp;$H7))))</f>
        <v/>
      </c>
      <c r="K7" s="48">
        <f>IF($G7=0,0,IF(INDEX(Employees!$I$5:$I$29,$A7)="Per pay period",(N(INDEX(Employees!$J$5:$J$29,$A7))+$J7)/Settings!$B$13,IF(INDEX(Employees!$I$5:$I$29,$A7)="Per hour worked",N(INDEX(Employees!$K$5:$K$29,$A7))*$I7,IF(INDEX(Employees!$I$5:$I$29,$A7)="Front-loaded",IF(OR($B7=1,N($G6)=0),N(INDEX(Employees!$J$5:$J$29,$A7))+$J7,0),0))))</f>
        <v/>
      </c>
      <c r="L7" s="48">
        <f>IF($F7=0,0,SUMIFS('Time Off Log'!$H$5:$H$504,'Time Off Log'!$A$5:$A$504,$C7,'Time Off Log'!$B$5:$B$504,"PTO",'Time Off Log'!$E$5:$E$504,"Approved",'Time Off Log'!$C$5:$C$504,"&gt;="&amp;INDEX(Periods!$E$5:$E$57,$B7),'Time Off Log'!$C$5:$C$504,"&lt;="&amp;INDEX(Periods!$F$5:$F$57,$B7)))</f>
        <v/>
      </c>
      <c r="M7" s="48">
        <f>IF($B7=1,N(INDEX(Employees!$N$5:$N$29,$A7)),P6)</f>
        <v/>
      </c>
      <c r="N7" s="48">
        <f>IF(INDEX(Employees!$L$5:$L$29,$A7)="",K7,MAX(0,MIN(K7,INDEX(Employees!$L$5:$L$29,$A7)-(M7-L7))))</f>
        <v/>
      </c>
      <c r="O7" s="48">
        <f>K7-N7</f>
        <v/>
      </c>
      <c r="P7" s="48">
        <f>M7-L7+N7</f>
        <v/>
      </c>
      <c r="Q7" s="48">
        <f>IF($G7=0,0,IF(INDEX(Employees!$P$5:$P$29,$A7)="Per pay period",(N(INDEX(Employees!$Q$5:$Q$29,$A7)))/Settings!$B$13,IF(INDEX(Employees!$P$5:$P$29,$A7)="Per hour worked",N(INDEX(Employees!$R$5:$R$29,$A7))*$I7,IF(INDEX(Employees!$P$5:$P$29,$A7)="Front-loaded",IF(OR($B7=1,N($G6)=0),N(INDEX(Employees!$Q$5:$Q$29,$A7)),0),0))))</f>
        <v/>
      </c>
      <c r="R7" s="48">
        <f>IF($F7=0,0,SUMIFS('Time Off Log'!$H$5:$H$504,'Time Off Log'!$A$5:$A$504,$C7,'Time Off Log'!$B$5:$B$504,"Sick",'Time Off Log'!$E$5:$E$504,"Approved",'Time Off Log'!$C$5:$C$504,"&gt;="&amp;INDEX(Periods!$E$5:$E$57,$B7),'Time Off Log'!$C$5:$C$504,"&lt;="&amp;INDEX(Periods!$F$5:$F$57,$B7)))</f>
        <v/>
      </c>
      <c r="S7" s="48">
        <f>IF($B7=1,N(INDEX(Employees!$T$5:$T$29,$A7)),V6)</f>
        <v/>
      </c>
      <c r="T7" s="48">
        <f>IF(INDEX(Employees!$S$5:$S$29,$A7)="",Q7,MAX(0,MIN(Q7,INDEX(Employees!$S$5:$S$29,$A7)-(S7-R7))))</f>
        <v/>
      </c>
      <c r="U7" s="48">
        <f>Q7-T7</f>
        <v/>
      </c>
      <c r="V7" s="48">
        <f>S7-R7+T7</f>
        <v/>
      </c>
    </row>
    <row r="8">
      <c r="A8" s="47" t="n">
        <v>1</v>
      </c>
      <c r="B8" s="47" t="n">
        <v>4</v>
      </c>
      <c r="C8" s="48">
        <f>INDEX(Employees!$B$5:$B$29,$A8)&amp;""</f>
        <v/>
      </c>
      <c r="D8" s="49">
        <f>INDEX(Periods!$B$5:$B$57,$B8)</f>
        <v/>
      </c>
      <c r="E8" s="49">
        <f>INDEX(Periods!$C$5:$C$57,$B8)</f>
        <v/>
      </c>
      <c r="F8" s="47">
        <f>IF(AND($C8&lt;&gt;"",INDEX(Periods!$D$5:$D$57,$B8)=1),1,0)</f>
        <v/>
      </c>
      <c r="G8" s="47">
        <f>IF($F8=0,0,IF(AND(OR(INDEX(Employees!$D$5:$D$29,$A8)="",$E8&gt;=INDEX(Employees!$D$5:$D$29,$A8)+N(INDEX(Employees!$U$5:$U$29,$A8))),OR(INDEX(Employees!$E$5:$E$29,$A8)="",$D8&lt;=INDEX(Employees!$E$5:$E$29,$A8))),1,0))</f>
        <v/>
      </c>
      <c r="H8" s="47">
        <f>IF($G8=0,0,IF(INDEX(Employees!$D$5:$D$29,$A8)="",0,DATEDIF(INDEX(Employees!$D$5:$D$29,$A8),$E8,"y")))</f>
        <v/>
      </c>
      <c r="I8" s="48">
        <f>IF($G8=0,0,IF(INDEX('Hours Worked'!$D$5:$BD$29,$A8,$B8)="",N(INDEX(Employees!$H$5:$H$29,$A8)),INDEX('Hours Worked'!$D$5:$BD$29,$A8,$B8)))</f>
        <v/>
      </c>
      <c r="J8" s="48">
        <f>IF(OR($G8=0,INDEX(Employees!$O$5:$O$29,$A8)&lt;&gt;"Yes"),0,IF(COUNTIF(Settings!$D$4:$D$9,"&lt;="&amp;$H8)=0,0,INDEX(Settings!$E$4:$E$9,COUNTIF(Settings!$D$4:$D$9,"&lt;="&amp;$H8))))</f>
        <v/>
      </c>
      <c r="K8" s="48">
        <f>IF($G8=0,0,IF(INDEX(Employees!$I$5:$I$29,$A8)="Per pay period",(N(INDEX(Employees!$J$5:$J$29,$A8))+$J8)/Settings!$B$13,IF(INDEX(Employees!$I$5:$I$29,$A8)="Per hour worked",N(INDEX(Employees!$K$5:$K$29,$A8))*$I8,IF(INDEX(Employees!$I$5:$I$29,$A8)="Front-loaded",IF(OR($B8=1,N($G7)=0),N(INDEX(Employees!$J$5:$J$29,$A8))+$J8,0),0))))</f>
        <v/>
      </c>
      <c r="L8" s="48">
        <f>IF($F8=0,0,SUMIFS('Time Off Log'!$H$5:$H$504,'Time Off Log'!$A$5:$A$504,$C8,'Time Off Log'!$B$5:$B$504,"PTO",'Time Off Log'!$E$5:$E$504,"Approved",'Time Off Log'!$C$5:$C$504,"&gt;="&amp;INDEX(Periods!$E$5:$E$57,$B8),'Time Off Log'!$C$5:$C$504,"&lt;="&amp;INDEX(Periods!$F$5:$F$57,$B8)))</f>
        <v/>
      </c>
      <c r="M8" s="48">
        <f>IF($B8=1,N(INDEX(Employees!$N$5:$N$29,$A8)),P7)</f>
        <v/>
      </c>
      <c r="N8" s="48">
        <f>IF(INDEX(Employees!$L$5:$L$29,$A8)="",K8,MAX(0,MIN(K8,INDEX(Employees!$L$5:$L$29,$A8)-(M8-L8))))</f>
        <v/>
      </c>
      <c r="O8" s="48">
        <f>K8-N8</f>
        <v/>
      </c>
      <c r="P8" s="48">
        <f>M8-L8+N8</f>
        <v/>
      </c>
      <c r="Q8" s="48">
        <f>IF($G8=0,0,IF(INDEX(Employees!$P$5:$P$29,$A8)="Per pay period",(N(INDEX(Employees!$Q$5:$Q$29,$A8)))/Settings!$B$13,IF(INDEX(Employees!$P$5:$P$29,$A8)="Per hour worked",N(INDEX(Employees!$R$5:$R$29,$A8))*$I8,IF(INDEX(Employees!$P$5:$P$29,$A8)="Front-loaded",IF(OR($B8=1,N($G7)=0),N(INDEX(Employees!$Q$5:$Q$29,$A8)),0),0))))</f>
        <v/>
      </c>
      <c r="R8" s="48">
        <f>IF($F8=0,0,SUMIFS('Time Off Log'!$H$5:$H$504,'Time Off Log'!$A$5:$A$504,$C8,'Time Off Log'!$B$5:$B$504,"Sick",'Time Off Log'!$E$5:$E$504,"Approved",'Time Off Log'!$C$5:$C$504,"&gt;="&amp;INDEX(Periods!$E$5:$E$57,$B8),'Time Off Log'!$C$5:$C$504,"&lt;="&amp;INDEX(Periods!$F$5:$F$57,$B8)))</f>
        <v/>
      </c>
      <c r="S8" s="48">
        <f>IF($B8=1,N(INDEX(Employees!$T$5:$T$29,$A8)),V7)</f>
        <v/>
      </c>
      <c r="T8" s="48">
        <f>IF(INDEX(Employees!$S$5:$S$29,$A8)="",Q8,MAX(0,MIN(Q8,INDEX(Employees!$S$5:$S$29,$A8)-(S8-R8))))</f>
        <v/>
      </c>
      <c r="U8" s="48">
        <f>Q8-T8</f>
        <v/>
      </c>
      <c r="V8" s="48">
        <f>S8-R8+T8</f>
        <v/>
      </c>
    </row>
    <row r="9">
      <c r="A9" s="47" t="n">
        <v>1</v>
      </c>
      <c r="B9" s="47" t="n">
        <v>5</v>
      </c>
      <c r="C9" s="48">
        <f>INDEX(Employees!$B$5:$B$29,$A9)&amp;""</f>
        <v/>
      </c>
      <c r="D9" s="49">
        <f>INDEX(Periods!$B$5:$B$57,$B9)</f>
        <v/>
      </c>
      <c r="E9" s="49">
        <f>INDEX(Periods!$C$5:$C$57,$B9)</f>
        <v/>
      </c>
      <c r="F9" s="47">
        <f>IF(AND($C9&lt;&gt;"",INDEX(Periods!$D$5:$D$57,$B9)=1),1,0)</f>
        <v/>
      </c>
      <c r="G9" s="47">
        <f>IF($F9=0,0,IF(AND(OR(INDEX(Employees!$D$5:$D$29,$A9)="",$E9&gt;=INDEX(Employees!$D$5:$D$29,$A9)+N(INDEX(Employees!$U$5:$U$29,$A9))),OR(INDEX(Employees!$E$5:$E$29,$A9)="",$D9&lt;=INDEX(Employees!$E$5:$E$29,$A9))),1,0))</f>
        <v/>
      </c>
      <c r="H9" s="47">
        <f>IF($G9=0,0,IF(INDEX(Employees!$D$5:$D$29,$A9)="",0,DATEDIF(INDEX(Employees!$D$5:$D$29,$A9),$E9,"y")))</f>
        <v/>
      </c>
      <c r="I9" s="48">
        <f>IF($G9=0,0,IF(INDEX('Hours Worked'!$D$5:$BD$29,$A9,$B9)="",N(INDEX(Employees!$H$5:$H$29,$A9)),INDEX('Hours Worked'!$D$5:$BD$29,$A9,$B9)))</f>
        <v/>
      </c>
      <c r="J9" s="48">
        <f>IF(OR($G9=0,INDEX(Employees!$O$5:$O$29,$A9)&lt;&gt;"Yes"),0,IF(COUNTIF(Settings!$D$4:$D$9,"&lt;="&amp;$H9)=0,0,INDEX(Settings!$E$4:$E$9,COUNTIF(Settings!$D$4:$D$9,"&lt;="&amp;$H9))))</f>
        <v/>
      </c>
      <c r="K9" s="48">
        <f>IF($G9=0,0,IF(INDEX(Employees!$I$5:$I$29,$A9)="Per pay period",(N(INDEX(Employees!$J$5:$J$29,$A9))+$J9)/Settings!$B$13,IF(INDEX(Employees!$I$5:$I$29,$A9)="Per hour worked",N(INDEX(Employees!$K$5:$K$29,$A9))*$I9,IF(INDEX(Employees!$I$5:$I$29,$A9)="Front-loaded",IF(OR($B9=1,N($G8)=0),N(INDEX(Employees!$J$5:$J$29,$A9))+$J9,0),0))))</f>
        <v/>
      </c>
      <c r="L9" s="48">
        <f>IF($F9=0,0,SUMIFS('Time Off Log'!$H$5:$H$504,'Time Off Log'!$A$5:$A$504,$C9,'Time Off Log'!$B$5:$B$504,"PTO",'Time Off Log'!$E$5:$E$504,"Approved",'Time Off Log'!$C$5:$C$504,"&gt;="&amp;INDEX(Periods!$E$5:$E$57,$B9),'Time Off Log'!$C$5:$C$504,"&lt;="&amp;INDEX(Periods!$F$5:$F$57,$B9)))</f>
        <v/>
      </c>
      <c r="M9" s="48">
        <f>IF($B9=1,N(INDEX(Employees!$N$5:$N$29,$A9)),P8)</f>
        <v/>
      </c>
      <c r="N9" s="48">
        <f>IF(INDEX(Employees!$L$5:$L$29,$A9)="",K9,MAX(0,MIN(K9,INDEX(Employees!$L$5:$L$29,$A9)-(M9-L9))))</f>
        <v/>
      </c>
      <c r="O9" s="48">
        <f>K9-N9</f>
        <v/>
      </c>
      <c r="P9" s="48">
        <f>M9-L9+N9</f>
        <v/>
      </c>
      <c r="Q9" s="48">
        <f>IF($G9=0,0,IF(INDEX(Employees!$P$5:$P$29,$A9)="Per pay period",(N(INDEX(Employees!$Q$5:$Q$29,$A9)))/Settings!$B$13,IF(INDEX(Employees!$P$5:$P$29,$A9)="Per hour worked",N(INDEX(Employees!$R$5:$R$29,$A9))*$I9,IF(INDEX(Employees!$P$5:$P$29,$A9)="Front-loaded",IF(OR($B9=1,N($G8)=0),N(INDEX(Employees!$Q$5:$Q$29,$A9)),0),0))))</f>
        <v/>
      </c>
      <c r="R9" s="48">
        <f>IF($F9=0,0,SUMIFS('Time Off Log'!$H$5:$H$504,'Time Off Log'!$A$5:$A$504,$C9,'Time Off Log'!$B$5:$B$504,"Sick",'Time Off Log'!$E$5:$E$504,"Approved",'Time Off Log'!$C$5:$C$504,"&gt;="&amp;INDEX(Periods!$E$5:$E$57,$B9),'Time Off Log'!$C$5:$C$504,"&lt;="&amp;INDEX(Periods!$F$5:$F$57,$B9)))</f>
        <v/>
      </c>
      <c r="S9" s="48">
        <f>IF($B9=1,N(INDEX(Employees!$T$5:$T$29,$A9)),V8)</f>
        <v/>
      </c>
      <c r="T9" s="48">
        <f>IF(INDEX(Employees!$S$5:$S$29,$A9)="",Q9,MAX(0,MIN(Q9,INDEX(Employees!$S$5:$S$29,$A9)-(S9-R9))))</f>
        <v/>
      </c>
      <c r="U9" s="48">
        <f>Q9-T9</f>
        <v/>
      </c>
      <c r="V9" s="48">
        <f>S9-R9+T9</f>
        <v/>
      </c>
    </row>
    <row r="10">
      <c r="A10" s="47" t="n">
        <v>1</v>
      </c>
      <c r="B10" s="47" t="n">
        <v>6</v>
      </c>
      <c r="C10" s="48">
        <f>INDEX(Employees!$B$5:$B$29,$A10)&amp;""</f>
        <v/>
      </c>
      <c r="D10" s="49">
        <f>INDEX(Periods!$B$5:$B$57,$B10)</f>
        <v/>
      </c>
      <c r="E10" s="49">
        <f>INDEX(Periods!$C$5:$C$57,$B10)</f>
        <v/>
      </c>
      <c r="F10" s="47">
        <f>IF(AND($C10&lt;&gt;"",INDEX(Periods!$D$5:$D$57,$B10)=1),1,0)</f>
        <v/>
      </c>
      <c r="G10" s="47">
        <f>IF($F10=0,0,IF(AND(OR(INDEX(Employees!$D$5:$D$29,$A10)="",$E10&gt;=INDEX(Employees!$D$5:$D$29,$A10)+N(INDEX(Employees!$U$5:$U$29,$A10))),OR(INDEX(Employees!$E$5:$E$29,$A10)="",$D10&lt;=INDEX(Employees!$E$5:$E$29,$A10))),1,0))</f>
        <v/>
      </c>
      <c r="H10" s="47">
        <f>IF($G10=0,0,IF(INDEX(Employees!$D$5:$D$29,$A10)="",0,DATEDIF(INDEX(Employees!$D$5:$D$29,$A10),$E10,"y")))</f>
        <v/>
      </c>
      <c r="I10" s="48">
        <f>IF($G10=0,0,IF(INDEX('Hours Worked'!$D$5:$BD$29,$A10,$B10)="",N(INDEX(Employees!$H$5:$H$29,$A10)),INDEX('Hours Worked'!$D$5:$BD$29,$A10,$B10)))</f>
        <v/>
      </c>
      <c r="J10" s="48">
        <f>IF(OR($G10=0,INDEX(Employees!$O$5:$O$29,$A10)&lt;&gt;"Yes"),0,IF(COUNTIF(Settings!$D$4:$D$9,"&lt;="&amp;$H10)=0,0,INDEX(Settings!$E$4:$E$9,COUNTIF(Settings!$D$4:$D$9,"&lt;="&amp;$H10))))</f>
        <v/>
      </c>
      <c r="K10" s="48">
        <f>IF($G10=0,0,IF(INDEX(Employees!$I$5:$I$29,$A10)="Per pay period",(N(INDEX(Employees!$J$5:$J$29,$A10))+$J10)/Settings!$B$13,IF(INDEX(Employees!$I$5:$I$29,$A10)="Per hour worked",N(INDEX(Employees!$K$5:$K$29,$A10))*$I10,IF(INDEX(Employees!$I$5:$I$29,$A10)="Front-loaded",IF(OR($B10=1,N($G9)=0),N(INDEX(Employees!$J$5:$J$29,$A10))+$J10,0),0))))</f>
        <v/>
      </c>
      <c r="L10" s="48">
        <f>IF($F10=0,0,SUMIFS('Time Off Log'!$H$5:$H$504,'Time Off Log'!$A$5:$A$504,$C10,'Time Off Log'!$B$5:$B$504,"PTO",'Time Off Log'!$E$5:$E$504,"Approved",'Time Off Log'!$C$5:$C$504,"&gt;="&amp;INDEX(Periods!$E$5:$E$57,$B10),'Time Off Log'!$C$5:$C$504,"&lt;="&amp;INDEX(Periods!$F$5:$F$57,$B10)))</f>
        <v/>
      </c>
      <c r="M10" s="48">
        <f>IF($B10=1,N(INDEX(Employees!$N$5:$N$29,$A10)),P9)</f>
        <v/>
      </c>
      <c r="N10" s="48">
        <f>IF(INDEX(Employees!$L$5:$L$29,$A10)="",K10,MAX(0,MIN(K10,INDEX(Employees!$L$5:$L$29,$A10)-(M10-L10))))</f>
        <v/>
      </c>
      <c r="O10" s="48">
        <f>K10-N10</f>
        <v/>
      </c>
      <c r="P10" s="48">
        <f>M10-L10+N10</f>
        <v/>
      </c>
      <c r="Q10" s="48">
        <f>IF($G10=0,0,IF(INDEX(Employees!$P$5:$P$29,$A10)="Per pay period",(N(INDEX(Employees!$Q$5:$Q$29,$A10)))/Settings!$B$13,IF(INDEX(Employees!$P$5:$P$29,$A10)="Per hour worked",N(INDEX(Employees!$R$5:$R$29,$A10))*$I10,IF(INDEX(Employees!$P$5:$P$29,$A10)="Front-loaded",IF(OR($B10=1,N($G9)=0),N(INDEX(Employees!$Q$5:$Q$29,$A10)),0),0))))</f>
        <v/>
      </c>
      <c r="R10" s="48">
        <f>IF($F10=0,0,SUMIFS('Time Off Log'!$H$5:$H$504,'Time Off Log'!$A$5:$A$504,$C10,'Time Off Log'!$B$5:$B$504,"Sick",'Time Off Log'!$E$5:$E$504,"Approved",'Time Off Log'!$C$5:$C$504,"&gt;="&amp;INDEX(Periods!$E$5:$E$57,$B10),'Time Off Log'!$C$5:$C$504,"&lt;="&amp;INDEX(Periods!$F$5:$F$57,$B10)))</f>
        <v/>
      </c>
      <c r="S10" s="48">
        <f>IF($B10=1,N(INDEX(Employees!$T$5:$T$29,$A10)),V9)</f>
        <v/>
      </c>
      <c r="T10" s="48">
        <f>IF(INDEX(Employees!$S$5:$S$29,$A10)="",Q10,MAX(0,MIN(Q10,INDEX(Employees!$S$5:$S$29,$A10)-(S10-R10))))</f>
        <v/>
      </c>
      <c r="U10" s="48">
        <f>Q10-T10</f>
        <v/>
      </c>
      <c r="V10" s="48">
        <f>S10-R10+T10</f>
        <v/>
      </c>
    </row>
    <row r="11">
      <c r="A11" s="47" t="n">
        <v>1</v>
      </c>
      <c r="B11" s="47" t="n">
        <v>7</v>
      </c>
      <c r="C11" s="48">
        <f>INDEX(Employees!$B$5:$B$29,$A11)&amp;""</f>
        <v/>
      </c>
      <c r="D11" s="49">
        <f>INDEX(Periods!$B$5:$B$57,$B11)</f>
        <v/>
      </c>
      <c r="E11" s="49">
        <f>INDEX(Periods!$C$5:$C$57,$B11)</f>
        <v/>
      </c>
      <c r="F11" s="47">
        <f>IF(AND($C11&lt;&gt;"",INDEX(Periods!$D$5:$D$57,$B11)=1),1,0)</f>
        <v/>
      </c>
      <c r="G11" s="47">
        <f>IF($F11=0,0,IF(AND(OR(INDEX(Employees!$D$5:$D$29,$A11)="",$E11&gt;=INDEX(Employees!$D$5:$D$29,$A11)+N(INDEX(Employees!$U$5:$U$29,$A11))),OR(INDEX(Employees!$E$5:$E$29,$A11)="",$D11&lt;=INDEX(Employees!$E$5:$E$29,$A11))),1,0))</f>
        <v/>
      </c>
      <c r="H11" s="47">
        <f>IF($G11=0,0,IF(INDEX(Employees!$D$5:$D$29,$A11)="",0,DATEDIF(INDEX(Employees!$D$5:$D$29,$A11),$E11,"y")))</f>
        <v/>
      </c>
      <c r="I11" s="48">
        <f>IF($G11=0,0,IF(INDEX('Hours Worked'!$D$5:$BD$29,$A11,$B11)="",N(INDEX(Employees!$H$5:$H$29,$A11)),INDEX('Hours Worked'!$D$5:$BD$29,$A11,$B11)))</f>
        <v/>
      </c>
      <c r="J11" s="48">
        <f>IF(OR($G11=0,INDEX(Employees!$O$5:$O$29,$A11)&lt;&gt;"Yes"),0,IF(COUNTIF(Settings!$D$4:$D$9,"&lt;="&amp;$H11)=0,0,INDEX(Settings!$E$4:$E$9,COUNTIF(Settings!$D$4:$D$9,"&lt;="&amp;$H11))))</f>
        <v/>
      </c>
      <c r="K11" s="48">
        <f>IF($G11=0,0,IF(INDEX(Employees!$I$5:$I$29,$A11)="Per pay period",(N(INDEX(Employees!$J$5:$J$29,$A11))+$J11)/Settings!$B$13,IF(INDEX(Employees!$I$5:$I$29,$A11)="Per hour worked",N(INDEX(Employees!$K$5:$K$29,$A11))*$I11,IF(INDEX(Employees!$I$5:$I$29,$A11)="Front-loaded",IF(OR($B11=1,N($G10)=0),N(INDEX(Employees!$J$5:$J$29,$A11))+$J11,0),0))))</f>
        <v/>
      </c>
      <c r="L11" s="48">
        <f>IF($F11=0,0,SUMIFS('Time Off Log'!$H$5:$H$504,'Time Off Log'!$A$5:$A$504,$C11,'Time Off Log'!$B$5:$B$504,"PTO",'Time Off Log'!$E$5:$E$504,"Approved",'Time Off Log'!$C$5:$C$504,"&gt;="&amp;INDEX(Periods!$E$5:$E$57,$B11),'Time Off Log'!$C$5:$C$504,"&lt;="&amp;INDEX(Periods!$F$5:$F$57,$B11)))</f>
        <v/>
      </c>
      <c r="M11" s="48">
        <f>IF($B11=1,N(INDEX(Employees!$N$5:$N$29,$A11)),P10)</f>
        <v/>
      </c>
      <c r="N11" s="48">
        <f>IF(INDEX(Employees!$L$5:$L$29,$A11)="",K11,MAX(0,MIN(K11,INDEX(Employees!$L$5:$L$29,$A11)-(M11-L11))))</f>
        <v/>
      </c>
      <c r="O11" s="48">
        <f>K11-N11</f>
        <v/>
      </c>
      <c r="P11" s="48">
        <f>M11-L11+N11</f>
        <v/>
      </c>
      <c r="Q11" s="48">
        <f>IF($G11=0,0,IF(INDEX(Employees!$P$5:$P$29,$A11)="Per pay period",(N(INDEX(Employees!$Q$5:$Q$29,$A11)))/Settings!$B$13,IF(INDEX(Employees!$P$5:$P$29,$A11)="Per hour worked",N(INDEX(Employees!$R$5:$R$29,$A11))*$I11,IF(INDEX(Employees!$P$5:$P$29,$A11)="Front-loaded",IF(OR($B11=1,N($G10)=0),N(INDEX(Employees!$Q$5:$Q$29,$A11)),0),0))))</f>
        <v/>
      </c>
      <c r="R11" s="48">
        <f>IF($F11=0,0,SUMIFS('Time Off Log'!$H$5:$H$504,'Time Off Log'!$A$5:$A$504,$C11,'Time Off Log'!$B$5:$B$504,"Sick",'Time Off Log'!$E$5:$E$504,"Approved",'Time Off Log'!$C$5:$C$504,"&gt;="&amp;INDEX(Periods!$E$5:$E$57,$B11),'Time Off Log'!$C$5:$C$504,"&lt;="&amp;INDEX(Periods!$F$5:$F$57,$B11)))</f>
        <v/>
      </c>
      <c r="S11" s="48">
        <f>IF($B11=1,N(INDEX(Employees!$T$5:$T$29,$A11)),V10)</f>
        <v/>
      </c>
      <c r="T11" s="48">
        <f>IF(INDEX(Employees!$S$5:$S$29,$A11)="",Q11,MAX(0,MIN(Q11,INDEX(Employees!$S$5:$S$29,$A11)-(S11-R11))))</f>
        <v/>
      </c>
      <c r="U11" s="48">
        <f>Q11-T11</f>
        <v/>
      </c>
      <c r="V11" s="48">
        <f>S11-R11+T11</f>
        <v/>
      </c>
    </row>
    <row r="12">
      <c r="A12" s="47" t="n">
        <v>1</v>
      </c>
      <c r="B12" s="47" t="n">
        <v>8</v>
      </c>
      <c r="C12" s="48">
        <f>INDEX(Employees!$B$5:$B$29,$A12)&amp;""</f>
        <v/>
      </c>
      <c r="D12" s="49">
        <f>INDEX(Periods!$B$5:$B$57,$B12)</f>
        <v/>
      </c>
      <c r="E12" s="49">
        <f>INDEX(Periods!$C$5:$C$57,$B12)</f>
        <v/>
      </c>
      <c r="F12" s="47">
        <f>IF(AND($C12&lt;&gt;"",INDEX(Periods!$D$5:$D$57,$B12)=1),1,0)</f>
        <v/>
      </c>
      <c r="G12" s="47">
        <f>IF($F12=0,0,IF(AND(OR(INDEX(Employees!$D$5:$D$29,$A12)="",$E12&gt;=INDEX(Employees!$D$5:$D$29,$A12)+N(INDEX(Employees!$U$5:$U$29,$A12))),OR(INDEX(Employees!$E$5:$E$29,$A12)="",$D12&lt;=INDEX(Employees!$E$5:$E$29,$A12))),1,0))</f>
        <v/>
      </c>
      <c r="H12" s="47">
        <f>IF($G12=0,0,IF(INDEX(Employees!$D$5:$D$29,$A12)="",0,DATEDIF(INDEX(Employees!$D$5:$D$29,$A12),$E12,"y")))</f>
        <v/>
      </c>
      <c r="I12" s="48">
        <f>IF($G12=0,0,IF(INDEX('Hours Worked'!$D$5:$BD$29,$A12,$B12)="",N(INDEX(Employees!$H$5:$H$29,$A12)),INDEX('Hours Worked'!$D$5:$BD$29,$A12,$B12)))</f>
        <v/>
      </c>
      <c r="J12" s="48">
        <f>IF(OR($G12=0,INDEX(Employees!$O$5:$O$29,$A12)&lt;&gt;"Yes"),0,IF(COUNTIF(Settings!$D$4:$D$9,"&lt;="&amp;$H12)=0,0,INDEX(Settings!$E$4:$E$9,COUNTIF(Settings!$D$4:$D$9,"&lt;="&amp;$H12))))</f>
        <v/>
      </c>
      <c r="K12" s="48">
        <f>IF($G12=0,0,IF(INDEX(Employees!$I$5:$I$29,$A12)="Per pay period",(N(INDEX(Employees!$J$5:$J$29,$A12))+$J12)/Settings!$B$13,IF(INDEX(Employees!$I$5:$I$29,$A12)="Per hour worked",N(INDEX(Employees!$K$5:$K$29,$A12))*$I12,IF(INDEX(Employees!$I$5:$I$29,$A12)="Front-loaded",IF(OR($B12=1,N($G11)=0),N(INDEX(Employees!$J$5:$J$29,$A12))+$J12,0),0))))</f>
        <v/>
      </c>
      <c r="L12" s="48">
        <f>IF($F12=0,0,SUMIFS('Time Off Log'!$H$5:$H$504,'Time Off Log'!$A$5:$A$504,$C12,'Time Off Log'!$B$5:$B$504,"PTO",'Time Off Log'!$E$5:$E$504,"Approved",'Time Off Log'!$C$5:$C$504,"&gt;="&amp;INDEX(Periods!$E$5:$E$57,$B12),'Time Off Log'!$C$5:$C$504,"&lt;="&amp;INDEX(Periods!$F$5:$F$57,$B12)))</f>
        <v/>
      </c>
      <c r="M12" s="48">
        <f>IF($B12=1,N(INDEX(Employees!$N$5:$N$29,$A12)),P11)</f>
        <v/>
      </c>
      <c r="N12" s="48">
        <f>IF(INDEX(Employees!$L$5:$L$29,$A12)="",K12,MAX(0,MIN(K12,INDEX(Employees!$L$5:$L$29,$A12)-(M12-L12))))</f>
        <v/>
      </c>
      <c r="O12" s="48">
        <f>K12-N12</f>
        <v/>
      </c>
      <c r="P12" s="48">
        <f>M12-L12+N12</f>
        <v/>
      </c>
      <c r="Q12" s="48">
        <f>IF($G12=0,0,IF(INDEX(Employees!$P$5:$P$29,$A12)="Per pay period",(N(INDEX(Employees!$Q$5:$Q$29,$A12)))/Settings!$B$13,IF(INDEX(Employees!$P$5:$P$29,$A12)="Per hour worked",N(INDEX(Employees!$R$5:$R$29,$A12))*$I12,IF(INDEX(Employees!$P$5:$P$29,$A12)="Front-loaded",IF(OR($B12=1,N($G11)=0),N(INDEX(Employees!$Q$5:$Q$29,$A12)),0),0))))</f>
        <v/>
      </c>
      <c r="R12" s="48">
        <f>IF($F12=0,0,SUMIFS('Time Off Log'!$H$5:$H$504,'Time Off Log'!$A$5:$A$504,$C12,'Time Off Log'!$B$5:$B$504,"Sick",'Time Off Log'!$E$5:$E$504,"Approved",'Time Off Log'!$C$5:$C$504,"&gt;="&amp;INDEX(Periods!$E$5:$E$57,$B12),'Time Off Log'!$C$5:$C$504,"&lt;="&amp;INDEX(Periods!$F$5:$F$57,$B12)))</f>
        <v/>
      </c>
      <c r="S12" s="48">
        <f>IF($B12=1,N(INDEX(Employees!$T$5:$T$29,$A12)),V11)</f>
        <v/>
      </c>
      <c r="T12" s="48">
        <f>IF(INDEX(Employees!$S$5:$S$29,$A12)="",Q12,MAX(0,MIN(Q12,INDEX(Employees!$S$5:$S$29,$A12)-(S12-R12))))</f>
        <v/>
      </c>
      <c r="U12" s="48">
        <f>Q12-T12</f>
        <v/>
      </c>
      <c r="V12" s="48">
        <f>S12-R12+T12</f>
        <v/>
      </c>
    </row>
    <row r="13">
      <c r="A13" s="47" t="n">
        <v>1</v>
      </c>
      <c r="B13" s="47" t="n">
        <v>9</v>
      </c>
      <c r="C13" s="48">
        <f>INDEX(Employees!$B$5:$B$29,$A13)&amp;""</f>
        <v/>
      </c>
      <c r="D13" s="49">
        <f>INDEX(Periods!$B$5:$B$57,$B13)</f>
        <v/>
      </c>
      <c r="E13" s="49">
        <f>INDEX(Periods!$C$5:$C$57,$B13)</f>
        <v/>
      </c>
      <c r="F13" s="47">
        <f>IF(AND($C13&lt;&gt;"",INDEX(Periods!$D$5:$D$57,$B13)=1),1,0)</f>
        <v/>
      </c>
      <c r="G13" s="47">
        <f>IF($F13=0,0,IF(AND(OR(INDEX(Employees!$D$5:$D$29,$A13)="",$E13&gt;=INDEX(Employees!$D$5:$D$29,$A13)+N(INDEX(Employees!$U$5:$U$29,$A13))),OR(INDEX(Employees!$E$5:$E$29,$A13)="",$D13&lt;=INDEX(Employees!$E$5:$E$29,$A13))),1,0))</f>
        <v/>
      </c>
      <c r="H13" s="47">
        <f>IF($G13=0,0,IF(INDEX(Employees!$D$5:$D$29,$A13)="",0,DATEDIF(INDEX(Employees!$D$5:$D$29,$A13),$E13,"y")))</f>
        <v/>
      </c>
      <c r="I13" s="48">
        <f>IF($G13=0,0,IF(INDEX('Hours Worked'!$D$5:$BD$29,$A13,$B13)="",N(INDEX(Employees!$H$5:$H$29,$A13)),INDEX('Hours Worked'!$D$5:$BD$29,$A13,$B13)))</f>
        <v/>
      </c>
      <c r="J13" s="48">
        <f>IF(OR($G13=0,INDEX(Employees!$O$5:$O$29,$A13)&lt;&gt;"Yes"),0,IF(COUNTIF(Settings!$D$4:$D$9,"&lt;="&amp;$H13)=0,0,INDEX(Settings!$E$4:$E$9,COUNTIF(Settings!$D$4:$D$9,"&lt;="&amp;$H13))))</f>
        <v/>
      </c>
      <c r="K13" s="48">
        <f>IF($G13=0,0,IF(INDEX(Employees!$I$5:$I$29,$A13)="Per pay period",(N(INDEX(Employees!$J$5:$J$29,$A13))+$J13)/Settings!$B$13,IF(INDEX(Employees!$I$5:$I$29,$A13)="Per hour worked",N(INDEX(Employees!$K$5:$K$29,$A13))*$I13,IF(INDEX(Employees!$I$5:$I$29,$A13)="Front-loaded",IF(OR($B13=1,N($G12)=0),N(INDEX(Employees!$J$5:$J$29,$A13))+$J13,0),0))))</f>
        <v/>
      </c>
      <c r="L13" s="48">
        <f>IF($F13=0,0,SUMIFS('Time Off Log'!$H$5:$H$504,'Time Off Log'!$A$5:$A$504,$C13,'Time Off Log'!$B$5:$B$504,"PTO",'Time Off Log'!$E$5:$E$504,"Approved",'Time Off Log'!$C$5:$C$504,"&gt;="&amp;INDEX(Periods!$E$5:$E$57,$B13),'Time Off Log'!$C$5:$C$504,"&lt;="&amp;INDEX(Periods!$F$5:$F$57,$B13)))</f>
        <v/>
      </c>
      <c r="M13" s="48">
        <f>IF($B13=1,N(INDEX(Employees!$N$5:$N$29,$A13)),P12)</f>
        <v/>
      </c>
      <c r="N13" s="48">
        <f>IF(INDEX(Employees!$L$5:$L$29,$A13)="",K13,MAX(0,MIN(K13,INDEX(Employees!$L$5:$L$29,$A13)-(M13-L13))))</f>
        <v/>
      </c>
      <c r="O13" s="48">
        <f>K13-N13</f>
        <v/>
      </c>
      <c r="P13" s="48">
        <f>M13-L13+N13</f>
        <v/>
      </c>
      <c r="Q13" s="48">
        <f>IF($G13=0,0,IF(INDEX(Employees!$P$5:$P$29,$A13)="Per pay period",(N(INDEX(Employees!$Q$5:$Q$29,$A13)))/Settings!$B$13,IF(INDEX(Employees!$P$5:$P$29,$A13)="Per hour worked",N(INDEX(Employees!$R$5:$R$29,$A13))*$I13,IF(INDEX(Employees!$P$5:$P$29,$A13)="Front-loaded",IF(OR($B13=1,N($G12)=0),N(INDEX(Employees!$Q$5:$Q$29,$A13)),0),0))))</f>
        <v/>
      </c>
      <c r="R13" s="48">
        <f>IF($F13=0,0,SUMIFS('Time Off Log'!$H$5:$H$504,'Time Off Log'!$A$5:$A$504,$C13,'Time Off Log'!$B$5:$B$504,"Sick",'Time Off Log'!$E$5:$E$504,"Approved",'Time Off Log'!$C$5:$C$504,"&gt;="&amp;INDEX(Periods!$E$5:$E$57,$B13),'Time Off Log'!$C$5:$C$504,"&lt;="&amp;INDEX(Periods!$F$5:$F$57,$B13)))</f>
        <v/>
      </c>
      <c r="S13" s="48">
        <f>IF($B13=1,N(INDEX(Employees!$T$5:$T$29,$A13)),V12)</f>
        <v/>
      </c>
      <c r="T13" s="48">
        <f>IF(INDEX(Employees!$S$5:$S$29,$A13)="",Q13,MAX(0,MIN(Q13,INDEX(Employees!$S$5:$S$29,$A13)-(S13-R13))))</f>
        <v/>
      </c>
      <c r="U13" s="48">
        <f>Q13-T13</f>
        <v/>
      </c>
      <c r="V13" s="48">
        <f>S13-R13+T13</f>
        <v/>
      </c>
    </row>
    <row r="14">
      <c r="A14" s="47" t="n">
        <v>1</v>
      </c>
      <c r="B14" s="47" t="n">
        <v>10</v>
      </c>
      <c r="C14" s="48">
        <f>INDEX(Employees!$B$5:$B$29,$A14)&amp;""</f>
        <v/>
      </c>
      <c r="D14" s="49">
        <f>INDEX(Periods!$B$5:$B$57,$B14)</f>
        <v/>
      </c>
      <c r="E14" s="49">
        <f>INDEX(Periods!$C$5:$C$57,$B14)</f>
        <v/>
      </c>
      <c r="F14" s="47">
        <f>IF(AND($C14&lt;&gt;"",INDEX(Periods!$D$5:$D$57,$B14)=1),1,0)</f>
        <v/>
      </c>
      <c r="G14" s="47">
        <f>IF($F14=0,0,IF(AND(OR(INDEX(Employees!$D$5:$D$29,$A14)="",$E14&gt;=INDEX(Employees!$D$5:$D$29,$A14)+N(INDEX(Employees!$U$5:$U$29,$A14))),OR(INDEX(Employees!$E$5:$E$29,$A14)="",$D14&lt;=INDEX(Employees!$E$5:$E$29,$A14))),1,0))</f>
        <v/>
      </c>
      <c r="H14" s="47">
        <f>IF($G14=0,0,IF(INDEX(Employees!$D$5:$D$29,$A14)="",0,DATEDIF(INDEX(Employees!$D$5:$D$29,$A14),$E14,"y")))</f>
        <v/>
      </c>
      <c r="I14" s="48">
        <f>IF($G14=0,0,IF(INDEX('Hours Worked'!$D$5:$BD$29,$A14,$B14)="",N(INDEX(Employees!$H$5:$H$29,$A14)),INDEX('Hours Worked'!$D$5:$BD$29,$A14,$B14)))</f>
        <v/>
      </c>
      <c r="J14" s="48">
        <f>IF(OR($G14=0,INDEX(Employees!$O$5:$O$29,$A14)&lt;&gt;"Yes"),0,IF(COUNTIF(Settings!$D$4:$D$9,"&lt;="&amp;$H14)=0,0,INDEX(Settings!$E$4:$E$9,COUNTIF(Settings!$D$4:$D$9,"&lt;="&amp;$H14))))</f>
        <v/>
      </c>
      <c r="K14" s="48">
        <f>IF($G14=0,0,IF(INDEX(Employees!$I$5:$I$29,$A14)="Per pay period",(N(INDEX(Employees!$J$5:$J$29,$A14))+$J14)/Settings!$B$13,IF(INDEX(Employees!$I$5:$I$29,$A14)="Per hour worked",N(INDEX(Employees!$K$5:$K$29,$A14))*$I14,IF(INDEX(Employees!$I$5:$I$29,$A14)="Front-loaded",IF(OR($B14=1,N($G13)=0),N(INDEX(Employees!$J$5:$J$29,$A14))+$J14,0),0))))</f>
        <v/>
      </c>
      <c r="L14" s="48">
        <f>IF($F14=0,0,SUMIFS('Time Off Log'!$H$5:$H$504,'Time Off Log'!$A$5:$A$504,$C14,'Time Off Log'!$B$5:$B$504,"PTO",'Time Off Log'!$E$5:$E$504,"Approved",'Time Off Log'!$C$5:$C$504,"&gt;="&amp;INDEX(Periods!$E$5:$E$57,$B14),'Time Off Log'!$C$5:$C$504,"&lt;="&amp;INDEX(Periods!$F$5:$F$57,$B14)))</f>
        <v/>
      </c>
      <c r="M14" s="48">
        <f>IF($B14=1,N(INDEX(Employees!$N$5:$N$29,$A14)),P13)</f>
        <v/>
      </c>
      <c r="N14" s="48">
        <f>IF(INDEX(Employees!$L$5:$L$29,$A14)="",K14,MAX(0,MIN(K14,INDEX(Employees!$L$5:$L$29,$A14)-(M14-L14))))</f>
        <v/>
      </c>
      <c r="O14" s="48">
        <f>K14-N14</f>
        <v/>
      </c>
      <c r="P14" s="48">
        <f>M14-L14+N14</f>
        <v/>
      </c>
      <c r="Q14" s="48">
        <f>IF($G14=0,0,IF(INDEX(Employees!$P$5:$P$29,$A14)="Per pay period",(N(INDEX(Employees!$Q$5:$Q$29,$A14)))/Settings!$B$13,IF(INDEX(Employees!$P$5:$P$29,$A14)="Per hour worked",N(INDEX(Employees!$R$5:$R$29,$A14))*$I14,IF(INDEX(Employees!$P$5:$P$29,$A14)="Front-loaded",IF(OR($B14=1,N($G13)=0),N(INDEX(Employees!$Q$5:$Q$29,$A14)),0),0))))</f>
        <v/>
      </c>
      <c r="R14" s="48">
        <f>IF($F14=0,0,SUMIFS('Time Off Log'!$H$5:$H$504,'Time Off Log'!$A$5:$A$504,$C14,'Time Off Log'!$B$5:$B$504,"Sick",'Time Off Log'!$E$5:$E$504,"Approved",'Time Off Log'!$C$5:$C$504,"&gt;="&amp;INDEX(Periods!$E$5:$E$57,$B14),'Time Off Log'!$C$5:$C$504,"&lt;="&amp;INDEX(Periods!$F$5:$F$57,$B14)))</f>
        <v/>
      </c>
      <c r="S14" s="48">
        <f>IF($B14=1,N(INDEX(Employees!$T$5:$T$29,$A14)),V13)</f>
        <v/>
      </c>
      <c r="T14" s="48">
        <f>IF(INDEX(Employees!$S$5:$S$29,$A14)="",Q14,MAX(0,MIN(Q14,INDEX(Employees!$S$5:$S$29,$A14)-(S14-R14))))</f>
        <v/>
      </c>
      <c r="U14" s="48">
        <f>Q14-T14</f>
        <v/>
      </c>
      <c r="V14" s="48">
        <f>S14-R14+T14</f>
        <v/>
      </c>
    </row>
    <row r="15">
      <c r="A15" s="47" t="n">
        <v>1</v>
      </c>
      <c r="B15" s="47" t="n">
        <v>11</v>
      </c>
      <c r="C15" s="48">
        <f>INDEX(Employees!$B$5:$B$29,$A15)&amp;""</f>
        <v/>
      </c>
      <c r="D15" s="49">
        <f>INDEX(Periods!$B$5:$B$57,$B15)</f>
        <v/>
      </c>
      <c r="E15" s="49">
        <f>INDEX(Periods!$C$5:$C$57,$B15)</f>
        <v/>
      </c>
      <c r="F15" s="47">
        <f>IF(AND($C15&lt;&gt;"",INDEX(Periods!$D$5:$D$57,$B15)=1),1,0)</f>
        <v/>
      </c>
      <c r="G15" s="47">
        <f>IF($F15=0,0,IF(AND(OR(INDEX(Employees!$D$5:$D$29,$A15)="",$E15&gt;=INDEX(Employees!$D$5:$D$29,$A15)+N(INDEX(Employees!$U$5:$U$29,$A15))),OR(INDEX(Employees!$E$5:$E$29,$A15)="",$D15&lt;=INDEX(Employees!$E$5:$E$29,$A15))),1,0))</f>
        <v/>
      </c>
      <c r="H15" s="47">
        <f>IF($G15=0,0,IF(INDEX(Employees!$D$5:$D$29,$A15)="",0,DATEDIF(INDEX(Employees!$D$5:$D$29,$A15),$E15,"y")))</f>
        <v/>
      </c>
      <c r="I15" s="48">
        <f>IF($G15=0,0,IF(INDEX('Hours Worked'!$D$5:$BD$29,$A15,$B15)="",N(INDEX(Employees!$H$5:$H$29,$A15)),INDEX('Hours Worked'!$D$5:$BD$29,$A15,$B15)))</f>
        <v/>
      </c>
      <c r="J15" s="48">
        <f>IF(OR($G15=0,INDEX(Employees!$O$5:$O$29,$A15)&lt;&gt;"Yes"),0,IF(COUNTIF(Settings!$D$4:$D$9,"&lt;="&amp;$H15)=0,0,INDEX(Settings!$E$4:$E$9,COUNTIF(Settings!$D$4:$D$9,"&lt;="&amp;$H15))))</f>
        <v/>
      </c>
      <c r="K15" s="48">
        <f>IF($G15=0,0,IF(INDEX(Employees!$I$5:$I$29,$A15)="Per pay period",(N(INDEX(Employees!$J$5:$J$29,$A15))+$J15)/Settings!$B$13,IF(INDEX(Employees!$I$5:$I$29,$A15)="Per hour worked",N(INDEX(Employees!$K$5:$K$29,$A15))*$I15,IF(INDEX(Employees!$I$5:$I$29,$A15)="Front-loaded",IF(OR($B15=1,N($G14)=0),N(INDEX(Employees!$J$5:$J$29,$A15))+$J15,0),0))))</f>
        <v/>
      </c>
      <c r="L15" s="48">
        <f>IF($F15=0,0,SUMIFS('Time Off Log'!$H$5:$H$504,'Time Off Log'!$A$5:$A$504,$C15,'Time Off Log'!$B$5:$B$504,"PTO",'Time Off Log'!$E$5:$E$504,"Approved",'Time Off Log'!$C$5:$C$504,"&gt;="&amp;INDEX(Periods!$E$5:$E$57,$B15),'Time Off Log'!$C$5:$C$504,"&lt;="&amp;INDEX(Periods!$F$5:$F$57,$B15)))</f>
        <v/>
      </c>
      <c r="M15" s="48">
        <f>IF($B15=1,N(INDEX(Employees!$N$5:$N$29,$A15)),P14)</f>
        <v/>
      </c>
      <c r="N15" s="48">
        <f>IF(INDEX(Employees!$L$5:$L$29,$A15)="",K15,MAX(0,MIN(K15,INDEX(Employees!$L$5:$L$29,$A15)-(M15-L15))))</f>
        <v/>
      </c>
      <c r="O15" s="48">
        <f>K15-N15</f>
        <v/>
      </c>
      <c r="P15" s="48">
        <f>M15-L15+N15</f>
        <v/>
      </c>
      <c r="Q15" s="48">
        <f>IF($G15=0,0,IF(INDEX(Employees!$P$5:$P$29,$A15)="Per pay period",(N(INDEX(Employees!$Q$5:$Q$29,$A15)))/Settings!$B$13,IF(INDEX(Employees!$P$5:$P$29,$A15)="Per hour worked",N(INDEX(Employees!$R$5:$R$29,$A15))*$I15,IF(INDEX(Employees!$P$5:$P$29,$A15)="Front-loaded",IF(OR($B15=1,N($G14)=0),N(INDEX(Employees!$Q$5:$Q$29,$A15)),0),0))))</f>
        <v/>
      </c>
      <c r="R15" s="48">
        <f>IF($F15=0,0,SUMIFS('Time Off Log'!$H$5:$H$504,'Time Off Log'!$A$5:$A$504,$C15,'Time Off Log'!$B$5:$B$504,"Sick",'Time Off Log'!$E$5:$E$504,"Approved",'Time Off Log'!$C$5:$C$504,"&gt;="&amp;INDEX(Periods!$E$5:$E$57,$B15),'Time Off Log'!$C$5:$C$504,"&lt;="&amp;INDEX(Periods!$F$5:$F$57,$B15)))</f>
        <v/>
      </c>
      <c r="S15" s="48">
        <f>IF($B15=1,N(INDEX(Employees!$T$5:$T$29,$A15)),V14)</f>
        <v/>
      </c>
      <c r="T15" s="48">
        <f>IF(INDEX(Employees!$S$5:$S$29,$A15)="",Q15,MAX(0,MIN(Q15,INDEX(Employees!$S$5:$S$29,$A15)-(S15-R15))))</f>
        <v/>
      </c>
      <c r="U15" s="48">
        <f>Q15-T15</f>
        <v/>
      </c>
      <c r="V15" s="48">
        <f>S15-R15+T15</f>
        <v/>
      </c>
    </row>
    <row r="16">
      <c r="A16" s="47" t="n">
        <v>1</v>
      </c>
      <c r="B16" s="47" t="n">
        <v>12</v>
      </c>
      <c r="C16" s="48">
        <f>INDEX(Employees!$B$5:$B$29,$A16)&amp;""</f>
        <v/>
      </c>
      <c r="D16" s="49">
        <f>INDEX(Periods!$B$5:$B$57,$B16)</f>
        <v/>
      </c>
      <c r="E16" s="49">
        <f>INDEX(Periods!$C$5:$C$57,$B16)</f>
        <v/>
      </c>
      <c r="F16" s="47">
        <f>IF(AND($C16&lt;&gt;"",INDEX(Periods!$D$5:$D$57,$B16)=1),1,0)</f>
        <v/>
      </c>
      <c r="G16" s="47">
        <f>IF($F16=0,0,IF(AND(OR(INDEX(Employees!$D$5:$D$29,$A16)="",$E16&gt;=INDEX(Employees!$D$5:$D$29,$A16)+N(INDEX(Employees!$U$5:$U$29,$A16))),OR(INDEX(Employees!$E$5:$E$29,$A16)="",$D16&lt;=INDEX(Employees!$E$5:$E$29,$A16))),1,0))</f>
        <v/>
      </c>
      <c r="H16" s="47">
        <f>IF($G16=0,0,IF(INDEX(Employees!$D$5:$D$29,$A16)="",0,DATEDIF(INDEX(Employees!$D$5:$D$29,$A16),$E16,"y")))</f>
        <v/>
      </c>
      <c r="I16" s="48">
        <f>IF($G16=0,0,IF(INDEX('Hours Worked'!$D$5:$BD$29,$A16,$B16)="",N(INDEX(Employees!$H$5:$H$29,$A16)),INDEX('Hours Worked'!$D$5:$BD$29,$A16,$B16)))</f>
        <v/>
      </c>
      <c r="J16" s="48">
        <f>IF(OR($G16=0,INDEX(Employees!$O$5:$O$29,$A16)&lt;&gt;"Yes"),0,IF(COUNTIF(Settings!$D$4:$D$9,"&lt;="&amp;$H16)=0,0,INDEX(Settings!$E$4:$E$9,COUNTIF(Settings!$D$4:$D$9,"&lt;="&amp;$H16))))</f>
        <v/>
      </c>
      <c r="K16" s="48">
        <f>IF($G16=0,0,IF(INDEX(Employees!$I$5:$I$29,$A16)="Per pay period",(N(INDEX(Employees!$J$5:$J$29,$A16))+$J16)/Settings!$B$13,IF(INDEX(Employees!$I$5:$I$29,$A16)="Per hour worked",N(INDEX(Employees!$K$5:$K$29,$A16))*$I16,IF(INDEX(Employees!$I$5:$I$29,$A16)="Front-loaded",IF(OR($B16=1,N($G15)=0),N(INDEX(Employees!$J$5:$J$29,$A16))+$J16,0),0))))</f>
        <v/>
      </c>
      <c r="L16" s="48">
        <f>IF($F16=0,0,SUMIFS('Time Off Log'!$H$5:$H$504,'Time Off Log'!$A$5:$A$504,$C16,'Time Off Log'!$B$5:$B$504,"PTO",'Time Off Log'!$E$5:$E$504,"Approved",'Time Off Log'!$C$5:$C$504,"&gt;="&amp;INDEX(Periods!$E$5:$E$57,$B16),'Time Off Log'!$C$5:$C$504,"&lt;="&amp;INDEX(Periods!$F$5:$F$57,$B16)))</f>
        <v/>
      </c>
      <c r="M16" s="48">
        <f>IF($B16=1,N(INDEX(Employees!$N$5:$N$29,$A16)),P15)</f>
        <v/>
      </c>
      <c r="N16" s="48">
        <f>IF(INDEX(Employees!$L$5:$L$29,$A16)="",K16,MAX(0,MIN(K16,INDEX(Employees!$L$5:$L$29,$A16)-(M16-L16))))</f>
        <v/>
      </c>
      <c r="O16" s="48">
        <f>K16-N16</f>
        <v/>
      </c>
      <c r="P16" s="48">
        <f>M16-L16+N16</f>
        <v/>
      </c>
      <c r="Q16" s="48">
        <f>IF($G16=0,0,IF(INDEX(Employees!$P$5:$P$29,$A16)="Per pay period",(N(INDEX(Employees!$Q$5:$Q$29,$A16)))/Settings!$B$13,IF(INDEX(Employees!$P$5:$P$29,$A16)="Per hour worked",N(INDEX(Employees!$R$5:$R$29,$A16))*$I16,IF(INDEX(Employees!$P$5:$P$29,$A16)="Front-loaded",IF(OR($B16=1,N($G15)=0),N(INDEX(Employees!$Q$5:$Q$29,$A16)),0),0))))</f>
        <v/>
      </c>
      <c r="R16" s="48">
        <f>IF($F16=0,0,SUMIFS('Time Off Log'!$H$5:$H$504,'Time Off Log'!$A$5:$A$504,$C16,'Time Off Log'!$B$5:$B$504,"Sick",'Time Off Log'!$E$5:$E$504,"Approved",'Time Off Log'!$C$5:$C$504,"&gt;="&amp;INDEX(Periods!$E$5:$E$57,$B16),'Time Off Log'!$C$5:$C$504,"&lt;="&amp;INDEX(Periods!$F$5:$F$57,$B16)))</f>
        <v/>
      </c>
      <c r="S16" s="48">
        <f>IF($B16=1,N(INDEX(Employees!$T$5:$T$29,$A16)),V15)</f>
        <v/>
      </c>
      <c r="T16" s="48">
        <f>IF(INDEX(Employees!$S$5:$S$29,$A16)="",Q16,MAX(0,MIN(Q16,INDEX(Employees!$S$5:$S$29,$A16)-(S16-R16))))</f>
        <v/>
      </c>
      <c r="U16" s="48">
        <f>Q16-T16</f>
        <v/>
      </c>
      <c r="V16" s="48">
        <f>S16-R16+T16</f>
        <v/>
      </c>
    </row>
    <row r="17">
      <c r="A17" s="47" t="n">
        <v>1</v>
      </c>
      <c r="B17" s="47" t="n">
        <v>13</v>
      </c>
      <c r="C17" s="48">
        <f>INDEX(Employees!$B$5:$B$29,$A17)&amp;""</f>
        <v/>
      </c>
      <c r="D17" s="49">
        <f>INDEX(Periods!$B$5:$B$57,$B17)</f>
        <v/>
      </c>
      <c r="E17" s="49">
        <f>INDEX(Periods!$C$5:$C$57,$B17)</f>
        <v/>
      </c>
      <c r="F17" s="47">
        <f>IF(AND($C17&lt;&gt;"",INDEX(Periods!$D$5:$D$57,$B17)=1),1,0)</f>
        <v/>
      </c>
      <c r="G17" s="47">
        <f>IF($F17=0,0,IF(AND(OR(INDEX(Employees!$D$5:$D$29,$A17)="",$E17&gt;=INDEX(Employees!$D$5:$D$29,$A17)+N(INDEX(Employees!$U$5:$U$29,$A17))),OR(INDEX(Employees!$E$5:$E$29,$A17)="",$D17&lt;=INDEX(Employees!$E$5:$E$29,$A17))),1,0))</f>
        <v/>
      </c>
      <c r="H17" s="47">
        <f>IF($G17=0,0,IF(INDEX(Employees!$D$5:$D$29,$A17)="",0,DATEDIF(INDEX(Employees!$D$5:$D$29,$A17),$E17,"y")))</f>
        <v/>
      </c>
      <c r="I17" s="48">
        <f>IF($G17=0,0,IF(INDEX('Hours Worked'!$D$5:$BD$29,$A17,$B17)="",N(INDEX(Employees!$H$5:$H$29,$A17)),INDEX('Hours Worked'!$D$5:$BD$29,$A17,$B17)))</f>
        <v/>
      </c>
      <c r="J17" s="48">
        <f>IF(OR($G17=0,INDEX(Employees!$O$5:$O$29,$A17)&lt;&gt;"Yes"),0,IF(COUNTIF(Settings!$D$4:$D$9,"&lt;="&amp;$H17)=0,0,INDEX(Settings!$E$4:$E$9,COUNTIF(Settings!$D$4:$D$9,"&lt;="&amp;$H17))))</f>
        <v/>
      </c>
      <c r="K17" s="48">
        <f>IF($G17=0,0,IF(INDEX(Employees!$I$5:$I$29,$A17)="Per pay period",(N(INDEX(Employees!$J$5:$J$29,$A17))+$J17)/Settings!$B$13,IF(INDEX(Employees!$I$5:$I$29,$A17)="Per hour worked",N(INDEX(Employees!$K$5:$K$29,$A17))*$I17,IF(INDEX(Employees!$I$5:$I$29,$A17)="Front-loaded",IF(OR($B17=1,N($G16)=0),N(INDEX(Employees!$J$5:$J$29,$A17))+$J17,0),0))))</f>
        <v/>
      </c>
      <c r="L17" s="48">
        <f>IF($F17=0,0,SUMIFS('Time Off Log'!$H$5:$H$504,'Time Off Log'!$A$5:$A$504,$C17,'Time Off Log'!$B$5:$B$504,"PTO",'Time Off Log'!$E$5:$E$504,"Approved",'Time Off Log'!$C$5:$C$504,"&gt;="&amp;INDEX(Periods!$E$5:$E$57,$B17),'Time Off Log'!$C$5:$C$504,"&lt;="&amp;INDEX(Periods!$F$5:$F$57,$B17)))</f>
        <v/>
      </c>
      <c r="M17" s="48">
        <f>IF($B17=1,N(INDEX(Employees!$N$5:$N$29,$A17)),P16)</f>
        <v/>
      </c>
      <c r="N17" s="48">
        <f>IF(INDEX(Employees!$L$5:$L$29,$A17)="",K17,MAX(0,MIN(K17,INDEX(Employees!$L$5:$L$29,$A17)-(M17-L17))))</f>
        <v/>
      </c>
      <c r="O17" s="48">
        <f>K17-N17</f>
        <v/>
      </c>
      <c r="P17" s="48">
        <f>M17-L17+N17</f>
        <v/>
      </c>
      <c r="Q17" s="48">
        <f>IF($G17=0,0,IF(INDEX(Employees!$P$5:$P$29,$A17)="Per pay period",(N(INDEX(Employees!$Q$5:$Q$29,$A17)))/Settings!$B$13,IF(INDEX(Employees!$P$5:$P$29,$A17)="Per hour worked",N(INDEX(Employees!$R$5:$R$29,$A17))*$I17,IF(INDEX(Employees!$P$5:$P$29,$A17)="Front-loaded",IF(OR($B17=1,N($G16)=0),N(INDEX(Employees!$Q$5:$Q$29,$A17)),0),0))))</f>
        <v/>
      </c>
      <c r="R17" s="48">
        <f>IF($F17=0,0,SUMIFS('Time Off Log'!$H$5:$H$504,'Time Off Log'!$A$5:$A$504,$C17,'Time Off Log'!$B$5:$B$504,"Sick",'Time Off Log'!$E$5:$E$504,"Approved",'Time Off Log'!$C$5:$C$504,"&gt;="&amp;INDEX(Periods!$E$5:$E$57,$B17),'Time Off Log'!$C$5:$C$504,"&lt;="&amp;INDEX(Periods!$F$5:$F$57,$B17)))</f>
        <v/>
      </c>
      <c r="S17" s="48">
        <f>IF($B17=1,N(INDEX(Employees!$T$5:$T$29,$A17)),V16)</f>
        <v/>
      </c>
      <c r="T17" s="48">
        <f>IF(INDEX(Employees!$S$5:$S$29,$A17)="",Q17,MAX(0,MIN(Q17,INDEX(Employees!$S$5:$S$29,$A17)-(S17-R17))))</f>
        <v/>
      </c>
      <c r="U17" s="48">
        <f>Q17-T17</f>
        <v/>
      </c>
      <c r="V17" s="48">
        <f>S17-R17+T17</f>
        <v/>
      </c>
    </row>
    <row r="18">
      <c r="A18" s="47" t="n">
        <v>1</v>
      </c>
      <c r="B18" s="47" t="n">
        <v>14</v>
      </c>
      <c r="C18" s="48">
        <f>INDEX(Employees!$B$5:$B$29,$A18)&amp;""</f>
        <v/>
      </c>
      <c r="D18" s="49">
        <f>INDEX(Periods!$B$5:$B$57,$B18)</f>
        <v/>
      </c>
      <c r="E18" s="49">
        <f>INDEX(Periods!$C$5:$C$57,$B18)</f>
        <v/>
      </c>
      <c r="F18" s="47">
        <f>IF(AND($C18&lt;&gt;"",INDEX(Periods!$D$5:$D$57,$B18)=1),1,0)</f>
        <v/>
      </c>
      <c r="G18" s="47">
        <f>IF($F18=0,0,IF(AND(OR(INDEX(Employees!$D$5:$D$29,$A18)="",$E18&gt;=INDEX(Employees!$D$5:$D$29,$A18)+N(INDEX(Employees!$U$5:$U$29,$A18))),OR(INDEX(Employees!$E$5:$E$29,$A18)="",$D18&lt;=INDEX(Employees!$E$5:$E$29,$A18))),1,0))</f>
        <v/>
      </c>
      <c r="H18" s="47">
        <f>IF($G18=0,0,IF(INDEX(Employees!$D$5:$D$29,$A18)="",0,DATEDIF(INDEX(Employees!$D$5:$D$29,$A18),$E18,"y")))</f>
        <v/>
      </c>
      <c r="I18" s="48">
        <f>IF($G18=0,0,IF(INDEX('Hours Worked'!$D$5:$BD$29,$A18,$B18)="",N(INDEX(Employees!$H$5:$H$29,$A18)),INDEX('Hours Worked'!$D$5:$BD$29,$A18,$B18)))</f>
        <v/>
      </c>
      <c r="J18" s="48">
        <f>IF(OR($G18=0,INDEX(Employees!$O$5:$O$29,$A18)&lt;&gt;"Yes"),0,IF(COUNTIF(Settings!$D$4:$D$9,"&lt;="&amp;$H18)=0,0,INDEX(Settings!$E$4:$E$9,COUNTIF(Settings!$D$4:$D$9,"&lt;="&amp;$H18))))</f>
        <v/>
      </c>
      <c r="K18" s="48">
        <f>IF($G18=0,0,IF(INDEX(Employees!$I$5:$I$29,$A18)="Per pay period",(N(INDEX(Employees!$J$5:$J$29,$A18))+$J18)/Settings!$B$13,IF(INDEX(Employees!$I$5:$I$29,$A18)="Per hour worked",N(INDEX(Employees!$K$5:$K$29,$A18))*$I18,IF(INDEX(Employees!$I$5:$I$29,$A18)="Front-loaded",IF(OR($B18=1,N($G17)=0),N(INDEX(Employees!$J$5:$J$29,$A18))+$J18,0),0))))</f>
        <v/>
      </c>
      <c r="L18" s="48">
        <f>IF($F18=0,0,SUMIFS('Time Off Log'!$H$5:$H$504,'Time Off Log'!$A$5:$A$504,$C18,'Time Off Log'!$B$5:$B$504,"PTO",'Time Off Log'!$E$5:$E$504,"Approved",'Time Off Log'!$C$5:$C$504,"&gt;="&amp;INDEX(Periods!$E$5:$E$57,$B18),'Time Off Log'!$C$5:$C$504,"&lt;="&amp;INDEX(Periods!$F$5:$F$57,$B18)))</f>
        <v/>
      </c>
      <c r="M18" s="48">
        <f>IF($B18=1,N(INDEX(Employees!$N$5:$N$29,$A18)),P17)</f>
        <v/>
      </c>
      <c r="N18" s="48">
        <f>IF(INDEX(Employees!$L$5:$L$29,$A18)="",K18,MAX(0,MIN(K18,INDEX(Employees!$L$5:$L$29,$A18)-(M18-L18))))</f>
        <v/>
      </c>
      <c r="O18" s="48">
        <f>K18-N18</f>
        <v/>
      </c>
      <c r="P18" s="48">
        <f>M18-L18+N18</f>
        <v/>
      </c>
      <c r="Q18" s="48">
        <f>IF($G18=0,0,IF(INDEX(Employees!$P$5:$P$29,$A18)="Per pay period",(N(INDEX(Employees!$Q$5:$Q$29,$A18)))/Settings!$B$13,IF(INDEX(Employees!$P$5:$P$29,$A18)="Per hour worked",N(INDEX(Employees!$R$5:$R$29,$A18))*$I18,IF(INDEX(Employees!$P$5:$P$29,$A18)="Front-loaded",IF(OR($B18=1,N($G17)=0),N(INDEX(Employees!$Q$5:$Q$29,$A18)),0),0))))</f>
        <v/>
      </c>
      <c r="R18" s="48">
        <f>IF($F18=0,0,SUMIFS('Time Off Log'!$H$5:$H$504,'Time Off Log'!$A$5:$A$504,$C18,'Time Off Log'!$B$5:$B$504,"Sick",'Time Off Log'!$E$5:$E$504,"Approved",'Time Off Log'!$C$5:$C$504,"&gt;="&amp;INDEX(Periods!$E$5:$E$57,$B18),'Time Off Log'!$C$5:$C$504,"&lt;="&amp;INDEX(Periods!$F$5:$F$57,$B18)))</f>
        <v/>
      </c>
      <c r="S18" s="48">
        <f>IF($B18=1,N(INDEX(Employees!$T$5:$T$29,$A18)),V17)</f>
        <v/>
      </c>
      <c r="T18" s="48">
        <f>IF(INDEX(Employees!$S$5:$S$29,$A18)="",Q18,MAX(0,MIN(Q18,INDEX(Employees!$S$5:$S$29,$A18)-(S18-R18))))</f>
        <v/>
      </c>
      <c r="U18" s="48">
        <f>Q18-T18</f>
        <v/>
      </c>
      <c r="V18" s="48">
        <f>S18-R18+T18</f>
        <v/>
      </c>
    </row>
    <row r="19">
      <c r="A19" s="47" t="n">
        <v>1</v>
      </c>
      <c r="B19" s="47" t="n">
        <v>15</v>
      </c>
      <c r="C19" s="48">
        <f>INDEX(Employees!$B$5:$B$29,$A19)&amp;""</f>
        <v/>
      </c>
      <c r="D19" s="49">
        <f>INDEX(Periods!$B$5:$B$57,$B19)</f>
        <v/>
      </c>
      <c r="E19" s="49">
        <f>INDEX(Periods!$C$5:$C$57,$B19)</f>
        <v/>
      </c>
      <c r="F19" s="47">
        <f>IF(AND($C19&lt;&gt;"",INDEX(Periods!$D$5:$D$57,$B19)=1),1,0)</f>
        <v/>
      </c>
      <c r="G19" s="47">
        <f>IF($F19=0,0,IF(AND(OR(INDEX(Employees!$D$5:$D$29,$A19)="",$E19&gt;=INDEX(Employees!$D$5:$D$29,$A19)+N(INDEX(Employees!$U$5:$U$29,$A19))),OR(INDEX(Employees!$E$5:$E$29,$A19)="",$D19&lt;=INDEX(Employees!$E$5:$E$29,$A19))),1,0))</f>
        <v/>
      </c>
      <c r="H19" s="47">
        <f>IF($G19=0,0,IF(INDEX(Employees!$D$5:$D$29,$A19)="",0,DATEDIF(INDEX(Employees!$D$5:$D$29,$A19),$E19,"y")))</f>
        <v/>
      </c>
      <c r="I19" s="48">
        <f>IF($G19=0,0,IF(INDEX('Hours Worked'!$D$5:$BD$29,$A19,$B19)="",N(INDEX(Employees!$H$5:$H$29,$A19)),INDEX('Hours Worked'!$D$5:$BD$29,$A19,$B19)))</f>
        <v/>
      </c>
      <c r="J19" s="48">
        <f>IF(OR($G19=0,INDEX(Employees!$O$5:$O$29,$A19)&lt;&gt;"Yes"),0,IF(COUNTIF(Settings!$D$4:$D$9,"&lt;="&amp;$H19)=0,0,INDEX(Settings!$E$4:$E$9,COUNTIF(Settings!$D$4:$D$9,"&lt;="&amp;$H19))))</f>
        <v/>
      </c>
      <c r="K19" s="48">
        <f>IF($G19=0,0,IF(INDEX(Employees!$I$5:$I$29,$A19)="Per pay period",(N(INDEX(Employees!$J$5:$J$29,$A19))+$J19)/Settings!$B$13,IF(INDEX(Employees!$I$5:$I$29,$A19)="Per hour worked",N(INDEX(Employees!$K$5:$K$29,$A19))*$I19,IF(INDEX(Employees!$I$5:$I$29,$A19)="Front-loaded",IF(OR($B19=1,N($G18)=0),N(INDEX(Employees!$J$5:$J$29,$A19))+$J19,0),0))))</f>
        <v/>
      </c>
      <c r="L19" s="48">
        <f>IF($F19=0,0,SUMIFS('Time Off Log'!$H$5:$H$504,'Time Off Log'!$A$5:$A$504,$C19,'Time Off Log'!$B$5:$B$504,"PTO",'Time Off Log'!$E$5:$E$504,"Approved",'Time Off Log'!$C$5:$C$504,"&gt;="&amp;INDEX(Periods!$E$5:$E$57,$B19),'Time Off Log'!$C$5:$C$504,"&lt;="&amp;INDEX(Periods!$F$5:$F$57,$B19)))</f>
        <v/>
      </c>
      <c r="M19" s="48">
        <f>IF($B19=1,N(INDEX(Employees!$N$5:$N$29,$A19)),P18)</f>
        <v/>
      </c>
      <c r="N19" s="48">
        <f>IF(INDEX(Employees!$L$5:$L$29,$A19)="",K19,MAX(0,MIN(K19,INDEX(Employees!$L$5:$L$29,$A19)-(M19-L19))))</f>
        <v/>
      </c>
      <c r="O19" s="48">
        <f>K19-N19</f>
        <v/>
      </c>
      <c r="P19" s="48">
        <f>M19-L19+N19</f>
        <v/>
      </c>
      <c r="Q19" s="48">
        <f>IF($G19=0,0,IF(INDEX(Employees!$P$5:$P$29,$A19)="Per pay period",(N(INDEX(Employees!$Q$5:$Q$29,$A19)))/Settings!$B$13,IF(INDEX(Employees!$P$5:$P$29,$A19)="Per hour worked",N(INDEX(Employees!$R$5:$R$29,$A19))*$I19,IF(INDEX(Employees!$P$5:$P$29,$A19)="Front-loaded",IF(OR($B19=1,N($G18)=0),N(INDEX(Employees!$Q$5:$Q$29,$A19)),0),0))))</f>
        <v/>
      </c>
      <c r="R19" s="48">
        <f>IF($F19=0,0,SUMIFS('Time Off Log'!$H$5:$H$504,'Time Off Log'!$A$5:$A$504,$C19,'Time Off Log'!$B$5:$B$504,"Sick",'Time Off Log'!$E$5:$E$504,"Approved",'Time Off Log'!$C$5:$C$504,"&gt;="&amp;INDEX(Periods!$E$5:$E$57,$B19),'Time Off Log'!$C$5:$C$504,"&lt;="&amp;INDEX(Periods!$F$5:$F$57,$B19)))</f>
        <v/>
      </c>
      <c r="S19" s="48">
        <f>IF($B19=1,N(INDEX(Employees!$T$5:$T$29,$A19)),V18)</f>
        <v/>
      </c>
      <c r="T19" s="48">
        <f>IF(INDEX(Employees!$S$5:$S$29,$A19)="",Q19,MAX(0,MIN(Q19,INDEX(Employees!$S$5:$S$29,$A19)-(S19-R19))))</f>
        <v/>
      </c>
      <c r="U19" s="48">
        <f>Q19-T19</f>
        <v/>
      </c>
      <c r="V19" s="48">
        <f>S19-R19+T19</f>
        <v/>
      </c>
    </row>
    <row r="20">
      <c r="A20" s="47" t="n">
        <v>1</v>
      </c>
      <c r="B20" s="47" t="n">
        <v>16</v>
      </c>
      <c r="C20" s="48">
        <f>INDEX(Employees!$B$5:$B$29,$A20)&amp;""</f>
        <v/>
      </c>
      <c r="D20" s="49">
        <f>INDEX(Periods!$B$5:$B$57,$B20)</f>
        <v/>
      </c>
      <c r="E20" s="49">
        <f>INDEX(Periods!$C$5:$C$57,$B20)</f>
        <v/>
      </c>
      <c r="F20" s="47">
        <f>IF(AND($C20&lt;&gt;"",INDEX(Periods!$D$5:$D$57,$B20)=1),1,0)</f>
        <v/>
      </c>
      <c r="G20" s="47">
        <f>IF($F20=0,0,IF(AND(OR(INDEX(Employees!$D$5:$D$29,$A20)="",$E20&gt;=INDEX(Employees!$D$5:$D$29,$A20)+N(INDEX(Employees!$U$5:$U$29,$A20))),OR(INDEX(Employees!$E$5:$E$29,$A20)="",$D20&lt;=INDEX(Employees!$E$5:$E$29,$A20))),1,0))</f>
        <v/>
      </c>
      <c r="H20" s="47">
        <f>IF($G20=0,0,IF(INDEX(Employees!$D$5:$D$29,$A20)="",0,DATEDIF(INDEX(Employees!$D$5:$D$29,$A20),$E20,"y")))</f>
        <v/>
      </c>
      <c r="I20" s="48">
        <f>IF($G20=0,0,IF(INDEX('Hours Worked'!$D$5:$BD$29,$A20,$B20)="",N(INDEX(Employees!$H$5:$H$29,$A20)),INDEX('Hours Worked'!$D$5:$BD$29,$A20,$B20)))</f>
        <v/>
      </c>
      <c r="J20" s="48">
        <f>IF(OR($G20=0,INDEX(Employees!$O$5:$O$29,$A20)&lt;&gt;"Yes"),0,IF(COUNTIF(Settings!$D$4:$D$9,"&lt;="&amp;$H20)=0,0,INDEX(Settings!$E$4:$E$9,COUNTIF(Settings!$D$4:$D$9,"&lt;="&amp;$H20))))</f>
        <v/>
      </c>
      <c r="K20" s="48">
        <f>IF($G20=0,0,IF(INDEX(Employees!$I$5:$I$29,$A20)="Per pay period",(N(INDEX(Employees!$J$5:$J$29,$A20))+$J20)/Settings!$B$13,IF(INDEX(Employees!$I$5:$I$29,$A20)="Per hour worked",N(INDEX(Employees!$K$5:$K$29,$A20))*$I20,IF(INDEX(Employees!$I$5:$I$29,$A20)="Front-loaded",IF(OR($B20=1,N($G19)=0),N(INDEX(Employees!$J$5:$J$29,$A20))+$J20,0),0))))</f>
        <v/>
      </c>
      <c r="L20" s="48">
        <f>IF($F20=0,0,SUMIFS('Time Off Log'!$H$5:$H$504,'Time Off Log'!$A$5:$A$504,$C20,'Time Off Log'!$B$5:$B$504,"PTO",'Time Off Log'!$E$5:$E$504,"Approved",'Time Off Log'!$C$5:$C$504,"&gt;="&amp;INDEX(Periods!$E$5:$E$57,$B20),'Time Off Log'!$C$5:$C$504,"&lt;="&amp;INDEX(Periods!$F$5:$F$57,$B20)))</f>
        <v/>
      </c>
      <c r="M20" s="48">
        <f>IF($B20=1,N(INDEX(Employees!$N$5:$N$29,$A20)),P19)</f>
        <v/>
      </c>
      <c r="N20" s="48">
        <f>IF(INDEX(Employees!$L$5:$L$29,$A20)="",K20,MAX(0,MIN(K20,INDEX(Employees!$L$5:$L$29,$A20)-(M20-L20))))</f>
        <v/>
      </c>
      <c r="O20" s="48">
        <f>K20-N20</f>
        <v/>
      </c>
      <c r="P20" s="48">
        <f>M20-L20+N20</f>
        <v/>
      </c>
      <c r="Q20" s="48">
        <f>IF($G20=0,0,IF(INDEX(Employees!$P$5:$P$29,$A20)="Per pay period",(N(INDEX(Employees!$Q$5:$Q$29,$A20)))/Settings!$B$13,IF(INDEX(Employees!$P$5:$P$29,$A20)="Per hour worked",N(INDEX(Employees!$R$5:$R$29,$A20))*$I20,IF(INDEX(Employees!$P$5:$P$29,$A20)="Front-loaded",IF(OR($B20=1,N($G19)=0),N(INDEX(Employees!$Q$5:$Q$29,$A20)),0),0))))</f>
        <v/>
      </c>
      <c r="R20" s="48">
        <f>IF($F20=0,0,SUMIFS('Time Off Log'!$H$5:$H$504,'Time Off Log'!$A$5:$A$504,$C20,'Time Off Log'!$B$5:$B$504,"Sick",'Time Off Log'!$E$5:$E$504,"Approved",'Time Off Log'!$C$5:$C$504,"&gt;="&amp;INDEX(Periods!$E$5:$E$57,$B20),'Time Off Log'!$C$5:$C$504,"&lt;="&amp;INDEX(Periods!$F$5:$F$57,$B20)))</f>
        <v/>
      </c>
      <c r="S20" s="48">
        <f>IF($B20=1,N(INDEX(Employees!$T$5:$T$29,$A20)),V19)</f>
        <v/>
      </c>
      <c r="T20" s="48">
        <f>IF(INDEX(Employees!$S$5:$S$29,$A20)="",Q20,MAX(0,MIN(Q20,INDEX(Employees!$S$5:$S$29,$A20)-(S20-R20))))</f>
        <v/>
      </c>
      <c r="U20" s="48">
        <f>Q20-T20</f>
        <v/>
      </c>
      <c r="V20" s="48">
        <f>S20-R20+T20</f>
        <v/>
      </c>
    </row>
    <row r="21">
      <c r="A21" s="47" t="n">
        <v>1</v>
      </c>
      <c r="B21" s="47" t="n">
        <v>17</v>
      </c>
      <c r="C21" s="48">
        <f>INDEX(Employees!$B$5:$B$29,$A21)&amp;""</f>
        <v/>
      </c>
      <c r="D21" s="49">
        <f>INDEX(Periods!$B$5:$B$57,$B21)</f>
        <v/>
      </c>
      <c r="E21" s="49">
        <f>INDEX(Periods!$C$5:$C$57,$B21)</f>
        <v/>
      </c>
      <c r="F21" s="47">
        <f>IF(AND($C21&lt;&gt;"",INDEX(Periods!$D$5:$D$57,$B21)=1),1,0)</f>
        <v/>
      </c>
      <c r="G21" s="47">
        <f>IF($F21=0,0,IF(AND(OR(INDEX(Employees!$D$5:$D$29,$A21)="",$E21&gt;=INDEX(Employees!$D$5:$D$29,$A21)+N(INDEX(Employees!$U$5:$U$29,$A21))),OR(INDEX(Employees!$E$5:$E$29,$A21)="",$D21&lt;=INDEX(Employees!$E$5:$E$29,$A21))),1,0))</f>
        <v/>
      </c>
      <c r="H21" s="47">
        <f>IF($G21=0,0,IF(INDEX(Employees!$D$5:$D$29,$A21)="",0,DATEDIF(INDEX(Employees!$D$5:$D$29,$A21),$E21,"y")))</f>
        <v/>
      </c>
      <c r="I21" s="48">
        <f>IF($G21=0,0,IF(INDEX('Hours Worked'!$D$5:$BD$29,$A21,$B21)="",N(INDEX(Employees!$H$5:$H$29,$A21)),INDEX('Hours Worked'!$D$5:$BD$29,$A21,$B21)))</f>
        <v/>
      </c>
      <c r="J21" s="48">
        <f>IF(OR($G21=0,INDEX(Employees!$O$5:$O$29,$A21)&lt;&gt;"Yes"),0,IF(COUNTIF(Settings!$D$4:$D$9,"&lt;="&amp;$H21)=0,0,INDEX(Settings!$E$4:$E$9,COUNTIF(Settings!$D$4:$D$9,"&lt;="&amp;$H21))))</f>
        <v/>
      </c>
      <c r="K21" s="48">
        <f>IF($G21=0,0,IF(INDEX(Employees!$I$5:$I$29,$A21)="Per pay period",(N(INDEX(Employees!$J$5:$J$29,$A21))+$J21)/Settings!$B$13,IF(INDEX(Employees!$I$5:$I$29,$A21)="Per hour worked",N(INDEX(Employees!$K$5:$K$29,$A21))*$I21,IF(INDEX(Employees!$I$5:$I$29,$A21)="Front-loaded",IF(OR($B21=1,N($G20)=0),N(INDEX(Employees!$J$5:$J$29,$A21))+$J21,0),0))))</f>
        <v/>
      </c>
      <c r="L21" s="48">
        <f>IF($F21=0,0,SUMIFS('Time Off Log'!$H$5:$H$504,'Time Off Log'!$A$5:$A$504,$C21,'Time Off Log'!$B$5:$B$504,"PTO",'Time Off Log'!$E$5:$E$504,"Approved",'Time Off Log'!$C$5:$C$504,"&gt;="&amp;INDEX(Periods!$E$5:$E$57,$B21),'Time Off Log'!$C$5:$C$504,"&lt;="&amp;INDEX(Periods!$F$5:$F$57,$B21)))</f>
        <v/>
      </c>
      <c r="M21" s="48">
        <f>IF($B21=1,N(INDEX(Employees!$N$5:$N$29,$A21)),P20)</f>
        <v/>
      </c>
      <c r="N21" s="48">
        <f>IF(INDEX(Employees!$L$5:$L$29,$A21)="",K21,MAX(0,MIN(K21,INDEX(Employees!$L$5:$L$29,$A21)-(M21-L21))))</f>
        <v/>
      </c>
      <c r="O21" s="48">
        <f>K21-N21</f>
        <v/>
      </c>
      <c r="P21" s="48">
        <f>M21-L21+N21</f>
        <v/>
      </c>
      <c r="Q21" s="48">
        <f>IF($G21=0,0,IF(INDEX(Employees!$P$5:$P$29,$A21)="Per pay period",(N(INDEX(Employees!$Q$5:$Q$29,$A21)))/Settings!$B$13,IF(INDEX(Employees!$P$5:$P$29,$A21)="Per hour worked",N(INDEX(Employees!$R$5:$R$29,$A21))*$I21,IF(INDEX(Employees!$P$5:$P$29,$A21)="Front-loaded",IF(OR($B21=1,N($G20)=0),N(INDEX(Employees!$Q$5:$Q$29,$A21)),0),0))))</f>
        <v/>
      </c>
      <c r="R21" s="48">
        <f>IF($F21=0,0,SUMIFS('Time Off Log'!$H$5:$H$504,'Time Off Log'!$A$5:$A$504,$C21,'Time Off Log'!$B$5:$B$504,"Sick",'Time Off Log'!$E$5:$E$504,"Approved",'Time Off Log'!$C$5:$C$504,"&gt;="&amp;INDEX(Periods!$E$5:$E$57,$B21),'Time Off Log'!$C$5:$C$504,"&lt;="&amp;INDEX(Periods!$F$5:$F$57,$B21)))</f>
        <v/>
      </c>
      <c r="S21" s="48">
        <f>IF($B21=1,N(INDEX(Employees!$T$5:$T$29,$A21)),V20)</f>
        <v/>
      </c>
      <c r="T21" s="48">
        <f>IF(INDEX(Employees!$S$5:$S$29,$A21)="",Q21,MAX(0,MIN(Q21,INDEX(Employees!$S$5:$S$29,$A21)-(S21-R21))))</f>
        <v/>
      </c>
      <c r="U21" s="48">
        <f>Q21-T21</f>
        <v/>
      </c>
      <c r="V21" s="48">
        <f>S21-R21+T21</f>
        <v/>
      </c>
    </row>
    <row r="22">
      <c r="A22" s="47" t="n">
        <v>1</v>
      </c>
      <c r="B22" s="47" t="n">
        <v>18</v>
      </c>
      <c r="C22" s="48">
        <f>INDEX(Employees!$B$5:$B$29,$A22)&amp;""</f>
        <v/>
      </c>
      <c r="D22" s="49">
        <f>INDEX(Periods!$B$5:$B$57,$B22)</f>
        <v/>
      </c>
      <c r="E22" s="49">
        <f>INDEX(Periods!$C$5:$C$57,$B22)</f>
        <v/>
      </c>
      <c r="F22" s="47">
        <f>IF(AND($C22&lt;&gt;"",INDEX(Periods!$D$5:$D$57,$B22)=1),1,0)</f>
        <v/>
      </c>
      <c r="G22" s="47">
        <f>IF($F22=0,0,IF(AND(OR(INDEX(Employees!$D$5:$D$29,$A22)="",$E22&gt;=INDEX(Employees!$D$5:$D$29,$A22)+N(INDEX(Employees!$U$5:$U$29,$A22))),OR(INDEX(Employees!$E$5:$E$29,$A22)="",$D22&lt;=INDEX(Employees!$E$5:$E$29,$A22))),1,0))</f>
        <v/>
      </c>
      <c r="H22" s="47">
        <f>IF($G22=0,0,IF(INDEX(Employees!$D$5:$D$29,$A22)="",0,DATEDIF(INDEX(Employees!$D$5:$D$29,$A22),$E22,"y")))</f>
        <v/>
      </c>
      <c r="I22" s="48">
        <f>IF($G22=0,0,IF(INDEX('Hours Worked'!$D$5:$BD$29,$A22,$B22)="",N(INDEX(Employees!$H$5:$H$29,$A22)),INDEX('Hours Worked'!$D$5:$BD$29,$A22,$B22)))</f>
        <v/>
      </c>
      <c r="J22" s="48">
        <f>IF(OR($G22=0,INDEX(Employees!$O$5:$O$29,$A22)&lt;&gt;"Yes"),0,IF(COUNTIF(Settings!$D$4:$D$9,"&lt;="&amp;$H22)=0,0,INDEX(Settings!$E$4:$E$9,COUNTIF(Settings!$D$4:$D$9,"&lt;="&amp;$H22))))</f>
        <v/>
      </c>
      <c r="K22" s="48">
        <f>IF($G22=0,0,IF(INDEX(Employees!$I$5:$I$29,$A22)="Per pay period",(N(INDEX(Employees!$J$5:$J$29,$A22))+$J22)/Settings!$B$13,IF(INDEX(Employees!$I$5:$I$29,$A22)="Per hour worked",N(INDEX(Employees!$K$5:$K$29,$A22))*$I22,IF(INDEX(Employees!$I$5:$I$29,$A22)="Front-loaded",IF(OR($B22=1,N($G21)=0),N(INDEX(Employees!$J$5:$J$29,$A22))+$J22,0),0))))</f>
        <v/>
      </c>
      <c r="L22" s="48">
        <f>IF($F22=0,0,SUMIFS('Time Off Log'!$H$5:$H$504,'Time Off Log'!$A$5:$A$504,$C22,'Time Off Log'!$B$5:$B$504,"PTO",'Time Off Log'!$E$5:$E$504,"Approved",'Time Off Log'!$C$5:$C$504,"&gt;="&amp;INDEX(Periods!$E$5:$E$57,$B22),'Time Off Log'!$C$5:$C$504,"&lt;="&amp;INDEX(Periods!$F$5:$F$57,$B22)))</f>
        <v/>
      </c>
      <c r="M22" s="48">
        <f>IF($B22=1,N(INDEX(Employees!$N$5:$N$29,$A22)),P21)</f>
        <v/>
      </c>
      <c r="N22" s="48">
        <f>IF(INDEX(Employees!$L$5:$L$29,$A22)="",K22,MAX(0,MIN(K22,INDEX(Employees!$L$5:$L$29,$A22)-(M22-L22))))</f>
        <v/>
      </c>
      <c r="O22" s="48">
        <f>K22-N22</f>
        <v/>
      </c>
      <c r="P22" s="48">
        <f>M22-L22+N22</f>
        <v/>
      </c>
      <c r="Q22" s="48">
        <f>IF($G22=0,0,IF(INDEX(Employees!$P$5:$P$29,$A22)="Per pay period",(N(INDEX(Employees!$Q$5:$Q$29,$A22)))/Settings!$B$13,IF(INDEX(Employees!$P$5:$P$29,$A22)="Per hour worked",N(INDEX(Employees!$R$5:$R$29,$A22))*$I22,IF(INDEX(Employees!$P$5:$P$29,$A22)="Front-loaded",IF(OR($B22=1,N($G21)=0),N(INDEX(Employees!$Q$5:$Q$29,$A22)),0),0))))</f>
        <v/>
      </c>
      <c r="R22" s="48">
        <f>IF($F22=0,0,SUMIFS('Time Off Log'!$H$5:$H$504,'Time Off Log'!$A$5:$A$504,$C22,'Time Off Log'!$B$5:$B$504,"Sick",'Time Off Log'!$E$5:$E$504,"Approved",'Time Off Log'!$C$5:$C$504,"&gt;="&amp;INDEX(Periods!$E$5:$E$57,$B22),'Time Off Log'!$C$5:$C$504,"&lt;="&amp;INDEX(Periods!$F$5:$F$57,$B22)))</f>
        <v/>
      </c>
      <c r="S22" s="48">
        <f>IF($B22=1,N(INDEX(Employees!$T$5:$T$29,$A22)),V21)</f>
        <v/>
      </c>
      <c r="T22" s="48">
        <f>IF(INDEX(Employees!$S$5:$S$29,$A22)="",Q22,MAX(0,MIN(Q22,INDEX(Employees!$S$5:$S$29,$A22)-(S22-R22))))</f>
        <v/>
      </c>
      <c r="U22" s="48">
        <f>Q22-T22</f>
        <v/>
      </c>
      <c r="V22" s="48">
        <f>S22-R22+T22</f>
        <v/>
      </c>
    </row>
    <row r="23">
      <c r="A23" s="47" t="n">
        <v>1</v>
      </c>
      <c r="B23" s="47" t="n">
        <v>19</v>
      </c>
      <c r="C23" s="48">
        <f>INDEX(Employees!$B$5:$B$29,$A23)&amp;""</f>
        <v/>
      </c>
      <c r="D23" s="49">
        <f>INDEX(Periods!$B$5:$B$57,$B23)</f>
        <v/>
      </c>
      <c r="E23" s="49">
        <f>INDEX(Periods!$C$5:$C$57,$B23)</f>
        <v/>
      </c>
      <c r="F23" s="47">
        <f>IF(AND($C23&lt;&gt;"",INDEX(Periods!$D$5:$D$57,$B23)=1),1,0)</f>
        <v/>
      </c>
      <c r="G23" s="47">
        <f>IF($F23=0,0,IF(AND(OR(INDEX(Employees!$D$5:$D$29,$A23)="",$E23&gt;=INDEX(Employees!$D$5:$D$29,$A23)+N(INDEX(Employees!$U$5:$U$29,$A23))),OR(INDEX(Employees!$E$5:$E$29,$A23)="",$D23&lt;=INDEX(Employees!$E$5:$E$29,$A23))),1,0))</f>
        <v/>
      </c>
      <c r="H23" s="47">
        <f>IF($G23=0,0,IF(INDEX(Employees!$D$5:$D$29,$A23)="",0,DATEDIF(INDEX(Employees!$D$5:$D$29,$A23),$E23,"y")))</f>
        <v/>
      </c>
      <c r="I23" s="48">
        <f>IF($G23=0,0,IF(INDEX('Hours Worked'!$D$5:$BD$29,$A23,$B23)="",N(INDEX(Employees!$H$5:$H$29,$A23)),INDEX('Hours Worked'!$D$5:$BD$29,$A23,$B23)))</f>
        <v/>
      </c>
      <c r="J23" s="48">
        <f>IF(OR($G23=0,INDEX(Employees!$O$5:$O$29,$A23)&lt;&gt;"Yes"),0,IF(COUNTIF(Settings!$D$4:$D$9,"&lt;="&amp;$H23)=0,0,INDEX(Settings!$E$4:$E$9,COUNTIF(Settings!$D$4:$D$9,"&lt;="&amp;$H23))))</f>
        <v/>
      </c>
      <c r="K23" s="48">
        <f>IF($G23=0,0,IF(INDEX(Employees!$I$5:$I$29,$A23)="Per pay period",(N(INDEX(Employees!$J$5:$J$29,$A23))+$J23)/Settings!$B$13,IF(INDEX(Employees!$I$5:$I$29,$A23)="Per hour worked",N(INDEX(Employees!$K$5:$K$29,$A23))*$I23,IF(INDEX(Employees!$I$5:$I$29,$A23)="Front-loaded",IF(OR($B23=1,N($G22)=0),N(INDEX(Employees!$J$5:$J$29,$A23))+$J23,0),0))))</f>
        <v/>
      </c>
      <c r="L23" s="48">
        <f>IF($F23=0,0,SUMIFS('Time Off Log'!$H$5:$H$504,'Time Off Log'!$A$5:$A$504,$C23,'Time Off Log'!$B$5:$B$504,"PTO",'Time Off Log'!$E$5:$E$504,"Approved",'Time Off Log'!$C$5:$C$504,"&gt;="&amp;INDEX(Periods!$E$5:$E$57,$B23),'Time Off Log'!$C$5:$C$504,"&lt;="&amp;INDEX(Periods!$F$5:$F$57,$B23)))</f>
        <v/>
      </c>
      <c r="M23" s="48">
        <f>IF($B23=1,N(INDEX(Employees!$N$5:$N$29,$A23)),P22)</f>
        <v/>
      </c>
      <c r="N23" s="48">
        <f>IF(INDEX(Employees!$L$5:$L$29,$A23)="",K23,MAX(0,MIN(K23,INDEX(Employees!$L$5:$L$29,$A23)-(M23-L23))))</f>
        <v/>
      </c>
      <c r="O23" s="48">
        <f>K23-N23</f>
        <v/>
      </c>
      <c r="P23" s="48">
        <f>M23-L23+N23</f>
        <v/>
      </c>
      <c r="Q23" s="48">
        <f>IF($G23=0,0,IF(INDEX(Employees!$P$5:$P$29,$A23)="Per pay period",(N(INDEX(Employees!$Q$5:$Q$29,$A23)))/Settings!$B$13,IF(INDEX(Employees!$P$5:$P$29,$A23)="Per hour worked",N(INDEX(Employees!$R$5:$R$29,$A23))*$I23,IF(INDEX(Employees!$P$5:$P$29,$A23)="Front-loaded",IF(OR($B23=1,N($G22)=0),N(INDEX(Employees!$Q$5:$Q$29,$A23)),0),0))))</f>
        <v/>
      </c>
      <c r="R23" s="48">
        <f>IF($F23=0,0,SUMIFS('Time Off Log'!$H$5:$H$504,'Time Off Log'!$A$5:$A$504,$C23,'Time Off Log'!$B$5:$B$504,"Sick",'Time Off Log'!$E$5:$E$504,"Approved",'Time Off Log'!$C$5:$C$504,"&gt;="&amp;INDEX(Periods!$E$5:$E$57,$B23),'Time Off Log'!$C$5:$C$504,"&lt;="&amp;INDEX(Periods!$F$5:$F$57,$B23)))</f>
        <v/>
      </c>
      <c r="S23" s="48">
        <f>IF($B23=1,N(INDEX(Employees!$T$5:$T$29,$A23)),V22)</f>
        <v/>
      </c>
      <c r="T23" s="48">
        <f>IF(INDEX(Employees!$S$5:$S$29,$A23)="",Q23,MAX(0,MIN(Q23,INDEX(Employees!$S$5:$S$29,$A23)-(S23-R23))))</f>
        <v/>
      </c>
      <c r="U23" s="48">
        <f>Q23-T23</f>
        <v/>
      </c>
      <c r="V23" s="48">
        <f>S23-R23+T23</f>
        <v/>
      </c>
    </row>
    <row r="24">
      <c r="A24" s="47" t="n">
        <v>1</v>
      </c>
      <c r="B24" s="47" t="n">
        <v>20</v>
      </c>
      <c r="C24" s="48">
        <f>INDEX(Employees!$B$5:$B$29,$A24)&amp;""</f>
        <v/>
      </c>
      <c r="D24" s="49">
        <f>INDEX(Periods!$B$5:$B$57,$B24)</f>
        <v/>
      </c>
      <c r="E24" s="49">
        <f>INDEX(Periods!$C$5:$C$57,$B24)</f>
        <v/>
      </c>
      <c r="F24" s="47">
        <f>IF(AND($C24&lt;&gt;"",INDEX(Periods!$D$5:$D$57,$B24)=1),1,0)</f>
        <v/>
      </c>
      <c r="G24" s="47">
        <f>IF($F24=0,0,IF(AND(OR(INDEX(Employees!$D$5:$D$29,$A24)="",$E24&gt;=INDEX(Employees!$D$5:$D$29,$A24)+N(INDEX(Employees!$U$5:$U$29,$A24))),OR(INDEX(Employees!$E$5:$E$29,$A24)="",$D24&lt;=INDEX(Employees!$E$5:$E$29,$A24))),1,0))</f>
        <v/>
      </c>
      <c r="H24" s="47">
        <f>IF($G24=0,0,IF(INDEX(Employees!$D$5:$D$29,$A24)="",0,DATEDIF(INDEX(Employees!$D$5:$D$29,$A24),$E24,"y")))</f>
        <v/>
      </c>
      <c r="I24" s="48">
        <f>IF($G24=0,0,IF(INDEX('Hours Worked'!$D$5:$BD$29,$A24,$B24)="",N(INDEX(Employees!$H$5:$H$29,$A24)),INDEX('Hours Worked'!$D$5:$BD$29,$A24,$B24)))</f>
        <v/>
      </c>
      <c r="J24" s="48">
        <f>IF(OR($G24=0,INDEX(Employees!$O$5:$O$29,$A24)&lt;&gt;"Yes"),0,IF(COUNTIF(Settings!$D$4:$D$9,"&lt;="&amp;$H24)=0,0,INDEX(Settings!$E$4:$E$9,COUNTIF(Settings!$D$4:$D$9,"&lt;="&amp;$H24))))</f>
        <v/>
      </c>
      <c r="K24" s="48">
        <f>IF($G24=0,0,IF(INDEX(Employees!$I$5:$I$29,$A24)="Per pay period",(N(INDEX(Employees!$J$5:$J$29,$A24))+$J24)/Settings!$B$13,IF(INDEX(Employees!$I$5:$I$29,$A24)="Per hour worked",N(INDEX(Employees!$K$5:$K$29,$A24))*$I24,IF(INDEX(Employees!$I$5:$I$29,$A24)="Front-loaded",IF(OR($B24=1,N($G23)=0),N(INDEX(Employees!$J$5:$J$29,$A24))+$J24,0),0))))</f>
        <v/>
      </c>
      <c r="L24" s="48">
        <f>IF($F24=0,0,SUMIFS('Time Off Log'!$H$5:$H$504,'Time Off Log'!$A$5:$A$504,$C24,'Time Off Log'!$B$5:$B$504,"PTO",'Time Off Log'!$E$5:$E$504,"Approved",'Time Off Log'!$C$5:$C$504,"&gt;="&amp;INDEX(Periods!$E$5:$E$57,$B24),'Time Off Log'!$C$5:$C$504,"&lt;="&amp;INDEX(Periods!$F$5:$F$57,$B24)))</f>
        <v/>
      </c>
      <c r="M24" s="48">
        <f>IF($B24=1,N(INDEX(Employees!$N$5:$N$29,$A24)),P23)</f>
        <v/>
      </c>
      <c r="N24" s="48">
        <f>IF(INDEX(Employees!$L$5:$L$29,$A24)="",K24,MAX(0,MIN(K24,INDEX(Employees!$L$5:$L$29,$A24)-(M24-L24))))</f>
        <v/>
      </c>
      <c r="O24" s="48">
        <f>K24-N24</f>
        <v/>
      </c>
      <c r="P24" s="48">
        <f>M24-L24+N24</f>
        <v/>
      </c>
      <c r="Q24" s="48">
        <f>IF($G24=0,0,IF(INDEX(Employees!$P$5:$P$29,$A24)="Per pay period",(N(INDEX(Employees!$Q$5:$Q$29,$A24)))/Settings!$B$13,IF(INDEX(Employees!$P$5:$P$29,$A24)="Per hour worked",N(INDEX(Employees!$R$5:$R$29,$A24))*$I24,IF(INDEX(Employees!$P$5:$P$29,$A24)="Front-loaded",IF(OR($B24=1,N($G23)=0),N(INDEX(Employees!$Q$5:$Q$29,$A24)),0),0))))</f>
        <v/>
      </c>
      <c r="R24" s="48">
        <f>IF($F24=0,0,SUMIFS('Time Off Log'!$H$5:$H$504,'Time Off Log'!$A$5:$A$504,$C24,'Time Off Log'!$B$5:$B$504,"Sick",'Time Off Log'!$E$5:$E$504,"Approved",'Time Off Log'!$C$5:$C$504,"&gt;="&amp;INDEX(Periods!$E$5:$E$57,$B24),'Time Off Log'!$C$5:$C$504,"&lt;="&amp;INDEX(Periods!$F$5:$F$57,$B24)))</f>
        <v/>
      </c>
      <c r="S24" s="48">
        <f>IF($B24=1,N(INDEX(Employees!$T$5:$T$29,$A24)),V23)</f>
        <v/>
      </c>
      <c r="T24" s="48">
        <f>IF(INDEX(Employees!$S$5:$S$29,$A24)="",Q24,MAX(0,MIN(Q24,INDEX(Employees!$S$5:$S$29,$A24)-(S24-R24))))</f>
        <v/>
      </c>
      <c r="U24" s="48">
        <f>Q24-T24</f>
        <v/>
      </c>
      <c r="V24" s="48">
        <f>S24-R24+T24</f>
        <v/>
      </c>
    </row>
    <row r="25">
      <c r="A25" s="47" t="n">
        <v>1</v>
      </c>
      <c r="B25" s="47" t="n">
        <v>21</v>
      </c>
      <c r="C25" s="48">
        <f>INDEX(Employees!$B$5:$B$29,$A25)&amp;""</f>
        <v/>
      </c>
      <c r="D25" s="49">
        <f>INDEX(Periods!$B$5:$B$57,$B25)</f>
        <v/>
      </c>
      <c r="E25" s="49">
        <f>INDEX(Periods!$C$5:$C$57,$B25)</f>
        <v/>
      </c>
      <c r="F25" s="47">
        <f>IF(AND($C25&lt;&gt;"",INDEX(Periods!$D$5:$D$57,$B25)=1),1,0)</f>
        <v/>
      </c>
      <c r="G25" s="47">
        <f>IF($F25=0,0,IF(AND(OR(INDEX(Employees!$D$5:$D$29,$A25)="",$E25&gt;=INDEX(Employees!$D$5:$D$29,$A25)+N(INDEX(Employees!$U$5:$U$29,$A25))),OR(INDEX(Employees!$E$5:$E$29,$A25)="",$D25&lt;=INDEX(Employees!$E$5:$E$29,$A25))),1,0))</f>
        <v/>
      </c>
      <c r="H25" s="47">
        <f>IF($G25=0,0,IF(INDEX(Employees!$D$5:$D$29,$A25)="",0,DATEDIF(INDEX(Employees!$D$5:$D$29,$A25),$E25,"y")))</f>
        <v/>
      </c>
      <c r="I25" s="48">
        <f>IF($G25=0,0,IF(INDEX('Hours Worked'!$D$5:$BD$29,$A25,$B25)="",N(INDEX(Employees!$H$5:$H$29,$A25)),INDEX('Hours Worked'!$D$5:$BD$29,$A25,$B25)))</f>
        <v/>
      </c>
      <c r="J25" s="48">
        <f>IF(OR($G25=0,INDEX(Employees!$O$5:$O$29,$A25)&lt;&gt;"Yes"),0,IF(COUNTIF(Settings!$D$4:$D$9,"&lt;="&amp;$H25)=0,0,INDEX(Settings!$E$4:$E$9,COUNTIF(Settings!$D$4:$D$9,"&lt;="&amp;$H25))))</f>
        <v/>
      </c>
      <c r="K25" s="48">
        <f>IF($G25=0,0,IF(INDEX(Employees!$I$5:$I$29,$A25)="Per pay period",(N(INDEX(Employees!$J$5:$J$29,$A25))+$J25)/Settings!$B$13,IF(INDEX(Employees!$I$5:$I$29,$A25)="Per hour worked",N(INDEX(Employees!$K$5:$K$29,$A25))*$I25,IF(INDEX(Employees!$I$5:$I$29,$A25)="Front-loaded",IF(OR($B25=1,N($G24)=0),N(INDEX(Employees!$J$5:$J$29,$A25))+$J25,0),0))))</f>
        <v/>
      </c>
      <c r="L25" s="48">
        <f>IF($F25=0,0,SUMIFS('Time Off Log'!$H$5:$H$504,'Time Off Log'!$A$5:$A$504,$C25,'Time Off Log'!$B$5:$B$504,"PTO",'Time Off Log'!$E$5:$E$504,"Approved",'Time Off Log'!$C$5:$C$504,"&gt;="&amp;INDEX(Periods!$E$5:$E$57,$B25),'Time Off Log'!$C$5:$C$504,"&lt;="&amp;INDEX(Periods!$F$5:$F$57,$B25)))</f>
        <v/>
      </c>
      <c r="M25" s="48">
        <f>IF($B25=1,N(INDEX(Employees!$N$5:$N$29,$A25)),P24)</f>
        <v/>
      </c>
      <c r="N25" s="48">
        <f>IF(INDEX(Employees!$L$5:$L$29,$A25)="",K25,MAX(0,MIN(K25,INDEX(Employees!$L$5:$L$29,$A25)-(M25-L25))))</f>
        <v/>
      </c>
      <c r="O25" s="48">
        <f>K25-N25</f>
        <v/>
      </c>
      <c r="P25" s="48">
        <f>M25-L25+N25</f>
        <v/>
      </c>
      <c r="Q25" s="48">
        <f>IF($G25=0,0,IF(INDEX(Employees!$P$5:$P$29,$A25)="Per pay period",(N(INDEX(Employees!$Q$5:$Q$29,$A25)))/Settings!$B$13,IF(INDEX(Employees!$P$5:$P$29,$A25)="Per hour worked",N(INDEX(Employees!$R$5:$R$29,$A25))*$I25,IF(INDEX(Employees!$P$5:$P$29,$A25)="Front-loaded",IF(OR($B25=1,N($G24)=0),N(INDEX(Employees!$Q$5:$Q$29,$A25)),0),0))))</f>
        <v/>
      </c>
      <c r="R25" s="48">
        <f>IF($F25=0,0,SUMIFS('Time Off Log'!$H$5:$H$504,'Time Off Log'!$A$5:$A$504,$C25,'Time Off Log'!$B$5:$B$504,"Sick",'Time Off Log'!$E$5:$E$504,"Approved",'Time Off Log'!$C$5:$C$504,"&gt;="&amp;INDEX(Periods!$E$5:$E$57,$B25),'Time Off Log'!$C$5:$C$504,"&lt;="&amp;INDEX(Periods!$F$5:$F$57,$B25)))</f>
        <v/>
      </c>
      <c r="S25" s="48">
        <f>IF($B25=1,N(INDEX(Employees!$T$5:$T$29,$A25)),V24)</f>
        <v/>
      </c>
      <c r="T25" s="48">
        <f>IF(INDEX(Employees!$S$5:$S$29,$A25)="",Q25,MAX(0,MIN(Q25,INDEX(Employees!$S$5:$S$29,$A25)-(S25-R25))))</f>
        <v/>
      </c>
      <c r="U25" s="48">
        <f>Q25-T25</f>
        <v/>
      </c>
      <c r="V25" s="48">
        <f>S25-R25+T25</f>
        <v/>
      </c>
    </row>
    <row r="26">
      <c r="A26" s="47" t="n">
        <v>1</v>
      </c>
      <c r="B26" s="47" t="n">
        <v>22</v>
      </c>
      <c r="C26" s="48">
        <f>INDEX(Employees!$B$5:$B$29,$A26)&amp;""</f>
        <v/>
      </c>
      <c r="D26" s="49">
        <f>INDEX(Periods!$B$5:$B$57,$B26)</f>
        <v/>
      </c>
      <c r="E26" s="49">
        <f>INDEX(Periods!$C$5:$C$57,$B26)</f>
        <v/>
      </c>
      <c r="F26" s="47">
        <f>IF(AND($C26&lt;&gt;"",INDEX(Periods!$D$5:$D$57,$B26)=1),1,0)</f>
        <v/>
      </c>
      <c r="G26" s="47">
        <f>IF($F26=0,0,IF(AND(OR(INDEX(Employees!$D$5:$D$29,$A26)="",$E26&gt;=INDEX(Employees!$D$5:$D$29,$A26)+N(INDEX(Employees!$U$5:$U$29,$A26))),OR(INDEX(Employees!$E$5:$E$29,$A26)="",$D26&lt;=INDEX(Employees!$E$5:$E$29,$A26))),1,0))</f>
        <v/>
      </c>
      <c r="H26" s="47">
        <f>IF($G26=0,0,IF(INDEX(Employees!$D$5:$D$29,$A26)="",0,DATEDIF(INDEX(Employees!$D$5:$D$29,$A26),$E26,"y")))</f>
        <v/>
      </c>
      <c r="I26" s="48">
        <f>IF($G26=0,0,IF(INDEX('Hours Worked'!$D$5:$BD$29,$A26,$B26)="",N(INDEX(Employees!$H$5:$H$29,$A26)),INDEX('Hours Worked'!$D$5:$BD$29,$A26,$B26)))</f>
        <v/>
      </c>
      <c r="J26" s="48">
        <f>IF(OR($G26=0,INDEX(Employees!$O$5:$O$29,$A26)&lt;&gt;"Yes"),0,IF(COUNTIF(Settings!$D$4:$D$9,"&lt;="&amp;$H26)=0,0,INDEX(Settings!$E$4:$E$9,COUNTIF(Settings!$D$4:$D$9,"&lt;="&amp;$H26))))</f>
        <v/>
      </c>
      <c r="K26" s="48">
        <f>IF($G26=0,0,IF(INDEX(Employees!$I$5:$I$29,$A26)="Per pay period",(N(INDEX(Employees!$J$5:$J$29,$A26))+$J26)/Settings!$B$13,IF(INDEX(Employees!$I$5:$I$29,$A26)="Per hour worked",N(INDEX(Employees!$K$5:$K$29,$A26))*$I26,IF(INDEX(Employees!$I$5:$I$29,$A26)="Front-loaded",IF(OR($B26=1,N($G25)=0),N(INDEX(Employees!$J$5:$J$29,$A26))+$J26,0),0))))</f>
        <v/>
      </c>
      <c r="L26" s="48">
        <f>IF($F26=0,0,SUMIFS('Time Off Log'!$H$5:$H$504,'Time Off Log'!$A$5:$A$504,$C26,'Time Off Log'!$B$5:$B$504,"PTO",'Time Off Log'!$E$5:$E$504,"Approved",'Time Off Log'!$C$5:$C$504,"&gt;="&amp;INDEX(Periods!$E$5:$E$57,$B26),'Time Off Log'!$C$5:$C$504,"&lt;="&amp;INDEX(Periods!$F$5:$F$57,$B26)))</f>
        <v/>
      </c>
      <c r="M26" s="48">
        <f>IF($B26=1,N(INDEX(Employees!$N$5:$N$29,$A26)),P25)</f>
        <v/>
      </c>
      <c r="N26" s="48">
        <f>IF(INDEX(Employees!$L$5:$L$29,$A26)="",K26,MAX(0,MIN(K26,INDEX(Employees!$L$5:$L$29,$A26)-(M26-L26))))</f>
        <v/>
      </c>
      <c r="O26" s="48">
        <f>K26-N26</f>
        <v/>
      </c>
      <c r="P26" s="48">
        <f>M26-L26+N26</f>
        <v/>
      </c>
      <c r="Q26" s="48">
        <f>IF($G26=0,0,IF(INDEX(Employees!$P$5:$P$29,$A26)="Per pay period",(N(INDEX(Employees!$Q$5:$Q$29,$A26)))/Settings!$B$13,IF(INDEX(Employees!$P$5:$P$29,$A26)="Per hour worked",N(INDEX(Employees!$R$5:$R$29,$A26))*$I26,IF(INDEX(Employees!$P$5:$P$29,$A26)="Front-loaded",IF(OR($B26=1,N($G25)=0),N(INDEX(Employees!$Q$5:$Q$29,$A26)),0),0))))</f>
        <v/>
      </c>
      <c r="R26" s="48">
        <f>IF($F26=0,0,SUMIFS('Time Off Log'!$H$5:$H$504,'Time Off Log'!$A$5:$A$504,$C26,'Time Off Log'!$B$5:$B$504,"Sick",'Time Off Log'!$E$5:$E$504,"Approved",'Time Off Log'!$C$5:$C$504,"&gt;="&amp;INDEX(Periods!$E$5:$E$57,$B26),'Time Off Log'!$C$5:$C$504,"&lt;="&amp;INDEX(Periods!$F$5:$F$57,$B26)))</f>
        <v/>
      </c>
      <c r="S26" s="48">
        <f>IF($B26=1,N(INDEX(Employees!$T$5:$T$29,$A26)),V25)</f>
        <v/>
      </c>
      <c r="T26" s="48">
        <f>IF(INDEX(Employees!$S$5:$S$29,$A26)="",Q26,MAX(0,MIN(Q26,INDEX(Employees!$S$5:$S$29,$A26)-(S26-R26))))</f>
        <v/>
      </c>
      <c r="U26" s="48">
        <f>Q26-T26</f>
        <v/>
      </c>
      <c r="V26" s="48">
        <f>S26-R26+T26</f>
        <v/>
      </c>
    </row>
    <row r="27">
      <c r="A27" s="47" t="n">
        <v>1</v>
      </c>
      <c r="B27" s="47" t="n">
        <v>23</v>
      </c>
      <c r="C27" s="48">
        <f>INDEX(Employees!$B$5:$B$29,$A27)&amp;""</f>
        <v/>
      </c>
      <c r="D27" s="49">
        <f>INDEX(Periods!$B$5:$B$57,$B27)</f>
        <v/>
      </c>
      <c r="E27" s="49">
        <f>INDEX(Periods!$C$5:$C$57,$B27)</f>
        <v/>
      </c>
      <c r="F27" s="47">
        <f>IF(AND($C27&lt;&gt;"",INDEX(Periods!$D$5:$D$57,$B27)=1),1,0)</f>
        <v/>
      </c>
      <c r="G27" s="47">
        <f>IF($F27=0,0,IF(AND(OR(INDEX(Employees!$D$5:$D$29,$A27)="",$E27&gt;=INDEX(Employees!$D$5:$D$29,$A27)+N(INDEX(Employees!$U$5:$U$29,$A27))),OR(INDEX(Employees!$E$5:$E$29,$A27)="",$D27&lt;=INDEX(Employees!$E$5:$E$29,$A27))),1,0))</f>
        <v/>
      </c>
      <c r="H27" s="47">
        <f>IF($G27=0,0,IF(INDEX(Employees!$D$5:$D$29,$A27)="",0,DATEDIF(INDEX(Employees!$D$5:$D$29,$A27),$E27,"y")))</f>
        <v/>
      </c>
      <c r="I27" s="48">
        <f>IF($G27=0,0,IF(INDEX('Hours Worked'!$D$5:$BD$29,$A27,$B27)="",N(INDEX(Employees!$H$5:$H$29,$A27)),INDEX('Hours Worked'!$D$5:$BD$29,$A27,$B27)))</f>
        <v/>
      </c>
      <c r="J27" s="48">
        <f>IF(OR($G27=0,INDEX(Employees!$O$5:$O$29,$A27)&lt;&gt;"Yes"),0,IF(COUNTIF(Settings!$D$4:$D$9,"&lt;="&amp;$H27)=0,0,INDEX(Settings!$E$4:$E$9,COUNTIF(Settings!$D$4:$D$9,"&lt;="&amp;$H27))))</f>
        <v/>
      </c>
      <c r="K27" s="48">
        <f>IF($G27=0,0,IF(INDEX(Employees!$I$5:$I$29,$A27)="Per pay period",(N(INDEX(Employees!$J$5:$J$29,$A27))+$J27)/Settings!$B$13,IF(INDEX(Employees!$I$5:$I$29,$A27)="Per hour worked",N(INDEX(Employees!$K$5:$K$29,$A27))*$I27,IF(INDEX(Employees!$I$5:$I$29,$A27)="Front-loaded",IF(OR($B27=1,N($G26)=0),N(INDEX(Employees!$J$5:$J$29,$A27))+$J27,0),0))))</f>
        <v/>
      </c>
      <c r="L27" s="48">
        <f>IF($F27=0,0,SUMIFS('Time Off Log'!$H$5:$H$504,'Time Off Log'!$A$5:$A$504,$C27,'Time Off Log'!$B$5:$B$504,"PTO",'Time Off Log'!$E$5:$E$504,"Approved",'Time Off Log'!$C$5:$C$504,"&gt;="&amp;INDEX(Periods!$E$5:$E$57,$B27),'Time Off Log'!$C$5:$C$504,"&lt;="&amp;INDEX(Periods!$F$5:$F$57,$B27)))</f>
        <v/>
      </c>
      <c r="M27" s="48">
        <f>IF($B27=1,N(INDEX(Employees!$N$5:$N$29,$A27)),P26)</f>
        <v/>
      </c>
      <c r="N27" s="48">
        <f>IF(INDEX(Employees!$L$5:$L$29,$A27)="",K27,MAX(0,MIN(K27,INDEX(Employees!$L$5:$L$29,$A27)-(M27-L27))))</f>
        <v/>
      </c>
      <c r="O27" s="48">
        <f>K27-N27</f>
        <v/>
      </c>
      <c r="P27" s="48">
        <f>M27-L27+N27</f>
        <v/>
      </c>
      <c r="Q27" s="48">
        <f>IF($G27=0,0,IF(INDEX(Employees!$P$5:$P$29,$A27)="Per pay period",(N(INDEX(Employees!$Q$5:$Q$29,$A27)))/Settings!$B$13,IF(INDEX(Employees!$P$5:$P$29,$A27)="Per hour worked",N(INDEX(Employees!$R$5:$R$29,$A27))*$I27,IF(INDEX(Employees!$P$5:$P$29,$A27)="Front-loaded",IF(OR($B27=1,N($G26)=0),N(INDEX(Employees!$Q$5:$Q$29,$A27)),0),0))))</f>
        <v/>
      </c>
      <c r="R27" s="48">
        <f>IF($F27=0,0,SUMIFS('Time Off Log'!$H$5:$H$504,'Time Off Log'!$A$5:$A$504,$C27,'Time Off Log'!$B$5:$B$504,"Sick",'Time Off Log'!$E$5:$E$504,"Approved",'Time Off Log'!$C$5:$C$504,"&gt;="&amp;INDEX(Periods!$E$5:$E$57,$B27),'Time Off Log'!$C$5:$C$504,"&lt;="&amp;INDEX(Periods!$F$5:$F$57,$B27)))</f>
        <v/>
      </c>
      <c r="S27" s="48">
        <f>IF($B27=1,N(INDEX(Employees!$T$5:$T$29,$A27)),V26)</f>
        <v/>
      </c>
      <c r="T27" s="48">
        <f>IF(INDEX(Employees!$S$5:$S$29,$A27)="",Q27,MAX(0,MIN(Q27,INDEX(Employees!$S$5:$S$29,$A27)-(S27-R27))))</f>
        <v/>
      </c>
      <c r="U27" s="48">
        <f>Q27-T27</f>
        <v/>
      </c>
      <c r="V27" s="48">
        <f>S27-R27+T27</f>
        <v/>
      </c>
    </row>
    <row r="28">
      <c r="A28" s="47" t="n">
        <v>1</v>
      </c>
      <c r="B28" s="47" t="n">
        <v>24</v>
      </c>
      <c r="C28" s="48">
        <f>INDEX(Employees!$B$5:$B$29,$A28)&amp;""</f>
        <v/>
      </c>
      <c r="D28" s="49">
        <f>INDEX(Periods!$B$5:$B$57,$B28)</f>
        <v/>
      </c>
      <c r="E28" s="49">
        <f>INDEX(Periods!$C$5:$C$57,$B28)</f>
        <v/>
      </c>
      <c r="F28" s="47">
        <f>IF(AND($C28&lt;&gt;"",INDEX(Periods!$D$5:$D$57,$B28)=1),1,0)</f>
        <v/>
      </c>
      <c r="G28" s="47">
        <f>IF($F28=0,0,IF(AND(OR(INDEX(Employees!$D$5:$D$29,$A28)="",$E28&gt;=INDEX(Employees!$D$5:$D$29,$A28)+N(INDEX(Employees!$U$5:$U$29,$A28))),OR(INDEX(Employees!$E$5:$E$29,$A28)="",$D28&lt;=INDEX(Employees!$E$5:$E$29,$A28))),1,0))</f>
        <v/>
      </c>
      <c r="H28" s="47">
        <f>IF($G28=0,0,IF(INDEX(Employees!$D$5:$D$29,$A28)="",0,DATEDIF(INDEX(Employees!$D$5:$D$29,$A28),$E28,"y")))</f>
        <v/>
      </c>
      <c r="I28" s="48">
        <f>IF($G28=0,0,IF(INDEX('Hours Worked'!$D$5:$BD$29,$A28,$B28)="",N(INDEX(Employees!$H$5:$H$29,$A28)),INDEX('Hours Worked'!$D$5:$BD$29,$A28,$B28)))</f>
        <v/>
      </c>
      <c r="J28" s="48">
        <f>IF(OR($G28=0,INDEX(Employees!$O$5:$O$29,$A28)&lt;&gt;"Yes"),0,IF(COUNTIF(Settings!$D$4:$D$9,"&lt;="&amp;$H28)=0,0,INDEX(Settings!$E$4:$E$9,COUNTIF(Settings!$D$4:$D$9,"&lt;="&amp;$H28))))</f>
        <v/>
      </c>
      <c r="K28" s="48">
        <f>IF($G28=0,0,IF(INDEX(Employees!$I$5:$I$29,$A28)="Per pay period",(N(INDEX(Employees!$J$5:$J$29,$A28))+$J28)/Settings!$B$13,IF(INDEX(Employees!$I$5:$I$29,$A28)="Per hour worked",N(INDEX(Employees!$K$5:$K$29,$A28))*$I28,IF(INDEX(Employees!$I$5:$I$29,$A28)="Front-loaded",IF(OR($B28=1,N($G27)=0),N(INDEX(Employees!$J$5:$J$29,$A28))+$J28,0),0))))</f>
        <v/>
      </c>
      <c r="L28" s="48">
        <f>IF($F28=0,0,SUMIFS('Time Off Log'!$H$5:$H$504,'Time Off Log'!$A$5:$A$504,$C28,'Time Off Log'!$B$5:$B$504,"PTO",'Time Off Log'!$E$5:$E$504,"Approved",'Time Off Log'!$C$5:$C$504,"&gt;="&amp;INDEX(Periods!$E$5:$E$57,$B28),'Time Off Log'!$C$5:$C$504,"&lt;="&amp;INDEX(Periods!$F$5:$F$57,$B28)))</f>
        <v/>
      </c>
      <c r="M28" s="48">
        <f>IF($B28=1,N(INDEX(Employees!$N$5:$N$29,$A28)),P27)</f>
        <v/>
      </c>
      <c r="N28" s="48">
        <f>IF(INDEX(Employees!$L$5:$L$29,$A28)="",K28,MAX(0,MIN(K28,INDEX(Employees!$L$5:$L$29,$A28)-(M28-L28))))</f>
        <v/>
      </c>
      <c r="O28" s="48">
        <f>K28-N28</f>
        <v/>
      </c>
      <c r="P28" s="48">
        <f>M28-L28+N28</f>
        <v/>
      </c>
      <c r="Q28" s="48">
        <f>IF($G28=0,0,IF(INDEX(Employees!$P$5:$P$29,$A28)="Per pay period",(N(INDEX(Employees!$Q$5:$Q$29,$A28)))/Settings!$B$13,IF(INDEX(Employees!$P$5:$P$29,$A28)="Per hour worked",N(INDEX(Employees!$R$5:$R$29,$A28))*$I28,IF(INDEX(Employees!$P$5:$P$29,$A28)="Front-loaded",IF(OR($B28=1,N($G27)=0),N(INDEX(Employees!$Q$5:$Q$29,$A28)),0),0))))</f>
        <v/>
      </c>
      <c r="R28" s="48">
        <f>IF($F28=0,0,SUMIFS('Time Off Log'!$H$5:$H$504,'Time Off Log'!$A$5:$A$504,$C28,'Time Off Log'!$B$5:$B$504,"Sick",'Time Off Log'!$E$5:$E$504,"Approved",'Time Off Log'!$C$5:$C$504,"&gt;="&amp;INDEX(Periods!$E$5:$E$57,$B28),'Time Off Log'!$C$5:$C$504,"&lt;="&amp;INDEX(Periods!$F$5:$F$57,$B28)))</f>
        <v/>
      </c>
      <c r="S28" s="48">
        <f>IF($B28=1,N(INDEX(Employees!$T$5:$T$29,$A28)),V27)</f>
        <v/>
      </c>
      <c r="T28" s="48">
        <f>IF(INDEX(Employees!$S$5:$S$29,$A28)="",Q28,MAX(0,MIN(Q28,INDEX(Employees!$S$5:$S$29,$A28)-(S28-R28))))</f>
        <v/>
      </c>
      <c r="U28" s="48">
        <f>Q28-T28</f>
        <v/>
      </c>
      <c r="V28" s="48">
        <f>S28-R28+T28</f>
        <v/>
      </c>
    </row>
    <row r="29">
      <c r="A29" s="47" t="n">
        <v>1</v>
      </c>
      <c r="B29" s="47" t="n">
        <v>25</v>
      </c>
      <c r="C29" s="48">
        <f>INDEX(Employees!$B$5:$B$29,$A29)&amp;""</f>
        <v/>
      </c>
      <c r="D29" s="49">
        <f>INDEX(Periods!$B$5:$B$57,$B29)</f>
        <v/>
      </c>
      <c r="E29" s="49">
        <f>INDEX(Periods!$C$5:$C$57,$B29)</f>
        <v/>
      </c>
      <c r="F29" s="47">
        <f>IF(AND($C29&lt;&gt;"",INDEX(Periods!$D$5:$D$57,$B29)=1),1,0)</f>
        <v/>
      </c>
      <c r="G29" s="47">
        <f>IF($F29=0,0,IF(AND(OR(INDEX(Employees!$D$5:$D$29,$A29)="",$E29&gt;=INDEX(Employees!$D$5:$D$29,$A29)+N(INDEX(Employees!$U$5:$U$29,$A29))),OR(INDEX(Employees!$E$5:$E$29,$A29)="",$D29&lt;=INDEX(Employees!$E$5:$E$29,$A29))),1,0))</f>
        <v/>
      </c>
      <c r="H29" s="47">
        <f>IF($G29=0,0,IF(INDEX(Employees!$D$5:$D$29,$A29)="",0,DATEDIF(INDEX(Employees!$D$5:$D$29,$A29),$E29,"y")))</f>
        <v/>
      </c>
      <c r="I29" s="48">
        <f>IF($G29=0,0,IF(INDEX('Hours Worked'!$D$5:$BD$29,$A29,$B29)="",N(INDEX(Employees!$H$5:$H$29,$A29)),INDEX('Hours Worked'!$D$5:$BD$29,$A29,$B29)))</f>
        <v/>
      </c>
      <c r="J29" s="48">
        <f>IF(OR($G29=0,INDEX(Employees!$O$5:$O$29,$A29)&lt;&gt;"Yes"),0,IF(COUNTIF(Settings!$D$4:$D$9,"&lt;="&amp;$H29)=0,0,INDEX(Settings!$E$4:$E$9,COUNTIF(Settings!$D$4:$D$9,"&lt;="&amp;$H29))))</f>
        <v/>
      </c>
      <c r="K29" s="48">
        <f>IF($G29=0,0,IF(INDEX(Employees!$I$5:$I$29,$A29)="Per pay period",(N(INDEX(Employees!$J$5:$J$29,$A29))+$J29)/Settings!$B$13,IF(INDEX(Employees!$I$5:$I$29,$A29)="Per hour worked",N(INDEX(Employees!$K$5:$K$29,$A29))*$I29,IF(INDEX(Employees!$I$5:$I$29,$A29)="Front-loaded",IF(OR($B29=1,N($G28)=0),N(INDEX(Employees!$J$5:$J$29,$A29))+$J29,0),0))))</f>
        <v/>
      </c>
      <c r="L29" s="48">
        <f>IF($F29=0,0,SUMIFS('Time Off Log'!$H$5:$H$504,'Time Off Log'!$A$5:$A$504,$C29,'Time Off Log'!$B$5:$B$504,"PTO",'Time Off Log'!$E$5:$E$504,"Approved",'Time Off Log'!$C$5:$C$504,"&gt;="&amp;INDEX(Periods!$E$5:$E$57,$B29),'Time Off Log'!$C$5:$C$504,"&lt;="&amp;INDEX(Periods!$F$5:$F$57,$B29)))</f>
        <v/>
      </c>
      <c r="M29" s="48">
        <f>IF($B29=1,N(INDEX(Employees!$N$5:$N$29,$A29)),P28)</f>
        <v/>
      </c>
      <c r="N29" s="48">
        <f>IF(INDEX(Employees!$L$5:$L$29,$A29)="",K29,MAX(0,MIN(K29,INDEX(Employees!$L$5:$L$29,$A29)-(M29-L29))))</f>
        <v/>
      </c>
      <c r="O29" s="48">
        <f>K29-N29</f>
        <v/>
      </c>
      <c r="P29" s="48">
        <f>M29-L29+N29</f>
        <v/>
      </c>
      <c r="Q29" s="48">
        <f>IF($G29=0,0,IF(INDEX(Employees!$P$5:$P$29,$A29)="Per pay period",(N(INDEX(Employees!$Q$5:$Q$29,$A29)))/Settings!$B$13,IF(INDEX(Employees!$P$5:$P$29,$A29)="Per hour worked",N(INDEX(Employees!$R$5:$R$29,$A29))*$I29,IF(INDEX(Employees!$P$5:$P$29,$A29)="Front-loaded",IF(OR($B29=1,N($G28)=0),N(INDEX(Employees!$Q$5:$Q$29,$A29)),0),0))))</f>
        <v/>
      </c>
      <c r="R29" s="48">
        <f>IF($F29=0,0,SUMIFS('Time Off Log'!$H$5:$H$504,'Time Off Log'!$A$5:$A$504,$C29,'Time Off Log'!$B$5:$B$504,"Sick",'Time Off Log'!$E$5:$E$504,"Approved",'Time Off Log'!$C$5:$C$504,"&gt;="&amp;INDEX(Periods!$E$5:$E$57,$B29),'Time Off Log'!$C$5:$C$504,"&lt;="&amp;INDEX(Periods!$F$5:$F$57,$B29)))</f>
        <v/>
      </c>
      <c r="S29" s="48">
        <f>IF($B29=1,N(INDEX(Employees!$T$5:$T$29,$A29)),V28)</f>
        <v/>
      </c>
      <c r="T29" s="48">
        <f>IF(INDEX(Employees!$S$5:$S$29,$A29)="",Q29,MAX(0,MIN(Q29,INDEX(Employees!$S$5:$S$29,$A29)-(S29-R29))))</f>
        <v/>
      </c>
      <c r="U29" s="48">
        <f>Q29-T29</f>
        <v/>
      </c>
      <c r="V29" s="48">
        <f>S29-R29+T29</f>
        <v/>
      </c>
    </row>
    <row r="30">
      <c r="A30" s="47" t="n">
        <v>1</v>
      </c>
      <c r="B30" s="47" t="n">
        <v>26</v>
      </c>
      <c r="C30" s="48">
        <f>INDEX(Employees!$B$5:$B$29,$A30)&amp;""</f>
        <v/>
      </c>
      <c r="D30" s="49">
        <f>INDEX(Periods!$B$5:$B$57,$B30)</f>
        <v/>
      </c>
      <c r="E30" s="49">
        <f>INDEX(Periods!$C$5:$C$57,$B30)</f>
        <v/>
      </c>
      <c r="F30" s="47">
        <f>IF(AND($C30&lt;&gt;"",INDEX(Periods!$D$5:$D$57,$B30)=1),1,0)</f>
        <v/>
      </c>
      <c r="G30" s="47">
        <f>IF($F30=0,0,IF(AND(OR(INDEX(Employees!$D$5:$D$29,$A30)="",$E30&gt;=INDEX(Employees!$D$5:$D$29,$A30)+N(INDEX(Employees!$U$5:$U$29,$A30))),OR(INDEX(Employees!$E$5:$E$29,$A30)="",$D30&lt;=INDEX(Employees!$E$5:$E$29,$A30))),1,0))</f>
        <v/>
      </c>
      <c r="H30" s="47">
        <f>IF($G30=0,0,IF(INDEX(Employees!$D$5:$D$29,$A30)="",0,DATEDIF(INDEX(Employees!$D$5:$D$29,$A30),$E30,"y")))</f>
        <v/>
      </c>
      <c r="I30" s="48">
        <f>IF($G30=0,0,IF(INDEX('Hours Worked'!$D$5:$BD$29,$A30,$B30)="",N(INDEX(Employees!$H$5:$H$29,$A30)),INDEX('Hours Worked'!$D$5:$BD$29,$A30,$B30)))</f>
        <v/>
      </c>
      <c r="J30" s="48">
        <f>IF(OR($G30=0,INDEX(Employees!$O$5:$O$29,$A30)&lt;&gt;"Yes"),0,IF(COUNTIF(Settings!$D$4:$D$9,"&lt;="&amp;$H30)=0,0,INDEX(Settings!$E$4:$E$9,COUNTIF(Settings!$D$4:$D$9,"&lt;="&amp;$H30))))</f>
        <v/>
      </c>
      <c r="K30" s="48">
        <f>IF($G30=0,0,IF(INDEX(Employees!$I$5:$I$29,$A30)="Per pay period",(N(INDEX(Employees!$J$5:$J$29,$A30))+$J30)/Settings!$B$13,IF(INDEX(Employees!$I$5:$I$29,$A30)="Per hour worked",N(INDEX(Employees!$K$5:$K$29,$A30))*$I30,IF(INDEX(Employees!$I$5:$I$29,$A30)="Front-loaded",IF(OR($B30=1,N($G29)=0),N(INDEX(Employees!$J$5:$J$29,$A30))+$J30,0),0))))</f>
        <v/>
      </c>
      <c r="L30" s="48">
        <f>IF($F30=0,0,SUMIFS('Time Off Log'!$H$5:$H$504,'Time Off Log'!$A$5:$A$504,$C30,'Time Off Log'!$B$5:$B$504,"PTO",'Time Off Log'!$E$5:$E$504,"Approved",'Time Off Log'!$C$5:$C$504,"&gt;="&amp;INDEX(Periods!$E$5:$E$57,$B30),'Time Off Log'!$C$5:$C$504,"&lt;="&amp;INDEX(Periods!$F$5:$F$57,$B30)))</f>
        <v/>
      </c>
      <c r="M30" s="48">
        <f>IF($B30=1,N(INDEX(Employees!$N$5:$N$29,$A30)),P29)</f>
        <v/>
      </c>
      <c r="N30" s="48">
        <f>IF(INDEX(Employees!$L$5:$L$29,$A30)="",K30,MAX(0,MIN(K30,INDEX(Employees!$L$5:$L$29,$A30)-(M30-L30))))</f>
        <v/>
      </c>
      <c r="O30" s="48">
        <f>K30-N30</f>
        <v/>
      </c>
      <c r="P30" s="48">
        <f>M30-L30+N30</f>
        <v/>
      </c>
      <c r="Q30" s="48">
        <f>IF($G30=0,0,IF(INDEX(Employees!$P$5:$P$29,$A30)="Per pay period",(N(INDEX(Employees!$Q$5:$Q$29,$A30)))/Settings!$B$13,IF(INDEX(Employees!$P$5:$P$29,$A30)="Per hour worked",N(INDEX(Employees!$R$5:$R$29,$A30))*$I30,IF(INDEX(Employees!$P$5:$P$29,$A30)="Front-loaded",IF(OR($B30=1,N($G29)=0),N(INDEX(Employees!$Q$5:$Q$29,$A30)),0),0))))</f>
        <v/>
      </c>
      <c r="R30" s="48">
        <f>IF($F30=0,0,SUMIFS('Time Off Log'!$H$5:$H$504,'Time Off Log'!$A$5:$A$504,$C30,'Time Off Log'!$B$5:$B$504,"Sick",'Time Off Log'!$E$5:$E$504,"Approved",'Time Off Log'!$C$5:$C$504,"&gt;="&amp;INDEX(Periods!$E$5:$E$57,$B30),'Time Off Log'!$C$5:$C$504,"&lt;="&amp;INDEX(Periods!$F$5:$F$57,$B30)))</f>
        <v/>
      </c>
      <c r="S30" s="48">
        <f>IF($B30=1,N(INDEX(Employees!$T$5:$T$29,$A30)),V29)</f>
        <v/>
      </c>
      <c r="T30" s="48">
        <f>IF(INDEX(Employees!$S$5:$S$29,$A30)="",Q30,MAX(0,MIN(Q30,INDEX(Employees!$S$5:$S$29,$A30)-(S30-R30))))</f>
        <v/>
      </c>
      <c r="U30" s="48">
        <f>Q30-T30</f>
        <v/>
      </c>
      <c r="V30" s="48">
        <f>S30-R30+T30</f>
        <v/>
      </c>
    </row>
    <row r="31">
      <c r="A31" s="47" t="n">
        <v>1</v>
      </c>
      <c r="B31" s="47" t="n">
        <v>27</v>
      </c>
      <c r="C31" s="48">
        <f>INDEX(Employees!$B$5:$B$29,$A31)&amp;""</f>
        <v/>
      </c>
      <c r="D31" s="49">
        <f>INDEX(Periods!$B$5:$B$57,$B31)</f>
        <v/>
      </c>
      <c r="E31" s="49">
        <f>INDEX(Periods!$C$5:$C$57,$B31)</f>
        <v/>
      </c>
      <c r="F31" s="47">
        <f>IF(AND($C31&lt;&gt;"",INDEX(Periods!$D$5:$D$57,$B31)=1),1,0)</f>
        <v/>
      </c>
      <c r="G31" s="47">
        <f>IF($F31=0,0,IF(AND(OR(INDEX(Employees!$D$5:$D$29,$A31)="",$E31&gt;=INDEX(Employees!$D$5:$D$29,$A31)+N(INDEX(Employees!$U$5:$U$29,$A31))),OR(INDEX(Employees!$E$5:$E$29,$A31)="",$D31&lt;=INDEX(Employees!$E$5:$E$29,$A31))),1,0))</f>
        <v/>
      </c>
      <c r="H31" s="47">
        <f>IF($G31=0,0,IF(INDEX(Employees!$D$5:$D$29,$A31)="",0,DATEDIF(INDEX(Employees!$D$5:$D$29,$A31),$E31,"y")))</f>
        <v/>
      </c>
      <c r="I31" s="48">
        <f>IF($G31=0,0,IF(INDEX('Hours Worked'!$D$5:$BD$29,$A31,$B31)="",N(INDEX(Employees!$H$5:$H$29,$A31)),INDEX('Hours Worked'!$D$5:$BD$29,$A31,$B31)))</f>
        <v/>
      </c>
      <c r="J31" s="48">
        <f>IF(OR($G31=0,INDEX(Employees!$O$5:$O$29,$A31)&lt;&gt;"Yes"),0,IF(COUNTIF(Settings!$D$4:$D$9,"&lt;="&amp;$H31)=0,0,INDEX(Settings!$E$4:$E$9,COUNTIF(Settings!$D$4:$D$9,"&lt;="&amp;$H31))))</f>
        <v/>
      </c>
      <c r="K31" s="48">
        <f>IF($G31=0,0,IF(INDEX(Employees!$I$5:$I$29,$A31)="Per pay period",(N(INDEX(Employees!$J$5:$J$29,$A31))+$J31)/Settings!$B$13,IF(INDEX(Employees!$I$5:$I$29,$A31)="Per hour worked",N(INDEX(Employees!$K$5:$K$29,$A31))*$I31,IF(INDEX(Employees!$I$5:$I$29,$A31)="Front-loaded",IF(OR($B31=1,N($G30)=0),N(INDEX(Employees!$J$5:$J$29,$A31))+$J31,0),0))))</f>
        <v/>
      </c>
      <c r="L31" s="48">
        <f>IF($F31=0,0,SUMIFS('Time Off Log'!$H$5:$H$504,'Time Off Log'!$A$5:$A$504,$C31,'Time Off Log'!$B$5:$B$504,"PTO",'Time Off Log'!$E$5:$E$504,"Approved",'Time Off Log'!$C$5:$C$504,"&gt;="&amp;INDEX(Periods!$E$5:$E$57,$B31),'Time Off Log'!$C$5:$C$504,"&lt;="&amp;INDEX(Periods!$F$5:$F$57,$B31)))</f>
        <v/>
      </c>
      <c r="M31" s="48">
        <f>IF($B31=1,N(INDEX(Employees!$N$5:$N$29,$A31)),P30)</f>
        <v/>
      </c>
      <c r="N31" s="48">
        <f>IF(INDEX(Employees!$L$5:$L$29,$A31)="",K31,MAX(0,MIN(K31,INDEX(Employees!$L$5:$L$29,$A31)-(M31-L31))))</f>
        <v/>
      </c>
      <c r="O31" s="48">
        <f>K31-N31</f>
        <v/>
      </c>
      <c r="P31" s="48">
        <f>M31-L31+N31</f>
        <v/>
      </c>
      <c r="Q31" s="48">
        <f>IF($G31=0,0,IF(INDEX(Employees!$P$5:$P$29,$A31)="Per pay period",(N(INDEX(Employees!$Q$5:$Q$29,$A31)))/Settings!$B$13,IF(INDEX(Employees!$P$5:$P$29,$A31)="Per hour worked",N(INDEX(Employees!$R$5:$R$29,$A31))*$I31,IF(INDEX(Employees!$P$5:$P$29,$A31)="Front-loaded",IF(OR($B31=1,N($G30)=0),N(INDEX(Employees!$Q$5:$Q$29,$A31)),0),0))))</f>
        <v/>
      </c>
      <c r="R31" s="48">
        <f>IF($F31=0,0,SUMIFS('Time Off Log'!$H$5:$H$504,'Time Off Log'!$A$5:$A$504,$C31,'Time Off Log'!$B$5:$B$504,"Sick",'Time Off Log'!$E$5:$E$504,"Approved",'Time Off Log'!$C$5:$C$504,"&gt;="&amp;INDEX(Periods!$E$5:$E$57,$B31),'Time Off Log'!$C$5:$C$504,"&lt;="&amp;INDEX(Periods!$F$5:$F$57,$B31)))</f>
        <v/>
      </c>
      <c r="S31" s="48">
        <f>IF($B31=1,N(INDEX(Employees!$T$5:$T$29,$A31)),V30)</f>
        <v/>
      </c>
      <c r="T31" s="48">
        <f>IF(INDEX(Employees!$S$5:$S$29,$A31)="",Q31,MAX(0,MIN(Q31,INDEX(Employees!$S$5:$S$29,$A31)-(S31-R31))))</f>
        <v/>
      </c>
      <c r="U31" s="48">
        <f>Q31-T31</f>
        <v/>
      </c>
      <c r="V31" s="48">
        <f>S31-R31+T31</f>
        <v/>
      </c>
    </row>
    <row r="32">
      <c r="A32" s="47" t="n">
        <v>1</v>
      </c>
      <c r="B32" s="47" t="n">
        <v>28</v>
      </c>
      <c r="C32" s="48">
        <f>INDEX(Employees!$B$5:$B$29,$A32)&amp;""</f>
        <v/>
      </c>
      <c r="D32" s="49">
        <f>INDEX(Periods!$B$5:$B$57,$B32)</f>
        <v/>
      </c>
      <c r="E32" s="49">
        <f>INDEX(Periods!$C$5:$C$57,$B32)</f>
        <v/>
      </c>
      <c r="F32" s="47">
        <f>IF(AND($C32&lt;&gt;"",INDEX(Periods!$D$5:$D$57,$B32)=1),1,0)</f>
        <v/>
      </c>
      <c r="G32" s="47">
        <f>IF($F32=0,0,IF(AND(OR(INDEX(Employees!$D$5:$D$29,$A32)="",$E32&gt;=INDEX(Employees!$D$5:$D$29,$A32)+N(INDEX(Employees!$U$5:$U$29,$A32))),OR(INDEX(Employees!$E$5:$E$29,$A32)="",$D32&lt;=INDEX(Employees!$E$5:$E$29,$A32))),1,0))</f>
        <v/>
      </c>
      <c r="H32" s="47">
        <f>IF($G32=0,0,IF(INDEX(Employees!$D$5:$D$29,$A32)="",0,DATEDIF(INDEX(Employees!$D$5:$D$29,$A32),$E32,"y")))</f>
        <v/>
      </c>
      <c r="I32" s="48">
        <f>IF($G32=0,0,IF(INDEX('Hours Worked'!$D$5:$BD$29,$A32,$B32)="",N(INDEX(Employees!$H$5:$H$29,$A32)),INDEX('Hours Worked'!$D$5:$BD$29,$A32,$B32)))</f>
        <v/>
      </c>
      <c r="J32" s="48">
        <f>IF(OR($G32=0,INDEX(Employees!$O$5:$O$29,$A32)&lt;&gt;"Yes"),0,IF(COUNTIF(Settings!$D$4:$D$9,"&lt;="&amp;$H32)=0,0,INDEX(Settings!$E$4:$E$9,COUNTIF(Settings!$D$4:$D$9,"&lt;="&amp;$H32))))</f>
        <v/>
      </c>
      <c r="K32" s="48">
        <f>IF($G32=0,0,IF(INDEX(Employees!$I$5:$I$29,$A32)="Per pay period",(N(INDEX(Employees!$J$5:$J$29,$A32))+$J32)/Settings!$B$13,IF(INDEX(Employees!$I$5:$I$29,$A32)="Per hour worked",N(INDEX(Employees!$K$5:$K$29,$A32))*$I32,IF(INDEX(Employees!$I$5:$I$29,$A32)="Front-loaded",IF(OR($B32=1,N($G31)=0),N(INDEX(Employees!$J$5:$J$29,$A32))+$J32,0),0))))</f>
        <v/>
      </c>
      <c r="L32" s="48">
        <f>IF($F32=0,0,SUMIFS('Time Off Log'!$H$5:$H$504,'Time Off Log'!$A$5:$A$504,$C32,'Time Off Log'!$B$5:$B$504,"PTO",'Time Off Log'!$E$5:$E$504,"Approved",'Time Off Log'!$C$5:$C$504,"&gt;="&amp;INDEX(Periods!$E$5:$E$57,$B32),'Time Off Log'!$C$5:$C$504,"&lt;="&amp;INDEX(Periods!$F$5:$F$57,$B32)))</f>
        <v/>
      </c>
      <c r="M32" s="48">
        <f>IF($B32=1,N(INDEX(Employees!$N$5:$N$29,$A32)),P31)</f>
        <v/>
      </c>
      <c r="N32" s="48">
        <f>IF(INDEX(Employees!$L$5:$L$29,$A32)="",K32,MAX(0,MIN(K32,INDEX(Employees!$L$5:$L$29,$A32)-(M32-L32))))</f>
        <v/>
      </c>
      <c r="O32" s="48">
        <f>K32-N32</f>
        <v/>
      </c>
      <c r="P32" s="48">
        <f>M32-L32+N32</f>
        <v/>
      </c>
      <c r="Q32" s="48">
        <f>IF($G32=0,0,IF(INDEX(Employees!$P$5:$P$29,$A32)="Per pay period",(N(INDEX(Employees!$Q$5:$Q$29,$A32)))/Settings!$B$13,IF(INDEX(Employees!$P$5:$P$29,$A32)="Per hour worked",N(INDEX(Employees!$R$5:$R$29,$A32))*$I32,IF(INDEX(Employees!$P$5:$P$29,$A32)="Front-loaded",IF(OR($B32=1,N($G31)=0),N(INDEX(Employees!$Q$5:$Q$29,$A32)),0),0))))</f>
        <v/>
      </c>
      <c r="R32" s="48">
        <f>IF($F32=0,0,SUMIFS('Time Off Log'!$H$5:$H$504,'Time Off Log'!$A$5:$A$504,$C32,'Time Off Log'!$B$5:$B$504,"Sick",'Time Off Log'!$E$5:$E$504,"Approved",'Time Off Log'!$C$5:$C$504,"&gt;="&amp;INDEX(Periods!$E$5:$E$57,$B32),'Time Off Log'!$C$5:$C$504,"&lt;="&amp;INDEX(Periods!$F$5:$F$57,$B32)))</f>
        <v/>
      </c>
      <c r="S32" s="48">
        <f>IF($B32=1,N(INDEX(Employees!$T$5:$T$29,$A32)),V31)</f>
        <v/>
      </c>
      <c r="T32" s="48">
        <f>IF(INDEX(Employees!$S$5:$S$29,$A32)="",Q32,MAX(0,MIN(Q32,INDEX(Employees!$S$5:$S$29,$A32)-(S32-R32))))</f>
        <v/>
      </c>
      <c r="U32" s="48">
        <f>Q32-T32</f>
        <v/>
      </c>
      <c r="V32" s="48">
        <f>S32-R32+T32</f>
        <v/>
      </c>
    </row>
    <row r="33">
      <c r="A33" s="47" t="n">
        <v>1</v>
      </c>
      <c r="B33" s="47" t="n">
        <v>29</v>
      </c>
      <c r="C33" s="48">
        <f>INDEX(Employees!$B$5:$B$29,$A33)&amp;""</f>
        <v/>
      </c>
      <c r="D33" s="49">
        <f>INDEX(Periods!$B$5:$B$57,$B33)</f>
        <v/>
      </c>
      <c r="E33" s="49">
        <f>INDEX(Periods!$C$5:$C$57,$B33)</f>
        <v/>
      </c>
      <c r="F33" s="47">
        <f>IF(AND($C33&lt;&gt;"",INDEX(Periods!$D$5:$D$57,$B33)=1),1,0)</f>
        <v/>
      </c>
      <c r="G33" s="47">
        <f>IF($F33=0,0,IF(AND(OR(INDEX(Employees!$D$5:$D$29,$A33)="",$E33&gt;=INDEX(Employees!$D$5:$D$29,$A33)+N(INDEX(Employees!$U$5:$U$29,$A33))),OR(INDEX(Employees!$E$5:$E$29,$A33)="",$D33&lt;=INDEX(Employees!$E$5:$E$29,$A33))),1,0))</f>
        <v/>
      </c>
      <c r="H33" s="47">
        <f>IF($G33=0,0,IF(INDEX(Employees!$D$5:$D$29,$A33)="",0,DATEDIF(INDEX(Employees!$D$5:$D$29,$A33),$E33,"y")))</f>
        <v/>
      </c>
      <c r="I33" s="48">
        <f>IF($G33=0,0,IF(INDEX('Hours Worked'!$D$5:$BD$29,$A33,$B33)="",N(INDEX(Employees!$H$5:$H$29,$A33)),INDEX('Hours Worked'!$D$5:$BD$29,$A33,$B33)))</f>
        <v/>
      </c>
      <c r="J33" s="48">
        <f>IF(OR($G33=0,INDEX(Employees!$O$5:$O$29,$A33)&lt;&gt;"Yes"),0,IF(COUNTIF(Settings!$D$4:$D$9,"&lt;="&amp;$H33)=0,0,INDEX(Settings!$E$4:$E$9,COUNTIF(Settings!$D$4:$D$9,"&lt;="&amp;$H33))))</f>
        <v/>
      </c>
      <c r="K33" s="48">
        <f>IF($G33=0,0,IF(INDEX(Employees!$I$5:$I$29,$A33)="Per pay period",(N(INDEX(Employees!$J$5:$J$29,$A33))+$J33)/Settings!$B$13,IF(INDEX(Employees!$I$5:$I$29,$A33)="Per hour worked",N(INDEX(Employees!$K$5:$K$29,$A33))*$I33,IF(INDEX(Employees!$I$5:$I$29,$A33)="Front-loaded",IF(OR($B33=1,N($G32)=0),N(INDEX(Employees!$J$5:$J$29,$A33))+$J33,0),0))))</f>
        <v/>
      </c>
      <c r="L33" s="48">
        <f>IF($F33=0,0,SUMIFS('Time Off Log'!$H$5:$H$504,'Time Off Log'!$A$5:$A$504,$C33,'Time Off Log'!$B$5:$B$504,"PTO",'Time Off Log'!$E$5:$E$504,"Approved",'Time Off Log'!$C$5:$C$504,"&gt;="&amp;INDEX(Periods!$E$5:$E$57,$B33),'Time Off Log'!$C$5:$C$504,"&lt;="&amp;INDEX(Periods!$F$5:$F$57,$B33)))</f>
        <v/>
      </c>
      <c r="M33" s="48">
        <f>IF($B33=1,N(INDEX(Employees!$N$5:$N$29,$A33)),P32)</f>
        <v/>
      </c>
      <c r="N33" s="48">
        <f>IF(INDEX(Employees!$L$5:$L$29,$A33)="",K33,MAX(0,MIN(K33,INDEX(Employees!$L$5:$L$29,$A33)-(M33-L33))))</f>
        <v/>
      </c>
      <c r="O33" s="48">
        <f>K33-N33</f>
        <v/>
      </c>
      <c r="P33" s="48">
        <f>M33-L33+N33</f>
        <v/>
      </c>
      <c r="Q33" s="48">
        <f>IF($G33=0,0,IF(INDEX(Employees!$P$5:$P$29,$A33)="Per pay period",(N(INDEX(Employees!$Q$5:$Q$29,$A33)))/Settings!$B$13,IF(INDEX(Employees!$P$5:$P$29,$A33)="Per hour worked",N(INDEX(Employees!$R$5:$R$29,$A33))*$I33,IF(INDEX(Employees!$P$5:$P$29,$A33)="Front-loaded",IF(OR($B33=1,N($G32)=0),N(INDEX(Employees!$Q$5:$Q$29,$A33)),0),0))))</f>
        <v/>
      </c>
      <c r="R33" s="48">
        <f>IF($F33=0,0,SUMIFS('Time Off Log'!$H$5:$H$504,'Time Off Log'!$A$5:$A$504,$C33,'Time Off Log'!$B$5:$B$504,"Sick",'Time Off Log'!$E$5:$E$504,"Approved",'Time Off Log'!$C$5:$C$504,"&gt;="&amp;INDEX(Periods!$E$5:$E$57,$B33),'Time Off Log'!$C$5:$C$504,"&lt;="&amp;INDEX(Periods!$F$5:$F$57,$B33)))</f>
        <v/>
      </c>
      <c r="S33" s="48">
        <f>IF($B33=1,N(INDEX(Employees!$T$5:$T$29,$A33)),V32)</f>
        <v/>
      </c>
      <c r="T33" s="48">
        <f>IF(INDEX(Employees!$S$5:$S$29,$A33)="",Q33,MAX(0,MIN(Q33,INDEX(Employees!$S$5:$S$29,$A33)-(S33-R33))))</f>
        <v/>
      </c>
      <c r="U33" s="48">
        <f>Q33-T33</f>
        <v/>
      </c>
      <c r="V33" s="48">
        <f>S33-R33+T33</f>
        <v/>
      </c>
    </row>
    <row r="34">
      <c r="A34" s="47" t="n">
        <v>1</v>
      </c>
      <c r="B34" s="47" t="n">
        <v>30</v>
      </c>
      <c r="C34" s="48">
        <f>INDEX(Employees!$B$5:$B$29,$A34)&amp;""</f>
        <v/>
      </c>
      <c r="D34" s="49">
        <f>INDEX(Periods!$B$5:$B$57,$B34)</f>
        <v/>
      </c>
      <c r="E34" s="49">
        <f>INDEX(Periods!$C$5:$C$57,$B34)</f>
        <v/>
      </c>
      <c r="F34" s="47">
        <f>IF(AND($C34&lt;&gt;"",INDEX(Periods!$D$5:$D$57,$B34)=1),1,0)</f>
        <v/>
      </c>
      <c r="G34" s="47">
        <f>IF($F34=0,0,IF(AND(OR(INDEX(Employees!$D$5:$D$29,$A34)="",$E34&gt;=INDEX(Employees!$D$5:$D$29,$A34)+N(INDEX(Employees!$U$5:$U$29,$A34))),OR(INDEX(Employees!$E$5:$E$29,$A34)="",$D34&lt;=INDEX(Employees!$E$5:$E$29,$A34))),1,0))</f>
        <v/>
      </c>
      <c r="H34" s="47">
        <f>IF($G34=0,0,IF(INDEX(Employees!$D$5:$D$29,$A34)="",0,DATEDIF(INDEX(Employees!$D$5:$D$29,$A34),$E34,"y")))</f>
        <v/>
      </c>
      <c r="I34" s="48">
        <f>IF($G34=0,0,IF(INDEX('Hours Worked'!$D$5:$BD$29,$A34,$B34)="",N(INDEX(Employees!$H$5:$H$29,$A34)),INDEX('Hours Worked'!$D$5:$BD$29,$A34,$B34)))</f>
        <v/>
      </c>
      <c r="J34" s="48">
        <f>IF(OR($G34=0,INDEX(Employees!$O$5:$O$29,$A34)&lt;&gt;"Yes"),0,IF(COUNTIF(Settings!$D$4:$D$9,"&lt;="&amp;$H34)=0,0,INDEX(Settings!$E$4:$E$9,COUNTIF(Settings!$D$4:$D$9,"&lt;="&amp;$H34))))</f>
        <v/>
      </c>
      <c r="K34" s="48">
        <f>IF($G34=0,0,IF(INDEX(Employees!$I$5:$I$29,$A34)="Per pay period",(N(INDEX(Employees!$J$5:$J$29,$A34))+$J34)/Settings!$B$13,IF(INDEX(Employees!$I$5:$I$29,$A34)="Per hour worked",N(INDEX(Employees!$K$5:$K$29,$A34))*$I34,IF(INDEX(Employees!$I$5:$I$29,$A34)="Front-loaded",IF(OR($B34=1,N($G33)=0),N(INDEX(Employees!$J$5:$J$29,$A34))+$J34,0),0))))</f>
        <v/>
      </c>
      <c r="L34" s="48">
        <f>IF($F34=0,0,SUMIFS('Time Off Log'!$H$5:$H$504,'Time Off Log'!$A$5:$A$504,$C34,'Time Off Log'!$B$5:$B$504,"PTO",'Time Off Log'!$E$5:$E$504,"Approved",'Time Off Log'!$C$5:$C$504,"&gt;="&amp;INDEX(Periods!$E$5:$E$57,$B34),'Time Off Log'!$C$5:$C$504,"&lt;="&amp;INDEX(Periods!$F$5:$F$57,$B34)))</f>
        <v/>
      </c>
      <c r="M34" s="48">
        <f>IF($B34=1,N(INDEX(Employees!$N$5:$N$29,$A34)),P33)</f>
        <v/>
      </c>
      <c r="N34" s="48">
        <f>IF(INDEX(Employees!$L$5:$L$29,$A34)="",K34,MAX(0,MIN(K34,INDEX(Employees!$L$5:$L$29,$A34)-(M34-L34))))</f>
        <v/>
      </c>
      <c r="O34" s="48">
        <f>K34-N34</f>
        <v/>
      </c>
      <c r="P34" s="48">
        <f>M34-L34+N34</f>
        <v/>
      </c>
      <c r="Q34" s="48">
        <f>IF($G34=0,0,IF(INDEX(Employees!$P$5:$P$29,$A34)="Per pay period",(N(INDEX(Employees!$Q$5:$Q$29,$A34)))/Settings!$B$13,IF(INDEX(Employees!$P$5:$P$29,$A34)="Per hour worked",N(INDEX(Employees!$R$5:$R$29,$A34))*$I34,IF(INDEX(Employees!$P$5:$P$29,$A34)="Front-loaded",IF(OR($B34=1,N($G33)=0),N(INDEX(Employees!$Q$5:$Q$29,$A34)),0),0))))</f>
        <v/>
      </c>
      <c r="R34" s="48">
        <f>IF($F34=0,0,SUMIFS('Time Off Log'!$H$5:$H$504,'Time Off Log'!$A$5:$A$504,$C34,'Time Off Log'!$B$5:$B$504,"Sick",'Time Off Log'!$E$5:$E$504,"Approved",'Time Off Log'!$C$5:$C$504,"&gt;="&amp;INDEX(Periods!$E$5:$E$57,$B34),'Time Off Log'!$C$5:$C$504,"&lt;="&amp;INDEX(Periods!$F$5:$F$57,$B34)))</f>
        <v/>
      </c>
      <c r="S34" s="48">
        <f>IF($B34=1,N(INDEX(Employees!$T$5:$T$29,$A34)),V33)</f>
        <v/>
      </c>
      <c r="T34" s="48">
        <f>IF(INDEX(Employees!$S$5:$S$29,$A34)="",Q34,MAX(0,MIN(Q34,INDEX(Employees!$S$5:$S$29,$A34)-(S34-R34))))</f>
        <v/>
      </c>
      <c r="U34" s="48">
        <f>Q34-T34</f>
        <v/>
      </c>
      <c r="V34" s="48">
        <f>S34-R34+T34</f>
        <v/>
      </c>
    </row>
    <row r="35">
      <c r="A35" s="47" t="n">
        <v>1</v>
      </c>
      <c r="B35" s="47" t="n">
        <v>31</v>
      </c>
      <c r="C35" s="48">
        <f>INDEX(Employees!$B$5:$B$29,$A35)&amp;""</f>
        <v/>
      </c>
      <c r="D35" s="49">
        <f>INDEX(Periods!$B$5:$B$57,$B35)</f>
        <v/>
      </c>
      <c r="E35" s="49">
        <f>INDEX(Periods!$C$5:$C$57,$B35)</f>
        <v/>
      </c>
      <c r="F35" s="47">
        <f>IF(AND($C35&lt;&gt;"",INDEX(Periods!$D$5:$D$57,$B35)=1),1,0)</f>
        <v/>
      </c>
      <c r="G35" s="47">
        <f>IF($F35=0,0,IF(AND(OR(INDEX(Employees!$D$5:$D$29,$A35)="",$E35&gt;=INDEX(Employees!$D$5:$D$29,$A35)+N(INDEX(Employees!$U$5:$U$29,$A35))),OR(INDEX(Employees!$E$5:$E$29,$A35)="",$D35&lt;=INDEX(Employees!$E$5:$E$29,$A35))),1,0))</f>
        <v/>
      </c>
      <c r="H35" s="47">
        <f>IF($G35=0,0,IF(INDEX(Employees!$D$5:$D$29,$A35)="",0,DATEDIF(INDEX(Employees!$D$5:$D$29,$A35),$E35,"y")))</f>
        <v/>
      </c>
      <c r="I35" s="48">
        <f>IF($G35=0,0,IF(INDEX('Hours Worked'!$D$5:$BD$29,$A35,$B35)="",N(INDEX(Employees!$H$5:$H$29,$A35)),INDEX('Hours Worked'!$D$5:$BD$29,$A35,$B35)))</f>
        <v/>
      </c>
      <c r="J35" s="48">
        <f>IF(OR($G35=0,INDEX(Employees!$O$5:$O$29,$A35)&lt;&gt;"Yes"),0,IF(COUNTIF(Settings!$D$4:$D$9,"&lt;="&amp;$H35)=0,0,INDEX(Settings!$E$4:$E$9,COUNTIF(Settings!$D$4:$D$9,"&lt;="&amp;$H35))))</f>
        <v/>
      </c>
      <c r="K35" s="48">
        <f>IF($G35=0,0,IF(INDEX(Employees!$I$5:$I$29,$A35)="Per pay period",(N(INDEX(Employees!$J$5:$J$29,$A35))+$J35)/Settings!$B$13,IF(INDEX(Employees!$I$5:$I$29,$A35)="Per hour worked",N(INDEX(Employees!$K$5:$K$29,$A35))*$I35,IF(INDEX(Employees!$I$5:$I$29,$A35)="Front-loaded",IF(OR($B35=1,N($G34)=0),N(INDEX(Employees!$J$5:$J$29,$A35))+$J35,0),0))))</f>
        <v/>
      </c>
      <c r="L35" s="48">
        <f>IF($F35=0,0,SUMIFS('Time Off Log'!$H$5:$H$504,'Time Off Log'!$A$5:$A$504,$C35,'Time Off Log'!$B$5:$B$504,"PTO",'Time Off Log'!$E$5:$E$504,"Approved",'Time Off Log'!$C$5:$C$504,"&gt;="&amp;INDEX(Periods!$E$5:$E$57,$B35),'Time Off Log'!$C$5:$C$504,"&lt;="&amp;INDEX(Periods!$F$5:$F$57,$B35)))</f>
        <v/>
      </c>
      <c r="M35" s="48">
        <f>IF($B35=1,N(INDEX(Employees!$N$5:$N$29,$A35)),P34)</f>
        <v/>
      </c>
      <c r="N35" s="48">
        <f>IF(INDEX(Employees!$L$5:$L$29,$A35)="",K35,MAX(0,MIN(K35,INDEX(Employees!$L$5:$L$29,$A35)-(M35-L35))))</f>
        <v/>
      </c>
      <c r="O35" s="48">
        <f>K35-N35</f>
        <v/>
      </c>
      <c r="P35" s="48">
        <f>M35-L35+N35</f>
        <v/>
      </c>
      <c r="Q35" s="48">
        <f>IF($G35=0,0,IF(INDEX(Employees!$P$5:$P$29,$A35)="Per pay period",(N(INDEX(Employees!$Q$5:$Q$29,$A35)))/Settings!$B$13,IF(INDEX(Employees!$P$5:$P$29,$A35)="Per hour worked",N(INDEX(Employees!$R$5:$R$29,$A35))*$I35,IF(INDEX(Employees!$P$5:$P$29,$A35)="Front-loaded",IF(OR($B35=1,N($G34)=0),N(INDEX(Employees!$Q$5:$Q$29,$A35)),0),0))))</f>
        <v/>
      </c>
      <c r="R35" s="48">
        <f>IF($F35=0,0,SUMIFS('Time Off Log'!$H$5:$H$504,'Time Off Log'!$A$5:$A$504,$C35,'Time Off Log'!$B$5:$B$504,"Sick",'Time Off Log'!$E$5:$E$504,"Approved",'Time Off Log'!$C$5:$C$504,"&gt;="&amp;INDEX(Periods!$E$5:$E$57,$B35),'Time Off Log'!$C$5:$C$504,"&lt;="&amp;INDEX(Periods!$F$5:$F$57,$B35)))</f>
        <v/>
      </c>
      <c r="S35" s="48">
        <f>IF($B35=1,N(INDEX(Employees!$T$5:$T$29,$A35)),V34)</f>
        <v/>
      </c>
      <c r="T35" s="48">
        <f>IF(INDEX(Employees!$S$5:$S$29,$A35)="",Q35,MAX(0,MIN(Q35,INDEX(Employees!$S$5:$S$29,$A35)-(S35-R35))))</f>
        <v/>
      </c>
      <c r="U35" s="48">
        <f>Q35-T35</f>
        <v/>
      </c>
      <c r="V35" s="48">
        <f>S35-R35+T35</f>
        <v/>
      </c>
    </row>
    <row r="36">
      <c r="A36" s="47" t="n">
        <v>1</v>
      </c>
      <c r="B36" s="47" t="n">
        <v>32</v>
      </c>
      <c r="C36" s="48">
        <f>INDEX(Employees!$B$5:$B$29,$A36)&amp;""</f>
        <v/>
      </c>
      <c r="D36" s="49">
        <f>INDEX(Periods!$B$5:$B$57,$B36)</f>
        <v/>
      </c>
      <c r="E36" s="49">
        <f>INDEX(Periods!$C$5:$C$57,$B36)</f>
        <v/>
      </c>
      <c r="F36" s="47">
        <f>IF(AND($C36&lt;&gt;"",INDEX(Periods!$D$5:$D$57,$B36)=1),1,0)</f>
        <v/>
      </c>
      <c r="G36" s="47">
        <f>IF($F36=0,0,IF(AND(OR(INDEX(Employees!$D$5:$D$29,$A36)="",$E36&gt;=INDEX(Employees!$D$5:$D$29,$A36)+N(INDEX(Employees!$U$5:$U$29,$A36))),OR(INDEX(Employees!$E$5:$E$29,$A36)="",$D36&lt;=INDEX(Employees!$E$5:$E$29,$A36))),1,0))</f>
        <v/>
      </c>
      <c r="H36" s="47">
        <f>IF($G36=0,0,IF(INDEX(Employees!$D$5:$D$29,$A36)="",0,DATEDIF(INDEX(Employees!$D$5:$D$29,$A36),$E36,"y")))</f>
        <v/>
      </c>
      <c r="I36" s="48">
        <f>IF($G36=0,0,IF(INDEX('Hours Worked'!$D$5:$BD$29,$A36,$B36)="",N(INDEX(Employees!$H$5:$H$29,$A36)),INDEX('Hours Worked'!$D$5:$BD$29,$A36,$B36)))</f>
        <v/>
      </c>
      <c r="J36" s="48">
        <f>IF(OR($G36=0,INDEX(Employees!$O$5:$O$29,$A36)&lt;&gt;"Yes"),0,IF(COUNTIF(Settings!$D$4:$D$9,"&lt;="&amp;$H36)=0,0,INDEX(Settings!$E$4:$E$9,COUNTIF(Settings!$D$4:$D$9,"&lt;="&amp;$H36))))</f>
        <v/>
      </c>
      <c r="K36" s="48">
        <f>IF($G36=0,0,IF(INDEX(Employees!$I$5:$I$29,$A36)="Per pay period",(N(INDEX(Employees!$J$5:$J$29,$A36))+$J36)/Settings!$B$13,IF(INDEX(Employees!$I$5:$I$29,$A36)="Per hour worked",N(INDEX(Employees!$K$5:$K$29,$A36))*$I36,IF(INDEX(Employees!$I$5:$I$29,$A36)="Front-loaded",IF(OR($B36=1,N($G35)=0),N(INDEX(Employees!$J$5:$J$29,$A36))+$J36,0),0))))</f>
        <v/>
      </c>
      <c r="L36" s="48">
        <f>IF($F36=0,0,SUMIFS('Time Off Log'!$H$5:$H$504,'Time Off Log'!$A$5:$A$504,$C36,'Time Off Log'!$B$5:$B$504,"PTO",'Time Off Log'!$E$5:$E$504,"Approved",'Time Off Log'!$C$5:$C$504,"&gt;="&amp;INDEX(Periods!$E$5:$E$57,$B36),'Time Off Log'!$C$5:$C$504,"&lt;="&amp;INDEX(Periods!$F$5:$F$57,$B36)))</f>
        <v/>
      </c>
      <c r="M36" s="48">
        <f>IF($B36=1,N(INDEX(Employees!$N$5:$N$29,$A36)),P35)</f>
        <v/>
      </c>
      <c r="N36" s="48">
        <f>IF(INDEX(Employees!$L$5:$L$29,$A36)="",K36,MAX(0,MIN(K36,INDEX(Employees!$L$5:$L$29,$A36)-(M36-L36))))</f>
        <v/>
      </c>
      <c r="O36" s="48">
        <f>K36-N36</f>
        <v/>
      </c>
      <c r="P36" s="48">
        <f>M36-L36+N36</f>
        <v/>
      </c>
      <c r="Q36" s="48">
        <f>IF($G36=0,0,IF(INDEX(Employees!$P$5:$P$29,$A36)="Per pay period",(N(INDEX(Employees!$Q$5:$Q$29,$A36)))/Settings!$B$13,IF(INDEX(Employees!$P$5:$P$29,$A36)="Per hour worked",N(INDEX(Employees!$R$5:$R$29,$A36))*$I36,IF(INDEX(Employees!$P$5:$P$29,$A36)="Front-loaded",IF(OR($B36=1,N($G35)=0),N(INDEX(Employees!$Q$5:$Q$29,$A36)),0),0))))</f>
        <v/>
      </c>
      <c r="R36" s="48">
        <f>IF($F36=0,0,SUMIFS('Time Off Log'!$H$5:$H$504,'Time Off Log'!$A$5:$A$504,$C36,'Time Off Log'!$B$5:$B$504,"Sick",'Time Off Log'!$E$5:$E$504,"Approved",'Time Off Log'!$C$5:$C$504,"&gt;="&amp;INDEX(Periods!$E$5:$E$57,$B36),'Time Off Log'!$C$5:$C$504,"&lt;="&amp;INDEX(Periods!$F$5:$F$57,$B36)))</f>
        <v/>
      </c>
      <c r="S36" s="48">
        <f>IF($B36=1,N(INDEX(Employees!$T$5:$T$29,$A36)),V35)</f>
        <v/>
      </c>
      <c r="T36" s="48">
        <f>IF(INDEX(Employees!$S$5:$S$29,$A36)="",Q36,MAX(0,MIN(Q36,INDEX(Employees!$S$5:$S$29,$A36)-(S36-R36))))</f>
        <v/>
      </c>
      <c r="U36" s="48">
        <f>Q36-T36</f>
        <v/>
      </c>
      <c r="V36" s="48">
        <f>S36-R36+T36</f>
        <v/>
      </c>
    </row>
    <row r="37">
      <c r="A37" s="47" t="n">
        <v>1</v>
      </c>
      <c r="B37" s="47" t="n">
        <v>33</v>
      </c>
      <c r="C37" s="48">
        <f>INDEX(Employees!$B$5:$B$29,$A37)&amp;""</f>
        <v/>
      </c>
      <c r="D37" s="49">
        <f>INDEX(Periods!$B$5:$B$57,$B37)</f>
        <v/>
      </c>
      <c r="E37" s="49">
        <f>INDEX(Periods!$C$5:$C$57,$B37)</f>
        <v/>
      </c>
      <c r="F37" s="47">
        <f>IF(AND($C37&lt;&gt;"",INDEX(Periods!$D$5:$D$57,$B37)=1),1,0)</f>
        <v/>
      </c>
      <c r="G37" s="47">
        <f>IF($F37=0,0,IF(AND(OR(INDEX(Employees!$D$5:$D$29,$A37)="",$E37&gt;=INDEX(Employees!$D$5:$D$29,$A37)+N(INDEX(Employees!$U$5:$U$29,$A37))),OR(INDEX(Employees!$E$5:$E$29,$A37)="",$D37&lt;=INDEX(Employees!$E$5:$E$29,$A37))),1,0))</f>
        <v/>
      </c>
      <c r="H37" s="47">
        <f>IF($G37=0,0,IF(INDEX(Employees!$D$5:$D$29,$A37)="",0,DATEDIF(INDEX(Employees!$D$5:$D$29,$A37),$E37,"y")))</f>
        <v/>
      </c>
      <c r="I37" s="48">
        <f>IF($G37=0,0,IF(INDEX('Hours Worked'!$D$5:$BD$29,$A37,$B37)="",N(INDEX(Employees!$H$5:$H$29,$A37)),INDEX('Hours Worked'!$D$5:$BD$29,$A37,$B37)))</f>
        <v/>
      </c>
      <c r="J37" s="48">
        <f>IF(OR($G37=0,INDEX(Employees!$O$5:$O$29,$A37)&lt;&gt;"Yes"),0,IF(COUNTIF(Settings!$D$4:$D$9,"&lt;="&amp;$H37)=0,0,INDEX(Settings!$E$4:$E$9,COUNTIF(Settings!$D$4:$D$9,"&lt;="&amp;$H37))))</f>
        <v/>
      </c>
      <c r="K37" s="48">
        <f>IF($G37=0,0,IF(INDEX(Employees!$I$5:$I$29,$A37)="Per pay period",(N(INDEX(Employees!$J$5:$J$29,$A37))+$J37)/Settings!$B$13,IF(INDEX(Employees!$I$5:$I$29,$A37)="Per hour worked",N(INDEX(Employees!$K$5:$K$29,$A37))*$I37,IF(INDEX(Employees!$I$5:$I$29,$A37)="Front-loaded",IF(OR($B37=1,N($G36)=0),N(INDEX(Employees!$J$5:$J$29,$A37))+$J37,0),0))))</f>
        <v/>
      </c>
      <c r="L37" s="48">
        <f>IF($F37=0,0,SUMIFS('Time Off Log'!$H$5:$H$504,'Time Off Log'!$A$5:$A$504,$C37,'Time Off Log'!$B$5:$B$504,"PTO",'Time Off Log'!$E$5:$E$504,"Approved",'Time Off Log'!$C$5:$C$504,"&gt;="&amp;INDEX(Periods!$E$5:$E$57,$B37),'Time Off Log'!$C$5:$C$504,"&lt;="&amp;INDEX(Periods!$F$5:$F$57,$B37)))</f>
        <v/>
      </c>
      <c r="M37" s="48">
        <f>IF($B37=1,N(INDEX(Employees!$N$5:$N$29,$A37)),P36)</f>
        <v/>
      </c>
      <c r="N37" s="48">
        <f>IF(INDEX(Employees!$L$5:$L$29,$A37)="",K37,MAX(0,MIN(K37,INDEX(Employees!$L$5:$L$29,$A37)-(M37-L37))))</f>
        <v/>
      </c>
      <c r="O37" s="48">
        <f>K37-N37</f>
        <v/>
      </c>
      <c r="P37" s="48">
        <f>M37-L37+N37</f>
        <v/>
      </c>
      <c r="Q37" s="48">
        <f>IF($G37=0,0,IF(INDEX(Employees!$P$5:$P$29,$A37)="Per pay period",(N(INDEX(Employees!$Q$5:$Q$29,$A37)))/Settings!$B$13,IF(INDEX(Employees!$P$5:$P$29,$A37)="Per hour worked",N(INDEX(Employees!$R$5:$R$29,$A37))*$I37,IF(INDEX(Employees!$P$5:$P$29,$A37)="Front-loaded",IF(OR($B37=1,N($G36)=0),N(INDEX(Employees!$Q$5:$Q$29,$A37)),0),0))))</f>
        <v/>
      </c>
      <c r="R37" s="48">
        <f>IF($F37=0,0,SUMIFS('Time Off Log'!$H$5:$H$504,'Time Off Log'!$A$5:$A$504,$C37,'Time Off Log'!$B$5:$B$504,"Sick",'Time Off Log'!$E$5:$E$504,"Approved",'Time Off Log'!$C$5:$C$504,"&gt;="&amp;INDEX(Periods!$E$5:$E$57,$B37),'Time Off Log'!$C$5:$C$504,"&lt;="&amp;INDEX(Periods!$F$5:$F$57,$B37)))</f>
        <v/>
      </c>
      <c r="S37" s="48">
        <f>IF($B37=1,N(INDEX(Employees!$T$5:$T$29,$A37)),V36)</f>
        <v/>
      </c>
      <c r="T37" s="48">
        <f>IF(INDEX(Employees!$S$5:$S$29,$A37)="",Q37,MAX(0,MIN(Q37,INDEX(Employees!$S$5:$S$29,$A37)-(S37-R37))))</f>
        <v/>
      </c>
      <c r="U37" s="48">
        <f>Q37-T37</f>
        <v/>
      </c>
      <c r="V37" s="48">
        <f>S37-R37+T37</f>
        <v/>
      </c>
    </row>
    <row r="38">
      <c r="A38" s="47" t="n">
        <v>1</v>
      </c>
      <c r="B38" s="47" t="n">
        <v>34</v>
      </c>
      <c r="C38" s="48">
        <f>INDEX(Employees!$B$5:$B$29,$A38)&amp;""</f>
        <v/>
      </c>
      <c r="D38" s="49">
        <f>INDEX(Periods!$B$5:$B$57,$B38)</f>
        <v/>
      </c>
      <c r="E38" s="49">
        <f>INDEX(Periods!$C$5:$C$57,$B38)</f>
        <v/>
      </c>
      <c r="F38" s="47">
        <f>IF(AND($C38&lt;&gt;"",INDEX(Periods!$D$5:$D$57,$B38)=1),1,0)</f>
        <v/>
      </c>
      <c r="G38" s="47">
        <f>IF($F38=0,0,IF(AND(OR(INDEX(Employees!$D$5:$D$29,$A38)="",$E38&gt;=INDEX(Employees!$D$5:$D$29,$A38)+N(INDEX(Employees!$U$5:$U$29,$A38))),OR(INDEX(Employees!$E$5:$E$29,$A38)="",$D38&lt;=INDEX(Employees!$E$5:$E$29,$A38))),1,0))</f>
        <v/>
      </c>
      <c r="H38" s="47">
        <f>IF($G38=0,0,IF(INDEX(Employees!$D$5:$D$29,$A38)="",0,DATEDIF(INDEX(Employees!$D$5:$D$29,$A38),$E38,"y")))</f>
        <v/>
      </c>
      <c r="I38" s="48">
        <f>IF($G38=0,0,IF(INDEX('Hours Worked'!$D$5:$BD$29,$A38,$B38)="",N(INDEX(Employees!$H$5:$H$29,$A38)),INDEX('Hours Worked'!$D$5:$BD$29,$A38,$B38)))</f>
        <v/>
      </c>
      <c r="J38" s="48">
        <f>IF(OR($G38=0,INDEX(Employees!$O$5:$O$29,$A38)&lt;&gt;"Yes"),0,IF(COUNTIF(Settings!$D$4:$D$9,"&lt;="&amp;$H38)=0,0,INDEX(Settings!$E$4:$E$9,COUNTIF(Settings!$D$4:$D$9,"&lt;="&amp;$H38))))</f>
        <v/>
      </c>
      <c r="K38" s="48">
        <f>IF($G38=0,0,IF(INDEX(Employees!$I$5:$I$29,$A38)="Per pay period",(N(INDEX(Employees!$J$5:$J$29,$A38))+$J38)/Settings!$B$13,IF(INDEX(Employees!$I$5:$I$29,$A38)="Per hour worked",N(INDEX(Employees!$K$5:$K$29,$A38))*$I38,IF(INDEX(Employees!$I$5:$I$29,$A38)="Front-loaded",IF(OR($B38=1,N($G37)=0),N(INDEX(Employees!$J$5:$J$29,$A38))+$J38,0),0))))</f>
        <v/>
      </c>
      <c r="L38" s="48">
        <f>IF($F38=0,0,SUMIFS('Time Off Log'!$H$5:$H$504,'Time Off Log'!$A$5:$A$504,$C38,'Time Off Log'!$B$5:$B$504,"PTO",'Time Off Log'!$E$5:$E$504,"Approved",'Time Off Log'!$C$5:$C$504,"&gt;="&amp;INDEX(Periods!$E$5:$E$57,$B38),'Time Off Log'!$C$5:$C$504,"&lt;="&amp;INDEX(Periods!$F$5:$F$57,$B38)))</f>
        <v/>
      </c>
      <c r="M38" s="48">
        <f>IF($B38=1,N(INDEX(Employees!$N$5:$N$29,$A38)),P37)</f>
        <v/>
      </c>
      <c r="N38" s="48">
        <f>IF(INDEX(Employees!$L$5:$L$29,$A38)="",K38,MAX(0,MIN(K38,INDEX(Employees!$L$5:$L$29,$A38)-(M38-L38))))</f>
        <v/>
      </c>
      <c r="O38" s="48">
        <f>K38-N38</f>
        <v/>
      </c>
      <c r="P38" s="48">
        <f>M38-L38+N38</f>
        <v/>
      </c>
      <c r="Q38" s="48">
        <f>IF($G38=0,0,IF(INDEX(Employees!$P$5:$P$29,$A38)="Per pay period",(N(INDEX(Employees!$Q$5:$Q$29,$A38)))/Settings!$B$13,IF(INDEX(Employees!$P$5:$P$29,$A38)="Per hour worked",N(INDEX(Employees!$R$5:$R$29,$A38))*$I38,IF(INDEX(Employees!$P$5:$P$29,$A38)="Front-loaded",IF(OR($B38=1,N($G37)=0),N(INDEX(Employees!$Q$5:$Q$29,$A38)),0),0))))</f>
        <v/>
      </c>
      <c r="R38" s="48">
        <f>IF($F38=0,0,SUMIFS('Time Off Log'!$H$5:$H$504,'Time Off Log'!$A$5:$A$504,$C38,'Time Off Log'!$B$5:$B$504,"Sick",'Time Off Log'!$E$5:$E$504,"Approved",'Time Off Log'!$C$5:$C$504,"&gt;="&amp;INDEX(Periods!$E$5:$E$57,$B38),'Time Off Log'!$C$5:$C$504,"&lt;="&amp;INDEX(Periods!$F$5:$F$57,$B38)))</f>
        <v/>
      </c>
      <c r="S38" s="48">
        <f>IF($B38=1,N(INDEX(Employees!$T$5:$T$29,$A38)),V37)</f>
        <v/>
      </c>
      <c r="T38" s="48">
        <f>IF(INDEX(Employees!$S$5:$S$29,$A38)="",Q38,MAX(0,MIN(Q38,INDEX(Employees!$S$5:$S$29,$A38)-(S38-R38))))</f>
        <v/>
      </c>
      <c r="U38" s="48">
        <f>Q38-T38</f>
        <v/>
      </c>
      <c r="V38" s="48">
        <f>S38-R38+T38</f>
        <v/>
      </c>
    </row>
    <row r="39">
      <c r="A39" s="47" t="n">
        <v>1</v>
      </c>
      <c r="B39" s="47" t="n">
        <v>35</v>
      </c>
      <c r="C39" s="48">
        <f>INDEX(Employees!$B$5:$B$29,$A39)&amp;""</f>
        <v/>
      </c>
      <c r="D39" s="49">
        <f>INDEX(Periods!$B$5:$B$57,$B39)</f>
        <v/>
      </c>
      <c r="E39" s="49">
        <f>INDEX(Periods!$C$5:$C$57,$B39)</f>
        <v/>
      </c>
      <c r="F39" s="47">
        <f>IF(AND($C39&lt;&gt;"",INDEX(Periods!$D$5:$D$57,$B39)=1),1,0)</f>
        <v/>
      </c>
      <c r="G39" s="47">
        <f>IF($F39=0,0,IF(AND(OR(INDEX(Employees!$D$5:$D$29,$A39)="",$E39&gt;=INDEX(Employees!$D$5:$D$29,$A39)+N(INDEX(Employees!$U$5:$U$29,$A39))),OR(INDEX(Employees!$E$5:$E$29,$A39)="",$D39&lt;=INDEX(Employees!$E$5:$E$29,$A39))),1,0))</f>
        <v/>
      </c>
      <c r="H39" s="47">
        <f>IF($G39=0,0,IF(INDEX(Employees!$D$5:$D$29,$A39)="",0,DATEDIF(INDEX(Employees!$D$5:$D$29,$A39),$E39,"y")))</f>
        <v/>
      </c>
      <c r="I39" s="48">
        <f>IF($G39=0,0,IF(INDEX('Hours Worked'!$D$5:$BD$29,$A39,$B39)="",N(INDEX(Employees!$H$5:$H$29,$A39)),INDEX('Hours Worked'!$D$5:$BD$29,$A39,$B39)))</f>
        <v/>
      </c>
      <c r="J39" s="48">
        <f>IF(OR($G39=0,INDEX(Employees!$O$5:$O$29,$A39)&lt;&gt;"Yes"),0,IF(COUNTIF(Settings!$D$4:$D$9,"&lt;="&amp;$H39)=0,0,INDEX(Settings!$E$4:$E$9,COUNTIF(Settings!$D$4:$D$9,"&lt;="&amp;$H39))))</f>
        <v/>
      </c>
      <c r="K39" s="48">
        <f>IF($G39=0,0,IF(INDEX(Employees!$I$5:$I$29,$A39)="Per pay period",(N(INDEX(Employees!$J$5:$J$29,$A39))+$J39)/Settings!$B$13,IF(INDEX(Employees!$I$5:$I$29,$A39)="Per hour worked",N(INDEX(Employees!$K$5:$K$29,$A39))*$I39,IF(INDEX(Employees!$I$5:$I$29,$A39)="Front-loaded",IF(OR($B39=1,N($G38)=0),N(INDEX(Employees!$J$5:$J$29,$A39))+$J39,0),0))))</f>
        <v/>
      </c>
      <c r="L39" s="48">
        <f>IF($F39=0,0,SUMIFS('Time Off Log'!$H$5:$H$504,'Time Off Log'!$A$5:$A$504,$C39,'Time Off Log'!$B$5:$B$504,"PTO",'Time Off Log'!$E$5:$E$504,"Approved",'Time Off Log'!$C$5:$C$504,"&gt;="&amp;INDEX(Periods!$E$5:$E$57,$B39),'Time Off Log'!$C$5:$C$504,"&lt;="&amp;INDEX(Periods!$F$5:$F$57,$B39)))</f>
        <v/>
      </c>
      <c r="M39" s="48">
        <f>IF($B39=1,N(INDEX(Employees!$N$5:$N$29,$A39)),P38)</f>
        <v/>
      </c>
      <c r="N39" s="48">
        <f>IF(INDEX(Employees!$L$5:$L$29,$A39)="",K39,MAX(0,MIN(K39,INDEX(Employees!$L$5:$L$29,$A39)-(M39-L39))))</f>
        <v/>
      </c>
      <c r="O39" s="48">
        <f>K39-N39</f>
        <v/>
      </c>
      <c r="P39" s="48">
        <f>M39-L39+N39</f>
        <v/>
      </c>
      <c r="Q39" s="48">
        <f>IF($G39=0,0,IF(INDEX(Employees!$P$5:$P$29,$A39)="Per pay period",(N(INDEX(Employees!$Q$5:$Q$29,$A39)))/Settings!$B$13,IF(INDEX(Employees!$P$5:$P$29,$A39)="Per hour worked",N(INDEX(Employees!$R$5:$R$29,$A39))*$I39,IF(INDEX(Employees!$P$5:$P$29,$A39)="Front-loaded",IF(OR($B39=1,N($G38)=0),N(INDEX(Employees!$Q$5:$Q$29,$A39)),0),0))))</f>
        <v/>
      </c>
      <c r="R39" s="48">
        <f>IF($F39=0,0,SUMIFS('Time Off Log'!$H$5:$H$504,'Time Off Log'!$A$5:$A$504,$C39,'Time Off Log'!$B$5:$B$504,"Sick",'Time Off Log'!$E$5:$E$504,"Approved",'Time Off Log'!$C$5:$C$504,"&gt;="&amp;INDEX(Periods!$E$5:$E$57,$B39),'Time Off Log'!$C$5:$C$504,"&lt;="&amp;INDEX(Periods!$F$5:$F$57,$B39)))</f>
        <v/>
      </c>
      <c r="S39" s="48">
        <f>IF($B39=1,N(INDEX(Employees!$T$5:$T$29,$A39)),V38)</f>
        <v/>
      </c>
      <c r="T39" s="48">
        <f>IF(INDEX(Employees!$S$5:$S$29,$A39)="",Q39,MAX(0,MIN(Q39,INDEX(Employees!$S$5:$S$29,$A39)-(S39-R39))))</f>
        <v/>
      </c>
      <c r="U39" s="48">
        <f>Q39-T39</f>
        <v/>
      </c>
      <c r="V39" s="48">
        <f>S39-R39+T39</f>
        <v/>
      </c>
    </row>
    <row r="40">
      <c r="A40" s="47" t="n">
        <v>1</v>
      </c>
      <c r="B40" s="47" t="n">
        <v>36</v>
      </c>
      <c r="C40" s="48">
        <f>INDEX(Employees!$B$5:$B$29,$A40)&amp;""</f>
        <v/>
      </c>
      <c r="D40" s="49">
        <f>INDEX(Periods!$B$5:$B$57,$B40)</f>
        <v/>
      </c>
      <c r="E40" s="49">
        <f>INDEX(Periods!$C$5:$C$57,$B40)</f>
        <v/>
      </c>
      <c r="F40" s="47">
        <f>IF(AND($C40&lt;&gt;"",INDEX(Periods!$D$5:$D$57,$B40)=1),1,0)</f>
        <v/>
      </c>
      <c r="G40" s="47">
        <f>IF($F40=0,0,IF(AND(OR(INDEX(Employees!$D$5:$D$29,$A40)="",$E40&gt;=INDEX(Employees!$D$5:$D$29,$A40)+N(INDEX(Employees!$U$5:$U$29,$A40))),OR(INDEX(Employees!$E$5:$E$29,$A40)="",$D40&lt;=INDEX(Employees!$E$5:$E$29,$A40))),1,0))</f>
        <v/>
      </c>
      <c r="H40" s="47">
        <f>IF($G40=0,0,IF(INDEX(Employees!$D$5:$D$29,$A40)="",0,DATEDIF(INDEX(Employees!$D$5:$D$29,$A40),$E40,"y")))</f>
        <v/>
      </c>
      <c r="I40" s="48">
        <f>IF($G40=0,0,IF(INDEX('Hours Worked'!$D$5:$BD$29,$A40,$B40)="",N(INDEX(Employees!$H$5:$H$29,$A40)),INDEX('Hours Worked'!$D$5:$BD$29,$A40,$B40)))</f>
        <v/>
      </c>
      <c r="J40" s="48">
        <f>IF(OR($G40=0,INDEX(Employees!$O$5:$O$29,$A40)&lt;&gt;"Yes"),0,IF(COUNTIF(Settings!$D$4:$D$9,"&lt;="&amp;$H40)=0,0,INDEX(Settings!$E$4:$E$9,COUNTIF(Settings!$D$4:$D$9,"&lt;="&amp;$H40))))</f>
        <v/>
      </c>
      <c r="K40" s="48">
        <f>IF($G40=0,0,IF(INDEX(Employees!$I$5:$I$29,$A40)="Per pay period",(N(INDEX(Employees!$J$5:$J$29,$A40))+$J40)/Settings!$B$13,IF(INDEX(Employees!$I$5:$I$29,$A40)="Per hour worked",N(INDEX(Employees!$K$5:$K$29,$A40))*$I40,IF(INDEX(Employees!$I$5:$I$29,$A40)="Front-loaded",IF(OR($B40=1,N($G39)=0),N(INDEX(Employees!$J$5:$J$29,$A40))+$J40,0),0))))</f>
        <v/>
      </c>
      <c r="L40" s="48">
        <f>IF($F40=0,0,SUMIFS('Time Off Log'!$H$5:$H$504,'Time Off Log'!$A$5:$A$504,$C40,'Time Off Log'!$B$5:$B$504,"PTO",'Time Off Log'!$E$5:$E$504,"Approved",'Time Off Log'!$C$5:$C$504,"&gt;="&amp;INDEX(Periods!$E$5:$E$57,$B40),'Time Off Log'!$C$5:$C$504,"&lt;="&amp;INDEX(Periods!$F$5:$F$57,$B40)))</f>
        <v/>
      </c>
      <c r="M40" s="48">
        <f>IF($B40=1,N(INDEX(Employees!$N$5:$N$29,$A40)),P39)</f>
        <v/>
      </c>
      <c r="N40" s="48">
        <f>IF(INDEX(Employees!$L$5:$L$29,$A40)="",K40,MAX(0,MIN(K40,INDEX(Employees!$L$5:$L$29,$A40)-(M40-L40))))</f>
        <v/>
      </c>
      <c r="O40" s="48">
        <f>K40-N40</f>
        <v/>
      </c>
      <c r="P40" s="48">
        <f>M40-L40+N40</f>
        <v/>
      </c>
      <c r="Q40" s="48">
        <f>IF($G40=0,0,IF(INDEX(Employees!$P$5:$P$29,$A40)="Per pay period",(N(INDEX(Employees!$Q$5:$Q$29,$A40)))/Settings!$B$13,IF(INDEX(Employees!$P$5:$P$29,$A40)="Per hour worked",N(INDEX(Employees!$R$5:$R$29,$A40))*$I40,IF(INDEX(Employees!$P$5:$P$29,$A40)="Front-loaded",IF(OR($B40=1,N($G39)=0),N(INDEX(Employees!$Q$5:$Q$29,$A40)),0),0))))</f>
        <v/>
      </c>
      <c r="R40" s="48">
        <f>IF($F40=0,0,SUMIFS('Time Off Log'!$H$5:$H$504,'Time Off Log'!$A$5:$A$504,$C40,'Time Off Log'!$B$5:$B$504,"Sick",'Time Off Log'!$E$5:$E$504,"Approved",'Time Off Log'!$C$5:$C$504,"&gt;="&amp;INDEX(Periods!$E$5:$E$57,$B40),'Time Off Log'!$C$5:$C$504,"&lt;="&amp;INDEX(Periods!$F$5:$F$57,$B40)))</f>
        <v/>
      </c>
      <c r="S40" s="48">
        <f>IF($B40=1,N(INDEX(Employees!$T$5:$T$29,$A40)),V39)</f>
        <v/>
      </c>
      <c r="T40" s="48">
        <f>IF(INDEX(Employees!$S$5:$S$29,$A40)="",Q40,MAX(0,MIN(Q40,INDEX(Employees!$S$5:$S$29,$A40)-(S40-R40))))</f>
        <v/>
      </c>
      <c r="U40" s="48">
        <f>Q40-T40</f>
        <v/>
      </c>
      <c r="V40" s="48">
        <f>S40-R40+T40</f>
        <v/>
      </c>
    </row>
    <row r="41">
      <c r="A41" s="47" t="n">
        <v>1</v>
      </c>
      <c r="B41" s="47" t="n">
        <v>37</v>
      </c>
      <c r="C41" s="48">
        <f>INDEX(Employees!$B$5:$B$29,$A41)&amp;""</f>
        <v/>
      </c>
      <c r="D41" s="49">
        <f>INDEX(Periods!$B$5:$B$57,$B41)</f>
        <v/>
      </c>
      <c r="E41" s="49">
        <f>INDEX(Periods!$C$5:$C$57,$B41)</f>
        <v/>
      </c>
      <c r="F41" s="47">
        <f>IF(AND($C41&lt;&gt;"",INDEX(Periods!$D$5:$D$57,$B41)=1),1,0)</f>
        <v/>
      </c>
      <c r="G41" s="47">
        <f>IF($F41=0,0,IF(AND(OR(INDEX(Employees!$D$5:$D$29,$A41)="",$E41&gt;=INDEX(Employees!$D$5:$D$29,$A41)+N(INDEX(Employees!$U$5:$U$29,$A41))),OR(INDEX(Employees!$E$5:$E$29,$A41)="",$D41&lt;=INDEX(Employees!$E$5:$E$29,$A41))),1,0))</f>
        <v/>
      </c>
      <c r="H41" s="47">
        <f>IF($G41=0,0,IF(INDEX(Employees!$D$5:$D$29,$A41)="",0,DATEDIF(INDEX(Employees!$D$5:$D$29,$A41),$E41,"y")))</f>
        <v/>
      </c>
      <c r="I41" s="48">
        <f>IF($G41=0,0,IF(INDEX('Hours Worked'!$D$5:$BD$29,$A41,$B41)="",N(INDEX(Employees!$H$5:$H$29,$A41)),INDEX('Hours Worked'!$D$5:$BD$29,$A41,$B41)))</f>
        <v/>
      </c>
      <c r="J41" s="48">
        <f>IF(OR($G41=0,INDEX(Employees!$O$5:$O$29,$A41)&lt;&gt;"Yes"),0,IF(COUNTIF(Settings!$D$4:$D$9,"&lt;="&amp;$H41)=0,0,INDEX(Settings!$E$4:$E$9,COUNTIF(Settings!$D$4:$D$9,"&lt;="&amp;$H41))))</f>
        <v/>
      </c>
      <c r="K41" s="48">
        <f>IF($G41=0,0,IF(INDEX(Employees!$I$5:$I$29,$A41)="Per pay period",(N(INDEX(Employees!$J$5:$J$29,$A41))+$J41)/Settings!$B$13,IF(INDEX(Employees!$I$5:$I$29,$A41)="Per hour worked",N(INDEX(Employees!$K$5:$K$29,$A41))*$I41,IF(INDEX(Employees!$I$5:$I$29,$A41)="Front-loaded",IF(OR($B41=1,N($G40)=0),N(INDEX(Employees!$J$5:$J$29,$A41))+$J41,0),0))))</f>
        <v/>
      </c>
      <c r="L41" s="48">
        <f>IF($F41=0,0,SUMIFS('Time Off Log'!$H$5:$H$504,'Time Off Log'!$A$5:$A$504,$C41,'Time Off Log'!$B$5:$B$504,"PTO",'Time Off Log'!$E$5:$E$504,"Approved",'Time Off Log'!$C$5:$C$504,"&gt;="&amp;INDEX(Periods!$E$5:$E$57,$B41),'Time Off Log'!$C$5:$C$504,"&lt;="&amp;INDEX(Periods!$F$5:$F$57,$B41)))</f>
        <v/>
      </c>
      <c r="M41" s="48">
        <f>IF($B41=1,N(INDEX(Employees!$N$5:$N$29,$A41)),P40)</f>
        <v/>
      </c>
      <c r="N41" s="48">
        <f>IF(INDEX(Employees!$L$5:$L$29,$A41)="",K41,MAX(0,MIN(K41,INDEX(Employees!$L$5:$L$29,$A41)-(M41-L41))))</f>
        <v/>
      </c>
      <c r="O41" s="48">
        <f>K41-N41</f>
        <v/>
      </c>
      <c r="P41" s="48">
        <f>M41-L41+N41</f>
        <v/>
      </c>
      <c r="Q41" s="48">
        <f>IF($G41=0,0,IF(INDEX(Employees!$P$5:$P$29,$A41)="Per pay period",(N(INDEX(Employees!$Q$5:$Q$29,$A41)))/Settings!$B$13,IF(INDEX(Employees!$P$5:$P$29,$A41)="Per hour worked",N(INDEX(Employees!$R$5:$R$29,$A41))*$I41,IF(INDEX(Employees!$P$5:$P$29,$A41)="Front-loaded",IF(OR($B41=1,N($G40)=0),N(INDEX(Employees!$Q$5:$Q$29,$A41)),0),0))))</f>
        <v/>
      </c>
      <c r="R41" s="48">
        <f>IF($F41=0,0,SUMIFS('Time Off Log'!$H$5:$H$504,'Time Off Log'!$A$5:$A$504,$C41,'Time Off Log'!$B$5:$B$504,"Sick",'Time Off Log'!$E$5:$E$504,"Approved",'Time Off Log'!$C$5:$C$504,"&gt;="&amp;INDEX(Periods!$E$5:$E$57,$B41),'Time Off Log'!$C$5:$C$504,"&lt;="&amp;INDEX(Periods!$F$5:$F$57,$B41)))</f>
        <v/>
      </c>
      <c r="S41" s="48">
        <f>IF($B41=1,N(INDEX(Employees!$T$5:$T$29,$A41)),V40)</f>
        <v/>
      </c>
      <c r="T41" s="48">
        <f>IF(INDEX(Employees!$S$5:$S$29,$A41)="",Q41,MAX(0,MIN(Q41,INDEX(Employees!$S$5:$S$29,$A41)-(S41-R41))))</f>
        <v/>
      </c>
      <c r="U41" s="48">
        <f>Q41-T41</f>
        <v/>
      </c>
      <c r="V41" s="48">
        <f>S41-R41+T41</f>
        <v/>
      </c>
    </row>
    <row r="42">
      <c r="A42" s="47" t="n">
        <v>1</v>
      </c>
      <c r="B42" s="47" t="n">
        <v>38</v>
      </c>
      <c r="C42" s="48">
        <f>INDEX(Employees!$B$5:$B$29,$A42)&amp;""</f>
        <v/>
      </c>
      <c r="D42" s="49">
        <f>INDEX(Periods!$B$5:$B$57,$B42)</f>
        <v/>
      </c>
      <c r="E42" s="49">
        <f>INDEX(Periods!$C$5:$C$57,$B42)</f>
        <v/>
      </c>
      <c r="F42" s="47">
        <f>IF(AND($C42&lt;&gt;"",INDEX(Periods!$D$5:$D$57,$B42)=1),1,0)</f>
        <v/>
      </c>
      <c r="G42" s="47">
        <f>IF($F42=0,0,IF(AND(OR(INDEX(Employees!$D$5:$D$29,$A42)="",$E42&gt;=INDEX(Employees!$D$5:$D$29,$A42)+N(INDEX(Employees!$U$5:$U$29,$A42))),OR(INDEX(Employees!$E$5:$E$29,$A42)="",$D42&lt;=INDEX(Employees!$E$5:$E$29,$A42))),1,0))</f>
        <v/>
      </c>
      <c r="H42" s="47">
        <f>IF($G42=0,0,IF(INDEX(Employees!$D$5:$D$29,$A42)="",0,DATEDIF(INDEX(Employees!$D$5:$D$29,$A42),$E42,"y")))</f>
        <v/>
      </c>
      <c r="I42" s="48">
        <f>IF($G42=0,0,IF(INDEX('Hours Worked'!$D$5:$BD$29,$A42,$B42)="",N(INDEX(Employees!$H$5:$H$29,$A42)),INDEX('Hours Worked'!$D$5:$BD$29,$A42,$B42)))</f>
        <v/>
      </c>
      <c r="J42" s="48">
        <f>IF(OR($G42=0,INDEX(Employees!$O$5:$O$29,$A42)&lt;&gt;"Yes"),0,IF(COUNTIF(Settings!$D$4:$D$9,"&lt;="&amp;$H42)=0,0,INDEX(Settings!$E$4:$E$9,COUNTIF(Settings!$D$4:$D$9,"&lt;="&amp;$H42))))</f>
        <v/>
      </c>
      <c r="K42" s="48">
        <f>IF($G42=0,0,IF(INDEX(Employees!$I$5:$I$29,$A42)="Per pay period",(N(INDEX(Employees!$J$5:$J$29,$A42))+$J42)/Settings!$B$13,IF(INDEX(Employees!$I$5:$I$29,$A42)="Per hour worked",N(INDEX(Employees!$K$5:$K$29,$A42))*$I42,IF(INDEX(Employees!$I$5:$I$29,$A42)="Front-loaded",IF(OR($B42=1,N($G41)=0),N(INDEX(Employees!$J$5:$J$29,$A42))+$J42,0),0))))</f>
        <v/>
      </c>
      <c r="L42" s="48">
        <f>IF($F42=0,0,SUMIFS('Time Off Log'!$H$5:$H$504,'Time Off Log'!$A$5:$A$504,$C42,'Time Off Log'!$B$5:$B$504,"PTO",'Time Off Log'!$E$5:$E$504,"Approved",'Time Off Log'!$C$5:$C$504,"&gt;="&amp;INDEX(Periods!$E$5:$E$57,$B42),'Time Off Log'!$C$5:$C$504,"&lt;="&amp;INDEX(Periods!$F$5:$F$57,$B42)))</f>
        <v/>
      </c>
      <c r="M42" s="48">
        <f>IF($B42=1,N(INDEX(Employees!$N$5:$N$29,$A42)),P41)</f>
        <v/>
      </c>
      <c r="N42" s="48">
        <f>IF(INDEX(Employees!$L$5:$L$29,$A42)="",K42,MAX(0,MIN(K42,INDEX(Employees!$L$5:$L$29,$A42)-(M42-L42))))</f>
        <v/>
      </c>
      <c r="O42" s="48">
        <f>K42-N42</f>
        <v/>
      </c>
      <c r="P42" s="48">
        <f>M42-L42+N42</f>
        <v/>
      </c>
      <c r="Q42" s="48">
        <f>IF($G42=0,0,IF(INDEX(Employees!$P$5:$P$29,$A42)="Per pay period",(N(INDEX(Employees!$Q$5:$Q$29,$A42)))/Settings!$B$13,IF(INDEX(Employees!$P$5:$P$29,$A42)="Per hour worked",N(INDEX(Employees!$R$5:$R$29,$A42))*$I42,IF(INDEX(Employees!$P$5:$P$29,$A42)="Front-loaded",IF(OR($B42=1,N($G41)=0),N(INDEX(Employees!$Q$5:$Q$29,$A42)),0),0))))</f>
        <v/>
      </c>
      <c r="R42" s="48">
        <f>IF($F42=0,0,SUMIFS('Time Off Log'!$H$5:$H$504,'Time Off Log'!$A$5:$A$504,$C42,'Time Off Log'!$B$5:$B$504,"Sick",'Time Off Log'!$E$5:$E$504,"Approved",'Time Off Log'!$C$5:$C$504,"&gt;="&amp;INDEX(Periods!$E$5:$E$57,$B42),'Time Off Log'!$C$5:$C$504,"&lt;="&amp;INDEX(Periods!$F$5:$F$57,$B42)))</f>
        <v/>
      </c>
      <c r="S42" s="48">
        <f>IF($B42=1,N(INDEX(Employees!$T$5:$T$29,$A42)),V41)</f>
        <v/>
      </c>
      <c r="T42" s="48">
        <f>IF(INDEX(Employees!$S$5:$S$29,$A42)="",Q42,MAX(0,MIN(Q42,INDEX(Employees!$S$5:$S$29,$A42)-(S42-R42))))</f>
        <v/>
      </c>
      <c r="U42" s="48">
        <f>Q42-T42</f>
        <v/>
      </c>
      <c r="V42" s="48">
        <f>S42-R42+T42</f>
        <v/>
      </c>
    </row>
    <row r="43">
      <c r="A43" s="47" t="n">
        <v>1</v>
      </c>
      <c r="B43" s="47" t="n">
        <v>39</v>
      </c>
      <c r="C43" s="48">
        <f>INDEX(Employees!$B$5:$B$29,$A43)&amp;""</f>
        <v/>
      </c>
      <c r="D43" s="49">
        <f>INDEX(Periods!$B$5:$B$57,$B43)</f>
        <v/>
      </c>
      <c r="E43" s="49">
        <f>INDEX(Periods!$C$5:$C$57,$B43)</f>
        <v/>
      </c>
      <c r="F43" s="47">
        <f>IF(AND($C43&lt;&gt;"",INDEX(Periods!$D$5:$D$57,$B43)=1),1,0)</f>
        <v/>
      </c>
      <c r="G43" s="47">
        <f>IF($F43=0,0,IF(AND(OR(INDEX(Employees!$D$5:$D$29,$A43)="",$E43&gt;=INDEX(Employees!$D$5:$D$29,$A43)+N(INDEX(Employees!$U$5:$U$29,$A43))),OR(INDEX(Employees!$E$5:$E$29,$A43)="",$D43&lt;=INDEX(Employees!$E$5:$E$29,$A43))),1,0))</f>
        <v/>
      </c>
      <c r="H43" s="47">
        <f>IF($G43=0,0,IF(INDEX(Employees!$D$5:$D$29,$A43)="",0,DATEDIF(INDEX(Employees!$D$5:$D$29,$A43),$E43,"y")))</f>
        <v/>
      </c>
      <c r="I43" s="48">
        <f>IF($G43=0,0,IF(INDEX('Hours Worked'!$D$5:$BD$29,$A43,$B43)="",N(INDEX(Employees!$H$5:$H$29,$A43)),INDEX('Hours Worked'!$D$5:$BD$29,$A43,$B43)))</f>
        <v/>
      </c>
      <c r="J43" s="48">
        <f>IF(OR($G43=0,INDEX(Employees!$O$5:$O$29,$A43)&lt;&gt;"Yes"),0,IF(COUNTIF(Settings!$D$4:$D$9,"&lt;="&amp;$H43)=0,0,INDEX(Settings!$E$4:$E$9,COUNTIF(Settings!$D$4:$D$9,"&lt;="&amp;$H43))))</f>
        <v/>
      </c>
      <c r="K43" s="48">
        <f>IF($G43=0,0,IF(INDEX(Employees!$I$5:$I$29,$A43)="Per pay period",(N(INDEX(Employees!$J$5:$J$29,$A43))+$J43)/Settings!$B$13,IF(INDEX(Employees!$I$5:$I$29,$A43)="Per hour worked",N(INDEX(Employees!$K$5:$K$29,$A43))*$I43,IF(INDEX(Employees!$I$5:$I$29,$A43)="Front-loaded",IF(OR($B43=1,N($G42)=0),N(INDEX(Employees!$J$5:$J$29,$A43))+$J43,0),0))))</f>
        <v/>
      </c>
      <c r="L43" s="48">
        <f>IF($F43=0,0,SUMIFS('Time Off Log'!$H$5:$H$504,'Time Off Log'!$A$5:$A$504,$C43,'Time Off Log'!$B$5:$B$504,"PTO",'Time Off Log'!$E$5:$E$504,"Approved",'Time Off Log'!$C$5:$C$504,"&gt;="&amp;INDEX(Periods!$E$5:$E$57,$B43),'Time Off Log'!$C$5:$C$504,"&lt;="&amp;INDEX(Periods!$F$5:$F$57,$B43)))</f>
        <v/>
      </c>
      <c r="M43" s="48">
        <f>IF($B43=1,N(INDEX(Employees!$N$5:$N$29,$A43)),P42)</f>
        <v/>
      </c>
      <c r="N43" s="48">
        <f>IF(INDEX(Employees!$L$5:$L$29,$A43)="",K43,MAX(0,MIN(K43,INDEX(Employees!$L$5:$L$29,$A43)-(M43-L43))))</f>
        <v/>
      </c>
      <c r="O43" s="48">
        <f>K43-N43</f>
        <v/>
      </c>
      <c r="P43" s="48">
        <f>M43-L43+N43</f>
        <v/>
      </c>
      <c r="Q43" s="48">
        <f>IF($G43=0,0,IF(INDEX(Employees!$P$5:$P$29,$A43)="Per pay period",(N(INDEX(Employees!$Q$5:$Q$29,$A43)))/Settings!$B$13,IF(INDEX(Employees!$P$5:$P$29,$A43)="Per hour worked",N(INDEX(Employees!$R$5:$R$29,$A43))*$I43,IF(INDEX(Employees!$P$5:$P$29,$A43)="Front-loaded",IF(OR($B43=1,N($G42)=0),N(INDEX(Employees!$Q$5:$Q$29,$A43)),0),0))))</f>
        <v/>
      </c>
      <c r="R43" s="48">
        <f>IF($F43=0,0,SUMIFS('Time Off Log'!$H$5:$H$504,'Time Off Log'!$A$5:$A$504,$C43,'Time Off Log'!$B$5:$B$504,"Sick",'Time Off Log'!$E$5:$E$504,"Approved",'Time Off Log'!$C$5:$C$504,"&gt;="&amp;INDEX(Periods!$E$5:$E$57,$B43),'Time Off Log'!$C$5:$C$504,"&lt;="&amp;INDEX(Periods!$F$5:$F$57,$B43)))</f>
        <v/>
      </c>
      <c r="S43" s="48">
        <f>IF($B43=1,N(INDEX(Employees!$T$5:$T$29,$A43)),V42)</f>
        <v/>
      </c>
      <c r="T43" s="48">
        <f>IF(INDEX(Employees!$S$5:$S$29,$A43)="",Q43,MAX(0,MIN(Q43,INDEX(Employees!$S$5:$S$29,$A43)-(S43-R43))))</f>
        <v/>
      </c>
      <c r="U43" s="48">
        <f>Q43-T43</f>
        <v/>
      </c>
      <c r="V43" s="48">
        <f>S43-R43+T43</f>
        <v/>
      </c>
    </row>
    <row r="44">
      <c r="A44" s="47" t="n">
        <v>1</v>
      </c>
      <c r="B44" s="47" t="n">
        <v>40</v>
      </c>
      <c r="C44" s="48">
        <f>INDEX(Employees!$B$5:$B$29,$A44)&amp;""</f>
        <v/>
      </c>
      <c r="D44" s="49">
        <f>INDEX(Periods!$B$5:$B$57,$B44)</f>
        <v/>
      </c>
      <c r="E44" s="49">
        <f>INDEX(Periods!$C$5:$C$57,$B44)</f>
        <v/>
      </c>
      <c r="F44" s="47">
        <f>IF(AND($C44&lt;&gt;"",INDEX(Periods!$D$5:$D$57,$B44)=1),1,0)</f>
        <v/>
      </c>
      <c r="G44" s="47">
        <f>IF($F44=0,0,IF(AND(OR(INDEX(Employees!$D$5:$D$29,$A44)="",$E44&gt;=INDEX(Employees!$D$5:$D$29,$A44)+N(INDEX(Employees!$U$5:$U$29,$A44))),OR(INDEX(Employees!$E$5:$E$29,$A44)="",$D44&lt;=INDEX(Employees!$E$5:$E$29,$A44))),1,0))</f>
        <v/>
      </c>
      <c r="H44" s="47">
        <f>IF($G44=0,0,IF(INDEX(Employees!$D$5:$D$29,$A44)="",0,DATEDIF(INDEX(Employees!$D$5:$D$29,$A44),$E44,"y")))</f>
        <v/>
      </c>
      <c r="I44" s="48">
        <f>IF($G44=0,0,IF(INDEX('Hours Worked'!$D$5:$BD$29,$A44,$B44)="",N(INDEX(Employees!$H$5:$H$29,$A44)),INDEX('Hours Worked'!$D$5:$BD$29,$A44,$B44)))</f>
        <v/>
      </c>
      <c r="J44" s="48">
        <f>IF(OR($G44=0,INDEX(Employees!$O$5:$O$29,$A44)&lt;&gt;"Yes"),0,IF(COUNTIF(Settings!$D$4:$D$9,"&lt;="&amp;$H44)=0,0,INDEX(Settings!$E$4:$E$9,COUNTIF(Settings!$D$4:$D$9,"&lt;="&amp;$H44))))</f>
        <v/>
      </c>
      <c r="K44" s="48">
        <f>IF($G44=0,0,IF(INDEX(Employees!$I$5:$I$29,$A44)="Per pay period",(N(INDEX(Employees!$J$5:$J$29,$A44))+$J44)/Settings!$B$13,IF(INDEX(Employees!$I$5:$I$29,$A44)="Per hour worked",N(INDEX(Employees!$K$5:$K$29,$A44))*$I44,IF(INDEX(Employees!$I$5:$I$29,$A44)="Front-loaded",IF(OR($B44=1,N($G43)=0),N(INDEX(Employees!$J$5:$J$29,$A44))+$J44,0),0))))</f>
        <v/>
      </c>
      <c r="L44" s="48">
        <f>IF($F44=0,0,SUMIFS('Time Off Log'!$H$5:$H$504,'Time Off Log'!$A$5:$A$504,$C44,'Time Off Log'!$B$5:$B$504,"PTO",'Time Off Log'!$E$5:$E$504,"Approved",'Time Off Log'!$C$5:$C$504,"&gt;="&amp;INDEX(Periods!$E$5:$E$57,$B44),'Time Off Log'!$C$5:$C$504,"&lt;="&amp;INDEX(Periods!$F$5:$F$57,$B44)))</f>
        <v/>
      </c>
      <c r="M44" s="48">
        <f>IF($B44=1,N(INDEX(Employees!$N$5:$N$29,$A44)),P43)</f>
        <v/>
      </c>
      <c r="N44" s="48">
        <f>IF(INDEX(Employees!$L$5:$L$29,$A44)="",K44,MAX(0,MIN(K44,INDEX(Employees!$L$5:$L$29,$A44)-(M44-L44))))</f>
        <v/>
      </c>
      <c r="O44" s="48">
        <f>K44-N44</f>
        <v/>
      </c>
      <c r="P44" s="48">
        <f>M44-L44+N44</f>
        <v/>
      </c>
      <c r="Q44" s="48">
        <f>IF($G44=0,0,IF(INDEX(Employees!$P$5:$P$29,$A44)="Per pay period",(N(INDEX(Employees!$Q$5:$Q$29,$A44)))/Settings!$B$13,IF(INDEX(Employees!$P$5:$P$29,$A44)="Per hour worked",N(INDEX(Employees!$R$5:$R$29,$A44))*$I44,IF(INDEX(Employees!$P$5:$P$29,$A44)="Front-loaded",IF(OR($B44=1,N($G43)=0),N(INDEX(Employees!$Q$5:$Q$29,$A44)),0),0))))</f>
        <v/>
      </c>
      <c r="R44" s="48">
        <f>IF($F44=0,0,SUMIFS('Time Off Log'!$H$5:$H$504,'Time Off Log'!$A$5:$A$504,$C44,'Time Off Log'!$B$5:$B$504,"Sick",'Time Off Log'!$E$5:$E$504,"Approved",'Time Off Log'!$C$5:$C$504,"&gt;="&amp;INDEX(Periods!$E$5:$E$57,$B44),'Time Off Log'!$C$5:$C$504,"&lt;="&amp;INDEX(Periods!$F$5:$F$57,$B44)))</f>
        <v/>
      </c>
      <c r="S44" s="48">
        <f>IF($B44=1,N(INDEX(Employees!$T$5:$T$29,$A44)),V43)</f>
        <v/>
      </c>
      <c r="T44" s="48">
        <f>IF(INDEX(Employees!$S$5:$S$29,$A44)="",Q44,MAX(0,MIN(Q44,INDEX(Employees!$S$5:$S$29,$A44)-(S44-R44))))</f>
        <v/>
      </c>
      <c r="U44" s="48">
        <f>Q44-T44</f>
        <v/>
      </c>
      <c r="V44" s="48">
        <f>S44-R44+T44</f>
        <v/>
      </c>
    </row>
    <row r="45">
      <c r="A45" s="47" t="n">
        <v>1</v>
      </c>
      <c r="B45" s="47" t="n">
        <v>41</v>
      </c>
      <c r="C45" s="48">
        <f>INDEX(Employees!$B$5:$B$29,$A45)&amp;""</f>
        <v/>
      </c>
      <c r="D45" s="49">
        <f>INDEX(Periods!$B$5:$B$57,$B45)</f>
        <v/>
      </c>
      <c r="E45" s="49">
        <f>INDEX(Periods!$C$5:$C$57,$B45)</f>
        <v/>
      </c>
      <c r="F45" s="47">
        <f>IF(AND($C45&lt;&gt;"",INDEX(Periods!$D$5:$D$57,$B45)=1),1,0)</f>
        <v/>
      </c>
      <c r="G45" s="47">
        <f>IF($F45=0,0,IF(AND(OR(INDEX(Employees!$D$5:$D$29,$A45)="",$E45&gt;=INDEX(Employees!$D$5:$D$29,$A45)+N(INDEX(Employees!$U$5:$U$29,$A45))),OR(INDEX(Employees!$E$5:$E$29,$A45)="",$D45&lt;=INDEX(Employees!$E$5:$E$29,$A45))),1,0))</f>
        <v/>
      </c>
      <c r="H45" s="47">
        <f>IF($G45=0,0,IF(INDEX(Employees!$D$5:$D$29,$A45)="",0,DATEDIF(INDEX(Employees!$D$5:$D$29,$A45),$E45,"y")))</f>
        <v/>
      </c>
      <c r="I45" s="48">
        <f>IF($G45=0,0,IF(INDEX('Hours Worked'!$D$5:$BD$29,$A45,$B45)="",N(INDEX(Employees!$H$5:$H$29,$A45)),INDEX('Hours Worked'!$D$5:$BD$29,$A45,$B45)))</f>
        <v/>
      </c>
      <c r="J45" s="48">
        <f>IF(OR($G45=0,INDEX(Employees!$O$5:$O$29,$A45)&lt;&gt;"Yes"),0,IF(COUNTIF(Settings!$D$4:$D$9,"&lt;="&amp;$H45)=0,0,INDEX(Settings!$E$4:$E$9,COUNTIF(Settings!$D$4:$D$9,"&lt;="&amp;$H45))))</f>
        <v/>
      </c>
      <c r="K45" s="48">
        <f>IF($G45=0,0,IF(INDEX(Employees!$I$5:$I$29,$A45)="Per pay period",(N(INDEX(Employees!$J$5:$J$29,$A45))+$J45)/Settings!$B$13,IF(INDEX(Employees!$I$5:$I$29,$A45)="Per hour worked",N(INDEX(Employees!$K$5:$K$29,$A45))*$I45,IF(INDEX(Employees!$I$5:$I$29,$A45)="Front-loaded",IF(OR($B45=1,N($G44)=0),N(INDEX(Employees!$J$5:$J$29,$A45))+$J45,0),0))))</f>
        <v/>
      </c>
      <c r="L45" s="48">
        <f>IF($F45=0,0,SUMIFS('Time Off Log'!$H$5:$H$504,'Time Off Log'!$A$5:$A$504,$C45,'Time Off Log'!$B$5:$B$504,"PTO",'Time Off Log'!$E$5:$E$504,"Approved",'Time Off Log'!$C$5:$C$504,"&gt;="&amp;INDEX(Periods!$E$5:$E$57,$B45),'Time Off Log'!$C$5:$C$504,"&lt;="&amp;INDEX(Periods!$F$5:$F$57,$B45)))</f>
        <v/>
      </c>
      <c r="M45" s="48">
        <f>IF($B45=1,N(INDEX(Employees!$N$5:$N$29,$A45)),P44)</f>
        <v/>
      </c>
      <c r="N45" s="48">
        <f>IF(INDEX(Employees!$L$5:$L$29,$A45)="",K45,MAX(0,MIN(K45,INDEX(Employees!$L$5:$L$29,$A45)-(M45-L45))))</f>
        <v/>
      </c>
      <c r="O45" s="48">
        <f>K45-N45</f>
        <v/>
      </c>
      <c r="P45" s="48">
        <f>M45-L45+N45</f>
        <v/>
      </c>
      <c r="Q45" s="48">
        <f>IF($G45=0,0,IF(INDEX(Employees!$P$5:$P$29,$A45)="Per pay period",(N(INDEX(Employees!$Q$5:$Q$29,$A45)))/Settings!$B$13,IF(INDEX(Employees!$P$5:$P$29,$A45)="Per hour worked",N(INDEX(Employees!$R$5:$R$29,$A45))*$I45,IF(INDEX(Employees!$P$5:$P$29,$A45)="Front-loaded",IF(OR($B45=1,N($G44)=0),N(INDEX(Employees!$Q$5:$Q$29,$A45)),0),0))))</f>
        <v/>
      </c>
      <c r="R45" s="48">
        <f>IF($F45=0,0,SUMIFS('Time Off Log'!$H$5:$H$504,'Time Off Log'!$A$5:$A$504,$C45,'Time Off Log'!$B$5:$B$504,"Sick",'Time Off Log'!$E$5:$E$504,"Approved",'Time Off Log'!$C$5:$C$504,"&gt;="&amp;INDEX(Periods!$E$5:$E$57,$B45),'Time Off Log'!$C$5:$C$504,"&lt;="&amp;INDEX(Periods!$F$5:$F$57,$B45)))</f>
        <v/>
      </c>
      <c r="S45" s="48">
        <f>IF($B45=1,N(INDEX(Employees!$T$5:$T$29,$A45)),V44)</f>
        <v/>
      </c>
      <c r="T45" s="48">
        <f>IF(INDEX(Employees!$S$5:$S$29,$A45)="",Q45,MAX(0,MIN(Q45,INDEX(Employees!$S$5:$S$29,$A45)-(S45-R45))))</f>
        <v/>
      </c>
      <c r="U45" s="48">
        <f>Q45-T45</f>
        <v/>
      </c>
      <c r="V45" s="48">
        <f>S45-R45+T45</f>
        <v/>
      </c>
    </row>
    <row r="46">
      <c r="A46" s="47" t="n">
        <v>1</v>
      </c>
      <c r="B46" s="47" t="n">
        <v>42</v>
      </c>
      <c r="C46" s="48">
        <f>INDEX(Employees!$B$5:$B$29,$A46)&amp;""</f>
        <v/>
      </c>
      <c r="D46" s="49">
        <f>INDEX(Periods!$B$5:$B$57,$B46)</f>
        <v/>
      </c>
      <c r="E46" s="49">
        <f>INDEX(Periods!$C$5:$C$57,$B46)</f>
        <v/>
      </c>
      <c r="F46" s="47">
        <f>IF(AND($C46&lt;&gt;"",INDEX(Periods!$D$5:$D$57,$B46)=1),1,0)</f>
        <v/>
      </c>
      <c r="G46" s="47">
        <f>IF($F46=0,0,IF(AND(OR(INDEX(Employees!$D$5:$D$29,$A46)="",$E46&gt;=INDEX(Employees!$D$5:$D$29,$A46)+N(INDEX(Employees!$U$5:$U$29,$A46))),OR(INDEX(Employees!$E$5:$E$29,$A46)="",$D46&lt;=INDEX(Employees!$E$5:$E$29,$A46))),1,0))</f>
        <v/>
      </c>
      <c r="H46" s="47">
        <f>IF($G46=0,0,IF(INDEX(Employees!$D$5:$D$29,$A46)="",0,DATEDIF(INDEX(Employees!$D$5:$D$29,$A46),$E46,"y")))</f>
        <v/>
      </c>
      <c r="I46" s="48">
        <f>IF($G46=0,0,IF(INDEX('Hours Worked'!$D$5:$BD$29,$A46,$B46)="",N(INDEX(Employees!$H$5:$H$29,$A46)),INDEX('Hours Worked'!$D$5:$BD$29,$A46,$B46)))</f>
        <v/>
      </c>
      <c r="J46" s="48">
        <f>IF(OR($G46=0,INDEX(Employees!$O$5:$O$29,$A46)&lt;&gt;"Yes"),0,IF(COUNTIF(Settings!$D$4:$D$9,"&lt;="&amp;$H46)=0,0,INDEX(Settings!$E$4:$E$9,COUNTIF(Settings!$D$4:$D$9,"&lt;="&amp;$H46))))</f>
        <v/>
      </c>
      <c r="K46" s="48">
        <f>IF($G46=0,0,IF(INDEX(Employees!$I$5:$I$29,$A46)="Per pay period",(N(INDEX(Employees!$J$5:$J$29,$A46))+$J46)/Settings!$B$13,IF(INDEX(Employees!$I$5:$I$29,$A46)="Per hour worked",N(INDEX(Employees!$K$5:$K$29,$A46))*$I46,IF(INDEX(Employees!$I$5:$I$29,$A46)="Front-loaded",IF(OR($B46=1,N($G45)=0),N(INDEX(Employees!$J$5:$J$29,$A46))+$J46,0),0))))</f>
        <v/>
      </c>
      <c r="L46" s="48">
        <f>IF($F46=0,0,SUMIFS('Time Off Log'!$H$5:$H$504,'Time Off Log'!$A$5:$A$504,$C46,'Time Off Log'!$B$5:$B$504,"PTO",'Time Off Log'!$E$5:$E$504,"Approved",'Time Off Log'!$C$5:$C$504,"&gt;="&amp;INDEX(Periods!$E$5:$E$57,$B46),'Time Off Log'!$C$5:$C$504,"&lt;="&amp;INDEX(Periods!$F$5:$F$57,$B46)))</f>
        <v/>
      </c>
      <c r="M46" s="48">
        <f>IF($B46=1,N(INDEX(Employees!$N$5:$N$29,$A46)),P45)</f>
        <v/>
      </c>
      <c r="N46" s="48">
        <f>IF(INDEX(Employees!$L$5:$L$29,$A46)="",K46,MAX(0,MIN(K46,INDEX(Employees!$L$5:$L$29,$A46)-(M46-L46))))</f>
        <v/>
      </c>
      <c r="O46" s="48">
        <f>K46-N46</f>
        <v/>
      </c>
      <c r="P46" s="48">
        <f>M46-L46+N46</f>
        <v/>
      </c>
      <c r="Q46" s="48">
        <f>IF($G46=0,0,IF(INDEX(Employees!$P$5:$P$29,$A46)="Per pay period",(N(INDEX(Employees!$Q$5:$Q$29,$A46)))/Settings!$B$13,IF(INDEX(Employees!$P$5:$P$29,$A46)="Per hour worked",N(INDEX(Employees!$R$5:$R$29,$A46))*$I46,IF(INDEX(Employees!$P$5:$P$29,$A46)="Front-loaded",IF(OR($B46=1,N($G45)=0),N(INDEX(Employees!$Q$5:$Q$29,$A46)),0),0))))</f>
        <v/>
      </c>
      <c r="R46" s="48">
        <f>IF($F46=0,0,SUMIFS('Time Off Log'!$H$5:$H$504,'Time Off Log'!$A$5:$A$504,$C46,'Time Off Log'!$B$5:$B$504,"Sick",'Time Off Log'!$E$5:$E$504,"Approved",'Time Off Log'!$C$5:$C$504,"&gt;="&amp;INDEX(Periods!$E$5:$E$57,$B46),'Time Off Log'!$C$5:$C$504,"&lt;="&amp;INDEX(Periods!$F$5:$F$57,$B46)))</f>
        <v/>
      </c>
      <c r="S46" s="48">
        <f>IF($B46=1,N(INDEX(Employees!$T$5:$T$29,$A46)),V45)</f>
        <v/>
      </c>
      <c r="T46" s="48">
        <f>IF(INDEX(Employees!$S$5:$S$29,$A46)="",Q46,MAX(0,MIN(Q46,INDEX(Employees!$S$5:$S$29,$A46)-(S46-R46))))</f>
        <v/>
      </c>
      <c r="U46" s="48">
        <f>Q46-T46</f>
        <v/>
      </c>
      <c r="V46" s="48">
        <f>S46-R46+T46</f>
        <v/>
      </c>
    </row>
    <row r="47">
      <c r="A47" s="47" t="n">
        <v>1</v>
      </c>
      <c r="B47" s="47" t="n">
        <v>43</v>
      </c>
      <c r="C47" s="48">
        <f>INDEX(Employees!$B$5:$B$29,$A47)&amp;""</f>
        <v/>
      </c>
      <c r="D47" s="49">
        <f>INDEX(Periods!$B$5:$B$57,$B47)</f>
        <v/>
      </c>
      <c r="E47" s="49">
        <f>INDEX(Periods!$C$5:$C$57,$B47)</f>
        <v/>
      </c>
      <c r="F47" s="47">
        <f>IF(AND($C47&lt;&gt;"",INDEX(Periods!$D$5:$D$57,$B47)=1),1,0)</f>
        <v/>
      </c>
      <c r="G47" s="47">
        <f>IF($F47=0,0,IF(AND(OR(INDEX(Employees!$D$5:$D$29,$A47)="",$E47&gt;=INDEX(Employees!$D$5:$D$29,$A47)+N(INDEX(Employees!$U$5:$U$29,$A47))),OR(INDEX(Employees!$E$5:$E$29,$A47)="",$D47&lt;=INDEX(Employees!$E$5:$E$29,$A47))),1,0))</f>
        <v/>
      </c>
      <c r="H47" s="47">
        <f>IF($G47=0,0,IF(INDEX(Employees!$D$5:$D$29,$A47)="",0,DATEDIF(INDEX(Employees!$D$5:$D$29,$A47),$E47,"y")))</f>
        <v/>
      </c>
      <c r="I47" s="48">
        <f>IF($G47=0,0,IF(INDEX('Hours Worked'!$D$5:$BD$29,$A47,$B47)="",N(INDEX(Employees!$H$5:$H$29,$A47)),INDEX('Hours Worked'!$D$5:$BD$29,$A47,$B47)))</f>
        <v/>
      </c>
      <c r="J47" s="48">
        <f>IF(OR($G47=0,INDEX(Employees!$O$5:$O$29,$A47)&lt;&gt;"Yes"),0,IF(COUNTIF(Settings!$D$4:$D$9,"&lt;="&amp;$H47)=0,0,INDEX(Settings!$E$4:$E$9,COUNTIF(Settings!$D$4:$D$9,"&lt;="&amp;$H47))))</f>
        <v/>
      </c>
      <c r="K47" s="48">
        <f>IF($G47=0,0,IF(INDEX(Employees!$I$5:$I$29,$A47)="Per pay period",(N(INDEX(Employees!$J$5:$J$29,$A47))+$J47)/Settings!$B$13,IF(INDEX(Employees!$I$5:$I$29,$A47)="Per hour worked",N(INDEX(Employees!$K$5:$K$29,$A47))*$I47,IF(INDEX(Employees!$I$5:$I$29,$A47)="Front-loaded",IF(OR($B47=1,N($G46)=0),N(INDEX(Employees!$J$5:$J$29,$A47))+$J47,0),0))))</f>
        <v/>
      </c>
      <c r="L47" s="48">
        <f>IF($F47=0,0,SUMIFS('Time Off Log'!$H$5:$H$504,'Time Off Log'!$A$5:$A$504,$C47,'Time Off Log'!$B$5:$B$504,"PTO",'Time Off Log'!$E$5:$E$504,"Approved",'Time Off Log'!$C$5:$C$504,"&gt;="&amp;INDEX(Periods!$E$5:$E$57,$B47),'Time Off Log'!$C$5:$C$504,"&lt;="&amp;INDEX(Periods!$F$5:$F$57,$B47)))</f>
        <v/>
      </c>
      <c r="M47" s="48">
        <f>IF($B47=1,N(INDEX(Employees!$N$5:$N$29,$A47)),P46)</f>
        <v/>
      </c>
      <c r="N47" s="48">
        <f>IF(INDEX(Employees!$L$5:$L$29,$A47)="",K47,MAX(0,MIN(K47,INDEX(Employees!$L$5:$L$29,$A47)-(M47-L47))))</f>
        <v/>
      </c>
      <c r="O47" s="48">
        <f>K47-N47</f>
        <v/>
      </c>
      <c r="P47" s="48">
        <f>M47-L47+N47</f>
        <v/>
      </c>
      <c r="Q47" s="48">
        <f>IF($G47=0,0,IF(INDEX(Employees!$P$5:$P$29,$A47)="Per pay period",(N(INDEX(Employees!$Q$5:$Q$29,$A47)))/Settings!$B$13,IF(INDEX(Employees!$P$5:$P$29,$A47)="Per hour worked",N(INDEX(Employees!$R$5:$R$29,$A47))*$I47,IF(INDEX(Employees!$P$5:$P$29,$A47)="Front-loaded",IF(OR($B47=1,N($G46)=0),N(INDEX(Employees!$Q$5:$Q$29,$A47)),0),0))))</f>
        <v/>
      </c>
      <c r="R47" s="48">
        <f>IF($F47=0,0,SUMIFS('Time Off Log'!$H$5:$H$504,'Time Off Log'!$A$5:$A$504,$C47,'Time Off Log'!$B$5:$B$504,"Sick",'Time Off Log'!$E$5:$E$504,"Approved",'Time Off Log'!$C$5:$C$504,"&gt;="&amp;INDEX(Periods!$E$5:$E$57,$B47),'Time Off Log'!$C$5:$C$504,"&lt;="&amp;INDEX(Periods!$F$5:$F$57,$B47)))</f>
        <v/>
      </c>
      <c r="S47" s="48">
        <f>IF($B47=1,N(INDEX(Employees!$T$5:$T$29,$A47)),V46)</f>
        <v/>
      </c>
      <c r="T47" s="48">
        <f>IF(INDEX(Employees!$S$5:$S$29,$A47)="",Q47,MAX(0,MIN(Q47,INDEX(Employees!$S$5:$S$29,$A47)-(S47-R47))))</f>
        <v/>
      </c>
      <c r="U47" s="48">
        <f>Q47-T47</f>
        <v/>
      </c>
      <c r="V47" s="48">
        <f>S47-R47+T47</f>
        <v/>
      </c>
    </row>
    <row r="48">
      <c r="A48" s="47" t="n">
        <v>1</v>
      </c>
      <c r="B48" s="47" t="n">
        <v>44</v>
      </c>
      <c r="C48" s="48">
        <f>INDEX(Employees!$B$5:$B$29,$A48)&amp;""</f>
        <v/>
      </c>
      <c r="D48" s="49">
        <f>INDEX(Periods!$B$5:$B$57,$B48)</f>
        <v/>
      </c>
      <c r="E48" s="49">
        <f>INDEX(Periods!$C$5:$C$57,$B48)</f>
        <v/>
      </c>
      <c r="F48" s="47">
        <f>IF(AND($C48&lt;&gt;"",INDEX(Periods!$D$5:$D$57,$B48)=1),1,0)</f>
        <v/>
      </c>
      <c r="G48" s="47">
        <f>IF($F48=0,0,IF(AND(OR(INDEX(Employees!$D$5:$D$29,$A48)="",$E48&gt;=INDEX(Employees!$D$5:$D$29,$A48)+N(INDEX(Employees!$U$5:$U$29,$A48))),OR(INDEX(Employees!$E$5:$E$29,$A48)="",$D48&lt;=INDEX(Employees!$E$5:$E$29,$A48))),1,0))</f>
        <v/>
      </c>
      <c r="H48" s="47">
        <f>IF($G48=0,0,IF(INDEX(Employees!$D$5:$D$29,$A48)="",0,DATEDIF(INDEX(Employees!$D$5:$D$29,$A48),$E48,"y")))</f>
        <v/>
      </c>
      <c r="I48" s="48">
        <f>IF($G48=0,0,IF(INDEX('Hours Worked'!$D$5:$BD$29,$A48,$B48)="",N(INDEX(Employees!$H$5:$H$29,$A48)),INDEX('Hours Worked'!$D$5:$BD$29,$A48,$B48)))</f>
        <v/>
      </c>
      <c r="J48" s="48">
        <f>IF(OR($G48=0,INDEX(Employees!$O$5:$O$29,$A48)&lt;&gt;"Yes"),0,IF(COUNTIF(Settings!$D$4:$D$9,"&lt;="&amp;$H48)=0,0,INDEX(Settings!$E$4:$E$9,COUNTIF(Settings!$D$4:$D$9,"&lt;="&amp;$H48))))</f>
        <v/>
      </c>
      <c r="K48" s="48">
        <f>IF($G48=0,0,IF(INDEX(Employees!$I$5:$I$29,$A48)="Per pay period",(N(INDEX(Employees!$J$5:$J$29,$A48))+$J48)/Settings!$B$13,IF(INDEX(Employees!$I$5:$I$29,$A48)="Per hour worked",N(INDEX(Employees!$K$5:$K$29,$A48))*$I48,IF(INDEX(Employees!$I$5:$I$29,$A48)="Front-loaded",IF(OR($B48=1,N($G47)=0),N(INDEX(Employees!$J$5:$J$29,$A48))+$J48,0),0))))</f>
        <v/>
      </c>
      <c r="L48" s="48">
        <f>IF($F48=0,0,SUMIFS('Time Off Log'!$H$5:$H$504,'Time Off Log'!$A$5:$A$504,$C48,'Time Off Log'!$B$5:$B$504,"PTO",'Time Off Log'!$E$5:$E$504,"Approved",'Time Off Log'!$C$5:$C$504,"&gt;="&amp;INDEX(Periods!$E$5:$E$57,$B48),'Time Off Log'!$C$5:$C$504,"&lt;="&amp;INDEX(Periods!$F$5:$F$57,$B48)))</f>
        <v/>
      </c>
      <c r="M48" s="48">
        <f>IF($B48=1,N(INDEX(Employees!$N$5:$N$29,$A48)),P47)</f>
        <v/>
      </c>
      <c r="N48" s="48">
        <f>IF(INDEX(Employees!$L$5:$L$29,$A48)="",K48,MAX(0,MIN(K48,INDEX(Employees!$L$5:$L$29,$A48)-(M48-L48))))</f>
        <v/>
      </c>
      <c r="O48" s="48">
        <f>K48-N48</f>
        <v/>
      </c>
      <c r="P48" s="48">
        <f>M48-L48+N48</f>
        <v/>
      </c>
      <c r="Q48" s="48">
        <f>IF($G48=0,0,IF(INDEX(Employees!$P$5:$P$29,$A48)="Per pay period",(N(INDEX(Employees!$Q$5:$Q$29,$A48)))/Settings!$B$13,IF(INDEX(Employees!$P$5:$P$29,$A48)="Per hour worked",N(INDEX(Employees!$R$5:$R$29,$A48))*$I48,IF(INDEX(Employees!$P$5:$P$29,$A48)="Front-loaded",IF(OR($B48=1,N($G47)=0),N(INDEX(Employees!$Q$5:$Q$29,$A48)),0),0))))</f>
        <v/>
      </c>
      <c r="R48" s="48">
        <f>IF($F48=0,0,SUMIFS('Time Off Log'!$H$5:$H$504,'Time Off Log'!$A$5:$A$504,$C48,'Time Off Log'!$B$5:$B$504,"Sick",'Time Off Log'!$E$5:$E$504,"Approved",'Time Off Log'!$C$5:$C$504,"&gt;="&amp;INDEX(Periods!$E$5:$E$57,$B48),'Time Off Log'!$C$5:$C$504,"&lt;="&amp;INDEX(Periods!$F$5:$F$57,$B48)))</f>
        <v/>
      </c>
      <c r="S48" s="48">
        <f>IF($B48=1,N(INDEX(Employees!$T$5:$T$29,$A48)),V47)</f>
        <v/>
      </c>
      <c r="T48" s="48">
        <f>IF(INDEX(Employees!$S$5:$S$29,$A48)="",Q48,MAX(0,MIN(Q48,INDEX(Employees!$S$5:$S$29,$A48)-(S48-R48))))</f>
        <v/>
      </c>
      <c r="U48" s="48">
        <f>Q48-T48</f>
        <v/>
      </c>
      <c r="V48" s="48">
        <f>S48-R48+T48</f>
        <v/>
      </c>
    </row>
    <row r="49">
      <c r="A49" s="47" t="n">
        <v>1</v>
      </c>
      <c r="B49" s="47" t="n">
        <v>45</v>
      </c>
      <c r="C49" s="48">
        <f>INDEX(Employees!$B$5:$B$29,$A49)&amp;""</f>
        <v/>
      </c>
      <c r="D49" s="49">
        <f>INDEX(Periods!$B$5:$B$57,$B49)</f>
        <v/>
      </c>
      <c r="E49" s="49">
        <f>INDEX(Periods!$C$5:$C$57,$B49)</f>
        <v/>
      </c>
      <c r="F49" s="47">
        <f>IF(AND($C49&lt;&gt;"",INDEX(Periods!$D$5:$D$57,$B49)=1),1,0)</f>
        <v/>
      </c>
      <c r="G49" s="47">
        <f>IF($F49=0,0,IF(AND(OR(INDEX(Employees!$D$5:$D$29,$A49)="",$E49&gt;=INDEX(Employees!$D$5:$D$29,$A49)+N(INDEX(Employees!$U$5:$U$29,$A49))),OR(INDEX(Employees!$E$5:$E$29,$A49)="",$D49&lt;=INDEX(Employees!$E$5:$E$29,$A49))),1,0))</f>
        <v/>
      </c>
      <c r="H49" s="47">
        <f>IF($G49=0,0,IF(INDEX(Employees!$D$5:$D$29,$A49)="",0,DATEDIF(INDEX(Employees!$D$5:$D$29,$A49),$E49,"y")))</f>
        <v/>
      </c>
      <c r="I49" s="48">
        <f>IF($G49=0,0,IF(INDEX('Hours Worked'!$D$5:$BD$29,$A49,$B49)="",N(INDEX(Employees!$H$5:$H$29,$A49)),INDEX('Hours Worked'!$D$5:$BD$29,$A49,$B49)))</f>
        <v/>
      </c>
      <c r="J49" s="48">
        <f>IF(OR($G49=0,INDEX(Employees!$O$5:$O$29,$A49)&lt;&gt;"Yes"),0,IF(COUNTIF(Settings!$D$4:$D$9,"&lt;="&amp;$H49)=0,0,INDEX(Settings!$E$4:$E$9,COUNTIF(Settings!$D$4:$D$9,"&lt;="&amp;$H49))))</f>
        <v/>
      </c>
      <c r="K49" s="48">
        <f>IF($G49=0,0,IF(INDEX(Employees!$I$5:$I$29,$A49)="Per pay period",(N(INDEX(Employees!$J$5:$J$29,$A49))+$J49)/Settings!$B$13,IF(INDEX(Employees!$I$5:$I$29,$A49)="Per hour worked",N(INDEX(Employees!$K$5:$K$29,$A49))*$I49,IF(INDEX(Employees!$I$5:$I$29,$A49)="Front-loaded",IF(OR($B49=1,N($G48)=0),N(INDEX(Employees!$J$5:$J$29,$A49))+$J49,0),0))))</f>
        <v/>
      </c>
      <c r="L49" s="48">
        <f>IF($F49=0,0,SUMIFS('Time Off Log'!$H$5:$H$504,'Time Off Log'!$A$5:$A$504,$C49,'Time Off Log'!$B$5:$B$504,"PTO",'Time Off Log'!$E$5:$E$504,"Approved",'Time Off Log'!$C$5:$C$504,"&gt;="&amp;INDEX(Periods!$E$5:$E$57,$B49),'Time Off Log'!$C$5:$C$504,"&lt;="&amp;INDEX(Periods!$F$5:$F$57,$B49)))</f>
        <v/>
      </c>
      <c r="M49" s="48">
        <f>IF($B49=1,N(INDEX(Employees!$N$5:$N$29,$A49)),P48)</f>
        <v/>
      </c>
      <c r="N49" s="48">
        <f>IF(INDEX(Employees!$L$5:$L$29,$A49)="",K49,MAX(0,MIN(K49,INDEX(Employees!$L$5:$L$29,$A49)-(M49-L49))))</f>
        <v/>
      </c>
      <c r="O49" s="48">
        <f>K49-N49</f>
        <v/>
      </c>
      <c r="P49" s="48">
        <f>M49-L49+N49</f>
        <v/>
      </c>
      <c r="Q49" s="48">
        <f>IF($G49=0,0,IF(INDEX(Employees!$P$5:$P$29,$A49)="Per pay period",(N(INDEX(Employees!$Q$5:$Q$29,$A49)))/Settings!$B$13,IF(INDEX(Employees!$P$5:$P$29,$A49)="Per hour worked",N(INDEX(Employees!$R$5:$R$29,$A49))*$I49,IF(INDEX(Employees!$P$5:$P$29,$A49)="Front-loaded",IF(OR($B49=1,N($G48)=0),N(INDEX(Employees!$Q$5:$Q$29,$A49)),0),0))))</f>
        <v/>
      </c>
      <c r="R49" s="48">
        <f>IF($F49=0,0,SUMIFS('Time Off Log'!$H$5:$H$504,'Time Off Log'!$A$5:$A$504,$C49,'Time Off Log'!$B$5:$B$504,"Sick",'Time Off Log'!$E$5:$E$504,"Approved",'Time Off Log'!$C$5:$C$504,"&gt;="&amp;INDEX(Periods!$E$5:$E$57,$B49),'Time Off Log'!$C$5:$C$504,"&lt;="&amp;INDEX(Periods!$F$5:$F$57,$B49)))</f>
        <v/>
      </c>
      <c r="S49" s="48">
        <f>IF($B49=1,N(INDEX(Employees!$T$5:$T$29,$A49)),V48)</f>
        <v/>
      </c>
      <c r="T49" s="48">
        <f>IF(INDEX(Employees!$S$5:$S$29,$A49)="",Q49,MAX(0,MIN(Q49,INDEX(Employees!$S$5:$S$29,$A49)-(S49-R49))))</f>
        <v/>
      </c>
      <c r="U49" s="48">
        <f>Q49-T49</f>
        <v/>
      </c>
      <c r="V49" s="48">
        <f>S49-R49+T49</f>
        <v/>
      </c>
    </row>
    <row r="50">
      <c r="A50" s="47" t="n">
        <v>1</v>
      </c>
      <c r="B50" s="47" t="n">
        <v>46</v>
      </c>
      <c r="C50" s="48">
        <f>INDEX(Employees!$B$5:$B$29,$A50)&amp;""</f>
        <v/>
      </c>
      <c r="D50" s="49">
        <f>INDEX(Periods!$B$5:$B$57,$B50)</f>
        <v/>
      </c>
      <c r="E50" s="49">
        <f>INDEX(Periods!$C$5:$C$57,$B50)</f>
        <v/>
      </c>
      <c r="F50" s="47">
        <f>IF(AND($C50&lt;&gt;"",INDEX(Periods!$D$5:$D$57,$B50)=1),1,0)</f>
        <v/>
      </c>
      <c r="G50" s="47">
        <f>IF($F50=0,0,IF(AND(OR(INDEX(Employees!$D$5:$D$29,$A50)="",$E50&gt;=INDEX(Employees!$D$5:$D$29,$A50)+N(INDEX(Employees!$U$5:$U$29,$A50))),OR(INDEX(Employees!$E$5:$E$29,$A50)="",$D50&lt;=INDEX(Employees!$E$5:$E$29,$A50))),1,0))</f>
        <v/>
      </c>
      <c r="H50" s="47">
        <f>IF($G50=0,0,IF(INDEX(Employees!$D$5:$D$29,$A50)="",0,DATEDIF(INDEX(Employees!$D$5:$D$29,$A50),$E50,"y")))</f>
        <v/>
      </c>
      <c r="I50" s="48">
        <f>IF($G50=0,0,IF(INDEX('Hours Worked'!$D$5:$BD$29,$A50,$B50)="",N(INDEX(Employees!$H$5:$H$29,$A50)),INDEX('Hours Worked'!$D$5:$BD$29,$A50,$B50)))</f>
        <v/>
      </c>
      <c r="J50" s="48">
        <f>IF(OR($G50=0,INDEX(Employees!$O$5:$O$29,$A50)&lt;&gt;"Yes"),0,IF(COUNTIF(Settings!$D$4:$D$9,"&lt;="&amp;$H50)=0,0,INDEX(Settings!$E$4:$E$9,COUNTIF(Settings!$D$4:$D$9,"&lt;="&amp;$H50))))</f>
        <v/>
      </c>
      <c r="K50" s="48">
        <f>IF($G50=0,0,IF(INDEX(Employees!$I$5:$I$29,$A50)="Per pay period",(N(INDEX(Employees!$J$5:$J$29,$A50))+$J50)/Settings!$B$13,IF(INDEX(Employees!$I$5:$I$29,$A50)="Per hour worked",N(INDEX(Employees!$K$5:$K$29,$A50))*$I50,IF(INDEX(Employees!$I$5:$I$29,$A50)="Front-loaded",IF(OR($B50=1,N($G49)=0),N(INDEX(Employees!$J$5:$J$29,$A50))+$J50,0),0))))</f>
        <v/>
      </c>
      <c r="L50" s="48">
        <f>IF($F50=0,0,SUMIFS('Time Off Log'!$H$5:$H$504,'Time Off Log'!$A$5:$A$504,$C50,'Time Off Log'!$B$5:$B$504,"PTO",'Time Off Log'!$E$5:$E$504,"Approved",'Time Off Log'!$C$5:$C$504,"&gt;="&amp;INDEX(Periods!$E$5:$E$57,$B50),'Time Off Log'!$C$5:$C$504,"&lt;="&amp;INDEX(Periods!$F$5:$F$57,$B50)))</f>
        <v/>
      </c>
      <c r="M50" s="48">
        <f>IF($B50=1,N(INDEX(Employees!$N$5:$N$29,$A50)),P49)</f>
        <v/>
      </c>
      <c r="N50" s="48">
        <f>IF(INDEX(Employees!$L$5:$L$29,$A50)="",K50,MAX(0,MIN(K50,INDEX(Employees!$L$5:$L$29,$A50)-(M50-L50))))</f>
        <v/>
      </c>
      <c r="O50" s="48">
        <f>K50-N50</f>
        <v/>
      </c>
      <c r="P50" s="48">
        <f>M50-L50+N50</f>
        <v/>
      </c>
      <c r="Q50" s="48">
        <f>IF($G50=0,0,IF(INDEX(Employees!$P$5:$P$29,$A50)="Per pay period",(N(INDEX(Employees!$Q$5:$Q$29,$A50)))/Settings!$B$13,IF(INDEX(Employees!$P$5:$P$29,$A50)="Per hour worked",N(INDEX(Employees!$R$5:$R$29,$A50))*$I50,IF(INDEX(Employees!$P$5:$P$29,$A50)="Front-loaded",IF(OR($B50=1,N($G49)=0),N(INDEX(Employees!$Q$5:$Q$29,$A50)),0),0))))</f>
        <v/>
      </c>
      <c r="R50" s="48">
        <f>IF($F50=0,0,SUMIFS('Time Off Log'!$H$5:$H$504,'Time Off Log'!$A$5:$A$504,$C50,'Time Off Log'!$B$5:$B$504,"Sick",'Time Off Log'!$E$5:$E$504,"Approved",'Time Off Log'!$C$5:$C$504,"&gt;="&amp;INDEX(Periods!$E$5:$E$57,$B50),'Time Off Log'!$C$5:$C$504,"&lt;="&amp;INDEX(Periods!$F$5:$F$57,$B50)))</f>
        <v/>
      </c>
      <c r="S50" s="48">
        <f>IF($B50=1,N(INDEX(Employees!$T$5:$T$29,$A50)),V49)</f>
        <v/>
      </c>
      <c r="T50" s="48">
        <f>IF(INDEX(Employees!$S$5:$S$29,$A50)="",Q50,MAX(0,MIN(Q50,INDEX(Employees!$S$5:$S$29,$A50)-(S50-R50))))</f>
        <v/>
      </c>
      <c r="U50" s="48">
        <f>Q50-T50</f>
        <v/>
      </c>
      <c r="V50" s="48">
        <f>S50-R50+T50</f>
        <v/>
      </c>
    </row>
    <row r="51">
      <c r="A51" s="47" t="n">
        <v>1</v>
      </c>
      <c r="B51" s="47" t="n">
        <v>47</v>
      </c>
      <c r="C51" s="48">
        <f>INDEX(Employees!$B$5:$B$29,$A51)&amp;""</f>
        <v/>
      </c>
      <c r="D51" s="49">
        <f>INDEX(Periods!$B$5:$B$57,$B51)</f>
        <v/>
      </c>
      <c r="E51" s="49">
        <f>INDEX(Periods!$C$5:$C$57,$B51)</f>
        <v/>
      </c>
      <c r="F51" s="47">
        <f>IF(AND($C51&lt;&gt;"",INDEX(Periods!$D$5:$D$57,$B51)=1),1,0)</f>
        <v/>
      </c>
      <c r="G51" s="47">
        <f>IF($F51=0,0,IF(AND(OR(INDEX(Employees!$D$5:$D$29,$A51)="",$E51&gt;=INDEX(Employees!$D$5:$D$29,$A51)+N(INDEX(Employees!$U$5:$U$29,$A51))),OR(INDEX(Employees!$E$5:$E$29,$A51)="",$D51&lt;=INDEX(Employees!$E$5:$E$29,$A51))),1,0))</f>
        <v/>
      </c>
      <c r="H51" s="47">
        <f>IF($G51=0,0,IF(INDEX(Employees!$D$5:$D$29,$A51)="",0,DATEDIF(INDEX(Employees!$D$5:$D$29,$A51),$E51,"y")))</f>
        <v/>
      </c>
      <c r="I51" s="48">
        <f>IF($G51=0,0,IF(INDEX('Hours Worked'!$D$5:$BD$29,$A51,$B51)="",N(INDEX(Employees!$H$5:$H$29,$A51)),INDEX('Hours Worked'!$D$5:$BD$29,$A51,$B51)))</f>
        <v/>
      </c>
      <c r="J51" s="48">
        <f>IF(OR($G51=0,INDEX(Employees!$O$5:$O$29,$A51)&lt;&gt;"Yes"),0,IF(COUNTIF(Settings!$D$4:$D$9,"&lt;="&amp;$H51)=0,0,INDEX(Settings!$E$4:$E$9,COUNTIF(Settings!$D$4:$D$9,"&lt;="&amp;$H51))))</f>
        <v/>
      </c>
      <c r="K51" s="48">
        <f>IF($G51=0,0,IF(INDEX(Employees!$I$5:$I$29,$A51)="Per pay period",(N(INDEX(Employees!$J$5:$J$29,$A51))+$J51)/Settings!$B$13,IF(INDEX(Employees!$I$5:$I$29,$A51)="Per hour worked",N(INDEX(Employees!$K$5:$K$29,$A51))*$I51,IF(INDEX(Employees!$I$5:$I$29,$A51)="Front-loaded",IF(OR($B51=1,N($G50)=0),N(INDEX(Employees!$J$5:$J$29,$A51))+$J51,0),0))))</f>
        <v/>
      </c>
      <c r="L51" s="48">
        <f>IF($F51=0,0,SUMIFS('Time Off Log'!$H$5:$H$504,'Time Off Log'!$A$5:$A$504,$C51,'Time Off Log'!$B$5:$B$504,"PTO",'Time Off Log'!$E$5:$E$504,"Approved",'Time Off Log'!$C$5:$C$504,"&gt;="&amp;INDEX(Periods!$E$5:$E$57,$B51),'Time Off Log'!$C$5:$C$504,"&lt;="&amp;INDEX(Periods!$F$5:$F$57,$B51)))</f>
        <v/>
      </c>
      <c r="M51" s="48">
        <f>IF($B51=1,N(INDEX(Employees!$N$5:$N$29,$A51)),P50)</f>
        <v/>
      </c>
      <c r="N51" s="48">
        <f>IF(INDEX(Employees!$L$5:$L$29,$A51)="",K51,MAX(0,MIN(K51,INDEX(Employees!$L$5:$L$29,$A51)-(M51-L51))))</f>
        <v/>
      </c>
      <c r="O51" s="48">
        <f>K51-N51</f>
        <v/>
      </c>
      <c r="P51" s="48">
        <f>M51-L51+N51</f>
        <v/>
      </c>
      <c r="Q51" s="48">
        <f>IF($G51=0,0,IF(INDEX(Employees!$P$5:$P$29,$A51)="Per pay period",(N(INDEX(Employees!$Q$5:$Q$29,$A51)))/Settings!$B$13,IF(INDEX(Employees!$P$5:$P$29,$A51)="Per hour worked",N(INDEX(Employees!$R$5:$R$29,$A51))*$I51,IF(INDEX(Employees!$P$5:$P$29,$A51)="Front-loaded",IF(OR($B51=1,N($G50)=0),N(INDEX(Employees!$Q$5:$Q$29,$A51)),0),0))))</f>
        <v/>
      </c>
      <c r="R51" s="48">
        <f>IF($F51=0,0,SUMIFS('Time Off Log'!$H$5:$H$504,'Time Off Log'!$A$5:$A$504,$C51,'Time Off Log'!$B$5:$B$504,"Sick",'Time Off Log'!$E$5:$E$504,"Approved",'Time Off Log'!$C$5:$C$504,"&gt;="&amp;INDEX(Periods!$E$5:$E$57,$B51),'Time Off Log'!$C$5:$C$504,"&lt;="&amp;INDEX(Periods!$F$5:$F$57,$B51)))</f>
        <v/>
      </c>
      <c r="S51" s="48">
        <f>IF($B51=1,N(INDEX(Employees!$T$5:$T$29,$A51)),V50)</f>
        <v/>
      </c>
      <c r="T51" s="48">
        <f>IF(INDEX(Employees!$S$5:$S$29,$A51)="",Q51,MAX(0,MIN(Q51,INDEX(Employees!$S$5:$S$29,$A51)-(S51-R51))))</f>
        <v/>
      </c>
      <c r="U51" s="48">
        <f>Q51-T51</f>
        <v/>
      </c>
      <c r="V51" s="48">
        <f>S51-R51+T51</f>
        <v/>
      </c>
    </row>
    <row r="52">
      <c r="A52" s="47" t="n">
        <v>1</v>
      </c>
      <c r="B52" s="47" t="n">
        <v>48</v>
      </c>
      <c r="C52" s="48">
        <f>INDEX(Employees!$B$5:$B$29,$A52)&amp;""</f>
        <v/>
      </c>
      <c r="D52" s="49">
        <f>INDEX(Periods!$B$5:$B$57,$B52)</f>
        <v/>
      </c>
      <c r="E52" s="49">
        <f>INDEX(Periods!$C$5:$C$57,$B52)</f>
        <v/>
      </c>
      <c r="F52" s="47">
        <f>IF(AND($C52&lt;&gt;"",INDEX(Periods!$D$5:$D$57,$B52)=1),1,0)</f>
        <v/>
      </c>
      <c r="G52" s="47">
        <f>IF($F52=0,0,IF(AND(OR(INDEX(Employees!$D$5:$D$29,$A52)="",$E52&gt;=INDEX(Employees!$D$5:$D$29,$A52)+N(INDEX(Employees!$U$5:$U$29,$A52))),OR(INDEX(Employees!$E$5:$E$29,$A52)="",$D52&lt;=INDEX(Employees!$E$5:$E$29,$A52))),1,0))</f>
        <v/>
      </c>
      <c r="H52" s="47">
        <f>IF($G52=0,0,IF(INDEX(Employees!$D$5:$D$29,$A52)="",0,DATEDIF(INDEX(Employees!$D$5:$D$29,$A52),$E52,"y")))</f>
        <v/>
      </c>
      <c r="I52" s="48">
        <f>IF($G52=0,0,IF(INDEX('Hours Worked'!$D$5:$BD$29,$A52,$B52)="",N(INDEX(Employees!$H$5:$H$29,$A52)),INDEX('Hours Worked'!$D$5:$BD$29,$A52,$B52)))</f>
        <v/>
      </c>
      <c r="J52" s="48">
        <f>IF(OR($G52=0,INDEX(Employees!$O$5:$O$29,$A52)&lt;&gt;"Yes"),0,IF(COUNTIF(Settings!$D$4:$D$9,"&lt;="&amp;$H52)=0,0,INDEX(Settings!$E$4:$E$9,COUNTIF(Settings!$D$4:$D$9,"&lt;="&amp;$H52))))</f>
        <v/>
      </c>
      <c r="K52" s="48">
        <f>IF($G52=0,0,IF(INDEX(Employees!$I$5:$I$29,$A52)="Per pay period",(N(INDEX(Employees!$J$5:$J$29,$A52))+$J52)/Settings!$B$13,IF(INDEX(Employees!$I$5:$I$29,$A52)="Per hour worked",N(INDEX(Employees!$K$5:$K$29,$A52))*$I52,IF(INDEX(Employees!$I$5:$I$29,$A52)="Front-loaded",IF(OR($B52=1,N($G51)=0),N(INDEX(Employees!$J$5:$J$29,$A52))+$J52,0),0))))</f>
        <v/>
      </c>
      <c r="L52" s="48">
        <f>IF($F52=0,0,SUMIFS('Time Off Log'!$H$5:$H$504,'Time Off Log'!$A$5:$A$504,$C52,'Time Off Log'!$B$5:$B$504,"PTO",'Time Off Log'!$E$5:$E$504,"Approved",'Time Off Log'!$C$5:$C$504,"&gt;="&amp;INDEX(Periods!$E$5:$E$57,$B52),'Time Off Log'!$C$5:$C$504,"&lt;="&amp;INDEX(Periods!$F$5:$F$57,$B52)))</f>
        <v/>
      </c>
      <c r="M52" s="48">
        <f>IF($B52=1,N(INDEX(Employees!$N$5:$N$29,$A52)),P51)</f>
        <v/>
      </c>
      <c r="N52" s="48">
        <f>IF(INDEX(Employees!$L$5:$L$29,$A52)="",K52,MAX(0,MIN(K52,INDEX(Employees!$L$5:$L$29,$A52)-(M52-L52))))</f>
        <v/>
      </c>
      <c r="O52" s="48">
        <f>K52-N52</f>
        <v/>
      </c>
      <c r="P52" s="48">
        <f>M52-L52+N52</f>
        <v/>
      </c>
      <c r="Q52" s="48">
        <f>IF($G52=0,0,IF(INDEX(Employees!$P$5:$P$29,$A52)="Per pay period",(N(INDEX(Employees!$Q$5:$Q$29,$A52)))/Settings!$B$13,IF(INDEX(Employees!$P$5:$P$29,$A52)="Per hour worked",N(INDEX(Employees!$R$5:$R$29,$A52))*$I52,IF(INDEX(Employees!$P$5:$P$29,$A52)="Front-loaded",IF(OR($B52=1,N($G51)=0),N(INDEX(Employees!$Q$5:$Q$29,$A52)),0),0))))</f>
        <v/>
      </c>
      <c r="R52" s="48">
        <f>IF($F52=0,0,SUMIFS('Time Off Log'!$H$5:$H$504,'Time Off Log'!$A$5:$A$504,$C52,'Time Off Log'!$B$5:$B$504,"Sick",'Time Off Log'!$E$5:$E$504,"Approved",'Time Off Log'!$C$5:$C$504,"&gt;="&amp;INDEX(Periods!$E$5:$E$57,$B52),'Time Off Log'!$C$5:$C$504,"&lt;="&amp;INDEX(Periods!$F$5:$F$57,$B52)))</f>
        <v/>
      </c>
      <c r="S52" s="48">
        <f>IF($B52=1,N(INDEX(Employees!$T$5:$T$29,$A52)),V51)</f>
        <v/>
      </c>
      <c r="T52" s="48">
        <f>IF(INDEX(Employees!$S$5:$S$29,$A52)="",Q52,MAX(0,MIN(Q52,INDEX(Employees!$S$5:$S$29,$A52)-(S52-R52))))</f>
        <v/>
      </c>
      <c r="U52" s="48">
        <f>Q52-T52</f>
        <v/>
      </c>
      <c r="V52" s="48">
        <f>S52-R52+T52</f>
        <v/>
      </c>
    </row>
    <row r="53">
      <c r="A53" s="47" t="n">
        <v>1</v>
      </c>
      <c r="B53" s="47" t="n">
        <v>49</v>
      </c>
      <c r="C53" s="48">
        <f>INDEX(Employees!$B$5:$B$29,$A53)&amp;""</f>
        <v/>
      </c>
      <c r="D53" s="49">
        <f>INDEX(Periods!$B$5:$B$57,$B53)</f>
        <v/>
      </c>
      <c r="E53" s="49">
        <f>INDEX(Periods!$C$5:$C$57,$B53)</f>
        <v/>
      </c>
      <c r="F53" s="47">
        <f>IF(AND($C53&lt;&gt;"",INDEX(Periods!$D$5:$D$57,$B53)=1),1,0)</f>
        <v/>
      </c>
      <c r="G53" s="47">
        <f>IF($F53=0,0,IF(AND(OR(INDEX(Employees!$D$5:$D$29,$A53)="",$E53&gt;=INDEX(Employees!$D$5:$D$29,$A53)+N(INDEX(Employees!$U$5:$U$29,$A53))),OR(INDEX(Employees!$E$5:$E$29,$A53)="",$D53&lt;=INDEX(Employees!$E$5:$E$29,$A53))),1,0))</f>
        <v/>
      </c>
      <c r="H53" s="47">
        <f>IF($G53=0,0,IF(INDEX(Employees!$D$5:$D$29,$A53)="",0,DATEDIF(INDEX(Employees!$D$5:$D$29,$A53),$E53,"y")))</f>
        <v/>
      </c>
      <c r="I53" s="48">
        <f>IF($G53=0,0,IF(INDEX('Hours Worked'!$D$5:$BD$29,$A53,$B53)="",N(INDEX(Employees!$H$5:$H$29,$A53)),INDEX('Hours Worked'!$D$5:$BD$29,$A53,$B53)))</f>
        <v/>
      </c>
      <c r="J53" s="48">
        <f>IF(OR($G53=0,INDEX(Employees!$O$5:$O$29,$A53)&lt;&gt;"Yes"),0,IF(COUNTIF(Settings!$D$4:$D$9,"&lt;="&amp;$H53)=0,0,INDEX(Settings!$E$4:$E$9,COUNTIF(Settings!$D$4:$D$9,"&lt;="&amp;$H53))))</f>
        <v/>
      </c>
      <c r="K53" s="48">
        <f>IF($G53=0,0,IF(INDEX(Employees!$I$5:$I$29,$A53)="Per pay period",(N(INDEX(Employees!$J$5:$J$29,$A53))+$J53)/Settings!$B$13,IF(INDEX(Employees!$I$5:$I$29,$A53)="Per hour worked",N(INDEX(Employees!$K$5:$K$29,$A53))*$I53,IF(INDEX(Employees!$I$5:$I$29,$A53)="Front-loaded",IF(OR($B53=1,N($G52)=0),N(INDEX(Employees!$J$5:$J$29,$A53))+$J53,0),0))))</f>
        <v/>
      </c>
      <c r="L53" s="48">
        <f>IF($F53=0,0,SUMIFS('Time Off Log'!$H$5:$H$504,'Time Off Log'!$A$5:$A$504,$C53,'Time Off Log'!$B$5:$B$504,"PTO",'Time Off Log'!$E$5:$E$504,"Approved",'Time Off Log'!$C$5:$C$504,"&gt;="&amp;INDEX(Periods!$E$5:$E$57,$B53),'Time Off Log'!$C$5:$C$504,"&lt;="&amp;INDEX(Periods!$F$5:$F$57,$B53)))</f>
        <v/>
      </c>
      <c r="M53" s="48">
        <f>IF($B53=1,N(INDEX(Employees!$N$5:$N$29,$A53)),P52)</f>
        <v/>
      </c>
      <c r="N53" s="48">
        <f>IF(INDEX(Employees!$L$5:$L$29,$A53)="",K53,MAX(0,MIN(K53,INDEX(Employees!$L$5:$L$29,$A53)-(M53-L53))))</f>
        <v/>
      </c>
      <c r="O53" s="48">
        <f>K53-N53</f>
        <v/>
      </c>
      <c r="P53" s="48">
        <f>M53-L53+N53</f>
        <v/>
      </c>
      <c r="Q53" s="48">
        <f>IF($G53=0,0,IF(INDEX(Employees!$P$5:$P$29,$A53)="Per pay period",(N(INDEX(Employees!$Q$5:$Q$29,$A53)))/Settings!$B$13,IF(INDEX(Employees!$P$5:$P$29,$A53)="Per hour worked",N(INDEX(Employees!$R$5:$R$29,$A53))*$I53,IF(INDEX(Employees!$P$5:$P$29,$A53)="Front-loaded",IF(OR($B53=1,N($G52)=0),N(INDEX(Employees!$Q$5:$Q$29,$A53)),0),0))))</f>
        <v/>
      </c>
      <c r="R53" s="48">
        <f>IF($F53=0,0,SUMIFS('Time Off Log'!$H$5:$H$504,'Time Off Log'!$A$5:$A$504,$C53,'Time Off Log'!$B$5:$B$504,"Sick",'Time Off Log'!$E$5:$E$504,"Approved",'Time Off Log'!$C$5:$C$504,"&gt;="&amp;INDEX(Periods!$E$5:$E$57,$B53),'Time Off Log'!$C$5:$C$504,"&lt;="&amp;INDEX(Periods!$F$5:$F$57,$B53)))</f>
        <v/>
      </c>
      <c r="S53" s="48">
        <f>IF($B53=1,N(INDEX(Employees!$T$5:$T$29,$A53)),V52)</f>
        <v/>
      </c>
      <c r="T53" s="48">
        <f>IF(INDEX(Employees!$S$5:$S$29,$A53)="",Q53,MAX(0,MIN(Q53,INDEX(Employees!$S$5:$S$29,$A53)-(S53-R53))))</f>
        <v/>
      </c>
      <c r="U53" s="48">
        <f>Q53-T53</f>
        <v/>
      </c>
      <c r="V53" s="48">
        <f>S53-R53+T53</f>
        <v/>
      </c>
    </row>
    <row r="54">
      <c r="A54" s="47" t="n">
        <v>1</v>
      </c>
      <c r="B54" s="47" t="n">
        <v>50</v>
      </c>
      <c r="C54" s="48">
        <f>INDEX(Employees!$B$5:$B$29,$A54)&amp;""</f>
        <v/>
      </c>
      <c r="D54" s="49">
        <f>INDEX(Periods!$B$5:$B$57,$B54)</f>
        <v/>
      </c>
      <c r="E54" s="49">
        <f>INDEX(Periods!$C$5:$C$57,$B54)</f>
        <v/>
      </c>
      <c r="F54" s="47">
        <f>IF(AND($C54&lt;&gt;"",INDEX(Periods!$D$5:$D$57,$B54)=1),1,0)</f>
        <v/>
      </c>
      <c r="G54" s="47">
        <f>IF($F54=0,0,IF(AND(OR(INDEX(Employees!$D$5:$D$29,$A54)="",$E54&gt;=INDEX(Employees!$D$5:$D$29,$A54)+N(INDEX(Employees!$U$5:$U$29,$A54))),OR(INDEX(Employees!$E$5:$E$29,$A54)="",$D54&lt;=INDEX(Employees!$E$5:$E$29,$A54))),1,0))</f>
        <v/>
      </c>
      <c r="H54" s="47">
        <f>IF($G54=0,0,IF(INDEX(Employees!$D$5:$D$29,$A54)="",0,DATEDIF(INDEX(Employees!$D$5:$D$29,$A54),$E54,"y")))</f>
        <v/>
      </c>
      <c r="I54" s="48">
        <f>IF($G54=0,0,IF(INDEX('Hours Worked'!$D$5:$BD$29,$A54,$B54)="",N(INDEX(Employees!$H$5:$H$29,$A54)),INDEX('Hours Worked'!$D$5:$BD$29,$A54,$B54)))</f>
        <v/>
      </c>
      <c r="J54" s="48">
        <f>IF(OR($G54=0,INDEX(Employees!$O$5:$O$29,$A54)&lt;&gt;"Yes"),0,IF(COUNTIF(Settings!$D$4:$D$9,"&lt;="&amp;$H54)=0,0,INDEX(Settings!$E$4:$E$9,COUNTIF(Settings!$D$4:$D$9,"&lt;="&amp;$H54))))</f>
        <v/>
      </c>
      <c r="K54" s="48">
        <f>IF($G54=0,0,IF(INDEX(Employees!$I$5:$I$29,$A54)="Per pay period",(N(INDEX(Employees!$J$5:$J$29,$A54))+$J54)/Settings!$B$13,IF(INDEX(Employees!$I$5:$I$29,$A54)="Per hour worked",N(INDEX(Employees!$K$5:$K$29,$A54))*$I54,IF(INDEX(Employees!$I$5:$I$29,$A54)="Front-loaded",IF(OR($B54=1,N($G53)=0),N(INDEX(Employees!$J$5:$J$29,$A54))+$J54,0),0))))</f>
        <v/>
      </c>
      <c r="L54" s="48">
        <f>IF($F54=0,0,SUMIFS('Time Off Log'!$H$5:$H$504,'Time Off Log'!$A$5:$A$504,$C54,'Time Off Log'!$B$5:$B$504,"PTO",'Time Off Log'!$E$5:$E$504,"Approved",'Time Off Log'!$C$5:$C$504,"&gt;="&amp;INDEX(Periods!$E$5:$E$57,$B54),'Time Off Log'!$C$5:$C$504,"&lt;="&amp;INDEX(Periods!$F$5:$F$57,$B54)))</f>
        <v/>
      </c>
      <c r="M54" s="48">
        <f>IF($B54=1,N(INDEX(Employees!$N$5:$N$29,$A54)),P53)</f>
        <v/>
      </c>
      <c r="N54" s="48">
        <f>IF(INDEX(Employees!$L$5:$L$29,$A54)="",K54,MAX(0,MIN(K54,INDEX(Employees!$L$5:$L$29,$A54)-(M54-L54))))</f>
        <v/>
      </c>
      <c r="O54" s="48">
        <f>K54-N54</f>
        <v/>
      </c>
      <c r="P54" s="48">
        <f>M54-L54+N54</f>
        <v/>
      </c>
      <c r="Q54" s="48">
        <f>IF($G54=0,0,IF(INDEX(Employees!$P$5:$P$29,$A54)="Per pay period",(N(INDEX(Employees!$Q$5:$Q$29,$A54)))/Settings!$B$13,IF(INDEX(Employees!$P$5:$P$29,$A54)="Per hour worked",N(INDEX(Employees!$R$5:$R$29,$A54))*$I54,IF(INDEX(Employees!$P$5:$P$29,$A54)="Front-loaded",IF(OR($B54=1,N($G53)=0),N(INDEX(Employees!$Q$5:$Q$29,$A54)),0),0))))</f>
        <v/>
      </c>
      <c r="R54" s="48">
        <f>IF($F54=0,0,SUMIFS('Time Off Log'!$H$5:$H$504,'Time Off Log'!$A$5:$A$504,$C54,'Time Off Log'!$B$5:$B$504,"Sick",'Time Off Log'!$E$5:$E$504,"Approved",'Time Off Log'!$C$5:$C$504,"&gt;="&amp;INDEX(Periods!$E$5:$E$57,$B54),'Time Off Log'!$C$5:$C$504,"&lt;="&amp;INDEX(Periods!$F$5:$F$57,$B54)))</f>
        <v/>
      </c>
      <c r="S54" s="48">
        <f>IF($B54=1,N(INDEX(Employees!$T$5:$T$29,$A54)),V53)</f>
        <v/>
      </c>
      <c r="T54" s="48">
        <f>IF(INDEX(Employees!$S$5:$S$29,$A54)="",Q54,MAX(0,MIN(Q54,INDEX(Employees!$S$5:$S$29,$A54)-(S54-R54))))</f>
        <v/>
      </c>
      <c r="U54" s="48">
        <f>Q54-T54</f>
        <v/>
      </c>
      <c r="V54" s="48">
        <f>S54-R54+T54</f>
        <v/>
      </c>
    </row>
    <row r="55">
      <c r="A55" s="47" t="n">
        <v>1</v>
      </c>
      <c r="B55" s="47" t="n">
        <v>51</v>
      </c>
      <c r="C55" s="48">
        <f>INDEX(Employees!$B$5:$B$29,$A55)&amp;""</f>
        <v/>
      </c>
      <c r="D55" s="49">
        <f>INDEX(Periods!$B$5:$B$57,$B55)</f>
        <v/>
      </c>
      <c r="E55" s="49">
        <f>INDEX(Periods!$C$5:$C$57,$B55)</f>
        <v/>
      </c>
      <c r="F55" s="47">
        <f>IF(AND($C55&lt;&gt;"",INDEX(Periods!$D$5:$D$57,$B55)=1),1,0)</f>
        <v/>
      </c>
      <c r="G55" s="47">
        <f>IF($F55=0,0,IF(AND(OR(INDEX(Employees!$D$5:$D$29,$A55)="",$E55&gt;=INDEX(Employees!$D$5:$D$29,$A55)+N(INDEX(Employees!$U$5:$U$29,$A55))),OR(INDEX(Employees!$E$5:$E$29,$A55)="",$D55&lt;=INDEX(Employees!$E$5:$E$29,$A55))),1,0))</f>
        <v/>
      </c>
      <c r="H55" s="47">
        <f>IF($G55=0,0,IF(INDEX(Employees!$D$5:$D$29,$A55)="",0,DATEDIF(INDEX(Employees!$D$5:$D$29,$A55),$E55,"y")))</f>
        <v/>
      </c>
      <c r="I55" s="48">
        <f>IF($G55=0,0,IF(INDEX('Hours Worked'!$D$5:$BD$29,$A55,$B55)="",N(INDEX(Employees!$H$5:$H$29,$A55)),INDEX('Hours Worked'!$D$5:$BD$29,$A55,$B55)))</f>
        <v/>
      </c>
      <c r="J55" s="48">
        <f>IF(OR($G55=0,INDEX(Employees!$O$5:$O$29,$A55)&lt;&gt;"Yes"),0,IF(COUNTIF(Settings!$D$4:$D$9,"&lt;="&amp;$H55)=0,0,INDEX(Settings!$E$4:$E$9,COUNTIF(Settings!$D$4:$D$9,"&lt;="&amp;$H55))))</f>
        <v/>
      </c>
      <c r="K55" s="48">
        <f>IF($G55=0,0,IF(INDEX(Employees!$I$5:$I$29,$A55)="Per pay period",(N(INDEX(Employees!$J$5:$J$29,$A55))+$J55)/Settings!$B$13,IF(INDEX(Employees!$I$5:$I$29,$A55)="Per hour worked",N(INDEX(Employees!$K$5:$K$29,$A55))*$I55,IF(INDEX(Employees!$I$5:$I$29,$A55)="Front-loaded",IF(OR($B55=1,N($G54)=0),N(INDEX(Employees!$J$5:$J$29,$A55))+$J55,0),0))))</f>
        <v/>
      </c>
      <c r="L55" s="48">
        <f>IF($F55=0,0,SUMIFS('Time Off Log'!$H$5:$H$504,'Time Off Log'!$A$5:$A$504,$C55,'Time Off Log'!$B$5:$B$504,"PTO",'Time Off Log'!$E$5:$E$504,"Approved",'Time Off Log'!$C$5:$C$504,"&gt;="&amp;INDEX(Periods!$E$5:$E$57,$B55),'Time Off Log'!$C$5:$C$504,"&lt;="&amp;INDEX(Periods!$F$5:$F$57,$B55)))</f>
        <v/>
      </c>
      <c r="M55" s="48">
        <f>IF($B55=1,N(INDEX(Employees!$N$5:$N$29,$A55)),P54)</f>
        <v/>
      </c>
      <c r="N55" s="48">
        <f>IF(INDEX(Employees!$L$5:$L$29,$A55)="",K55,MAX(0,MIN(K55,INDEX(Employees!$L$5:$L$29,$A55)-(M55-L55))))</f>
        <v/>
      </c>
      <c r="O55" s="48">
        <f>K55-N55</f>
        <v/>
      </c>
      <c r="P55" s="48">
        <f>M55-L55+N55</f>
        <v/>
      </c>
      <c r="Q55" s="48">
        <f>IF($G55=0,0,IF(INDEX(Employees!$P$5:$P$29,$A55)="Per pay period",(N(INDEX(Employees!$Q$5:$Q$29,$A55)))/Settings!$B$13,IF(INDEX(Employees!$P$5:$P$29,$A55)="Per hour worked",N(INDEX(Employees!$R$5:$R$29,$A55))*$I55,IF(INDEX(Employees!$P$5:$P$29,$A55)="Front-loaded",IF(OR($B55=1,N($G54)=0),N(INDEX(Employees!$Q$5:$Q$29,$A55)),0),0))))</f>
        <v/>
      </c>
      <c r="R55" s="48">
        <f>IF($F55=0,0,SUMIFS('Time Off Log'!$H$5:$H$504,'Time Off Log'!$A$5:$A$504,$C55,'Time Off Log'!$B$5:$B$504,"Sick",'Time Off Log'!$E$5:$E$504,"Approved",'Time Off Log'!$C$5:$C$504,"&gt;="&amp;INDEX(Periods!$E$5:$E$57,$B55),'Time Off Log'!$C$5:$C$504,"&lt;="&amp;INDEX(Periods!$F$5:$F$57,$B55)))</f>
        <v/>
      </c>
      <c r="S55" s="48">
        <f>IF($B55=1,N(INDEX(Employees!$T$5:$T$29,$A55)),V54)</f>
        <v/>
      </c>
      <c r="T55" s="48">
        <f>IF(INDEX(Employees!$S$5:$S$29,$A55)="",Q55,MAX(0,MIN(Q55,INDEX(Employees!$S$5:$S$29,$A55)-(S55-R55))))</f>
        <v/>
      </c>
      <c r="U55" s="48">
        <f>Q55-T55</f>
        <v/>
      </c>
      <c r="V55" s="48">
        <f>S55-R55+T55</f>
        <v/>
      </c>
    </row>
    <row r="56">
      <c r="A56" s="47" t="n">
        <v>1</v>
      </c>
      <c r="B56" s="47" t="n">
        <v>52</v>
      </c>
      <c r="C56" s="48">
        <f>INDEX(Employees!$B$5:$B$29,$A56)&amp;""</f>
        <v/>
      </c>
      <c r="D56" s="49">
        <f>INDEX(Periods!$B$5:$B$57,$B56)</f>
        <v/>
      </c>
      <c r="E56" s="49">
        <f>INDEX(Periods!$C$5:$C$57,$B56)</f>
        <v/>
      </c>
      <c r="F56" s="47">
        <f>IF(AND($C56&lt;&gt;"",INDEX(Periods!$D$5:$D$57,$B56)=1),1,0)</f>
        <v/>
      </c>
      <c r="G56" s="47">
        <f>IF($F56=0,0,IF(AND(OR(INDEX(Employees!$D$5:$D$29,$A56)="",$E56&gt;=INDEX(Employees!$D$5:$D$29,$A56)+N(INDEX(Employees!$U$5:$U$29,$A56))),OR(INDEX(Employees!$E$5:$E$29,$A56)="",$D56&lt;=INDEX(Employees!$E$5:$E$29,$A56))),1,0))</f>
        <v/>
      </c>
      <c r="H56" s="47">
        <f>IF($G56=0,0,IF(INDEX(Employees!$D$5:$D$29,$A56)="",0,DATEDIF(INDEX(Employees!$D$5:$D$29,$A56),$E56,"y")))</f>
        <v/>
      </c>
      <c r="I56" s="48">
        <f>IF($G56=0,0,IF(INDEX('Hours Worked'!$D$5:$BD$29,$A56,$B56)="",N(INDEX(Employees!$H$5:$H$29,$A56)),INDEX('Hours Worked'!$D$5:$BD$29,$A56,$B56)))</f>
        <v/>
      </c>
      <c r="J56" s="48">
        <f>IF(OR($G56=0,INDEX(Employees!$O$5:$O$29,$A56)&lt;&gt;"Yes"),0,IF(COUNTIF(Settings!$D$4:$D$9,"&lt;="&amp;$H56)=0,0,INDEX(Settings!$E$4:$E$9,COUNTIF(Settings!$D$4:$D$9,"&lt;="&amp;$H56))))</f>
        <v/>
      </c>
      <c r="K56" s="48">
        <f>IF($G56=0,0,IF(INDEX(Employees!$I$5:$I$29,$A56)="Per pay period",(N(INDEX(Employees!$J$5:$J$29,$A56))+$J56)/Settings!$B$13,IF(INDEX(Employees!$I$5:$I$29,$A56)="Per hour worked",N(INDEX(Employees!$K$5:$K$29,$A56))*$I56,IF(INDEX(Employees!$I$5:$I$29,$A56)="Front-loaded",IF(OR($B56=1,N($G55)=0),N(INDEX(Employees!$J$5:$J$29,$A56))+$J56,0),0))))</f>
        <v/>
      </c>
      <c r="L56" s="48">
        <f>IF($F56=0,0,SUMIFS('Time Off Log'!$H$5:$H$504,'Time Off Log'!$A$5:$A$504,$C56,'Time Off Log'!$B$5:$B$504,"PTO",'Time Off Log'!$E$5:$E$504,"Approved",'Time Off Log'!$C$5:$C$504,"&gt;="&amp;INDEX(Periods!$E$5:$E$57,$B56),'Time Off Log'!$C$5:$C$504,"&lt;="&amp;INDEX(Periods!$F$5:$F$57,$B56)))</f>
        <v/>
      </c>
      <c r="M56" s="48">
        <f>IF($B56=1,N(INDEX(Employees!$N$5:$N$29,$A56)),P55)</f>
        <v/>
      </c>
      <c r="N56" s="48">
        <f>IF(INDEX(Employees!$L$5:$L$29,$A56)="",K56,MAX(0,MIN(K56,INDEX(Employees!$L$5:$L$29,$A56)-(M56-L56))))</f>
        <v/>
      </c>
      <c r="O56" s="48">
        <f>K56-N56</f>
        <v/>
      </c>
      <c r="P56" s="48">
        <f>M56-L56+N56</f>
        <v/>
      </c>
      <c r="Q56" s="48">
        <f>IF($G56=0,0,IF(INDEX(Employees!$P$5:$P$29,$A56)="Per pay period",(N(INDEX(Employees!$Q$5:$Q$29,$A56)))/Settings!$B$13,IF(INDEX(Employees!$P$5:$P$29,$A56)="Per hour worked",N(INDEX(Employees!$R$5:$R$29,$A56))*$I56,IF(INDEX(Employees!$P$5:$P$29,$A56)="Front-loaded",IF(OR($B56=1,N($G55)=0),N(INDEX(Employees!$Q$5:$Q$29,$A56)),0),0))))</f>
        <v/>
      </c>
      <c r="R56" s="48">
        <f>IF($F56=0,0,SUMIFS('Time Off Log'!$H$5:$H$504,'Time Off Log'!$A$5:$A$504,$C56,'Time Off Log'!$B$5:$B$504,"Sick",'Time Off Log'!$E$5:$E$504,"Approved",'Time Off Log'!$C$5:$C$504,"&gt;="&amp;INDEX(Periods!$E$5:$E$57,$B56),'Time Off Log'!$C$5:$C$504,"&lt;="&amp;INDEX(Periods!$F$5:$F$57,$B56)))</f>
        <v/>
      </c>
      <c r="S56" s="48">
        <f>IF($B56=1,N(INDEX(Employees!$T$5:$T$29,$A56)),V55)</f>
        <v/>
      </c>
      <c r="T56" s="48">
        <f>IF(INDEX(Employees!$S$5:$S$29,$A56)="",Q56,MAX(0,MIN(Q56,INDEX(Employees!$S$5:$S$29,$A56)-(S56-R56))))</f>
        <v/>
      </c>
      <c r="U56" s="48">
        <f>Q56-T56</f>
        <v/>
      </c>
      <c r="V56" s="48">
        <f>S56-R56+T56</f>
        <v/>
      </c>
    </row>
    <row r="57">
      <c r="A57" s="47" t="n">
        <v>1</v>
      </c>
      <c r="B57" s="47" t="n">
        <v>53</v>
      </c>
      <c r="C57" s="48">
        <f>INDEX(Employees!$B$5:$B$29,$A57)&amp;""</f>
        <v/>
      </c>
      <c r="D57" s="49">
        <f>INDEX(Periods!$B$5:$B$57,$B57)</f>
        <v/>
      </c>
      <c r="E57" s="49">
        <f>INDEX(Periods!$C$5:$C$57,$B57)</f>
        <v/>
      </c>
      <c r="F57" s="47">
        <f>IF(AND($C57&lt;&gt;"",INDEX(Periods!$D$5:$D$57,$B57)=1),1,0)</f>
        <v/>
      </c>
      <c r="G57" s="47">
        <f>IF($F57=0,0,IF(AND(OR(INDEX(Employees!$D$5:$D$29,$A57)="",$E57&gt;=INDEX(Employees!$D$5:$D$29,$A57)+N(INDEX(Employees!$U$5:$U$29,$A57))),OR(INDEX(Employees!$E$5:$E$29,$A57)="",$D57&lt;=INDEX(Employees!$E$5:$E$29,$A57))),1,0))</f>
        <v/>
      </c>
      <c r="H57" s="47">
        <f>IF($G57=0,0,IF(INDEX(Employees!$D$5:$D$29,$A57)="",0,DATEDIF(INDEX(Employees!$D$5:$D$29,$A57),$E57,"y")))</f>
        <v/>
      </c>
      <c r="I57" s="48">
        <f>IF($G57=0,0,IF(INDEX('Hours Worked'!$D$5:$BD$29,$A57,$B57)="",N(INDEX(Employees!$H$5:$H$29,$A57)),INDEX('Hours Worked'!$D$5:$BD$29,$A57,$B57)))</f>
        <v/>
      </c>
      <c r="J57" s="48">
        <f>IF(OR($G57=0,INDEX(Employees!$O$5:$O$29,$A57)&lt;&gt;"Yes"),0,IF(COUNTIF(Settings!$D$4:$D$9,"&lt;="&amp;$H57)=0,0,INDEX(Settings!$E$4:$E$9,COUNTIF(Settings!$D$4:$D$9,"&lt;="&amp;$H57))))</f>
        <v/>
      </c>
      <c r="K57" s="48">
        <f>IF($G57=0,0,IF(INDEX(Employees!$I$5:$I$29,$A57)="Per pay period",(N(INDEX(Employees!$J$5:$J$29,$A57))+$J57)/Settings!$B$13,IF(INDEX(Employees!$I$5:$I$29,$A57)="Per hour worked",N(INDEX(Employees!$K$5:$K$29,$A57))*$I57,IF(INDEX(Employees!$I$5:$I$29,$A57)="Front-loaded",IF(OR($B57=1,N($G56)=0),N(INDEX(Employees!$J$5:$J$29,$A57))+$J57,0),0))))</f>
        <v/>
      </c>
      <c r="L57" s="48">
        <f>IF($F57=0,0,SUMIFS('Time Off Log'!$H$5:$H$504,'Time Off Log'!$A$5:$A$504,$C57,'Time Off Log'!$B$5:$B$504,"PTO",'Time Off Log'!$E$5:$E$504,"Approved",'Time Off Log'!$C$5:$C$504,"&gt;="&amp;INDEX(Periods!$E$5:$E$57,$B57),'Time Off Log'!$C$5:$C$504,"&lt;="&amp;INDEX(Periods!$F$5:$F$57,$B57)))</f>
        <v/>
      </c>
      <c r="M57" s="48">
        <f>IF($B57=1,N(INDEX(Employees!$N$5:$N$29,$A57)),P56)</f>
        <v/>
      </c>
      <c r="N57" s="48">
        <f>IF(INDEX(Employees!$L$5:$L$29,$A57)="",K57,MAX(0,MIN(K57,INDEX(Employees!$L$5:$L$29,$A57)-(M57-L57))))</f>
        <v/>
      </c>
      <c r="O57" s="48">
        <f>K57-N57</f>
        <v/>
      </c>
      <c r="P57" s="48">
        <f>M57-L57+N57</f>
        <v/>
      </c>
      <c r="Q57" s="48">
        <f>IF($G57=0,0,IF(INDEX(Employees!$P$5:$P$29,$A57)="Per pay period",(N(INDEX(Employees!$Q$5:$Q$29,$A57)))/Settings!$B$13,IF(INDEX(Employees!$P$5:$P$29,$A57)="Per hour worked",N(INDEX(Employees!$R$5:$R$29,$A57))*$I57,IF(INDEX(Employees!$P$5:$P$29,$A57)="Front-loaded",IF(OR($B57=1,N($G56)=0),N(INDEX(Employees!$Q$5:$Q$29,$A57)),0),0))))</f>
        <v/>
      </c>
      <c r="R57" s="48">
        <f>IF($F57=0,0,SUMIFS('Time Off Log'!$H$5:$H$504,'Time Off Log'!$A$5:$A$504,$C57,'Time Off Log'!$B$5:$B$504,"Sick",'Time Off Log'!$E$5:$E$504,"Approved",'Time Off Log'!$C$5:$C$504,"&gt;="&amp;INDEX(Periods!$E$5:$E$57,$B57),'Time Off Log'!$C$5:$C$504,"&lt;="&amp;INDEX(Periods!$F$5:$F$57,$B57)))</f>
        <v/>
      </c>
      <c r="S57" s="48">
        <f>IF($B57=1,N(INDEX(Employees!$T$5:$T$29,$A57)),V56)</f>
        <v/>
      </c>
      <c r="T57" s="48">
        <f>IF(INDEX(Employees!$S$5:$S$29,$A57)="",Q57,MAX(0,MIN(Q57,INDEX(Employees!$S$5:$S$29,$A57)-(S57-R57))))</f>
        <v/>
      </c>
      <c r="U57" s="48">
        <f>Q57-T57</f>
        <v/>
      </c>
      <c r="V57" s="48">
        <f>S57-R57+T57</f>
        <v/>
      </c>
    </row>
    <row r="58">
      <c r="A58" s="50" t="n">
        <v>2</v>
      </c>
      <c r="B58" s="50" t="n">
        <v>1</v>
      </c>
      <c r="C58" s="51">
        <f>INDEX(Employees!$B$5:$B$29,$A58)&amp;""</f>
        <v/>
      </c>
      <c r="D58" s="52">
        <f>INDEX(Periods!$B$5:$B$57,$B58)</f>
        <v/>
      </c>
      <c r="E58" s="52">
        <f>INDEX(Periods!$C$5:$C$57,$B58)</f>
        <v/>
      </c>
      <c r="F58" s="50">
        <f>IF(AND($C58&lt;&gt;"",INDEX(Periods!$D$5:$D$57,$B58)=1),1,0)</f>
        <v/>
      </c>
      <c r="G58" s="50">
        <f>IF($F58=0,0,IF(AND(OR(INDEX(Employees!$D$5:$D$29,$A58)="",$E58&gt;=INDEX(Employees!$D$5:$D$29,$A58)+N(INDEX(Employees!$U$5:$U$29,$A58))),OR(INDEX(Employees!$E$5:$E$29,$A58)="",$D58&lt;=INDEX(Employees!$E$5:$E$29,$A58))),1,0))</f>
        <v/>
      </c>
      <c r="H58" s="50">
        <f>IF($G58=0,0,IF(INDEX(Employees!$D$5:$D$29,$A58)="",0,DATEDIF(INDEX(Employees!$D$5:$D$29,$A58),$E58,"y")))</f>
        <v/>
      </c>
      <c r="I58" s="51">
        <f>IF($G58=0,0,IF(INDEX('Hours Worked'!$D$5:$BD$29,$A58,$B58)="",N(INDEX(Employees!$H$5:$H$29,$A58)),INDEX('Hours Worked'!$D$5:$BD$29,$A58,$B58)))</f>
        <v/>
      </c>
      <c r="J58" s="51">
        <f>IF(OR($G58=0,INDEX(Employees!$O$5:$O$29,$A58)&lt;&gt;"Yes"),0,IF(COUNTIF(Settings!$D$4:$D$9,"&lt;="&amp;$H58)=0,0,INDEX(Settings!$E$4:$E$9,COUNTIF(Settings!$D$4:$D$9,"&lt;="&amp;$H58))))</f>
        <v/>
      </c>
      <c r="K58" s="51">
        <f>IF($G58=0,0,IF(INDEX(Employees!$I$5:$I$29,$A58)="Per pay period",(N(INDEX(Employees!$J$5:$J$29,$A58))+$J58)/Settings!$B$13,IF(INDEX(Employees!$I$5:$I$29,$A58)="Per hour worked",N(INDEX(Employees!$K$5:$K$29,$A58))*$I58,IF(INDEX(Employees!$I$5:$I$29,$A58)="Front-loaded",IF(OR($B58=1,N($G57)=0),N(INDEX(Employees!$J$5:$J$29,$A58))+$J58,0),0))))</f>
        <v/>
      </c>
      <c r="L58" s="51">
        <f>IF($F58=0,0,SUMIFS('Time Off Log'!$H$5:$H$504,'Time Off Log'!$A$5:$A$504,$C58,'Time Off Log'!$B$5:$B$504,"PTO",'Time Off Log'!$E$5:$E$504,"Approved",'Time Off Log'!$C$5:$C$504,"&gt;="&amp;INDEX(Periods!$E$5:$E$57,$B58),'Time Off Log'!$C$5:$C$504,"&lt;="&amp;INDEX(Periods!$F$5:$F$57,$B58)))</f>
        <v/>
      </c>
      <c r="M58" s="51">
        <f>N(INDEX(Employees!$N$5:$N$29,$A58))</f>
        <v/>
      </c>
      <c r="N58" s="51">
        <f>IF(INDEX(Employees!$L$5:$L$29,$A58)="",K58,MAX(0,MIN(K58,INDEX(Employees!$L$5:$L$29,$A58)-(M58-L58))))</f>
        <v/>
      </c>
      <c r="O58" s="51">
        <f>K58-N58</f>
        <v/>
      </c>
      <c r="P58" s="51">
        <f>M58-L58+N58</f>
        <v/>
      </c>
      <c r="Q58" s="51">
        <f>IF($G58=0,0,IF(INDEX(Employees!$P$5:$P$29,$A58)="Per pay period",(N(INDEX(Employees!$Q$5:$Q$29,$A58)))/Settings!$B$13,IF(INDEX(Employees!$P$5:$P$29,$A58)="Per hour worked",N(INDEX(Employees!$R$5:$R$29,$A58))*$I58,IF(INDEX(Employees!$P$5:$P$29,$A58)="Front-loaded",IF(OR($B58=1,N($G57)=0),N(INDEX(Employees!$Q$5:$Q$29,$A58)),0),0))))</f>
        <v/>
      </c>
      <c r="R58" s="51">
        <f>IF($F58=0,0,SUMIFS('Time Off Log'!$H$5:$H$504,'Time Off Log'!$A$5:$A$504,$C58,'Time Off Log'!$B$5:$B$504,"Sick",'Time Off Log'!$E$5:$E$504,"Approved",'Time Off Log'!$C$5:$C$504,"&gt;="&amp;INDEX(Periods!$E$5:$E$57,$B58),'Time Off Log'!$C$5:$C$504,"&lt;="&amp;INDEX(Periods!$F$5:$F$57,$B58)))</f>
        <v/>
      </c>
      <c r="S58" s="51">
        <f>N(INDEX(Employees!$T$5:$T$29,$A58))</f>
        <v/>
      </c>
      <c r="T58" s="51">
        <f>IF(INDEX(Employees!$S$5:$S$29,$A58)="",Q58,MAX(0,MIN(Q58,INDEX(Employees!$S$5:$S$29,$A58)-(S58-R58))))</f>
        <v/>
      </c>
      <c r="U58" s="51">
        <f>Q58-T58</f>
        <v/>
      </c>
      <c r="V58" s="51">
        <f>S58-R58+T58</f>
        <v/>
      </c>
    </row>
    <row r="59">
      <c r="A59" s="50" t="n">
        <v>2</v>
      </c>
      <c r="B59" s="50" t="n">
        <v>2</v>
      </c>
      <c r="C59" s="51">
        <f>INDEX(Employees!$B$5:$B$29,$A59)&amp;""</f>
        <v/>
      </c>
      <c r="D59" s="52">
        <f>INDEX(Periods!$B$5:$B$57,$B59)</f>
        <v/>
      </c>
      <c r="E59" s="52">
        <f>INDEX(Periods!$C$5:$C$57,$B59)</f>
        <v/>
      </c>
      <c r="F59" s="50">
        <f>IF(AND($C59&lt;&gt;"",INDEX(Periods!$D$5:$D$57,$B59)=1),1,0)</f>
        <v/>
      </c>
      <c r="G59" s="50">
        <f>IF($F59=0,0,IF(AND(OR(INDEX(Employees!$D$5:$D$29,$A59)="",$E59&gt;=INDEX(Employees!$D$5:$D$29,$A59)+N(INDEX(Employees!$U$5:$U$29,$A59))),OR(INDEX(Employees!$E$5:$E$29,$A59)="",$D59&lt;=INDEX(Employees!$E$5:$E$29,$A59))),1,0))</f>
        <v/>
      </c>
      <c r="H59" s="50">
        <f>IF($G59=0,0,IF(INDEX(Employees!$D$5:$D$29,$A59)="",0,DATEDIF(INDEX(Employees!$D$5:$D$29,$A59),$E59,"y")))</f>
        <v/>
      </c>
      <c r="I59" s="51">
        <f>IF($G59=0,0,IF(INDEX('Hours Worked'!$D$5:$BD$29,$A59,$B59)="",N(INDEX(Employees!$H$5:$H$29,$A59)),INDEX('Hours Worked'!$D$5:$BD$29,$A59,$B59)))</f>
        <v/>
      </c>
      <c r="J59" s="51">
        <f>IF(OR($G59=0,INDEX(Employees!$O$5:$O$29,$A59)&lt;&gt;"Yes"),0,IF(COUNTIF(Settings!$D$4:$D$9,"&lt;="&amp;$H59)=0,0,INDEX(Settings!$E$4:$E$9,COUNTIF(Settings!$D$4:$D$9,"&lt;="&amp;$H59))))</f>
        <v/>
      </c>
      <c r="K59" s="51">
        <f>IF($G59=0,0,IF(INDEX(Employees!$I$5:$I$29,$A59)="Per pay period",(N(INDEX(Employees!$J$5:$J$29,$A59))+$J59)/Settings!$B$13,IF(INDEX(Employees!$I$5:$I$29,$A59)="Per hour worked",N(INDEX(Employees!$K$5:$K$29,$A59))*$I59,IF(INDEX(Employees!$I$5:$I$29,$A59)="Front-loaded",IF(OR($B59=1,N($G58)=0),N(INDEX(Employees!$J$5:$J$29,$A59))+$J59,0),0))))</f>
        <v/>
      </c>
      <c r="L59" s="51">
        <f>IF($F59=0,0,SUMIFS('Time Off Log'!$H$5:$H$504,'Time Off Log'!$A$5:$A$504,$C59,'Time Off Log'!$B$5:$B$504,"PTO",'Time Off Log'!$E$5:$E$504,"Approved",'Time Off Log'!$C$5:$C$504,"&gt;="&amp;INDEX(Periods!$E$5:$E$57,$B59),'Time Off Log'!$C$5:$C$504,"&lt;="&amp;INDEX(Periods!$F$5:$F$57,$B59)))</f>
        <v/>
      </c>
      <c r="M59" s="51">
        <f>IF($B59=1,N(INDEX(Employees!$N$5:$N$29,$A59)),P58)</f>
        <v/>
      </c>
      <c r="N59" s="51">
        <f>IF(INDEX(Employees!$L$5:$L$29,$A59)="",K59,MAX(0,MIN(K59,INDEX(Employees!$L$5:$L$29,$A59)-(M59-L59))))</f>
        <v/>
      </c>
      <c r="O59" s="51">
        <f>K59-N59</f>
        <v/>
      </c>
      <c r="P59" s="51">
        <f>M59-L59+N59</f>
        <v/>
      </c>
      <c r="Q59" s="51">
        <f>IF($G59=0,0,IF(INDEX(Employees!$P$5:$P$29,$A59)="Per pay period",(N(INDEX(Employees!$Q$5:$Q$29,$A59)))/Settings!$B$13,IF(INDEX(Employees!$P$5:$P$29,$A59)="Per hour worked",N(INDEX(Employees!$R$5:$R$29,$A59))*$I59,IF(INDEX(Employees!$P$5:$P$29,$A59)="Front-loaded",IF(OR($B59=1,N($G58)=0),N(INDEX(Employees!$Q$5:$Q$29,$A59)),0),0))))</f>
        <v/>
      </c>
      <c r="R59" s="51">
        <f>IF($F59=0,0,SUMIFS('Time Off Log'!$H$5:$H$504,'Time Off Log'!$A$5:$A$504,$C59,'Time Off Log'!$B$5:$B$504,"Sick",'Time Off Log'!$E$5:$E$504,"Approved",'Time Off Log'!$C$5:$C$504,"&gt;="&amp;INDEX(Periods!$E$5:$E$57,$B59),'Time Off Log'!$C$5:$C$504,"&lt;="&amp;INDEX(Periods!$F$5:$F$57,$B59)))</f>
        <v/>
      </c>
      <c r="S59" s="51">
        <f>IF($B59=1,N(INDEX(Employees!$T$5:$T$29,$A59)),V58)</f>
        <v/>
      </c>
      <c r="T59" s="51">
        <f>IF(INDEX(Employees!$S$5:$S$29,$A59)="",Q59,MAX(0,MIN(Q59,INDEX(Employees!$S$5:$S$29,$A59)-(S59-R59))))</f>
        <v/>
      </c>
      <c r="U59" s="51">
        <f>Q59-T59</f>
        <v/>
      </c>
      <c r="V59" s="51">
        <f>S59-R59+T59</f>
        <v/>
      </c>
    </row>
    <row r="60">
      <c r="A60" s="50" t="n">
        <v>2</v>
      </c>
      <c r="B60" s="50" t="n">
        <v>3</v>
      </c>
      <c r="C60" s="51">
        <f>INDEX(Employees!$B$5:$B$29,$A60)&amp;""</f>
        <v/>
      </c>
      <c r="D60" s="52">
        <f>INDEX(Periods!$B$5:$B$57,$B60)</f>
        <v/>
      </c>
      <c r="E60" s="52">
        <f>INDEX(Periods!$C$5:$C$57,$B60)</f>
        <v/>
      </c>
      <c r="F60" s="50">
        <f>IF(AND($C60&lt;&gt;"",INDEX(Periods!$D$5:$D$57,$B60)=1),1,0)</f>
        <v/>
      </c>
      <c r="G60" s="50">
        <f>IF($F60=0,0,IF(AND(OR(INDEX(Employees!$D$5:$D$29,$A60)="",$E60&gt;=INDEX(Employees!$D$5:$D$29,$A60)+N(INDEX(Employees!$U$5:$U$29,$A60))),OR(INDEX(Employees!$E$5:$E$29,$A60)="",$D60&lt;=INDEX(Employees!$E$5:$E$29,$A60))),1,0))</f>
        <v/>
      </c>
      <c r="H60" s="50">
        <f>IF($G60=0,0,IF(INDEX(Employees!$D$5:$D$29,$A60)="",0,DATEDIF(INDEX(Employees!$D$5:$D$29,$A60),$E60,"y")))</f>
        <v/>
      </c>
      <c r="I60" s="51">
        <f>IF($G60=0,0,IF(INDEX('Hours Worked'!$D$5:$BD$29,$A60,$B60)="",N(INDEX(Employees!$H$5:$H$29,$A60)),INDEX('Hours Worked'!$D$5:$BD$29,$A60,$B60)))</f>
        <v/>
      </c>
      <c r="J60" s="51">
        <f>IF(OR($G60=0,INDEX(Employees!$O$5:$O$29,$A60)&lt;&gt;"Yes"),0,IF(COUNTIF(Settings!$D$4:$D$9,"&lt;="&amp;$H60)=0,0,INDEX(Settings!$E$4:$E$9,COUNTIF(Settings!$D$4:$D$9,"&lt;="&amp;$H60))))</f>
        <v/>
      </c>
      <c r="K60" s="51">
        <f>IF($G60=0,0,IF(INDEX(Employees!$I$5:$I$29,$A60)="Per pay period",(N(INDEX(Employees!$J$5:$J$29,$A60))+$J60)/Settings!$B$13,IF(INDEX(Employees!$I$5:$I$29,$A60)="Per hour worked",N(INDEX(Employees!$K$5:$K$29,$A60))*$I60,IF(INDEX(Employees!$I$5:$I$29,$A60)="Front-loaded",IF(OR($B60=1,N($G59)=0),N(INDEX(Employees!$J$5:$J$29,$A60))+$J60,0),0))))</f>
        <v/>
      </c>
      <c r="L60" s="51">
        <f>IF($F60=0,0,SUMIFS('Time Off Log'!$H$5:$H$504,'Time Off Log'!$A$5:$A$504,$C60,'Time Off Log'!$B$5:$B$504,"PTO",'Time Off Log'!$E$5:$E$504,"Approved",'Time Off Log'!$C$5:$C$504,"&gt;="&amp;INDEX(Periods!$E$5:$E$57,$B60),'Time Off Log'!$C$5:$C$504,"&lt;="&amp;INDEX(Periods!$F$5:$F$57,$B60)))</f>
        <v/>
      </c>
      <c r="M60" s="51">
        <f>IF($B60=1,N(INDEX(Employees!$N$5:$N$29,$A60)),P59)</f>
        <v/>
      </c>
      <c r="N60" s="51">
        <f>IF(INDEX(Employees!$L$5:$L$29,$A60)="",K60,MAX(0,MIN(K60,INDEX(Employees!$L$5:$L$29,$A60)-(M60-L60))))</f>
        <v/>
      </c>
      <c r="O60" s="51">
        <f>K60-N60</f>
        <v/>
      </c>
      <c r="P60" s="51">
        <f>M60-L60+N60</f>
        <v/>
      </c>
      <c r="Q60" s="51">
        <f>IF($G60=0,0,IF(INDEX(Employees!$P$5:$P$29,$A60)="Per pay period",(N(INDEX(Employees!$Q$5:$Q$29,$A60)))/Settings!$B$13,IF(INDEX(Employees!$P$5:$P$29,$A60)="Per hour worked",N(INDEX(Employees!$R$5:$R$29,$A60))*$I60,IF(INDEX(Employees!$P$5:$P$29,$A60)="Front-loaded",IF(OR($B60=1,N($G59)=0),N(INDEX(Employees!$Q$5:$Q$29,$A60)),0),0))))</f>
        <v/>
      </c>
      <c r="R60" s="51">
        <f>IF($F60=0,0,SUMIFS('Time Off Log'!$H$5:$H$504,'Time Off Log'!$A$5:$A$504,$C60,'Time Off Log'!$B$5:$B$504,"Sick",'Time Off Log'!$E$5:$E$504,"Approved",'Time Off Log'!$C$5:$C$504,"&gt;="&amp;INDEX(Periods!$E$5:$E$57,$B60),'Time Off Log'!$C$5:$C$504,"&lt;="&amp;INDEX(Periods!$F$5:$F$57,$B60)))</f>
        <v/>
      </c>
      <c r="S60" s="51">
        <f>IF($B60=1,N(INDEX(Employees!$T$5:$T$29,$A60)),V59)</f>
        <v/>
      </c>
      <c r="T60" s="51">
        <f>IF(INDEX(Employees!$S$5:$S$29,$A60)="",Q60,MAX(0,MIN(Q60,INDEX(Employees!$S$5:$S$29,$A60)-(S60-R60))))</f>
        <v/>
      </c>
      <c r="U60" s="51">
        <f>Q60-T60</f>
        <v/>
      </c>
      <c r="V60" s="51">
        <f>S60-R60+T60</f>
        <v/>
      </c>
    </row>
    <row r="61">
      <c r="A61" s="50" t="n">
        <v>2</v>
      </c>
      <c r="B61" s="50" t="n">
        <v>4</v>
      </c>
      <c r="C61" s="51">
        <f>INDEX(Employees!$B$5:$B$29,$A61)&amp;""</f>
        <v/>
      </c>
      <c r="D61" s="52">
        <f>INDEX(Periods!$B$5:$B$57,$B61)</f>
        <v/>
      </c>
      <c r="E61" s="52">
        <f>INDEX(Periods!$C$5:$C$57,$B61)</f>
        <v/>
      </c>
      <c r="F61" s="50">
        <f>IF(AND($C61&lt;&gt;"",INDEX(Periods!$D$5:$D$57,$B61)=1),1,0)</f>
        <v/>
      </c>
      <c r="G61" s="50">
        <f>IF($F61=0,0,IF(AND(OR(INDEX(Employees!$D$5:$D$29,$A61)="",$E61&gt;=INDEX(Employees!$D$5:$D$29,$A61)+N(INDEX(Employees!$U$5:$U$29,$A61))),OR(INDEX(Employees!$E$5:$E$29,$A61)="",$D61&lt;=INDEX(Employees!$E$5:$E$29,$A61))),1,0))</f>
        <v/>
      </c>
      <c r="H61" s="50">
        <f>IF($G61=0,0,IF(INDEX(Employees!$D$5:$D$29,$A61)="",0,DATEDIF(INDEX(Employees!$D$5:$D$29,$A61),$E61,"y")))</f>
        <v/>
      </c>
      <c r="I61" s="51">
        <f>IF($G61=0,0,IF(INDEX('Hours Worked'!$D$5:$BD$29,$A61,$B61)="",N(INDEX(Employees!$H$5:$H$29,$A61)),INDEX('Hours Worked'!$D$5:$BD$29,$A61,$B61)))</f>
        <v/>
      </c>
      <c r="J61" s="51">
        <f>IF(OR($G61=0,INDEX(Employees!$O$5:$O$29,$A61)&lt;&gt;"Yes"),0,IF(COUNTIF(Settings!$D$4:$D$9,"&lt;="&amp;$H61)=0,0,INDEX(Settings!$E$4:$E$9,COUNTIF(Settings!$D$4:$D$9,"&lt;="&amp;$H61))))</f>
        <v/>
      </c>
      <c r="K61" s="51">
        <f>IF($G61=0,0,IF(INDEX(Employees!$I$5:$I$29,$A61)="Per pay period",(N(INDEX(Employees!$J$5:$J$29,$A61))+$J61)/Settings!$B$13,IF(INDEX(Employees!$I$5:$I$29,$A61)="Per hour worked",N(INDEX(Employees!$K$5:$K$29,$A61))*$I61,IF(INDEX(Employees!$I$5:$I$29,$A61)="Front-loaded",IF(OR($B61=1,N($G60)=0),N(INDEX(Employees!$J$5:$J$29,$A61))+$J61,0),0))))</f>
        <v/>
      </c>
      <c r="L61" s="51">
        <f>IF($F61=0,0,SUMIFS('Time Off Log'!$H$5:$H$504,'Time Off Log'!$A$5:$A$504,$C61,'Time Off Log'!$B$5:$B$504,"PTO",'Time Off Log'!$E$5:$E$504,"Approved",'Time Off Log'!$C$5:$C$504,"&gt;="&amp;INDEX(Periods!$E$5:$E$57,$B61),'Time Off Log'!$C$5:$C$504,"&lt;="&amp;INDEX(Periods!$F$5:$F$57,$B61)))</f>
        <v/>
      </c>
      <c r="M61" s="51">
        <f>IF($B61=1,N(INDEX(Employees!$N$5:$N$29,$A61)),P60)</f>
        <v/>
      </c>
      <c r="N61" s="51">
        <f>IF(INDEX(Employees!$L$5:$L$29,$A61)="",K61,MAX(0,MIN(K61,INDEX(Employees!$L$5:$L$29,$A61)-(M61-L61))))</f>
        <v/>
      </c>
      <c r="O61" s="51">
        <f>K61-N61</f>
        <v/>
      </c>
      <c r="P61" s="51">
        <f>M61-L61+N61</f>
        <v/>
      </c>
      <c r="Q61" s="51">
        <f>IF($G61=0,0,IF(INDEX(Employees!$P$5:$P$29,$A61)="Per pay period",(N(INDEX(Employees!$Q$5:$Q$29,$A61)))/Settings!$B$13,IF(INDEX(Employees!$P$5:$P$29,$A61)="Per hour worked",N(INDEX(Employees!$R$5:$R$29,$A61))*$I61,IF(INDEX(Employees!$P$5:$P$29,$A61)="Front-loaded",IF(OR($B61=1,N($G60)=0),N(INDEX(Employees!$Q$5:$Q$29,$A61)),0),0))))</f>
        <v/>
      </c>
      <c r="R61" s="51">
        <f>IF($F61=0,0,SUMIFS('Time Off Log'!$H$5:$H$504,'Time Off Log'!$A$5:$A$504,$C61,'Time Off Log'!$B$5:$B$504,"Sick",'Time Off Log'!$E$5:$E$504,"Approved",'Time Off Log'!$C$5:$C$504,"&gt;="&amp;INDEX(Periods!$E$5:$E$57,$B61),'Time Off Log'!$C$5:$C$504,"&lt;="&amp;INDEX(Periods!$F$5:$F$57,$B61)))</f>
        <v/>
      </c>
      <c r="S61" s="51">
        <f>IF($B61=1,N(INDEX(Employees!$T$5:$T$29,$A61)),V60)</f>
        <v/>
      </c>
      <c r="T61" s="51">
        <f>IF(INDEX(Employees!$S$5:$S$29,$A61)="",Q61,MAX(0,MIN(Q61,INDEX(Employees!$S$5:$S$29,$A61)-(S61-R61))))</f>
        <v/>
      </c>
      <c r="U61" s="51">
        <f>Q61-T61</f>
        <v/>
      </c>
      <c r="V61" s="51">
        <f>S61-R61+T61</f>
        <v/>
      </c>
    </row>
    <row r="62">
      <c r="A62" s="50" t="n">
        <v>2</v>
      </c>
      <c r="B62" s="50" t="n">
        <v>5</v>
      </c>
      <c r="C62" s="51">
        <f>INDEX(Employees!$B$5:$B$29,$A62)&amp;""</f>
        <v/>
      </c>
      <c r="D62" s="52">
        <f>INDEX(Periods!$B$5:$B$57,$B62)</f>
        <v/>
      </c>
      <c r="E62" s="52">
        <f>INDEX(Periods!$C$5:$C$57,$B62)</f>
        <v/>
      </c>
      <c r="F62" s="50">
        <f>IF(AND($C62&lt;&gt;"",INDEX(Periods!$D$5:$D$57,$B62)=1),1,0)</f>
        <v/>
      </c>
      <c r="G62" s="50">
        <f>IF($F62=0,0,IF(AND(OR(INDEX(Employees!$D$5:$D$29,$A62)="",$E62&gt;=INDEX(Employees!$D$5:$D$29,$A62)+N(INDEX(Employees!$U$5:$U$29,$A62))),OR(INDEX(Employees!$E$5:$E$29,$A62)="",$D62&lt;=INDEX(Employees!$E$5:$E$29,$A62))),1,0))</f>
        <v/>
      </c>
      <c r="H62" s="50">
        <f>IF($G62=0,0,IF(INDEX(Employees!$D$5:$D$29,$A62)="",0,DATEDIF(INDEX(Employees!$D$5:$D$29,$A62),$E62,"y")))</f>
        <v/>
      </c>
      <c r="I62" s="51">
        <f>IF($G62=0,0,IF(INDEX('Hours Worked'!$D$5:$BD$29,$A62,$B62)="",N(INDEX(Employees!$H$5:$H$29,$A62)),INDEX('Hours Worked'!$D$5:$BD$29,$A62,$B62)))</f>
        <v/>
      </c>
      <c r="J62" s="51">
        <f>IF(OR($G62=0,INDEX(Employees!$O$5:$O$29,$A62)&lt;&gt;"Yes"),0,IF(COUNTIF(Settings!$D$4:$D$9,"&lt;="&amp;$H62)=0,0,INDEX(Settings!$E$4:$E$9,COUNTIF(Settings!$D$4:$D$9,"&lt;="&amp;$H62))))</f>
        <v/>
      </c>
      <c r="K62" s="51">
        <f>IF($G62=0,0,IF(INDEX(Employees!$I$5:$I$29,$A62)="Per pay period",(N(INDEX(Employees!$J$5:$J$29,$A62))+$J62)/Settings!$B$13,IF(INDEX(Employees!$I$5:$I$29,$A62)="Per hour worked",N(INDEX(Employees!$K$5:$K$29,$A62))*$I62,IF(INDEX(Employees!$I$5:$I$29,$A62)="Front-loaded",IF(OR($B62=1,N($G61)=0),N(INDEX(Employees!$J$5:$J$29,$A62))+$J62,0),0))))</f>
        <v/>
      </c>
      <c r="L62" s="51">
        <f>IF($F62=0,0,SUMIFS('Time Off Log'!$H$5:$H$504,'Time Off Log'!$A$5:$A$504,$C62,'Time Off Log'!$B$5:$B$504,"PTO",'Time Off Log'!$E$5:$E$504,"Approved",'Time Off Log'!$C$5:$C$504,"&gt;="&amp;INDEX(Periods!$E$5:$E$57,$B62),'Time Off Log'!$C$5:$C$504,"&lt;="&amp;INDEX(Periods!$F$5:$F$57,$B62)))</f>
        <v/>
      </c>
      <c r="M62" s="51">
        <f>IF($B62=1,N(INDEX(Employees!$N$5:$N$29,$A62)),P61)</f>
        <v/>
      </c>
      <c r="N62" s="51">
        <f>IF(INDEX(Employees!$L$5:$L$29,$A62)="",K62,MAX(0,MIN(K62,INDEX(Employees!$L$5:$L$29,$A62)-(M62-L62))))</f>
        <v/>
      </c>
      <c r="O62" s="51">
        <f>K62-N62</f>
        <v/>
      </c>
      <c r="P62" s="51">
        <f>M62-L62+N62</f>
        <v/>
      </c>
      <c r="Q62" s="51">
        <f>IF($G62=0,0,IF(INDEX(Employees!$P$5:$P$29,$A62)="Per pay period",(N(INDEX(Employees!$Q$5:$Q$29,$A62)))/Settings!$B$13,IF(INDEX(Employees!$P$5:$P$29,$A62)="Per hour worked",N(INDEX(Employees!$R$5:$R$29,$A62))*$I62,IF(INDEX(Employees!$P$5:$P$29,$A62)="Front-loaded",IF(OR($B62=1,N($G61)=0),N(INDEX(Employees!$Q$5:$Q$29,$A62)),0),0))))</f>
        <v/>
      </c>
      <c r="R62" s="51">
        <f>IF($F62=0,0,SUMIFS('Time Off Log'!$H$5:$H$504,'Time Off Log'!$A$5:$A$504,$C62,'Time Off Log'!$B$5:$B$504,"Sick",'Time Off Log'!$E$5:$E$504,"Approved",'Time Off Log'!$C$5:$C$504,"&gt;="&amp;INDEX(Periods!$E$5:$E$57,$B62),'Time Off Log'!$C$5:$C$504,"&lt;="&amp;INDEX(Periods!$F$5:$F$57,$B62)))</f>
        <v/>
      </c>
      <c r="S62" s="51">
        <f>IF($B62=1,N(INDEX(Employees!$T$5:$T$29,$A62)),V61)</f>
        <v/>
      </c>
      <c r="T62" s="51">
        <f>IF(INDEX(Employees!$S$5:$S$29,$A62)="",Q62,MAX(0,MIN(Q62,INDEX(Employees!$S$5:$S$29,$A62)-(S62-R62))))</f>
        <v/>
      </c>
      <c r="U62" s="51">
        <f>Q62-T62</f>
        <v/>
      </c>
      <c r="V62" s="51">
        <f>S62-R62+T62</f>
        <v/>
      </c>
    </row>
    <row r="63">
      <c r="A63" s="50" t="n">
        <v>2</v>
      </c>
      <c r="B63" s="50" t="n">
        <v>6</v>
      </c>
      <c r="C63" s="51">
        <f>INDEX(Employees!$B$5:$B$29,$A63)&amp;""</f>
        <v/>
      </c>
      <c r="D63" s="52">
        <f>INDEX(Periods!$B$5:$B$57,$B63)</f>
        <v/>
      </c>
      <c r="E63" s="52">
        <f>INDEX(Periods!$C$5:$C$57,$B63)</f>
        <v/>
      </c>
      <c r="F63" s="50">
        <f>IF(AND($C63&lt;&gt;"",INDEX(Periods!$D$5:$D$57,$B63)=1),1,0)</f>
        <v/>
      </c>
      <c r="G63" s="50">
        <f>IF($F63=0,0,IF(AND(OR(INDEX(Employees!$D$5:$D$29,$A63)="",$E63&gt;=INDEX(Employees!$D$5:$D$29,$A63)+N(INDEX(Employees!$U$5:$U$29,$A63))),OR(INDEX(Employees!$E$5:$E$29,$A63)="",$D63&lt;=INDEX(Employees!$E$5:$E$29,$A63))),1,0))</f>
        <v/>
      </c>
      <c r="H63" s="50">
        <f>IF($G63=0,0,IF(INDEX(Employees!$D$5:$D$29,$A63)="",0,DATEDIF(INDEX(Employees!$D$5:$D$29,$A63),$E63,"y")))</f>
        <v/>
      </c>
      <c r="I63" s="51">
        <f>IF($G63=0,0,IF(INDEX('Hours Worked'!$D$5:$BD$29,$A63,$B63)="",N(INDEX(Employees!$H$5:$H$29,$A63)),INDEX('Hours Worked'!$D$5:$BD$29,$A63,$B63)))</f>
        <v/>
      </c>
      <c r="J63" s="51">
        <f>IF(OR($G63=0,INDEX(Employees!$O$5:$O$29,$A63)&lt;&gt;"Yes"),0,IF(COUNTIF(Settings!$D$4:$D$9,"&lt;="&amp;$H63)=0,0,INDEX(Settings!$E$4:$E$9,COUNTIF(Settings!$D$4:$D$9,"&lt;="&amp;$H63))))</f>
        <v/>
      </c>
      <c r="K63" s="51">
        <f>IF($G63=0,0,IF(INDEX(Employees!$I$5:$I$29,$A63)="Per pay period",(N(INDEX(Employees!$J$5:$J$29,$A63))+$J63)/Settings!$B$13,IF(INDEX(Employees!$I$5:$I$29,$A63)="Per hour worked",N(INDEX(Employees!$K$5:$K$29,$A63))*$I63,IF(INDEX(Employees!$I$5:$I$29,$A63)="Front-loaded",IF(OR($B63=1,N($G62)=0),N(INDEX(Employees!$J$5:$J$29,$A63))+$J63,0),0))))</f>
        <v/>
      </c>
      <c r="L63" s="51">
        <f>IF($F63=0,0,SUMIFS('Time Off Log'!$H$5:$H$504,'Time Off Log'!$A$5:$A$504,$C63,'Time Off Log'!$B$5:$B$504,"PTO",'Time Off Log'!$E$5:$E$504,"Approved",'Time Off Log'!$C$5:$C$504,"&gt;="&amp;INDEX(Periods!$E$5:$E$57,$B63),'Time Off Log'!$C$5:$C$504,"&lt;="&amp;INDEX(Periods!$F$5:$F$57,$B63)))</f>
        <v/>
      </c>
      <c r="M63" s="51">
        <f>IF($B63=1,N(INDEX(Employees!$N$5:$N$29,$A63)),P62)</f>
        <v/>
      </c>
      <c r="N63" s="51">
        <f>IF(INDEX(Employees!$L$5:$L$29,$A63)="",K63,MAX(0,MIN(K63,INDEX(Employees!$L$5:$L$29,$A63)-(M63-L63))))</f>
        <v/>
      </c>
      <c r="O63" s="51">
        <f>K63-N63</f>
        <v/>
      </c>
      <c r="P63" s="51">
        <f>M63-L63+N63</f>
        <v/>
      </c>
      <c r="Q63" s="51">
        <f>IF($G63=0,0,IF(INDEX(Employees!$P$5:$P$29,$A63)="Per pay period",(N(INDEX(Employees!$Q$5:$Q$29,$A63)))/Settings!$B$13,IF(INDEX(Employees!$P$5:$P$29,$A63)="Per hour worked",N(INDEX(Employees!$R$5:$R$29,$A63))*$I63,IF(INDEX(Employees!$P$5:$P$29,$A63)="Front-loaded",IF(OR($B63=1,N($G62)=0),N(INDEX(Employees!$Q$5:$Q$29,$A63)),0),0))))</f>
        <v/>
      </c>
      <c r="R63" s="51">
        <f>IF($F63=0,0,SUMIFS('Time Off Log'!$H$5:$H$504,'Time Off Log'!$A$5:$A$504,$C63,'Time Off Log'!$B$5:$B$504,"Sick",'Time Off Log'!$E$5:$E$504,"Approved",'Time Off Log'!$C$5:$C$504,"&gt;="&amp;INDEX(Periods!$E$5:$E$57,$B63),'Time Off Log'!$C$5:$C$504,"&lt;="&amp;INDEX(Periods!$F$5:$F$57,$B63)))</f>
        <v/>
      </c>
      <c r="S63" s="51">
        <f>IF($B63=1,N(INDEX(Employees!$T$5:$T$29,$A63)),V62)</f>
        <v/>
      </c>
      <c r="T63" s="51">
        <f>IF(INDEX(Employees!$S$5:$S$29,$A63)="",Q63,MAX(0,MIN(Q63,INDEX(Employees!$S$5:$S$29,$A63)-(S63-R63))))</f>
        <v/>
      </c>
      <c r="U63" s="51">
        <f>Q63-T63</f>
        <v/>
      </c>
      <c r="V63" s="51">
        <f>S63-R63+T63</f>
        <v/>
      </c>
    </row>
    <row r="64">
      <c r="A64" s="50" t="n">
        <v>2</v>
      </c>
      <c r="B64" s="50" t="n">
        <v>7</v>
      </c>
      <c r="C64" s="51">
        <f>INDEX(Employees!$B$5:$B$29,$A64)&amp;""</f>
        <v/>
      </c>
      <c r="D64" s="52">
        <f>INDEX(Periods!$B$5:$B$57,$B64)</f>
        <v/>
      </c>
      <c r="E64" s="52">
        <f>INDEX(Periods!$C$5:$C$57,$B64)</f>
        <v/>
      </c>
      <c r="F64" s="50">
        <f>IF(AND($C64&lt;&gt;"",INDEX(Periods!$D$5:$D$57,$B64)=1),1,0)</f>
        <v/>
      </c>
      <c r="G64" s="50">
        <f>IF($F64=0,0,IF(AND(OR(INDEX(Employees!$D$5:$D$29,$A64)="",$E64&gt;=INDEX(Employees!$D$5:$D$29,$A64)+N(INDEX(Employees!$U$5:$U$29,$A64))),OR(INDEX(Employees!$E$5:$E$29,$A64)="",$D64&lt;=INDEX(Employees!$E$5:$E$29,$A64))),1,0))</f>
        <v/>
      </c>
      <c r="H64" s="50">
        <f>IF($G64=0,0,IF(INDEX(Employees!$D$5:$D$29,$A64)="",0,DATEDIF(INDEX(Employees!$D$5:$D$29,$A64),$E64,"y")))</f>
        <v/>
      </c>
      <c r="I64" s="51">
        <f>IF($G64=0,0,IF(INDEX('Hours Worked'!$D$5:$BD$29,$A64,$B64)="",N(INDEX(Employees!$H$5:$H$29,$A64)),INDEX('Hours Worked'!$D$5:$BD$29,$A64,$B64)))</f>
        <v/>
      </c>
      <c r="J64" s="51">
        <f>IF(OR($G64=0,INDEX(Employees!$O$5:$O$29,$A64)&lt;&gt;"Yes"),0,IF(COUNTIF(Settings!$D$4:$D$9,"&lt;="&amp;$H64)=0,0,INDEX(Settings!$E$4:$E$9,COUNTIF(Settings!$D$4:$D$9,"&lt;="&amp;$H64))))</f>
        <v/>
      </c>
      <c r="K64" s="51">
        <f>IF($G64=0,0,IF(INDEX(Employees!$I$5:$I$29,$A64)="Per pay period",(N(INDEX(Employees!$J$5:$J$29,$A64))+$J64)/Settings!$B$13,IF(INDEX(Employees!$I$5:$I$29,$A64)="Per hour worked",N(INDEX(Employees!$K$5:$K$29,$A64))*$I64,IF(INDEX(Employees!$I$5:$I$29,$A64)="Front-loaded",IF(OR($B64=1,N($G63)=0),N(INDEX(Employees!$J$5:$J$29,$A64))+$J64,0),0))))</f>
        <v/>
      </c>
      <c r="L64" s="51">
        <f>IF($F64=0,0,SUMIFS('Time Off Log'!$H$5:$H$504,'Time Off Log'!$A$5:$A$504,$C64,'Time Off Log'!$B$5:$B$504,"PTO",'Time Off Log'!$E$5:$E$504,"Approved",'Time Off Log'!$C$5:$C$504,"&gt;="&amp;INDEX(Periods!$E$5:$E$57,$B64),'Time Off Log'!$C$5:$C$504,"&lt;="&amp;INDEX(Periods!$F$5:$F$57,$B64)))</f>
        <v/>
      </c>
      <c r="M64" s="51">
        <f>IF($B64=1,N(INDEX(Employees!$N$5:$N$29,$A64)),P63)</f>
        <v/>
      </c>
      <c r="N64" s="51">
        <f>IF(INDEX(Employees!$L$5:$L$29,$A64)="",K64,MAX(0,MIN(K64,INDEX(Employees!$L$5:$L$29,$A64)-(M64-L64))))</f>
        <v/>
      </c>
      <c r="O64" s="51">
        <f>K64-N64</f>
        <v/>
      </c>
      <c r="P64" s="51">
        <f>M64-L64+N64</f>
        <v/>
      </c>
      <c r="Q64" s="51">
        <f>IF($G64=0,0,IF(INDEX(Employees!$P$5:$P$29,$A64)="Per pay period",(N(INDEX(Employees!$Q$5:$Q$29,$A64)))/Settings!$B$13,IF(INDEX(Employees!$P$5:$P$29,$A64)="Per hour worked",N(INDEX(Employees!$R$5:$R$29,$A64))*$I64,IF(INDEX(Employees!$P$5:$P$29,$A64)="Front-loaded",IF(OR($B64=1,N($G63)=0),N(INDEX(Employees!$Q$5:$Q$29,$A64)),0),0))))</f>
        <v/>
      </c>
      <c r="R64" s="51">
        <f>IF($F64=0,0,SUMIFS('Time Off Log'!$H$5:$H$504,'Time Off Log'!$A$5:$A$504,$C64,'Time Off Log'!$B$5:$B$504,"Sick",'Time Off Log'!$E$5:$E$504,"Approved",'Time Off Log'!$C$5:$C$504,"&gt;="&amp;INDEX(Periods!$E$5:$E$57,$B64),'Time Off Log'!$C$5:$C$504,"&lt;="&amp;INDEX(Periods!$F$5:$F$57,$B64)))</f>
        <v/>
      </c>
      <c r="S64" s="51">
        <f>IF($B64=1,N(INDEX(Employees!$T$5:$T$29,$A64)),V63)</f>
        <v/>
      </c>
      <c r="T64" s="51">
        <f>IF(INDEX(Employees!$S$5:$S$29,$A64)="",Q64,MAX(0,MIN(Q64,INDEX(Employees!$S$5:$S$29,$A64)-(S64-R64))))</f>
        <v/>
      </c>
      <c r="U64" s="51">
        <f>Q64-T64</f>
        <v/>
      </c>
      <c r="V64" s="51">
        <f>S64-R64+T64</f>
        <v/>
      </c>
    </row>
    <row r="65">
      <c r="A65" s="50" t="n">
        <v>2</v>
      </c>
      <c r="B65" s="50" t="n">
        <v>8</v>
      </c>
      <c r="C65" s="51">
        <f>INDEX(Employees!$B$5:$B$29,$A65)&amp;""</f>
        <v/>
      </c>
      <c r="D65" s="52">
        <f>INDEX(Periods!$B$5:$B$57,$B65)</f>
        <v/>
      </c>
      <c r="E65" s="52">
        <f>INDEX(Periods!$C$5:$C$57,$B65)</f>
        <v/>
      </c>
      <c r="F65" s="50">
        <f>IF(AND($C65&lt;&gt;"",INDEX(Periods!$D$5:$D$57,$B65)=1),1,0)</f>
        <v/>
      </c>
      <c r="G65" s="50">
        <f>IF($F65=0,0,IF(AND(OR(INDEX(Employees!$D$5:$D$29,$A65)="",$E65&gt;=INDEX(Employees!$D$5:$D$29,$A65)+N(INDEX(Employees!$U$5:$U$29,$A65))),OR(INDEX(Employees!$E$5:$E$29,$A65)="",$D65&lt;=INDEX(Employees!$E$5:$E$29,$A65))),1,0))</f>
        <v/>
      </c>
      <c r="H65" s="50">
        <f>IF($G65=0,0,IF(INDEX(Employees!$D$5:$D$29,$A65)="",0,DATEDIF(INDEX(Employees!$D$5:$D$29,$A65),$E65,"y")))</f>
        <v/>
      </c>
      <c r="I65" s="51">
        <f>IF($G65=0,0,IF(INDEX('Hours Worked'!$D$5:$BD$29,$A65,$B65)="",N(INDEX(Employees!$H$5:$H$29,$A65)),INDEX('Hours Worked'!$D$5:$BD$29,$A65,$B65)))</f>
        <v/>
      </c>
      <c r="J65" s="51">
        <f>IF(OR($G65=0,INDEX(Employees!$O$5:$O$29,$A65)&lt;&gt;"Yes"),0,IF(COUNTIF(Settings!$D$4:$D$9,"&lt;="&amp;$H65)=0,0,INDEX(Settings!$E$4:$E$9,COUNTIF(Settings!$D$4:$D$9,"&lt;="&amp;$H65))))</f>
        <v/>
      </c>
      <c r="K65" s="51">
        <f>IF($G65=0,0,IF(INDEX(Employees!$I$5:$I$29,$A65)="Per pay period",(N(INDEX(Employees!$J$5:$J$29,$A65))+$J65)/Settings!$B$13,IF(INDEX(Employees!$I$5:$I$29,$A65)="Per hour worked",N(INDEX(Employees!$K$5:$K$29,$A65))*$I65,IF(INDEX(Employees!$I$5:$I$29,$A65)="Front-loaded",IF(OR($B65=1,N($G64)=0),N(INDEX(Employees!$J$5:$J$29,$A65))+$J65,0),0))))</f>
        <v/>
      </c>
      <c r="L65" s="51">
        <f>IF($F65=0,0,SUMIFS('Time Off Log'!$H$5:$H$504,'Time Off Log'!$A$5:$A$504,$C65,'Time Off Log'!$B$5:$B$504,"PTO",'Time Off Log'!$E$5:$E$504,"Approved",'Time Off Log'!$C$5:$C$504,"&gt;="&amp;INDEX(Periods!$E$5:$E$57,$B65),'Time Off Log'!$C$5:$C$504,"&lt;="&amp;INDEX(Periods!$F$5:$F$57,$B65)))</f>
        <v/>
      </c>
      <c r="M65" s="51">
        <f>IF($B65=1,N(INDEX(Employees!$N$5:$N$29,$A65)),P64)</f>
        <v/>
      </c>
      <c r="N65" s="51">
        <f>IF(INDEX(Employees!$L$5:$L$29,$A65)="",K65,MAX(0,MIN(K65,INDEX(Employees!$L$5:$L$29,$A65)-(M65-L65))))</f>
        <v/>
      </c>
      <c r="O65" s="51">
        <f>K65-N65</f>
        <v/>
      </c>
      <c r="P65" s="51">
        <f>M65-L65+N65</f>
        <v/>
      </c>
      <c r="Q65" s="51">
        <f>IF($G65=0,0,IF(INDEX(Employees!$P$5:$P$29,$A65)="Per pay period",(N(INDEX(Employees!$Q$5:$Q$29,$A65)))/Settings!$B$13,IF(INDEX(Employees!$P$5:$P$29,$A65)="Per hour worked",N(INDEX(Employees!$R$5:$R$29,$A65))*$I65,IF(INDEX(Employees!$P$5:$P$29,$A65)="Front-loaded",IF(OR($B65=1,N($G64)=0),N(INDEX(Employees!$Q$5:$Q$29,$A65)),0),0))))</f>
        <v/>
      </c>
      <c r="R65" s="51">
        <f>IF($F65=0,0,SUMIFS('Time Off Log'!$H$5:$H$504,'Time Off Log'!$A$5:$A$504,$C65,'Time Off Log'!$B$5:$B$504,"Sick",'Time Off Log'!$E$5:$E$504,"Approved",'Time Off Log'!$C$5:$C$504,"&gt;="&amp;INDEX(Periods!$E$5:$E$57,$B65),'Time Off Log'!$C$5:$C$504,"&lt;="&amp;INDEX(Periods!$F$5:$F$57,$B65)))</f>
        <v/>
      </c>
      <c r="S65" s="51">
        <f>IF($B65=1,N(INDEX(Employees!$T$5:$T$29,$A65)),V64)</f>
        <v/>
      </c>
      <c r="T65" s="51">
        <f>IF(INDEX(Employees!$S$5:$S$29,$A65)="",Q65,MAX(0,MIN(Q65,INDEX(Employees!$S$5:$S$29,$A65)-(S65-R65))))</f>
        <v/>
      </c>
      <c r="U65" s="51">
        <f>Q65-T65</f>
        <v/>
      </c>
      <c r="V65" s="51">
        <f>S65-R65+T65</f>
        <v/>
      </c>
    </row>
    <row r="66">
      <c r="A66" s="50" t="n">
        <v>2</v>
      </c>
      <c r="B66" s="50" t="n">
        <v>9</v>
      </c>
      <c r="C66" s="51">
        <f>INDEX(Employees!$B$5:$B$29,$A66)&amp;""</f>
        <v/>
      </c>
      <c r="D66" s="52">
        <f>INDEX(Periods!$B$5:$B$57,$B66)</f>
        <v/>
      </c>
      <c r="E66" s="52">
        <f>INDEX(Periods!$C$5:$C$57,$B66)</f>
        <v/>
      </c>
      <c r="F66" s="50">
        <f>IF(AND($C66&lt;&gt;"",INDEX(Periods!$D$5:$D$57,$B66)=1),1,0)</f>
        <v/>
      </c>
      <c r="G66" s="50">
        <f>IF($F66=0,0,IF(AND(OR(INDEX(Employees!$D$5:$D$29,$A66)="",$E66&gt;=INDEX(Employees!$D$5:$D$29,$A66)+N(INDEX(Employees!$U$5:$U$29,$A66))),OR(INDEX(Employees!$E$5:$E$29,$A66)="",$D66&lt;=INDEX(Employees!$E$5:$E$29,$A66))),1,0))</f>
        <v/>
      </c>
      <c r="H66" s="50">
        <f>IF($G66=0,0,IF(INDEX(Employees!$D$5:$D$29,$A66)="",0,DATEDIF(INDEX(Employees!$D$5:$D$29,$A66),$E66,"y")))</f>
        <v/>
      </c>
      <c r="I66" s="51">
        <f>IF($G66=0,0,IF(INDEX('Hours Worked'!$D$5:$BD$29,$A66,$B66)="",N(INDEX(Employees!$H$5:$H$29,$A66)),INDEX('Hours Worked'!$D$5:$BD$29,$A66,$B66)))</f>
        <v/>
      </c>
      <c r="J66" s="51">
        <f>IF(OR($G66=0,INDEX(Employees!$O$5:$O$29,$A66)&lt;&gt;"Yes"),0,IF(COUNTIF(Settings!$D$4:$D$9,"&lt;="&amp;$H66)=0,0,INDEX(Settings!$E$4:$E$9,COUNTIF(Settings!$D$4:$D$9,"&lt;="&amp;$H66))))</f>
        <v/>
      </c>
      <c r="K66" s="51">
        <f>IF($G66=0,0,IF(INDEX(Employees!$I$5:$I$29,$A66)="Per pay period",(N(INDEX(Employees!$J$5:$J$29,$A66))+$J66)/Settings!$B$13,IF(INDEX(Employees!$I$5:$I$29,$A66)="Per hour worked",N(INDEX(Employees!$K$5:$K$29,$A66))*$I66,IF(INDEX(Employees!$I$5:$I$29,$A66)="Front-loaded",IF(OR($B66=1,N($G65)=0),N(INDEX(Employees!$J$5:$J$29,$A66))+$J66,0),0))))</f>
        <v/>
      </c>
      <c r="L66" s="51">
        <f>IF($F66=0,0,SUMIFS('Time Off Log'!$H$5:$H$504,'Time Off Log'!$A$5:$A$504,$C66,'Time Off Log'!$B$5:$B$504,"PTO",'Time Off Log'!$E$5:$E$504,"Approved",'Time Off Log'!$C$5:$C$504,"&gt;="&amp;INDEX(Periods!$E$5:$E$57,$B66),'Time Off Log'!$C$5:$C$504,"&lt;="&amp;INDEX(Periods!$F$5:$F$57,$B66)))</f>
        <v/>
      </c>
      <c r="M66" s="51">
        <f>IF($B66=1,N(INDEX(Employees!$N$5:$N$29,$A66)),P65)</f>
        <v/>
      </c>
      <c r="N66" s="51">
        <f>IF(INDEX(Employees!$L$5:$L$29,$A66)="",K66,MAX(0,MIN(K66,INDEX(Employees!$L$5:$L$29,$A66)-(M66-L66))))</f>
        <v/>
      </c>
      <c r="O66" s="51">
        <f>K66-N66</f>
        <v/>
      </c>
      <c r="P66" s="51">
        <f>M66-L66+N66</f>
        <v/>
      </c>
      <c r="Q66" s="51">
        <f>IF($G66=0,0,IF(INDEX(Employees!$P$5:$P$29,$A66)="Per pay period",(N(INDEX(Employees!$Q$5:$Q$29,$A66)))/Settings!$B$13,IF(INDEX(Employees!$P$5:$P$29,$A66)="Per hour worked",N(INDEX(Employees!$R$5:$R$29,$A66))*$I66,IF(INDEX(Employees!$P$5:$P$29,$A66)="Front-loaded",IF(OR($B66=1,N($G65)=0),N(INDEX(Employees!$Q$5:$Q$29,$A66)),0),0))))</f>
        <v/>
      </c>
      <c r="R66" s="51">
        <f>IF($F66=0,0,SUMIFS('Time Off Log'!$H$5:$H$504,'Time Off Log'!$A$5:$A$504,$C66,'Time Off Log'!$B$5:$B$504,"Sick",'Time Off Log'!$E$5:$E$504,"Approved",'Time Off Log'!$C$5:$C$504,"&gt;="&amp;INDEX(Periods!$E$5:$E$57,$B66),'Time Off Log'!$C$5:$C$504,"&lt;="&amp;INDEX(Periods!$F$5:$F$57,$B66)))</f>
        <v/>
      </c>
      <c r="S66" s="51">
        <f>IF($B66=1,N(INDEX(Employees!$T$5:$T$29,$A66)),V65)</f>
        <v/>
      </c>
      <c r="T66" s="51">
        <f>IF(INDEX(Employees!$S$5:$S$29,$A66)="",Q66,MAX(0,MIN(Q66,INDEX(Employees!$S$5:$S$29,$A66)-(S66-R66))))</f>
        <v/>
      </c>
      <c r="U66" s="51">
        <f>Q66-T66</f>
        <v/>
      </c>
      <c r="V66" s="51">
        <f>S66-R66+T66</f>
        <v/>
      </c>
    </row>
    <row r="67">
      <c r="A67" s="50" t="n">
        <v>2</v>
      </c>
      <c r="B67" s="50" t="n">
        <v>10</v>
      </c>
      <c r="C67" s="51">
        <f>INDEX(Employees!$B$5:$B$29,$A67)&amp;""</f>
        <v/>
      </c>
      <c r="D67" s="52">
        <f>INDEX(Periods!$B$5:$B$57,$B67)</f>
        <v/>
      </c>
      <c r="E67" s="52">
        <f>INDEX(Periods!$C$5:$C$57,$B67)</f>
        <v/>
      </c>
      <c r="F67" s="50">
        <f>IF(AND($C67&lt;&gt;"",INDEX(Periods!$D$5:$D$57,$B67)=1),1,0)</f>
        <v/>
      </c>
      <c r="G67" s="50">
        <f>IF($F67=0,0,IF(AND(OR(INDEX(Employees!$D$5:$D$29,$A67)="",$E67&gt;=INDEX(Employees!$D$5:$D$29,$A67)+N(INDEX(Employees!$U$5:$U$29,$A67))),OR(INDEX(Employees!$E$5:$E$29,$A67)="",$D67&lt;=INDEX(Employees!$E$5:$E$29,$A67))),1,0))</f>
        <v/>
      </c>
      <c r="H67" s="50">
        <f>IF($G67=0,0,IF(INDEX(Employees!$D$5:$D$29,$A67)="",0,DATEDIF(INDEX(Employees!$D$5:$D$29,$A67),$E67,"y")))</f>
        <v/>
      </c>
      <c r="I67" s="51">
        <f>IF($G67=0,0,IF(INDEX('Hours Worked'!$D$5:$BD$29,$A67,$B67)="",N(INDEX(Employees!$H$5:$H$29,$A67)),INDEX('Hours Worked'!$D$5:$BD$29,$A67,$B67)))</f>
        <v/>
      </c>
      <c r="J67" s="51">
        <f>IF(OR($G67=0,INDEX(Employees!$O$5:$O$29,$A67)&lt;&gt;"Yes"),0,IF(COUNTIF(Settings!$D$4:$D$9,"&lt;="&amp;$H67)=0,0,INDEX(Settings!$E$4:$E$9,COUNTIF(Settings!$D$4:$D$9,"&lt;="&amp;$H67))))</f>
        <v/>
      </c>
      <c r="K67" s="51">
        <f>IF($G67=0,0,IF(INDEX(Employees!$I$5:$I$29,$A67)="Per pay period",(N(INDEX(Employees!$J$5:$J$29,$A67))+$J67)/Settings!$B$13,IF(INDEX(Employees!$I$5:$I$29,$A67)="Per hour worked",N(INDEX(Employees!$K$5:$K$29,$A67))*$I67,IF(INDEX(Employees!$I$5:$I$29,$A67)="Front-loaded",IF(OR($B67=1,N($G66)=0),N(INDEX(Employees!$J$5:$J$29,$A67))+$J67,0),0))))</f>
        <v/>
      </c>
      <c r="L67" s="51">
        <f>IF($F67=0,0,SUMIFS('Time Off Log'!$H$5:$H$504,'Time Off Log'!$A$5:$A$504,$C67,'Time Off Log'!$B$5:$B$504,"PTO",'Time Off Log'!$E$5:$E$504,"Approved",'Time Off Log'!$C$5:$C$504,"&gt;="&amp;INDEX(Periods!$E$5:$E$57,$B67),'Time Off Log'!$C$5:$C$504,"&lt;="&amp;INDEX(Periods!$F$5:$F$57,$B67)))</f>
        <v/>
      </c>
      <c r="M67" s="51">
        <f>IF($B67=1,N(INDEX(Employees!$N$5:$N$29,$A67)),P66)</f>
        <v/>
      </c>
      <c r="N67" s="51">
        <f>IF(INDEX(Employees!$L$5:$L$29,$A67)="",K67,MAX(0,MIN(K67,INDEX(Employees!$L$5:$L$29,$A67)-(M67-L67))))</f>
        <v/>
      </c>
      <c r="O67" s="51">
        <f>K67-N67</f>
        <v/>
      </c>
      <c r="P67" s="51">
        <f>M67-L67+N67</f>
        <v/>
      </c>
      <c r="Q67" s="51">
        <f>IF($G67=0,0,IF(INDEX(Employees!$P$5:$P$29,$A67)="Per pay period",(N(INDEX(Employees!$Q$5:$Q$29,$A67)))/Settings!$B$13,IF(INDEX(Employees!$P$5:$P$29,$A67)="Per hour worked",N(INDEX(Employees!$R$5:$R$29,$A67))*$I67,IF(INDEX(Employees!$P$5:$P$29,$A67)="Front-loaded",IF(OR($B67=1,N($G66)=0),N(INDEX(Employees!$Q$5:$Q$29,$A67)),0),0))))</f>
        <v/>
      </c>
      <c r="R67" s="51">
        <f>IF($F67=0,0,SUMIFS('Time Off Log'!$H$5:$H$504,'Time Off Log'!$A$5:$A$504,$C67,'Time Off Log'!$B$5:$B$504,"Sick",'Time Off Log'!$E$5:$E$504,"Approved",'Time Off Log'!$C$5:$C$504,"&gt;="&amp;INDEX(Periods!$E$5:$E$57,$B67),'Time Off Log'!$C$5:$C$504,"&lt;="&amp;INDEX(Periods!$F$5:$F$57,$B67)))</f>
        <v/>
      </c>
      <c r="S67" s="51">
        <f>IF($B67=1,N(INDEX(Employees!$T$5:$T$29,$A67)),V66)</f>
        <v/>
      </c>
      <c r="T67" s="51">
        <f>IF(INDEX(Employees!$S$5:$S$29,$A67)="",Q67,MAX(0,MIN(Q67,INDEX(Employees!$S$5:$S$29,$A67)-(S67-R67))))</f>
        <v/>
      </c>
      <c r="U67" s="51">
        <f>Q67-T67</f>
        <v/>
      </c>
      <c r="V67" s="51">
        <f>S67-R67+T67</f>
        <v/>
      </c>
    </row>
    <row r="68">
      <c r="A68" s="50" t="n">
        <v>2</v>
      </c>
      <c r="B68" s="50" t="n">
        <v>11</v>
      </c>
      <c r="C68" s="51">
        <f>INDEX(Employees!$B$5:$B$29,$A68)&amp;""</f>
        <v/>
      </c>
      <c r="D68" s="52">
        <f>INDEX(Periods!$B$5:$B$57,$B68)</f>
        <v/>
      </c>
      <c r="E68" s="52">
        <f>INDEX(Periods!$C$5:$C$57,$B68)</f>
        <v/>
      </c>
      <c r="F68" s="50">
        <f>IF(AND($C68&lt;&gt;"",INDEX(Periods!$D$5:$D$57,$B68)=1),1,0)</f>
        <v/>
      </c>
      <c r="G68" s="50">
        <f>IF($F68=0,0,IF(AND(OR(INDEX(Employees!$D$5:$D$29,$A68)="",$E68&gt;=INDEX(Employees!$D$5:$D$29,$A68)+N(INDEX(Employees!$U$5:$U$29,$A68))),OR(INDEX(Employees!$E$5:$E$29,$A68)="",$D68&lt;=INDEX(Employees!$E$5:$E$29,$A68))),1,0))</f>
        <v/>
      </c>
      <c r="H68" s="50">
        <f>IF($G68=0,0,IF(INDEX(Employees!$D$5:$D$29,$A68)="",0,DATEDIF(INDEX(Employees!$D$5:$D$29,$A68),$E68,"y")))</f>
        <v/>
      </c>
      <c r="I68" s="51">
        <f>IF($G68=0,0,IF(INDEX('Hours Worked'!$D$5:$BD$29,$A68,$B68)="",N(INDEX(Employees!$H$5:$H$29,$A68)),INDEX('Hours Worked'!$D$5:$BD$29,$A68,$B68)))</f>
        <v/>
      </c>
      <c r="J68" s="51">
        <f>IF(OR($G68=0,INDEX(Employees!$O$5:$O$29,$A68)&lt;&gt;"Yes"),0,IF(COUNTIF(Settings!$D$4:$D$9,"&lt;="&amp;$H68)=0,0,INDEX(Settings!$E$4:$E$9,COUNTIF(Settings!$D$4:$D$9,"&lt;="&amp;$H68))))</f>
        <v/>
      </c>
      <c r="K68" s="51">
        <f>IF($G68=0,0,IF(INDEX(Employees!$I$5:$I$29,$A68)="Per pay period",(N(INDEX(Employees!$J$5:$J$29,$A68))+$J68)/Settings!$B$13,IF(INDEX(Employees!$I$5:$I$29,$A68)="Per hour worked",N(INDEX(Employees!$K$5:$K$29,$A68))*$I68,IF(INDEX(Employees!$I$5:$I$29,$A68)="Front-loaded",IF(OR($B68=1,N($G67)=0),N(INDEX(Employees!$J$5:$J$29,$A68))+$J68,0),0))))</f>
        <v/>
      </c>
      <c r="L68" s="51">
        <f>IF($F68=0,0,SUMIFS('Time Off Log'!$H$5:$H$504,'Time Off Log'!$A$5:$A$504,$C68,'Time Off Log'!$B$5:$B$504,"PTO",'Time Off Log'!$E$5:$E$504,"Approved",'Time Off Log'!$C$5:$C$504,"&gt;="&amp;INDEX(Periods!$E$5:$E$57,$B68),'Time Off Log'!$C$5:$C$504,"&lt;="&amp;INDEX(Periods!$F$5:$F$57,$B68)))</f>
        <v/>
      </c>
      <c r="M68" s="51">
        <f>IF($B68=1,N(INDEX(Employees!$N$5:$N$29,$A68)),P67)</f>
        <v/>
      </c>
      <c r="N68" s="51">
        <f>IF(INDEX(Employees!$L$5:$L$29,$A68)="",K68,MAX(0,MIN(K68,INDEX(Employees!$L$5:$L$29,$A68)-(M68-L68))))</f>
        <v/>
      </c>
      <c r="O68" s="51">
        <f>K68-N68</f>
        <v/>
      </c>
      <c r="P68" s="51">
        <f>M68-L68+N68</f>
        <v/>
      </c>
      <c r="Q68" s="51">
        <f>IF($G68=0,0,IF(INDEX(Employees!$P$5:$P$29,$A68)="Per pay period",(N(INDEX(Employees!$Q$5:$Q$29,$A68)))/Settings!$B$13,IF(INDEX(Employees!$P$5:$P$29,$A68)="Per hour worked",N(INDEX(Employees!$R$5:$R$29,$A68))*$I68,IF(INDEX(Employees!$P$5:$P$29,$A68)="Front-loaded",IF(OR($B68=1,N($G67)=0),N(INDEX(Employees!$Q$5:$Q$29,$A68)),0),0))))</f>
        <v/>
      </c>
      <c r="R68" s="51">
        <f>IF($F68=0,0,SUMIFS('Time Off Log'!$H$5:$H$504,'Time Off Log'!$A$5:$A$504,$C68,'Time Off Log'!$B$5:$B$504,"Sick",'Time Off Log'!$E$5:$E$504,"Approved",'Time Off Log'!$C$5:$C$504,"&gt;="&amp;INDEX(Periods!$E$5:$E$57,$B68),'Time Off Log'!$C$5:$C$504,"&lt;="&amp;INDEX(Periods!$F$5:$F$57,$B68)))</f>
        <v/>
      </c>
      <c r="S68" s="51">
        <f>IF($B68=1,N(INDEX(Employees!$T$5:$T$29,$A68)),V67)</f>
        <v/>
      </c>
      <c r="T68" s="51">
        <f>IF(INDEX(Employees!$S$5:$S$29,$A68)="",Q68,MAX(0,MIN(Q68,INDEX(Employees!$S$5:$S$29,$A68)-(S68-R68))))</f>
        <v/>
      </c>
      <c r="U68" s="51">
        <f>Q68-T68</f>
        <v/>
      </c>
      <c r="V68" s="51">
        <f>S68-R68+T68</f>
        <v/>
      </c>
    </row>
    <row r="69">
      <c r="A69" s="50" t="n">
        <v>2</v>
      </c>
      <c r="B69" s="50" t="n">
        <v>12</v>
      </c>
      <c r="C69" s="51">
        <f>INDEX(Employees!$B$5:$B$29,$A69)&amp;""</f>
        <v/>
      </c>
      <c r="D69" s="52">
        <f>INDEX(Periods!$B$5:$B$57,$B69)</f>
        <v/>
      </c>
      <c r="E69" s="52">
        <f>INDEX(Periods!$C$5:$C$57,$B69)</f>
        <v/>
      </c>
      <c r="F69" s="50">
        <f>IF(AND($C69&lt;&gt;"",INDEX(Periods!$D$5:$D$57,$B69)=1),1,0)</f>
        <v/>
      </c>
      <c r="G69" s="50">
        <f>IF($F69=0,0,IF(AND(OR(INDEX(Employees!$D$5:$D$29,$A69)="",$E69&gt;=INDEX(Employees!$D$5:$D$29,$A69)+N(INDEX(Employees!$U$5:$U$29,$A69))),OR(INDEX(Employees!$E$5:$E$29,$A69)="",$D69&lt;=INDEX(Employees!$E$5:$E$29,$A69))),1,0))</f>
        <v/>
      </c>
      <c r="H69" s="50">
        <f>IF($G69=0,0,IF(INDEX(Employees!$D$5:$D$29,$A69)="",0,DATEDIF(INDEX(Employees!$D$5:$D$29,$A69),$E69,"y")))</f>
        <v/>
      </c>
      <c r="I69" s="51">
        <f>IF($G69=0,0,IF(INDEX('Hours Worked'!$D$5:$BD$29,$A69,$B69)="",N(INDEX(Employees!$H$5:$H$29,$A69)),INDEX('Hours Worked'!$D$5:$BD$29,$A69,$B69)))</f>
        <v/>
      </c>
      <c r="J69" s="51">
        <f>IF(OR($G69=0,INDEX(Employees!$O$5:$O$29,$A69)&lt;&gt;"Yes"),0,IF(COUNTIF(Settings!$D$4:$D$9,"&lt;="&amp;$H69)=0,0,INDEX(Settings!$E$4:$E$9,COUNTIF(Settings!$D$4:$D$9,"&lt;="&amp;$H69))))</f>
        <v/>
      </c>
      <c r="K69" s="51">
        <f>IF($G69=0,0,IF(INDEX(Employees!$I$5:$I$29,$A69)="Per pay period",(N(INDEX(Employees!$J$5:$J$29,$A69))+$J69)/Settings!$B$13,IF(INDEX(Employees!$I$5:$I$29,$A69)="Per hour worked",N(INDEX(Employees!$K$5:$K$29,$A69))*$I69,IF(INDEX(Employees!$I$5:$I$29,$A69)="Front-loaded",IF(OR($B69=1,N($G68)=0),N(INDEX(Employees!$J$5:$J$29,$A69))+$J69,0),0))))</f>
        <v/>
      </c>
      <c r="L69" s="51">
        <f>IF($F69=0,0,SUMIFS('Time Off Log'!$H$5:$H$504,'Time Off Log'!$A$5:$A$504,$C69,'Time Off Log'!$B$5:$B$504,"PTO",'Time Off Log'!$E$5:$E$504,"Approved",'Time Off Log'!$C$5:$C$504,"&gt;="&amp;INDEX(Periods!$E$5:$E$57,$B69),'Time Off Log'!$C$5:$C$504,"&lt;="&amp;INDEX(Periods!$F$5:$F$57,$B69)))</f>
        <v/>
      </c>
      <c r="M69" s="51">
        <f>IF($B69=1,N(INDEX(Employees!$N$5:$N$29,$A69)),P68)</f>
        <v/>
      </c>
      <c r="N69" s="51">
        <f>IF(INDEX(Employees!$L$5:$L$29,$A69)="",K69,MAX(0,MIN(K69,INDEX(Employees!$L$5:$L$29,$A69)-(M69-L69))))</f>
        <v/>
      </c>
      <c r="O69" s="51">
        <f>K69-N69</f>
        <v/>
      </c>
      <c r="P69" s="51">
        <f>M69-L69+N69</f>
        <v/>
      </c>
      <c r="Q69" s="51">
        <f>IF($G69=0,0,IF(INDEX(Employees!$P$5:$P$29,$A69)="Per pay period",(N(INDEX(Employees!$Q$5:$Q$29,$A69)))/Settings!$B$13,IF(INDEX(Employees!$P$5:$P$29,$A69)="Per hour worked",N(INDEX(Employees!$R$5:$R$29,$A69))*$I69,IF(INDEX(Employees!$P$5:$P$29,$A69)="Front-loaded",IF(OR($B69=1,N($G68)=0),N(INDEX(Employees!$Q$5:$Q$29,$A69)),0),0))))</f>
        <v/>
      </c>
      <c r="R69" s="51">
        <f>IF($F69=0,0,SUMIFS('Time Off Log'!$H$5:$H$504,'Time Off Log'!$A$5:$A$504,$C69,'Time Off Log'!$B$5:$B$504,"Sick",'Time Off Log'!$E$5:$E$504,"Approved",'Time Off Log'!$C$5:$C$504,"&gt;="&amp;INDEX(Periods!$E$5:$E$57,$B69),'Time Off Log'!$C$5:$C$504,"&lt;="&amp;INDEX(Periods!$F$5:$F$57,$B69)))</f>
        <v/>
      </c>
      <c r="S69" s="51">
        <f>IF($B69=1,N(INDEX(Employees!$T$5:$T$29,$A69)),V68)</f>
        <v/>
      </c>
      <c r="T69" s="51">
        <f>IF(INDEX(Employees!$S$5:$S$29,$A69)="",Q69,MAX(0,MIN(Q69,INDEX(Employees!$S$5:$S$29,$A69)-(S69-R69))))</f>
        <v/>
      </c>
      <c r="U69" s="51">
        <f>Q69-T69</f>
        <v/>
      </c>
      <c r="V69" s="51">
        <f>S69-R69+T69</f>
        <v/>
      </c>
    </row>
    <row r="70">
      <c r="A70" s="50" t="n">
        <v>2</v>
      </c>
      <c r="B70" s="50" t="n">
        <v>13</v>
      </c>
      <c r="C70" s="51">
        <f>INDEX(Employees!$B$5:$B$29,$A70)&amp;""</f>
        <v/>
      </c>
      <c r="D70" s="52">
        <f>INDEX(Periods!$B$5:$B$57,$B70)</f>
        <v/>
      </c>
      <c r="E70" s="52">
        <f>INDEX(Periods!$C$5:$C$57,$B70)</f>
        <v/>
      </c>
      <c r="F70" s="50">
        <f>IF(AND($C70&lt;&gt;"",INDEX(Periods!$D$5:$D$57,$B70)=1),1,0)</f>
        <v/>
      </c>
      <c r="G70" s="50">
        <f>IF($F70=0,0,IF(AND(OR(INDEX(Employees!$D$5:$D$29,$A70)="",$E70&gt;=INDEX(Employees!$D$5:$D$29,$A70)+N(INDEX(Employees!$U$5:$U$29,$A70))),OR(INDEX(Employees!$E$5:$E$29,$A70)="",$D70&lt;=INDEX(Employees!$E$5:$E$29,$A70))),1,0))</f>
        <v/>
      </c>
      <c r="H70" s="50">
        <f>IF($G70=0,0,IF(INDEX(Employees!$D$5:$D$29,$A70)="",0,DATEDIF(INDEX(Employees!$D$5:$D$29,$A70),$E70,"y")))</f>
        <v/>
      </c>
      <c r="I70" s="51">
        <f>IF($G70=0,0,IF(INDEX('Hours Worked'!$D$5:$BD$29,$A70,$B70)="",N(INDEX(Employees!$H$5:$H$29,$A70)),INDEX('Hours Worked'!$D$5:$BD$29,$A70,$B70)))</f>
        <v/>
      </c>
      <c r="J70" s="51">
        <f>IF(OR($G70=0,INDEX(Employees!$O$5:$O$29,$A70)&lt;&gt;"Yes"),0,IF(COUNTIF(Settings!$D$4:$D$9,"&lt;="&amp;$H70)=0,0,INDEX(Settings!$E$4:$E$9,COUNTIF(Settings!$D$4:$D$9,"&lt;="&amp;$H70))))</f>
        <v/>
      </c>
      <c r="K70" s="51">
        <f>IF($G70=0,0,IF(INDEX(Employees!$I$5:$I$29,$A70)="Per pay period",(N(INDEX(Employees!$J$5:$J$29,$A70))+$J70)/Settings!$B$13,IF(INDEX(Employees!$I$5:$I$29,$A70)="Per hour worked",N(INDEX(Employees!$K$5:$K$29,$A70))*$I70,IF(INDEX(Employees!$I$5:$I$29,$A70)="Front-loaded",IF(OR($B70=1,N($G69)=0),N(INDEX(Employees!$J$5:$J$29,$A70))+$J70,0),0))))</f>
        <v/>
      </c>
      <c r="L70" s="51">
        <f>IF($F70=0,0,SUMIFS('Time Off Log'!$H$5:$H$504,'Time Off Log'!$A$5:$A$504,$C70,'Time Off Log'!$B$5:$B$504,"PTO",'Time Off Log'!$E$5:$E$504,"Approved",'Time Off Log'!$C$5:$C$504,"&gt;="&amp;INDEX(Periods!$E$5:$E$57,$B70),'Time Off Log'!$C$5:$C$504,"&lt;="&amp;INDEX(Periods!$F$5:$F$57,$B70)))</f>
        <v/>
      </c>
      <c r="M70" s="51">
        <f>IF($B70=1,N(INDEX(Employees!$N$5:$N$29,$A70)),P69)</f>
        <v/>
      </c>
      <c r="N70" s="51">
        <f>IF(INDEX(Employees!$L$5:$L$29,$A70)="",K70,MAX(0,MIN(K70,INDEX(Employees!$L$5:$L$29,$A70)-(M70-L70))))</f>
        <v/>
      </c>
      <c r="O70" s="51">
        <f>K70-N70</f>
        <v/>
      </c>
      <c r="P70" s="51">
        <f>M70-L70+N70</f>
        <v/>
      </c>
      <c r="Q70" s="51">
        <f>IF($G70=0,0,IF(INDEX(Employees!$P$5:$P$29,$A70)="Per pay period",(N(INDEX(Employees!$Q$5:$Q$29,$A70)))/Settings!$B$13,IF(INDEX(Employees!$P$5:$P$29,$A70)="Per hour worked",N(INDEX(Employees!$R$5:$R$29,$A70))*$I70,IF(INDEX(Employees!$P$5:$P$29,$A70)="Front-loaded",IF(OR($B70=1,N($G69)=0),N(INDEX(Employees!$Q$5:$Q$29,$A70)),0),0))))</f>
        <v/>
      </c>
      <c r="R70" s="51">
        <f>IF($F70=0,0,SUMIFS('Time Off Log'!$H$5:$H$504,'Time Off Log'!$A$5:$A$504,$C70,'Time Off Log'!$B$5:$B$504,"Sick",'Time Off Log'!$E$5:$E$504,"Approved",'Time Off Log'!$C$5:$C$504,"&gt;="&amp;INDEX(Periods!$E$5:$E$57,$B70),'Time Off Log'!$C$5:$C$504,"&lt;="&amp;INDEX(Periods!$F$5:$F$57,$B70)))</f>
        <v/>
      </c>
      <c r="S70" s="51">
        <f>IF($B70=1,N(INDEX(Employees!$T$5:$T$29,$A70)),V69)</f>
        <v/>
      </c>
      <c r="T70" s="51">
        <f>IF(INDEX(Employees!$S$5:$S$29,$A70)="",Q70,MAX(0,MIN(Q70,INDEX(Employees!$S$5:$S$29,$A70)-(S70-R70))))</f>
        <v/>
      </c>
      <c r="U70" s="51">
        <f>Q70-T70</f>
        <v/>
      </c>
      <c r="V70" s="51">
        <f>S70-R70+T70</f>
        <v/>
      </c>
    </row>
    <row r="71">
      <c r="A71" s="50" t="n">
        <v>2</v>
      </c>
      <c r="B71" s="50" t="n">
        <v>14</v>
      </c>
      <c r="C71" s="51">
        <f>INDEX(Employees!$B$5:$B$29,$A71)&amp;""</f>
        <v/>
      </c>
      <c r="D71" s="52">
        <f>INDEX(Periods!$B$5:$B$57,$B71)</f>
        <v/>
      </c>
      <c r="E71" s="52">
        <f>INDEX(Periods!$C$5:$C$57,$B71)</f>
        <v/>
      </c>
      <c r="F71" s="50">
        <f>IF(AND($C71&lt;&gt;"",INDEX(Periods!$D$5:$D$57,$B71)=1),1,0)</f>
        <v/>
      </c>
      <c r="G71" s="50">
        <f>IF($F71=0,0,IF(AND(OR(INDEX(Employees!$D$5:$D$29,$A71)="",$E71&gt;=INDEX(Employees!$D$5:$D$29,$A71)+N(INDEX(Employees!$U$5:$U$29,$A71))),OR(INDEX(Employees!$E$5:$E$29,$A71)="",$D71&lt;=INDEX(Employees!$E$5:$E$29,$A71))),1,0))</f>
        <v/>
      </c>
      <c r="H71" s="50">
        <f>IF($G71=0,0,IF(INDEX(Employees!$D$5:$D$29,$A71)="",0,DATEDIF(INDEX(Employees!$D$5:$D$29,$A71),$E71,"y")))</f>
        <v/>
      </c>
      <c r="I71" s="51">
        <f>IF($G71=0,0,IF(INDEX('Hours Worked'!$D$5:$BD$29,$A71,$B71)="",N(INDEX(Employees!$H$5:$H$29,$A71)),INDEX('Hours Worked'!$D$5:$BD$29,$A71,$B71)))</f>
        <v/>
      </c>
      <c r="J71" s="51">
        <f>IF(OR($G71=0,INDEX(Employees!$O$5:$O$29,$A71)&lt;&gt;"Yes"),0,IF(COUNTIF(Settings!$D$4:$D$9,"&lt;="&amp;$H71)=0,0,INDEX(Settings!$E$4:$E$9,COUNTIF(Settings!$D$4:$D$9,"&lt;="&amp;$H71))))</f>
        <v/>
      </c>
      <c r="K71" s="51">
        <f>IF($G71=0,0,IF(INDEX(Employees!$I$5:$I$29,$A71)="Per pay period",(N(INDEX(Employees!$J$5:$J$29,$A71))+$J71)/Settings!$B$13,IF(INDEX(Employees!$I$5:$I$29,$A71)="Per hour worked",N(INDEX(Employees!$K$5:$K$29,$A71))*$I71,IF(INDEX(Employees!$I$5:$I$29,$A71)="Front-loaded",IF(OR($B71=1,N($G70)=0),N(INDEX(Employees!$J$5:$J$29,$A71))+$J71,0),0))))</f>
        <v/>
      </c>
      <c r="L71" s="51">
        <f>IF($F71=0,0,SUMIFS('Time Off Log'!$H$5:$H$504,'Time Off Log'!$A$5:$A$504,$C71,'Time Off Log'!$B$5:$B$504,"PTO",'Time Off Log'!$E$5:$E$504,"Approved",'Time Off Log'!$C$5:$C$504,"&gt;="&amp;INDEX(Periods!$E$5:$E$57,$B71),'Time Off Log'!$C$5:$C$504,"&lt;="&amp;INDEX(Periods!$F$5:$F$57,$B71)))</f>
        <v/>
      </c>
      <c r="M71" s="51">
        <f>IF($B71=1,N(INDEX(Employees!$N$5:$N$29,$A71)),P70)</f>
        <v/>
      </c>
      <c r="N71" s="51">
        <f>IF(INDEX(Employees!$L$5:$L$29,$A71)="",K71,MAX(0,MIN(K71,INDEX(Employees!$L$5:$L$29,$A71)-(M71-L71))))</f>
        <v/>
      </c>
      <c r="O71" s="51">
        <f>K71-N71</f>
        <v/>
      </c>
      <c r="P71" s="51">
        <f>M71-L71+N71</f>
        <v/>
      </c>
      <c r="Q71" s="51">
        <f>IF($G71=0,0,IF(INDEX(Employees!$P$5:$P$29,$A71)="Per pay period",(N(INDEX(Employees!$Q$5:$Q$29,$A71)))/Settings!$B$13,IF(INDEX(Employees!$P$5:$P$29,$A71)="Per hour worked",N(INDEX(Employees!$R$5:$R$29,$A71))*$I71,IF(INDEX(Employees!$P$5:$P$29,$A71)="Front-loaded",IF(OR($B71=1,N($G70)=0),N(INDEX(Employees!$Q$5:$Q$29,$A71)),0),0))))</f>
        <v/>
      </c>
      <c r="R71" s="51">
        <f>IF($F71=0,0,SUMIFS('Time Off Log'!$H$5:$H$504,'Time Off Log'!$A$5:$A$504,$C71,'Time Off Log'!$B$5:$B$504,"Sick",'Time Off Log'!$E$5:$E$504,"Approved",'Time Off Log'!$C$5:$C$504,"&gt;="&amp;INDEX(Periods!$E$5:$E$57,$B71),'Time Off Log'!$C$5:$C$504,"&lt;="&amp;INDEX(Periods!$F$5:$F$57,$B71)))</f>
        <v/>
      </c>
      <c r="S71" s="51">
        <f>IF($B71=1,N(INDEX(Employees!$T$5:$T$29,$A71)),V70)</f>
        <v/>
      </c>
      <c r="T71" s="51">
        <f>IF(INDEX(Employees!$S$5:$S$29,$A71)="",Q71,MAX(0,MIN(Q71,INDEX(Employees!$S$5:$S$29,$A71)-(S71-R71))))</f>
        <v/>
      </c>
      <c r="U71" s="51">
        <f>Q71-T71</f>
        <v/>
      </c>
      <c r="V71" s="51">
        <f>S71-R71+T71</f>
        <v/>
      </c>
    </row>
    <row r="72">
      <c r="A72" s="50" t="n">
        <v>2</v>
      </c>
      <c r="B72" s="50" t="n">
        <v>15</v>
      </c>
      <c r="C72" s="51">
        <f>INDEX(Employees!$B$5:$B$29,$A72)&amp;""</f>
        <v/>
      </c>
      <c r="D72" s="52">
        <f>INDEX(Periods!$B$5:$B$57,$B72)</f>
        <v/>
      </c>
      <c r="E72" s="52">
        <f>INDEX(Periods!$C$5:$C$57,$B72)</f>
        <v/>
      </c>
      <c r="F72" s="50">
        <f>IF(AND($C72&lt;&gt;"",INDEX(Periods!$D$5:$D$57,$B72)=1),1,0)</f>
        <v/>
      </c>
      <c r="G72" s="50">
        <f>IF($F72=0,0,IF(AND(OR(INDEX(Employees!$D$5:$D$29,$A72)="",$E72&gt;=INDEX(Employees!$D$5:$D$29,$A72)+N(INDEX(Employees!$U$5:$U$29,$A72))),OR(INDEX(Employees!$E$5:$E$29,$A72)="",$D72&lt;=INDEX(Employees!$E$5:$E$29,$A72))),1,0))</f>
        <v/>
      </c>
      <c r="H72" s="50">
        <f>IF($G72=0,0,IF(INDEX(Employees!$D$5:$D$29,$A72)="",0,DATEDIF(INDEX(Employees!$D$5:$D$29,$A72),$E72,"y")))</f>
        <v/>
      </c>
      <c r="I72" s="51">
        <f>IF($G72=0,0,IF(INDEX('Hours Worked'!$D$5:$BD$29,$A72,$B72)="",N(INDEX(Employees!$H$5:$H$29,$A72)),INDEX('Hours Worked'!$D$5:$BD$29,$A72,$B72)))</f>
        <v/>
      </c>
      <c r="J72" s="51">
        <f>IF(OR($G72=0,INDEX(Employees!$O$5:$O$29,$A72)&lt;&gt;"Yes"),0,IF(COUNTIF(Settings!$D$4:$D$9,"&lt;="&amp;$H72)=0,0,INDEX(Settings!$E$4:$E$9,COUNTIF(Settings!$D$4:$D$9,"&lt;="&amp;$H72))))</f>
        <v/>
      </c>
      <c r="K72" s="51">
        <f>IF($G72=0,0,IF(INDEX(Employees!$I$5:$I$29,$A72)="Per pay period",(N(INDEX(Employees!$J$5:$J$29,$A72))+$J72)/Settings!$B$13,IF(INDEX(Employees!$I$5:$I$29,$A72)="Per hour worked",N(INDEX(Employees!$K$5:$K$29,$A72))*$I72,IF(INDEX(Employees!$I$5:$I$29,$A72)="Front-loaded",IF(OR($B72=1,N($G71)=0),N(INDEX(Employees!$J$5:$J$29,$A72))+$J72,0),0))))</f>
        <v/>
      </c>
      <c r="L72" s="51">
        <f>IF($F72=0,0,SUMIFS('Time Off Log'!$H$5:$H$504,'Time Off Log'!$A$5:$A$504,$C72,'Time Off Log'!$B$5:$B$504,"PTO",'Time Off Log'!$E$5:$E$504,"Approved",'Time Off Log'!$C$5:$C$504,"&gt;="&amp;INDEX(Periods!$E$5:$E$57,$B72),'Time Off Log'!$C$5:$C$504,"&lt;="&amp;INDEX(Periods!$F$5:$F$57,$B72)))</f>
        <v/>
      </c>
      <c r="M72" s="51">
        <f>IF($B72=1,N(INDEX(Employees!$N$5:$N$29,$A72)),P71)</f>
        <v/>
      </c>
      <c r="N72" s="51">
        <f>IF(INDEX(Employees!$L$5:$L$29,$A72)="",K72,MAX(0,MIN(K72,INDEX(Employees!$L$5:$L$29,$A72)-(M72-L72))))</f>
        <v/>
      </c>
      <c r="O72" s="51">
        <f>K72-N72</f>
        <v/>
      </c>
      <c r="P72" s="51">
        <f>M72-L72+N72</f>
        <v/>
      </c>
      <c r="Q72" s="51">
        <f>IF($G72=0,0,IF(INDEX(Employees!$P$5:$P$29,$A72)="Per pay period",(N(INDEX(Employees!$Q$5:$Q$29,$A72)))/Settings!$B$13,IF(INDEX(Employees!$P$5:$P$29,$A72)="Per hour worked",N(INDEX(Employees!$R$5:$R$29,$A72))*$I72,IF(INDEX(Employees!$P$5:$P$29,$A72)="Front-loaded",IF(OR($B72=1,N($G71)=0),N(INDEX(Employees!$Q$5:$Q$29,$A72)),0),0))))</f>
        <v/>
      </c>
      <c r="R72" s="51">
        <f>IF($F72=0,0,SUMIFS('Time Off Log'!$H$5:$H$504,'Time Off Log'!$A$5:$A$504,$C72,'Time Off Log'!$B$5:$B$504,"Sick",'Time Off Log'!$E$5:$E$504,"Approved",'Time Off Log'!$C$5:$C$504,"&gt;="&amp;INDEX(Periods!$E$5:$E$57,$B72),'Time Off Log'!$C$5:$C$504,"&lt;="&amp;INDEX(Periods!$F$5:$F$57,$B72)))</f>
        <v/>
      </c>
      <c r="S72" s="51">
        <f>IF($B72=1,N(INDEX(Employees!$T$5:$T$29,$A72)),V71)</f>
        <v/>
      </c>
      <c r="T72" s="51">
        <f>IF(INDEX(Employees!$S$5:$S$29,$A72)="",Q72,MAX(0,MIN(Q72,INDEX(Employees!$S$5:$S$29,$A72)-(S72-R72))))</f>
        <v/>
      </c>
      <c r="U72" s="51">
        <f>Q72-T72</f>
        <v/>
      </c>
      <c r="V72" s="51">
        <f>S72-R72+T72</f>
        <v/>
      </c>
    </row>
    <row r="73">
      <c r="A73" s="50" t="n">
        <v>2</v>
      </c>
      <c r="B73" s="50" t="n">
        <v>16</v>
      </c>
      <c r="C73" s="51">
        <f>INDEX(Employees!$B$5:$B$29,$A73)&amp;""</f>
        <v/>
      </c>
      <c r="D73" s="52">
        <f>INDEX(Periods!$B$5:$B$57,$B73)</f>
        <v/>
      </c>
      <c r="E73" s="52">
        <f>INDEX(Periods!$C$5:$C$57,$B73)</f>
        <v/>
      </c>
      <c r="F73" s="50">
        <f>IF(AND($C73&lt;&gt;"",INDEX(Periods!$D$5:$D$57,$B73)=1),1,0)</f>
        <v/>
      </c>
      <c r="G73" s="50">
        <f>IF($F73=0,0,IF(AND(OR(INDEX(Employees!$D$5:$D$29,$A73)="",$E73&gt;=INDEX(Employees!$D$5:$D$29,$A73)+N(INDEX(Employees!$U$5:$U$29,$A73))),OR(INDEX(Employees!$E$5:$E$29,$A73)="",$D73&lt;=INDEX(Employees!$E$5:$E$29,$A73))),1,0))</f>
        <v/>
      </c>
      <c r="H73" s="50">
        <f>IF($G73=0,0,IF(INDEX(Employees!$D$5:$D$29,$A73)="",0,DATEDIF(INDEX(Employees!$D$5:$D$29,$A73),$E73,"y")))</f>
        <v/>
      </c>
      <c r="I73" s="51">
        <f>IF($G73=0,0,IF(INDEX('Hours Worked'!$D$5:$BD$29,$A73,$B73)="",N(INDEX(Employees!$H$5:$H$29,$A73)),INDEX('Hours Worked'!$D$5:$BD$29,$A73,$B73)))</f>
        <v/>
      </c>
      <c r="J73" s="51">
        <f>IF(OR($G73=0,INDEX(Employees!$O$5:$O$29,$A73)&lt;&gt;"Yes"),0,IF(COUNTIF(Settings!$D$4:$D$9,"&lt;="&amp;$H73)=0,0,INDEX(Settings!$E$4:$E$9,COUNTIF(Settings!$D$4:$D$9,"&lt;="&amp;$H73))))</f>
        <v/>
      </c>
      <c r="K73" s="51">
        <f>IF($G73=0,0,IF(INDEX(Employees!$I$5:$I$29,$A73)="Per pay period",(N(INDEX(Employees!$J$5:$J$29,$A73))+$J73)/Settings!$B$13,IF(INDEX(Employees!$I$5:$I$29,$A73)="Per hour worked",N(INDEX(Employees!$K$5:$K$29,$A73))*$I73,IF(INDEX(Employees!$I$5:$I$29,$A73)="Front-loaded",IF(OR($B73=1,N($G72)=0),N(INDEX(Employees!$J$5:$J$29,$A73))+$J73,0),0))))</f>
        <v/>
      </c>
      <c r="L73" s="51">
        <f>IF($F73=0,0,SUMIFS('Time Off Log'!$H$5:$H$504,'Time Off Log'!$A$5:$A$504,$C73,'Time Off Log'!$B$5:$B$504,"PTO",'Time Off Log'!$E$5:$E$504,"Approved",'Time Off Log'!$C$5:$C$504,"&gt;="&amp;INDEX(Periods!$E$5:$E$57,$B73),'Time Off Log'!$C$5:$C$504,"&lt;="&amp;INDEX(Periods!$F$5:$F$57,$B73)))</f>
        <v/>
      </c>
      <c r="M73" s="51">
        <f>IF($B73=1,N(INDEX(Employees!$N$5:$N$29,$A73)),P72)</f>
        <v/>
      </c>
      <c r="N73" s="51">
        <f>IF(INDEX(Employees!$L$5:$L$29,$A73)="",K73,MAX(0,MIN(K73,INDEX(Employees!$L$5:$L$29,$A73)-(M73-L73))))</f>
        <v/>
      </c>
      <c r="O73" s="51">
        <f>K73-N73</f>
        <v/>
      </c>
      <c r="P73" s="51">
        <f>M73-L73+N73</f>
        <v/>
      </c>
      <c r="Q73" s="51">
        <f>IF($G73=0,0,IF(INDEX(Employees!$P$5:$P$29,$A73)="Per pay period",(N(INDEX(Employees!$Q$5:$Q$29,$A73)))/Settings!$B$13,IF(INDEX(Employees!$P$5:$P$29,$A73)="Per hour worked",N(INDEX(Employees!$R$5:$R$29,$A73))*$I73,IF(INDEX(Employees!$P$5:$P$29,$A73)="Front-loaded",IF(OR($B73=1,N($G72)=0),N(INDEX(Employees!$Q$5:$Q$29,$A73)),0),0))))</f>
        <v/>
      </c>
      <c r="R73" s="51">
        <f>IF($F73=0,0,SUMIFS('Time Off Log'!$H$5:$H$504,'Time Off Log'!$A$5:$A$504,$C73,'Time Off Log'!$B$5:$B$504,"Sick",'Time Off Log'!$E$5:$E$504,"Approved",'Time Off Log'!$C$5:$C$504,"&gt;="&amp;INDEX(Periods!$E$5:$E$57,$B73),'Time Off Log'!$C$5:$C$504,"&lt;="&amp;INDEX(Periods!$F$5:$F$57,$B73)))</f>
        <v/>
      </c>
      <c r="S73" s="51">
        <f>IF($B73=1,N(INDEX(Employees!$T$5:$T$29,$A73)),V72)</f>
        <v/>
      </c>
      <c r="T73" s="51">
        <f>IF(INDEX(Employees!$S$5:$S$29,$A73)="",Q73,MAX(0,MIN(Q73,INDEX(Employees!$S$5:$S$29,$A73)-(S73-R73))))</f>
        <v/>
      </c>
      <c r="U73" s="51">
        <f>Q73-T73</f>
        <v/>
      </c>
      <c r="V73" s="51">
        <f>S73-R73+T73</f>
        <v/>
      </c>
    </row>
    <row r="74">
      <c r="A74" s="50" t="n">
        <v>2</v>
      </c>
      <c r="B74" s="50" t="n">
        <v>17</v>
      </c>
      <c r="C74" s="51">
        <f>INDEX(Employees!$B$5:$B$29,$A74)&amp;""</f>
        <v/>
      </c>
      <c r="D74" s="52">
        <f>INDEX(Periods!$B$5:$B$57,$B74)</f>
        <v/>
      </c>
      <c r="E74" s="52">
        <f>INDEX(Periods!$C$5:$C$57,$B74)</f>
        <v/>
      </c>
      <c r="F74" s="50">
        <f>IF(AND($C74&lt;&gt;"",INDEX(Periods!$D$5:$D$57,$B74)=1),1,0)</f>
        <v/>
      </c>
      <c r="G74" s="50">
        <f>IF($F74=0,0,IF(AND(OR(INDEX(Employees!$D$5:$D$29,$A74)="",$E74&gt;=INDEX(Employees!$D$5:$D$29,$A74)+N(INDEX(Employees!$U$5:$U$29,$A74))),OR(INDEX(Employees!$E$5:$E$29,$A74)="",$D74&lt;=INDEX(Employees!$E$5:$E$29,$A74))),1,0))</f>
        <v/>
      </c>
      <c r="H74" s="50">
        <f>IF($G74=0,0,IF(INDEX(Employees!$D$5:$D$29,$A74)="",0,DATEDIF(INDEX(Employees!$D$5:$D$29,$A74),$E74,"y")))</f>
        <v/>
      </c>
      <c r="I74" s="51">
        <f>IF($G74=0,0,IF(INDEX('Hours Worked'!$D$5:$BD$29,$A74,$B74)="",N(INDEX(Employees!$H$5:$H$29,$A74)),INDEX('Hours Worked'!$D$5:$BD$29,$A74,$B74)))</f>
        <v/>
      </c>
      <c r="J74" s="51">
        <f>IF(OR($G74=0,INDEX(Employees!$O$5:$O$29,$A74)&lt;&gt;"Yes"),0,IF(COUNTIF(Settings!$D$4:$D$9,"&lt;="&amp;$H74)=0,0,INDEX(Settings!$E$4:$E$9,COUNTIF(Settings!$D$4:$D$9,"&lt;="&amp;$H74))))</f>
        <v/>
      </c>
      <c r="K74" s="51">
        <f>IF($G74=0,0,IF(INDEX(Employees!$I$5:$I$29,$A74)="Per pay period",(N(INDEX(Employees!$J$5:$J$29,$A74))+$J74)/Settings!$B$13,IF(INDEX(Employees!$I$5:$I$29,$A74)="Per hour worked",N(INDEX(Employees!$K$5:$K$29,$A74))*$I74,IF(INDEX(Employees!$I$5:$I$29,$A74)="Front-loaded",IF(OR($B74=1,N($G73)=0),N(INDEX(Employees!$J$5:$J$29,$A74))+$J74,0),0))))</f>
        <v/>
      </c>
      <c r="L74" s="51">
        <f>IF($F74=0,0,SUMIFS('Time Off Log'!$H$5:$H$504,'Time Off Log'!$A$5:$A$504,$C74,'Time Off Log'!$B$5:$B$504,"PTO",'Time Off Log'!$E$5:$E$504,"Approved",'Time Off Log'!$C$5:$C$504,"&gt;="&amp;INDEX(Periods!$E$5:$E$57,$B74),'Time Off Log'!$C$5:$C$504,"&lt;="&amp;INDEX(Periods!$F$5:$F$57,$B74)))</f>
        <v/>
      </c>
      <c r="M74" s="51">
        <f>IF($B74=1,N(INDEX(Employees!$N$5:$N$29,$A74)),P73)</f>
        <v/>
      </c>
      <c r="N74" s="51">
        <f>IF(INDEX(Employees!$L$5:$L$29,$A74)="",K74,MAX(0,MIN(K74,INDEX(Employees!$L$5:$L$29,$A74)-(M74-L74))))</f>
        <v/>
      </c>
      <c r="O74" s="51">
        <f>K74-N74</f>
        <v/>
      </c>
      <c r="P74" s="51">
        <f>M74-L74+N74</f>
        <v/>
      </c>
      <c r="Q74" s="51">
        <f>IF($G74=0,0,IF(INDEX(Employees!$P$5:$P$29,$A74)="Per pay period",(N(INDEX(Employees!$Q$5:$Q$29,$A74)))/Settings!$B$13,IF(INDEX(Employees!$P$5:$P$29,$A74)="Per hour worked",N(INDEX(Employees!$R$5:$R$29,$A74))*$I74,IF(INDEX(Employees!$P$5:$P$29,$A74)="Front-loaded",IF(OR($B74=1,N($G73)=0),N(INDEX(Employees!$Q$5:$Q$29,$A74)),0),0))))</f>
        <v/>
      </c>
      <c r="R74" s="51">
        <f>IF($F74=0,0,SUMIFS('Time Off Log'!$H$5:$H$504,'Time Off Log'!$A$5:$A$504,$C74,'Time Off Log'!$B$5:$B$504,"Sick",'Time Off Log'!$E$5:$E$504,"Approved",'Time Off Log'!$C$5:$C$504,"&gt;="&amp;INDEX(Periods!$E$5:$E$57,$B74),'Time Off Log'!$C$5:$C$504,"&lt;="&amp;INDEX(Periods!$F$5:$F$57,$B74)))</f>
        <v/>
      </c>
      <c r="S74" s="51">
        <f>IF($B74=1,N(INDEX(Employees!$T$5:$T$29,$A74)),V73)</f>
        <v/>
      </c>
      <c r="T74" s="51">
        <f>IF(INDEX(Employees!$S$5:$S$29,$A74)="",Q74,MAX(0,MIN(Q74,INDEX(Employees!$S$5:$S$29,$A74)-(S74-R74))))</f>
        <v/>
      </c>
      <c r="U74" s="51">
        <f>Q74-T74</f>
        <v/>
      </c>
      <c r="V74" s="51">
        <f>S74-R74+T74</f>
        <v/>
      </c>
    </row>
    <row r="75">
      <c r="A75" s="50" t="n">
        <v>2</v>
      </c>
      <c r="B75" s="50" t="n">
        <v>18</v>
      </c>
      <c r="C75" s="51">
        <f>INDEX(Employees!$B$5:$B$29,$A75)&amp;""</f>
        <v/>
      </c>
      <c r="D75" s="52">
        <f>INDEX(Periods!$B$5:$B$57,$B75)</f>
        <v/>
      </c>
      <c r="E75" s="52">
        <f>INDEX(Periods!$C$5:$C$57,$B75)</f>
        <v/>
      </c>
      <c r="F75" s="50">
        <f>IF(AND($C75&lt;&gt;"",INDEX(Periods!$D$5:$D$57,$B75)=1),1,0)</f>
        <v/>
      </c>
      <c r="G75" s="50">
        <f>IF($F75=0,0,IF(AND(OR(INDEX(Employees!$D$5:$D$29,$A75)="",$E75&gt;=INDEX(Employees!$D$5:$D$29,$A75)+N(INDEX(Employees!$U$5:$U$29,$A75))),OR(INDEX(Employees!$E$5:$E$29,$A75)="",$D75&lt;=INDEX(Employees!$E$5:$E$29,$A75))),1,0))</f>
        <v/>
      </c>
      <c r="H75" s="50">
        <f>IF($G75=0,0,IF(INDEX(Employees!$D$5:$D$29,$A75)="",0,DATEDIF(INDEX(Employees!$D$5:$D$29,$A75),$E75,"y")))</f>
        <v/>
      </c>
      <c r="I75" s="51">
        <f>IF($G75=0,0,IF(INDEX('Hours Worked'!$D$5:$BD$29,$A75,$B75)="",N(INDEX(Employees!$H$5:$H$29,$A75)),INDEX('Hours Worked'!$D$5:$BD$29,$A75,$B75)))</f>
        <v/>
      </c>
      <c r="J75" s="51">
        <f>IF(OR($G75=0,INDEX(Employees!$O$5:$O$29,$A75)&lt;&gt;"Yes"),0,IF(COUNTIF(Settings!$D$4:$D$9,"&lt;="&amp;$H75)=0,0,INDEX(Settings!$E$4:$E$9,COUNTIF(Settings!$D$4:$D$9,"&lt;="&amp;$H75))))</f>
        <v/>
      </c>
      <c r="K75" s="51">
        <f>IF($G75=0,0,IF(INDEX(Employees!$I$5:$I$29,$A75)="Per pay period",(N(INDEX(Employees!$J$5:$J$29,$A75))+$J75)/Settings!$B$13,IF(INDEX(Employees!$I$5:$I$29,$A75)="Per hour worked",N(INDEX(Employees!$K$5:$K$29,$A75))*$I75,IF(INDEX(Employees!$I$5:$I$29,$A75)="Front-loaded",IF(OR($B75=1,N($G74)=0),N(INDEX(Employees!$J$5:$J$29,$A75))+$J75,0),0))))</f>
        <v/>
      </c>
      <c r="L75" s="51">
        <f>IF($F75=0,0,SUMIFS('Time Off Log'!$H$5:$H$504,'Time Off Log'!$A$5:$A$504,$C75,'Time Off Log'!$B$5:$B$504,"PTO",'Time Off Log'!$E$5:$E$504,"Approved",'Time Off Log'!$C$5:$C$504,"&gt;="&amp;INDEX(Periods!$E$5:$E$57,$B75),'Time Off Log'!$C$5:$C$504,"&lt;="&amp;INDEX(Periods!$F$5:$F$57,$B75)))</f>
        <v/>
      </c>
      <c r="M75" s="51">
        <f>IF($B75=1,N(INDEX(Employees!$N$5:$N$29,$A75)),P74)</f>
        <v/>
      </c>
      <c r="N75" s="51">
        <f>IF(INDEX(Employees!$L$5:$L$29,$A75)="",K75,MAX(0,MIN(K75,INDEX(Employees!$L$5:$L$29,$A75)-(M75-L75))))</f>
        <v/>
      </c>
      <c r="O75" s="51">
        <f>K75-N75</f>
        <v/>
      </c>
      <c r="P75" s="51">
        <f>M75-L75+N75</f>
        <v/>
      </c>
      <c r="Q75" s="51">
        <f>IF($G75=0,0,IF(INDEX(Employees!$P$5:$P$29,$A75)="Per pay period",(N(INDEX(Employees!$Q$5:$Q$29,$A75)))/Settings!$B$13,IF(INDEX(Employees!$P$5:$P$29,$A75)="Per hour worked",N(INDEX(Employees!$R$5:$R$29,$A75))*$I75,IF(INDEX(Employees!$P$5:$P$29,$A75)="Front-loaded",IF(OR($B75=1,N($G74)=0),N(INDEX(Employees!$Q$5:$Q$29,$A75)),0),0))))</f>
        <v/>
      </c>
      <c r="R75" s="51">
        <f>IF($F75=0,0,SUMIFS('Time Off Log'!$H$5:$H$504,'Time Off Log'!$A$5:$A$504,$C75,'Time Off Log'!$B$5:$B$504,"Sick",'Time Off Log'!$E$5:$E$504,"Approved",'Time Off Log'!$C$5:$C$504,"&gt;="&amp;INDEX(Periods!$E$5:$E$57,$B75),'Time Off Log'!$C$5:$C$504,"&lt;="&amp;INDEX(Periods!$F$5:$F$57,$B75)))</f>
        <v/>
      </c>
      <c r="S75" s="51">
        <f>IF($B75=1,N(INDEX(Employees!$T$5:$T$29,$A75)),V74)</f>
        <v/>
      </c>
      <c r="T75" s="51">
        <f>IF(INDEX(Employees!$S$5:$S$29,$A75)="",Q75,MAX(0,MIN(Q75,INDEX(Employees!$S$5:$S$29,$A75)-(S75-R75))))</f>
        <v/>
      </c>
      <c r="U75" s="51">
        <f>Q75-T75</f>
        <v/>
      </c>
      <c r="V75" s="51">
        <f>S75-R75+T75</f>
        <v/>
      </c>
    </row>
    <row r="76">
      <c r="A76" s="50" t="n">
        <v>2</v>
      </c>
      <c r="B76" s="50" t="n">
        <v>19</v>
      </c>
      <c r="C76" s="51">
        <f>INDEX(Employees!$B$5:$B$29,$A76)&amp;""</f>
        <v/>
      </c>
      <c r="D76" s="52">
        <f>INDEX(Periods!$B$5:$B$57,$B76)</f>
        <v/>
      </c>
      <c r="E76" s="52">
        <f>INDEX(Periods!$C$5:$C$57,$B76)</f>
        <v/>
      </c>
      <c r="F76" s="50">
        <f>IF(AND($C76&lt;&gt;"",INDEX(Periods!$D$5:$D$57,$B76)=1),1,0)</f>
        <v/>
      </c>
      <c r="G76" s="50">
        <f>IF($F76=0,0,IF(AND(OR(INDEX(Employees!$D$5:$D$29,$A76)="",$E76&gt;=INDEX(Employees!$D$5:$D$29,$A76)+N(INDEX(Employees!$U$5:$U$29,$A76))),OR(INDEX(Employees!$E$5:$E$29,$A76)="",$D76&lt;=INDEX(Employees!$E$5:$E$29,$A76))),1,0))</f>
        <v/>
      </c>
      <c r="H76" s="50">
        <f>IF($G76=0,0,IF(INDEX(Employees!$D$5:$D$29,$A76)="",0,DATEDIF(INDEX(Employees!$D$5:$D$29,$A76),$E76,"y")))</f>
        <v/>
      </c>
      <c r="I76" s="51">
        <f>IF($G76=0,0,IF(INDEX('Hours Worked'!$D$5:$BD$29,$A76,$B76)="",N(INDEX(Employees!$H$5:$H$29,$A76)),INDEX('Hours Worked'!$D$5:$BD$29,$A76,$B76)))</f>
        <v/>
      </c>
      <c r="J76" s="51">
        <f>IF(OR($G76=0,INDEX(Employees!$O$5:$O$29,$A76)&lt;&gt;"Yes"),0,IF(COUNTIF(Settings!$D$4:$D$9,"&lt;="&amp;$H76)=0,0,INDEX(Settings!$E$4:$E$9,COUNTIF(Settings!$D$4:$D$9,"&lt;="&amp;$H76))))</f>
        <v/>
      </c>
      <c r="K76" s="51">
        <f>IF($G76=0,0,IF(INDEX(Employees!$I$5:$I$29,$A76)="Per pay period",(N(INDEX(Employees!$J$5:$J$29,$A76))+$J76)/Settings!$B$13,IF(INDEX(Employees!$I$5:$I$29,$A76)="Per hour worked",N(INDEX(Employees!$K$5:$K$29,$A76))*$I76,IF(INDEX(Employees!$I$5:$I$29,$A76)="Front-loaded",IF(OR($B76=1,N($G75)=0),N(INDEX(Employees!$J$5:$J$29,$A76))+$J76,0),0))))</f>
        <v/>
      </c>
      <c r="L76" s="51">
        <f>IF($F76=0,0,SUMIFS('Time Off Log'!$H$5:$H$504,'Time Off Log'!$A$5:$A$504,$C76,'Time Off Log'!$B$5:$B$504,"PTO",'Time Off Log'!$E$5:$E$504,"Approved",'Time Off Log'!$C$5:$C$504,"&gt;="&amp;INDEX(Periods!$E$5:$E$57,$B76),'Time Off Log'!$C$5:$C$504,"&lt;="&amp;INDEX(Periods!$F$5:$F$57,$B76)))</f>
        <v/>
      </c>
      <c r="M76" s="51">
        <f>IF($B76=1,N(INDEX(Employees!$N$5:$N$29,$A76)),P75)</f>
        <v/>
      </c>
      <c r="N76" s="51">
        <f>IF(INDEX(Employees!$L$5:$L$29,$A76)="",K76,MAX(0,MIN(K76,INDEX(Employees!$L$5:$L$29,$A76)-(M76-L76))))</f>
        <v/>
      </c>
      <c r="O76" s="51">
        <f>K76-N76</f>
        <v/>
      </c>
      <c r="P76" s="51">
        <f>M76-L76+N76</f>
        <v/>
      </c>
      <c r="Q76" s="51">
        <f>IF($G76=0,0,IF(INDEX(Employees!$P$5:$P$29,$A76)="Per pay period",(N(INDEX(Employees!$Q$5:$Q$29,$A76)))/Settings!$B$13,IF(INDEX(Employees!$P$5:$P$29,$A76)="Per hour worked",N(INDEX(Employees!$R$5:$R$29,$A76))*$I76,IF(INDEX(Employees!$P$5:$P$29,$A76)="Front-loaded",IF(OR($B76=1,N($G75)=0),N(INDEX(Employees!$Q$5:$Q$29,$A76)),0),0))))</f>
        <v/>
      </c>
      <c r="R76" s="51">
        <f>IF($F76=0,0,SUMIFS('Time Off Log'!$H$5:$H$504,'Time Off Log'!$A$5:$A$504,$C76,'Time Off Log'!$B$5:$B$504,"Sick",'Time Off Log'!$E$5:$E$504,"Approved",'Time Off Log'!$C$5:$C$504,"&gt;="&amp;INDEX(Periods!$E$5:$E$57,$B76),'Time Off Log'!$C$5:$C$504,"&lt;="&amp;INDEX(Periods!$F$5:$F$57,$B76)))</f>
        <v/>
      </c>
      <c r="S76" s="51">
        <f>IF($B76=1,N(INDEX(Employees!$T$5:$T$29,$A76)),V75)</f>
        <v/>
      </c>
      <c r="T76" s="51">
        <f>IF(INDEX(Employees!$S$5:$S$29,$A76)="",Q76,MAX(0,MIN(Q76,INDEX(Employees!$S$5:$S$29,$A76)-(S76-R76))))</f>
        <v/>
      </c>
      <c r="U76" s="51">
        <f>Q76-T76</f>
        <v/>
      </c>
      <c r="V76" s="51">
        <f>S76-R76+T76</f>
        <v/>
      </c>
    </row>
    <row r="77">
      <c r="A77" s="50" t="n">
        <v>2</v>
      </c>
      <c r="B77" s="50" t="n">
        <v>20</v>
      </c>
      <c r="C77" s="51">
        <f>INDEX(Employees!$B$5:$B$29,$A77)&amp;""</f>
        <v/>
      </c>
      <c r="D77" s="52">
        <f>INDEX(Periods!$B$5:$B$57,$B77)</f>
        <v/>
      </c>
      <c r="E77" s="52">
        <f>INDEX(Periods!$C$5:$C$57,$B77)</f>
        <v/>
      </c>
      <c r="F77" s="50">
        <f>IF(AND($C77&lt;&gt;"",INDEX(Periods!$D$5:$D$57,$B77)=1),1,0)</f>
        <v/>
      </c>
      <c r="G77" s="50">
        <f>IF($F77=0,0,IF(AND(OR(INDEX(Employees!$D$5:$D$29,$A77)="",$E77&gt;=INDEX(Employees!$D$5:$D$29,$A77)+N(INDEX(Employees!$U$5:$U$29,$A77))),OR(INDEX(Employees!$E$5:$E$29,$A77)="",$D77&lt;=INDEX(Employees!$E$5:$E$29,$A77))),1,0))</f>
        <v/>
      </c>
      <c r="H77" s="50">
        <f>IF($G77=0,0,IF(INDEX(Employees!$D$5:$D$29,$A77)="",0,DATEDIF(INDEX(Employees!$D$5:$D$29,$A77),$E77,"y")))</f>
        <v/>
      </c>
      <c r="I77" s="51">
        <f>IF($G77=0,0,IF(INDEX('Hours Worked'!$D$5:$BD$29,$A77,$B77)="",N(INDEX(Employees!$H$5:$H$29,$A77)),INDEX('Hours Worked'!$D$5:$BD$29,$A77,$B77)))</f>
        <v/>
      </c>
      <c r="J77" s="51">
        <f>IF(OR($G77=0,INDEX(Employees!$O$5:$O$29,$A77)&lt;&gt;"Yes"),0,IF(COUNTIF(Settings!$D$4:$D$9,"&lt;="&amp;$H77)=0,0,INDEX(Settings!$E$4:$E$9,COUNTIF(Settings!$D$4:$D$9,"&lt;="&amp;$H77))))</f>
        <v/>
      </c>
      <c r="K77" s="51">
        <f>IF($G77=0,0,IF(INDEX(Employees!$I$5:$I$29,$A77)="Per pay period",(N(INDEX(Employees!$J$5:$J$29,$A77))+$J77)/Settings!$B$13,IF(INDEX(Employees!$I$5:$I$29,$A77)="Per hour worked",N(INDEX(Employees!$K$5:$K$29,$A77))*$I77,IF(INDEX(Employees!$I$5:$I$29,$A77)="Front-loaded",IF(OR($B77=1,N($G76)=0),N(INDEX(Employees!$J$5:$J$29,$A77))+$J77,0),0))))</f>
        <v/>
      </c>
      <c r="L77" s="51">
        <f>IF($F77=0,0,SUMIFS('Time Off Log'!$H$5:$H$504,'Time Off Log'!$A$5:$A$504,$C77,'Time Off Log'!$B$5:$B$504,"PTO",'Time Off Log'!$E$5:$E$504,"Approved",'Time Off Log'!$C$5:$C$504,"&gt;="&amp;INDEX(Periods!$E$5:$E$57,$B77),'Time Off Log'!$C$5:$C$504,"&lt;="&amp;INDEX(Periods!$F$5:$F$57,$B77)))</f>
        <v/>
      </c>
      <c r="M77" s="51">
        <f>IF($B77=1,N(INDEX(Employees!$N$5:$N$29,$A77)),P76)</f>
        <v/>
      </c>
      <c r="N77" s="51">
        <f>IF(INDEX(Employees!$L$5:$L$29,$A77)="",K77,MAX(0,MIN(K77,INDEX(Employees!$L$5:$L$29,$A77)-(M77-L77))))</f>
        <v/>
      </c>
      <c r="O77" s="51">
        <f>K77-N77</f>
        <v/>
      </c>
      <c r="P77" s="51">
        <f>M77-L77+N77</f>
        <v/>
      </c>
      <c r="Q77" s="51">
        <f>IF($G77=0,0,IF(INDEX(Employees!$P$5:$P$29,$A77)="Per pay period",(N(INDEX(Employees!$Q$5:$Q$29,$A77)))/Settings!$B$13,IF(INDEX(Employees!$P$5:$P$29,$A77)="Per hour worked",N(INDEX(Employees!$R$5:$R$29,$A77))*$I77,IF(INDEX(Employees!$P$5:$P$29,$A77)="Front-loaded",IF(OR($B77=1,N($G76)=0),N(INDEX(Employees!$Q$5:$Q$29,$A77)),0),0))))</f>
        <v/>
      </c>
      <c r="R77" s="51">
        <f>IF($F77=0,0,SUMIFS('Time Off Log'!$H$5:$H$504,'Time Off Log'!$A$5:$A$504,$C77,'Time Off Log'!$B$5:$B$504,"Sick",'Time Off Log'!$E$5:$E$504,"Approved",'Time Off Log'!$C$5:$C$504,"&gt;="&amp;INDEX(Periods!$E$5:$E$57,$B77),'Time Off Log'!$C$5:$C$504,"&lt;="&amp;INDEX(Periods!$F$5:$F$57,$B77)))</f>
        <v/>
      </c>
      <c r="S77" s="51">
        <f>IF($B77=1,N(INDEX(Employees!$T$5:$T$29,$A77)),V76)</f>
        <v/>
      </c>
      <c r="T77" s="51">
        <f>IF(INDEX(Employees!$S$5:$S$29,$A77)="",Q77,MAX(0,MIN(Q77,INDEX(Employees!$S$5:$S$29,$A77)-(S77-R77))))</f>
        <v/>
      </c>
      <c r="U77" s="51">
        <f>Q77-T77</f>
        <v/>
      </c>
      <c r="V77" s="51">
        <f>S77-R77+T77</f>
        <v/>
      </c>
    </row>
    <row r="78">
      <c r="A78" s="50" t="n">
        <v>2</v>
      </c>
      <c r="B78" s="50" t="n">
        <v>21</v>
      </c>
      <c r="C78" s="51">
        <f>INDEX(Employees!$B$5:$B$29,$A78)&amp;""</f>
        <v/>
      </c>
      <c r="D78" s="52">
        <f>INDEX(Periods!$B$5:$B$57,$B78)</f>
        <v/>
      </c>
      <c r="E78" s="52">
        <f>INDEX(Periods!$C$5:$C$57,$B78)</f>
        <v/>
      </c>
      <c r="F78" s="50">
        <f>IF(AND($C78&lt;&gt;"",INDEX(Periods!$D$5:$D$57,$B78)=1),1,0)</f>
        <v/>
      </c>
      <c r="G78" s="50">
        <f>IF($F78=0,0,IF(AND(OR(INDEX(Employees!$D$5:$D$29,$A78)="",$E78&gt;=INDEX(Employees!$D$5:$D$29,$A78)+N(INDEX(Employees!$U$5:$U$29,$A78))),OR(INDEX(Employees!$E$5:$E$29,$A78)="",$D78&lt;=INDEX(Employees!$E$5:$E$29,$A78))),1,0))</f>
        <v/>
      </c>
      <c r="H78" s="50">
        <f>IF($G78=0,0,IF(INDEX(Employees!$D$5:$D$29,$A78)="",0,DATEDIF(INDEX(Employees!$D$5:$D$29,$A78),$E78,"y")))</f>
        <v/>
      </c>
      <c r="I78" s="51">
        <f>IF($G78=0,0,IF(INDEX('Hours Worked'!$D$5:$BD$29,$A78,$B78)="",N(INDEX(Employees!$H$5:$H$29,$A78)),INDEX('Hours Worked'!$D$5:$BD$29,$A78,$B78)))</f>
        <v/>
      </c>
      <c r="J78" s="51">
        <f>IF(OR($G78=0,INDEX(Employees!$O$5:$O$29,$A78)&lt;&gt;"Yes"),0,IF(COUNTIF(Settings!$D$4:$D$9,"&lt;="&amp;$H78)=0,0,INDEX(Settings!$E$4:$E$9,COUNTIF(Settings!$D$4:$D$9,"&lt;="&amp;$H78))))</f>
        <v/>
      </c>
      <c r="K78" s="51">
        <f>IF($G78=0,0,IF(INDEX(Employees!$I$5:$I$29,$A78)="Per pay period",(N(INDEX(Employees!$J$5:$J$29,$A78))+$J78)/Settings!$B$13,IF(INDEX(Employees!$I$5:$I$29,$A78)="Per hour worked",N(INDEX(Employees!$K$5:$K$29,$A78))*$I78,IF(INDEX(Employees!$I$5:$I$29,$A78)="Front-loaded",IF(OR($B78=1,N($G77)=0),N(INDEX(Employees!$J$5:$J$29,$A78))+$J78,0),0))))</f>
        <v/>
      </c>
      <c r="L78" s="51">
        <f>IF($F78=0,0,SUMIFS('Time Off Log'!$H$5:$H$504,'Time Off Log'!$A$5:$A$504,$C78,'Time Off Log'!$B$5:$B$504,"PTO",'Time Off Log'!$E$5:$E$504,"Approved",'Time Off Log'!$C$5:$C$504,"&gt;="&amp;INDEX(Periods!$E$5:$E$57,$B78),'Time Off Log'!$C$5:$C$504,"&lt;="&amp;INDEX(Periods!$F$5:$F$57,$B78)))</f>
        <v/>
      </c>
      <c r="M78" s="51">
        <f>IF($B78=1,N(INDEX(Employees!$N$5:$N$29,$A78)),P77)</f>
        <v/>
      </c>
      <c r="N78" s="51">
        <f>IF(INDEX(Employees!$L$5:$L$29,$A78)="",K78,MAX(0,MIN(K78,INDEX(Employees!$L$5:$L$29,$A78)-(M78-L78))))</f>
        <v/>
      </c>
      <c r="O78" s="51">
        <f>K78-N78</f>
        <v/>
      </c>
      <c r="P78" s="51">
        <f>M78-L78+N78</f>
        <v/>
      </c>
      <c r="Q78" s="51">
        <f>IF($G78=0,0,IF(INDEX(Employees!$P$5:$P$29,$A78)="Per pay period",(N(INDEX(Employees!$Q$5:$Q$29,$A78)))/Settings!$B$13,IF(INDEX(Employees!$P$5:$P$29,$A78)="Per hour worked",N(INDEX(Employees!$R$5:$R$29,$A78))*$I78,IF(INDEX(Employees!$P$5:$P$29,$A78)="Front-loaded",IF(OR($B78=1,N($G77)=0),N(INDEX(Employees!$Q$5:$Q$29,$A78)),0),0))))</f>
        <v/>
      </c>
      <c r="R78" s="51">
        <f>IF($F78=0,0,SUMIFS('Time Off Log'!$H$5:$H$504,'Time Off Log'!$A$5:$A$504,$C78,'Time Off Log'!$B$5:$B$504,"Sick",'Time Off Log'!$E$5:$E$504,"Approved",'Time Off Log'!$C$5:$C$504,"&gt;="&amp;INDEX(Periods!$E$5:$E$57,$B78),'Time Off Log'!$C$5:$C$504,"&lt;="&amp;INDEX(Periods!$F$5:$F$57,$B78)))</f>
        <v/>
      </c>
      <c r="S78" s="51">
        <f>IF($B78=1,N(INDEX(Employees!$T$5:$T$29,$A78)),V77)</f>
        <v/>
      </c>
      <c r="T78" s="51">
        <f>IF(INDEX(Employees!$S$5:$S$29,$A78)="",Q78,MAX(0,MIN(Q78,INDEX(Employees!$S$5:$S$29,$A78)-(S78-R78))))</f>
        <v/>
      </c>
      <c r="U78" s="51">
        <f>Q78-T78</f>
        <v/>
      </c>
      <c r="V78" s="51">
        <f>S78-R78+T78</f>
        <v/>
      </c>
    </row>
    <row r="79">
      <c r="A79" s="50" t="n">
        <v>2</v>
      </c>
      <c r="B79" s="50" t="n">
        <v>22</v>
      </c>
      <c r="C79" s="51">
        <f>INDEX(Employees!$B$5:$B$29,$A79)&amp;""</f>
        <v/>
      </c>
      <c r="D79" s="52">
        <f>INDEX(Periods!$B$5:$B$57,$B79)</f>
        <v/>
      </c>
      <c r="E79" s="52">
        <f>INDEX(Periods!$C$5:$C$57,$B79)</f>
        <v/>
      </c>
      <c r="F79" s="50">
        <f>IF(AND($C79&lt;&gt;"",INDEX(Periods!$D$5:$D$57,$B79)=1),1,0)</f>
        <v/>
      </c>
      <c r="G79" s="50">
        <f>IF($F79=0,0,IF(AND(OR(INDEX(Employees!$D$5:$D$29,$A79)="",$E79&gt;=INDEX(Employees!$D$5:$D$29,$A79)+N(INDEX(Employees!$U$5:$U$29,$A79))),OR(INDEX(Employees!$E$5:$E$29,$A79)="",$D79&lt;=INDEX(Employees!$E$5:$E$29,$A79))),1,0))</f>
        <v/>
      </c>
      <c r="H79" s="50">
        <f>IF($G79=0,0,IF(INDEX(Employees!$D$5:$D$29,$A79)="",0,DATEDIF(INDEX(Employees!$D$5:$D$29,$A79),$E79,"y")))</f>
        <v/>
      </c>
      <c r="I79" s="51">
        <f>IF($G79=0,0,IF(INDEX('Hours Worked'!$D$5:$BD$29,$A79,$B79)="",N(INDEX(Employees!$H$5:$H$29,$A79)),INDEX('Hours Worked'!$D$5:$BD$29,$A79,$B79)))</f>
        <v/>
      </c>
      <c r="J79" s="51">
        <f>IF(OR($G79=0,INDEX(Employees!$O$5:$O$29,$A79)&lt;&gt;"Yes"),0,IF(COUNTIF(Settings!$D$4:$D$9,"&lt;="&amp;$H79)=0,0,INDEX(Settings!$E$4:$E$9,COUNTIF(Settings!$D$4:$D$9,"&lt;="&amp;$H79))))</f>
        <v/>
      </c>
      <c r="K79" s="51">
        <f>IF($G79=0,0,IF(INDEX(Employees!$I$5:$I$29,$A79)="Per pay period",(N(INDEX(Employees!$J$5:$J$29,$A79))+$J79)/Settings!$B$13,IF(INDEX(Employees!$I$5:$I$29,$A79)="Per hour worked",N(INDEX(Employees!$K$5:$K$29,$A79))*$I79,IF(INDEX(Employees!$I$5:$I$29,$A79)="Front-loaded",IF(OR($B79=1,N($G78)=0),N(INDEX(Employees!$J$5:$J$29,$A79))+$J79,0),0))))</f>
        <v/>
      </c>
      <c r="L79" s="51">
        <f>IF($F79=0,0,SUMIFS('Time Off Log'!$H$5:$H$504,'Time Off Log'!$A$5:$A$504,$C79,'Time Off Log'!$B$5:$B$504,"PTO",'Time Off Log'!$E$5:$E$504,"Approved",'Time Off Log'!$C$5:$C$504,"&gt;="&amp;INDEX(Periods!$E$5:$E$57,$B79),'Time Off Log'!$C$5:$C$504,"&lt;="&amp;INDEX(Periods!$F$5:$F$57,$B79)))</f>
        <v/>
      </c>
      <c r="M79" s="51">
        <f>IF($B79=1,N(INDEX(Employees!$N$5:$N$29,$A79)),P78)</f>
        <v/>
      </c>
      <c r="N79" s="51">
        <f>IF(INDEX(Employees!$L$5:$L$29,$A79)="",K79,MAX(0,MIN(K79,INDEX(Employees!$L$5:$L$29,$A79)-(M79-L79))))</f>
        <v/>
      </c>
      <c r="O79" s="51">
        <f>K79-N79</f>
        <v/>
      </c>
      <c r="P79" s="51">
        <f>M79-L79+N79</f>
        <v/>
      </c>
      <c r="Q79" s="51">
        <f>IF($G79=0,0,IF(INDEX(Employees!$P$5:$P$29,$A79)="Per pay period",(N(INDEX(Employees!$Q$5:$Q$29,$A79)))/Settings!$B$13,IF(INDEX(Employees!$P$5:$P$29,$A79)="Per hour worked",N(INDEX(Employees!$R$5:$R$29,$A79))*$I79,IF(INDEX(Employees!$P$5:$P$29,$A79)="Front-loaded",IF(OR($B79=1,N($G78)=0),N(INDEX(Employees!$Q$5:$Q$29,$A79)),0),0))))</f>
        <v/>
      </c>
      <c r="R79" s="51">
        <f>IF($F79=0,0,SUMIFS('Time Off Log'!$H$5:$H$504,'Time Off Log'!$A$5:$A$504,$C79,'Time Off Log'!$B$5:$B$504,"Sick",'Time Off Log'!$E$5:$E$504,"Approved",'Time Off Log'!$C$5:$C$504,"&gt;="&amp;INDEX(Periods!$E$5:$E$57,$B79),'Time Off Log'!$C$5:$C$504,"&lt;="&amp;INDEX(Periods!$F$5:$F$57,$B79)))</f>
        <v/>
      </c>
      <c r="S79" s="51">
        <f>IF($B79=1,N(INDEX(Employees!$T$5:$T$29,$A79)),V78)</f>
        <v/>
      </c>
      <c r="T79" s="51">
        <f>IF(INDEX(Employees!$S$5:$S$29,$A79)="",Q79,MAX(0,MIN(Q79,INDEX(Employees!$S$5:$S$29,$A79)-(S79-R79))))</f>
        <v/>
      </c>
      <c r="U79" s="51">
        <f>Q79-T79</f>
        <v/>
      </c>
      <c r="V79" s="51">
        <f>S79-R79+T79</f>
        <v/>
      </c>
    </row>
    <row r="80">
      <c r="A80" s="50" t="n">
        <v>2</v>
      </c>
      <c r="B80" s="50" t="n">
        <v>23</v>
      </c>
      <c r="C80" s="51">
        <f>INDEX(Employees!$B$5:$B$29,$A80)&amp;""</f>
        <v/>
      </c>
      <c r="D80" s="52">
        <f>INDEX(Periods!$B$5:$B$57,$B80)</f>
        <v/>
      </c>
      <c r="E80" s="52">
        <f>INDEX(Periods!$C$5:$C$57,$B80)</f>
        <v/>
      </c>
      <c r="F80" s="50">
        <f>IF(AND($C80&lt;&gt;"",INDEX(Periods!$D$5:$D$57,$B80)=1),1,0)</f>
        <v/>
      </c>
      <c r="G80" s="50">
        <f>IF($F80=0,0,IF(AND(OR(INDEX(Employees!$D$5:$D$29,$A80)="",$E80&gt;=INDEX(Employees!$D$5:$D$29,$A80)+N(INDEX(Employees!$U$5:$U$29,$A80))),OR(INDEX(Employees!$E$5:$E$29,$A80)="",$D80&lt;=INDEX(Employees!$E$5:$E$29,$A80))),1,0))</f>
        <v/>
      </c>
      <c r="H80" s="50">
        <f>IF($G80=0,0,IF(INDEX(Employees!$D$5:$D$29,$A80)="",0,DATEDIF(INDEX(Employees!$D$5:$D$29,$A80),$E80,"y")))</f>
        <v/>
      </c>
      <c r="I80" s="51">
        <f>IF($G80=0,0,IF(INDEX('Hours Worked'!$D$5:$BD$29,$A80,$B80)="",N(INDEX(Employees!$H$5:$H$29,$A80)),INDEX('Hours Worked'!$D$5:$BD$29,$A80,$B80)))</f>
        <v/>
      </c>
      <c r="J80" s="51">
        <f>IF(OR($G80=0,INDEX(Employees!$O$5:$O$29,$A80)&lt;&gt;"Yes"),0,IF(COUNTIF(Settings!$D$4:$D$9,"&lt;="&amp;$H80)=0,0,INDEX(Settings!$E$4:$E$9,COUNTIF(Settings!$D$4:$D$9,"&lt;="&amp;$H80))))</f>
        <v/>
      </c>
      <c r="K80" s="51">
        <f>IF($G80=0,0,IF(INDEX(Employees!$I$5:$I$29,$A80)="Per pay period",(N(INDEX(Employees!$J$5:$J$29,$A80))+$J80)/Settings!$B$13,IF(INDEX(Employees!$I$5:$I$29,$A80)="Per hour worked",N(INDEX(Employees!$K$5:$K$29,$A80))*$I80,IF(INDEX(Employees!$I$5:$I$29,$A80)="Front-loaded",IF(OR($B80=1,N($G79)=0),N(INDEX(Employees!$J$5:$J$29,$A80))+$J80,0),0))))</f>
        <v/>
      </c>
      <c r="L80" s="51">
        <f>IF($F80=0,0,SUMIFS('Time Off Log'!$H$5:$H$504,'Time Off Log'!$A$5:$A$504,$C80,'Time Off Log'!$B$5:$B$504,"PTO",'Time Off Log'!$E$5:$E$504,"Approved",'Time Off Log'!$C$5:$C$504,"&gt;="&amp;INDEX(Periods!$E$5:$E$57,$B80),'Time Off Log'!$C$5:$C$504,"&lt;="&amp;INDEX(Periods!$F$5:$F$57,$B80)))</f>
        <v/>
      </c>
      <c r="M80" s="51">
        <f>IF($B80=1,N(INDEX(Employees!$N$5:$N$29,$A80)),P79)</f>
        <v/>
      </c>
      <c r="N80" s="51">
        <f>IF(INDEX(Employees!$L$5:$L$29,$A80)="",K80,MAX(0,MIN(K80,INDEX(Employees!$L$5:$L$29,$A80)-(M80-L80))))</f>
        <v/>
      </c>
      <c r="O80" s="51">
        <f>K80-N80</f>
        <v/>
      </c>
      <c r="P80" s="51">
        <f>M80-L80+N80</f>
        <v/>
      </c>
      <c r="Q80" s="51">
        <f>IF($G80=0,0,IF(INDEX(Employees!$P$5:$P$29,$A80)="Per pay period",(N(INDEX(Employees!$Q$5:$Q$29,$A80)))/Settings!$B$13,IF(INDEX(Employees!$P$5:$P$29,$A80)="Per hour worked",N(INDEX(Employees!$R$5:$R$29,$A80))*$I80,IF(INDEX(Employees!$P$5:$P$29,$A80)="Front-loaded",IF(OR($B80=1,N($G79)=0),N(INDEX(Employees!$Q$5:$Q$29,$A80)),0),0))))</f>
        <v/>
      </c>
      <c r="R80" s="51">
        <f>IF($F80=0,0,SUMIFS('Time Off Log'!$H$5:$H$504,'Time Off Log'!$A$5:$A$504,$C80,'Time Off Log'!$B$5:$B$504,"Sick",'Time Off Log'!$E$5:$E$504,"Approved",'Time Off Log'!$C$5:$C$504,"&gt;="&amp;INDEX(Periods!$E$5:$E$57,$B80),'Time Off Log'!$C$5:$C$504,"&lt;="&amp;INDEX(Periods!$F$5:$F$57,$B80)))</f>
        <v/>
      </c>
      <c r="S80" s="51">
        <f>IF($B80=1,N(INDEX(Employees!$T$5:$T$29,$A80)),V79)</f>
        <v/>
      </c>
      <c r="T80" s="51">
        <f>IF(INDEX(Employees!$S$5:$S$29,$A80)="",Q80,MAX(0,MIN(Q80,INDEX(Employees!$S$5:$S$29,$A80)-(S80-R80))))</f>
        <v/>
      </c>
      <c r="U80" s="51">
        <f>Q80-T80</f>
        <v/>
      </c>
      <c r="V80" s="51">
        <f>S80-R80+T80</f>
        <v/>
      </c>
    </row>
    <row r="81">
      <c r="A81" s="50" t="n">
        <v>2</v>
      </c>
      <c r="B81" s="50" t="n">
        <v>24</v>
      </c>
      <c r="C81" s="51">
        <f>INDEX(Employees!$B$5:$B$29,$A81)&amp;""</f>
        <v/>
      </c>
      <c r="D81" s="52">
        <f>INDEX(Periods!$B$5:$B$57,$B81)</f>
        <v/>
      </c>
      <c r="E81" s="52">
        <f>INDEX(Periods!$C$5:$C$57,$B81)</f>
        <v/>
      </c>
      <c r="F81" s="50">
        <f>IF(AND($C81&lt;&gt;"",INDEX(Periods!$D$5:$D$57,$B81)=1),1,0)</f>
        <v/>
      </c>
      <c r="G81" s="50">
        <f>IF($F81=0,0,IF(AND(OR(INDEX(Employees!$D$5:$D$29,$A81)="",$E81&gt;=INDEX(Employees!$D$5:$D$29,$A81)+N(INDEX(Employees!$U$5:$U$29,$A81))),OR(INDEX(Employees!$E$5:$E$29,$A81)="",$D81&lt;=INDEX(Employees!$E$5:$E$29,$A81))),1,0))</f>
        <v/>
      </c>
      <c r="H81" s="50">
        <f>IF($G81=0,0,IF(INDEX(Employees!$D$5:$D$29,$A81)="",0,DATEDIF(INDEX(Employees!$D$5:$D$29,$A81),$E81,"y")))</f>
        <v/>
      </c>
      <c r="I81" s="51">
        <f>IF($G81=0,0,IF(INDEX('Hours Worked'!$D$5:$BD$29,$A81,$B81)="",N(INDEX(Employees!$H$5:$H$29,$A81)),INDEX('Hours Worked'!$D$5:$BD$29,$A81,$B81)))</f>
        <v/>
      </c>
      <c r="J81" s="51">
        <f>IF(OR($G81=0,INDEX(Employees!$O$5:$O$29,$A81)&lt;&gt;"Yes"),0,IF(COUNTIF(Settings!$D$4:$D$9,"&lt;="&amp;$H81)=0,0,INDEX(Settings!$E$4:$E$9,COUNTIF(Settings!$D$4:$D$9,"&lt;="&amp;$H81))))</f>
        <v/>
      </c>
      <c r="K81" s="51">
        <f>IF($G81=0,0,IF(INDEX(Employees!$I$5:$I$29,$A81)="Per pay period",(N(INDEX(Employees!$J$5:$J$29,$A81))+$J81)/Settings!$B$13,IF(INDEX(Employees!$I$5:$I$29,$A81)="Per hour worked",N(INDEX(Employees!$K$5:$K$29,$A81))*$I81,IF(INDEX(Employees!$I$5:$I$29,$A81)="Front-loaded",IF(OR($B81=1,N($G80)=0),N(INDEX(Employees!$J$5:$J$29,$A81))+$J81,0),0))))</f>
        <v/>
      </c>
      <c r="L81" s="51">
        <f>IF($F81=0,0,SUMIFS('Time Off Log'!$H$5:$H$504,'Time Off Log'!$A$5:$A$504,$C81,'Time Off Log'!$B$5:$B$504,"PTO",'Time Off Log'!$E$5:$E$504,"Approved",'Time Off Log'!$C$5:$C$504,"&gt;="&amp;INDEX(Periods!$E$5:$E$57,$B81),'Time Off Log'!$C$5:$C$504,"&lt;="&amp;INDEX(Periods!$F$5:$F$57,$B81)))</f>
        <v/>
      </c>
      <c r="M81" s="51">
        <f>IF($B81=1,N(INDEX(Employees!$N$5:$N$29,$A81)),P80)</f>
        <v/>
      </c>
      <c r="N81" s="51">
        <f>IF(INDEX(Employees!$L$5:$L$29,$A81)="",K81,MAX(0,MIN(K81,INDEX(Employees!$L$5:$L$29,$A81)-(M81-L81))))</f>
        <v/>
      </c>
      <c r="O81" s="51">
        <f>K81-N81</f>
        <v/>
      </c>
      <c r="P81" s="51">
        <f>M81-L81+N81</f>
        <v/>
      </c>
      <c r="Q81" s="51">
        <f>IF($G81=0,0,IF(INDEX(Employees!$P$5:$P$29,$A81)="Per pay period",(N(INDEX(Employees!$Q$5:$Q$29,$A81)))/Settings!$B$13,IF(INDEX(Employees!$P$5:$P$29,$A81)="Per hour worked",N(INDEX(Employees!$R$5:$R$29,$A81))*$I81,IF(INDEX(Employees!$P$5:$P$29,$A81)="Front-loaded",IF(OR($B81=1,N($G80)=0),N(INDEX(Employees!$Q$5:$Q$29,$A81)),0),0))))</f>
        <v/>
      </c>
      <c r="R81" s="51">
        <f>IF($F81=0,0,SUMIFS('Time Off Log'!$H$5:$H$504,'Time Off Log'!$A$5:$A$504,$C81,'Time Off Log'!$B$5:$B$504,"Sick",'Time Off Log'!$E$5:$E$504,"Approved",'Time Off Log'!$C$5:$C$504,"&gt;="&amp;INDEX(Periods!$E$5:$E$57,$B81),'Time Off Log'!$C$5:$C$504,"&lt;="&amp;INDEX(Periods!$F$5:$F$57,$B81)))</f>
        <v/>
      </c>
      <c r="S81" s="51">
        <f>IF($B81=1,N(INDEX(Employees!$T$5:$T$29,$A81)),V80)</f>
        <v/>
      </c>
      <c r="T81" s="51">
        <f>IF(INDEX(Employees!$S$5:$S$29,$A81)="",Q81,MAX(0,MIN(Q81,INDEX(Employees!$S$5:$S$29,$A81)-(S81-R81))))</f>
        <v/>
      </c>
      <c r="U81" s="51">
        <f>Q81-T81</f>
        <v/>
      </c>
      <c r="V81" s="51">
        <f>S81-R81+T81</f>
        <v/>
      </c>
    </row>
    <row r="82">
      <c r="A82" s="50" t="n">
        <v>2</v>
      </c>
      <c r="B82" s="50" t="n">
        <v>25</v>
      </c>
      <c r="C82" s="51">
        <f>INDEX(Employees!$B$5:$B$29,$A82)&amp;""</f>
        <v/>
      </c>
      <c r="D82" s="52">
        <f>INDEX(Periods!$B$5:$B$57,$B82)</f>
        <v/>
      </c>
      <c r="E82" s="52">
        <f>INDEX(Periods!$C$5:$C$57,$B82)</f>
        <v/>
      </c>
      <c r="F82" s="50">
        <f>IF(AND($C82&lt;&gt;"",INDEX(Periods!$D$5:$D$57,$B82)=1),1,0)</f>
        <v/>
      </c>
      <c r="G82" s="50">
        <f>IF($F82=0,0,IF(AND(OR(INDEX(Employees!$D$5:$D$29,$A82)="",$E82&gt;=INDEX(Employees!$D$5:$D$29,$A82)+N(INDEX(Employees!$U$5:$U$29,$A82))),OR(INDEX(Employees!$E$5:$E$29,$A82)="",$D82&lt;=INDEX(Employees!$E$5:$E$29,$A82))),1,0))</f>
        <v/>
      </c>
      <c r="H82" s="50">
        <f>IF($G82=0,0,IF(INDEX(Employees!$D$5:$D$29,$A82)="",0,DATEDIF(INDEX(Employees!$D$5:$D$29,$A82),$E82,"y")))</f>
        <v/>
      </c>
      <c r="I82" s="51">
        <f>IF($G82=0,0,IF(INDEX('Hours Worked'!$D$5:$BD$29,$A82,$B82)="",N(INDEX(Employees!$H$5:$H$29,$A82)),INDEX('Hours Worked'!$D$5:$BD$29,$A82,$B82)))</f>
        <v/>
      </c>
      <c r="J82" s="51">
        <f>IF(OR($G82=0,INDEX(Employees!$O$5:$O$29,$A82)&lt;&gt;"Yes"),0,IF(COUNTIF(Settings!$D$4:$D$9,"&lt;="&amp;$H82)=0,0,INDEX(Settings!$E$4:$E$9,COUNTIF(Settings!$D$4:$D$9,"&lt;="&amp;$H82))))</f>
        <v/>
      </c>
      <c r="K82" s="51">
        <f>IF($G82=0,0,IF(INDEX(Employees!$I$5:$I$29,$A82)="Per pay period",(N(INDEX(Employees!$J$5:$J$29,$A82))+$J82)/Settings!$B$13,IF(INDEX(Employees!$I$5:$I$29,$A82)="Per hour worked",N(INDEX(Employees!$K$5:$K$29,$A82))*$I82,IF(INDEX(Employees!$I$5:$I$29,$A82)="Front-loaded",IF(OR($B82=1,N($G81)=0),N(INDEX(Employees!$J$5:$J$29,$A82))+$J82,0),0))))</f>
        <v/>
      </c>
      <c r="L82" s="51">
        <f>IF($F82=0,0,SUMIFS('Time Off Log'!$H$5:$H$504,'Time Off Log'!$A$5:$A$504,$C82,'Time Off Log'!$B$5:$B$504,"PTO",'Time Off Log'!$E$5:$E$504,"Approved",'Time Off Log'!$C$5:$C$504,"&gt;="&amp;INDEX(Periods!$E$5:$E$57,$B82),'Time Off Log'!$C$5:$C$504,"&lt;="&amp;INDEX(Periods!$F$5:$F$57,$B82)))</f>
        <v/>
      </c>
      <c r="M82" s="51">
        <f>IF($B82=1,N(INDEX(Employees!$N$5:$N$29,$A82)),P81)</f>
        <v/>
      </c>
      <c r="N82" s="51">
        <f>IF(INDEX(Employees!$L$5:$L$29,$A82)="",K82,MAX(0,MIN(K82,INDEX(Employees!$L$5:$L$29,$A82)-(M82-L82))))</f>
        <v/>
      </c>
      <c r="O82" s="51">
        <f>K82-N82</f>
        <v/>
      </c>
      <c r="P82" s="51">
        <f>M82-L82+N82</f>
        <v/>
      </c>
      <c r="Q82" s="51">
        <f>IF($G82=0,0,IF(INDEX(Employees!$P$5:$P$29,$A82)="Per pay period",(N(INDEX(Employees!$Q$5:$Q$29,$A82)))/Settings!$B$13,IF(INDEX(Employees!$P$5:$P$29,$A82)="Per hour worked",N(INDEX(Employees!$R$5:$R$29,$A82))*$I82,IF(INDEX(Employees!$P$5:$P$29,$A82)="Front-loaded",IF(OR($B82=1,N($G81)=0),N(INDEX(Employees!$Q$5:$Q$29,$A82)),0),0))))</f>
        <v/>
      </c>
      <c r="R82" s="51">
        <f>IF($F82=0,0,SUMIFS('Time Off Log'!$H$5:$H$504,'Time Off Log'!$A$5:$A$504,$C82,'Time Off Log'!$B$5:$B$504,"Sick",'Time Off Log'!$E$5:$E$504,"Approved",'Time Off Log'!$C$5:$C$504,"&gt;="&amp;INDEX(Periods!$E$5:$E$57,$B82),'Time Off Log'!$C$5:$C$504,"&lt;="&amp;INDEX(Periods!$F$5:$F$57,$B82)))</f>
        <v/>
      </c>
      <c r="S82" s="51">
        <f>IF($B82=1,N(INDEX(Employees!$T$5:$T$29,$A82)),V81)</f>
        <v/>
      </c>
      <c r="T82" s="51">
        <f>IF(INDEX(Employees!$S$5:$S$29,$A82)="",Q82,MAX(0,MIN(Q82,INDEX(Employees!$S$5:$S$29,$A82)-(S82-R82))))</f>
        <v/>
      </c>
      <c r="U82" s="51">
        <f>Q82-T82</f>
        <v/>
      </c>
      <c r="V82" s="51">
        <f>S82-R82+T82</f>
        <v/>
      </c>
    </row>
    <row r="83">
      <c r="A83" s="50" t="n">
        <v>2</v>
      </c>
      <c r="B83" s="50" t="n">
        <v>26</v>
      </c>
      <c r="C83" s="51">
        <f>INDEX(Employees!$B$5:$B$29,$A83)&amp;""</f>
        <v/>
      </c>
      <c r="D83" s="52">
        <f>INDEX(Periods!$B$5:$B$57,$B83)</f>
        <v/>
      </c>
      <c r="E83" s="52">
        <f>INDEX(Periods!$C$5:$C$57,$B83)</f>
        <v/>
      </c>
      <c r="F83" s="50">
        <f>IF(AND($C83&lt;&gt;"",INDEX(Periods!$D$5:$D$57,$B83)=1),1,0)</f>
        <v/>
      </c>
      <c r="G83" s="50">
        <f>IF($F83=0,0,IF(AND(OR(INDEX(Employees!$D$5:$D$29,$A83)="",$E83&gt;=INDEX(Employees!$D$5:$D$29,$A83)+N(INDEX(Employees!$U$5:$U$29,$A83))),OR(INDEX(Employees!$E$5:$E$29,$A83)="",$D83&lt;=INDEX(Employees!$E$5:$E$29,$A83))),1,0))</f>
        <v/>
      </c>
      <c r="H83" s="50">
        <f>IF($G83=0,0,IF(INDEX(Employees!$D$5:$D$29,$A83)="",0,DATEDIF(INDEX(Employees!$D$5:$D$29,$A83),$E83,"y")))</f>
        <v/>
      </c>
      <c r="I83" s="51">
        <f>IF($G83=0,0,IF(INDEX('Hours Worked'!$D$5:$BD$29,$A83,$B83)="",N(INDEX(Employees!$H$5:$H$29,$A83)),INDEX('Hours Worked'!$D$5:$BD$29,$A83,$B83)))</f>
        <v/>
      </c>
      <c r="J83" s="51">
        <f>IF(OR($G83=0,INDEX(Employees!$O$5:$O$29,$A83)&lt;&gt;"Yes"),0,IF(COUNTIF(Settings!$D$4:$D$9,"&lt;="&amp;$H83)=0,0,INDEX(Settings!$E$4:$E$9,COUNTIF(Settings!$D$4:$D$9,"&lt;="&amp;$H83))))</f>
        <v/>
      </c>
      <c r="K83" s="51">
        <f>IF($G83=0,0,IF(INDEX(Employees!$I$5:$I$29,$A83)="Per pay period",(N(INDEX(Employees!$J$5:$J$29,$A83))+$J83)/Settings!$B$13,IF(INDEX(Employees!$I$5:$I$29,$A83)="Per hour worked",N(INDEX(Employees!$K$5:$K$29,$A83))*$I83,IF(INDEX(Employees!$I$5:$I$29,$A83)="Front-loaded",IF(OR($B83=1,N($G82)=0),N(INDEX(Employees!$J$5:$J$29,$A83))+$J83,0),0))))</f>
        <v/>
      </c>
      <c r="L83" s="51">
        <f>IF($F83=0,0,SUMIFS('Time Off Log'!$H$5:$H$504,'Time Off Log'!$A$5:$A$504,$C83,'Time Off Log'!$B$5:$B$504,"PTO",'Time Off Log'!$E$5:$E$504,"Approved",'Time Off Log'!$C$5:$C$504,"&gt;="&amp;INDEX(Periods!$E$5:$E$57,$B83),'Time Off Log'!$C$5:$C$504,"&lt;="&amp;INDEX(Periods!$F$5:$F$57,$B83)))</f>
        <v/>
      </c>
      <c r="M83" s="51">
        <f>IF($B83=1,N(INDEX(Employees!$N$5:$N$29,$A83)),P82)</f>
        <v/>
      </c>
      <c r="N83" s="51">
        <f>IF(INDEX(Employees!$L$5:$L$29,$A83)="",K83,MAX(0,MIN(K83,INDEX(Employees!$L$5:$L$29,$A83)-(M83-L83))))</f>
        <v/>
      </c>
      <c r="O83" s="51">
        <f>K83-N83</f>
        <v/>
      </c>
      <c r="P83" s="51">
        <f>M83-L83+N83</f>
        <v/>
      </c>
      <c r="Q83" s="51">
        <f>IF($G83=0,0,IF(INDEX(Employees!$P$5:$P$29,$A83)="Per pay period",(N(INDEX(Employees!$Q$5:$Q$29,$A83)))/Settings!$B$13,IF(INDEX(Employees!$P$5:$P$29,$A83)="Per hour worked",N(INDEX(Employees!$R$5:$R$29,$A83))*$I83,IF(INDEX(Employees!$P$5:$P$29,$A83)="Front-loaded",IF(OR($B83=1,N($G82)=0),N(INDEX(Employees!$Q$5:$Q$29,$A83)),0),0))))</f>
        <v/>
      </c>
      <c r="R83" s="51">
        <f>IF($F83=0,0,SUMIFS('Time Off Log'!$H$5:$H$504,'Time Off Log'!$A$5:$A$504,$C83,'Time Off Log'!$B$5:$B$504,"Sick",'Time Off Log'!$E$5:$E$504,"Approved",'Time Off Log'!$C$5:$C$504,"&gt;="&amp;INDEX(Periods!$E$5:$E$57,$B83),'Time Off Log'!$C$5:$C$504,"&lt;="&amp;INDEX(Periods!$F$5:$F$57,$B83)))</f>
        <v/>
      </c>
      <c r="S83" s="51">
        <f>IF($B83=1,N(INDEX(Employees!$T$5:$T$29,$A83)),V82)</f>
        <v/>
      </c>
      <c r="T83" s="51">
        <f>IF(INDEX(Employees!$S$5:$S$29,$A83)="",Q83,MAX(0,MIN(Q83,INDEX(Employees!$S$5:$S$29,$A83)-(S83-R83))))</f>
        <v/>
      </c>
      <c r="U83" s="51">
        <f>Q83-T83</f>
        <v/>
      </c>
      <c r="V83" s="51">
        <f>S83-R83+T83</f>
        <v/>
      </c>
    </row>
    <row r="84">
      <c r="A84" s="50" t="n">
        <v>2</v>
      </c>
      <c r="B84" s="50" t="n">
        <v>27</v>
      </c>
      <c r="C84" s="51">
        <f>INDEX(Employees!$B$5:$B$29,$A84)&amp;""</f>
        <v/>
      </c>
      <c r="D84" s="52">
        <f>INDEX(Periods!$B$5:$B$57,$B84)</f>
        <v/>
      </c>
      <c r="E84" s="52">
        <f>INDEX(Periods!$C$5:$C$57,$B84)</f>
        <v/>
      </c>
      <c r="F84" s="50">
        <f>IF(AND($C84&lt;&gt;"",INDEX(Periods!$D$5:$D$57,$B84)=1),1,0)</f>
        <v/>
      </c>
      <c r="G84" s="50">
        <f>IF($F84=0,0,IF(AND(OR(INDEX(Employees!$D$5:$D$29,$A84)="",$E84&gt;=INDEX(Employees!$D$5:$D$29,$A84)+N(INDEX(Employees!$U$5:$U$29,$A84))),OR(INDEX(Employees!$E$5:$E$29,$A84)="",$D84&lt;=INDEX(Employees!$E$5:$E$29,$A84))),1,0))</f>
        <v/>
      </c>
      <c r="H84" s="50">
        <f>IF($G84=0,0,IF(INDEX(Employees!$D$5:$D$29,$A84)="",0,DATEDIF(INDEX(Employees!$D$5:$D$29,$A84),$E84,"y")))</f>
        <v/>
      </c>
      <c r="I84" s="51">
        <f>IF($G84=0,0,IF(INDEX('Hours Worked'!$D$5:$BD$29,$A84,$B84)="",N(INDEX(Employees!$H$5:$H$29,$A84)),INDEX('Hours Worked'!$D$5:$BD$29,$A84,$B84)))</f>
        <v/>
      </c>
      <c r="J84" s="51">
        <f>IF(OR($G84=0,INDEX(Employees!$O$5:$O$29,$A84)&lt;&gt;"Yes"),0,IF(COUNTIF(Settings!$D$4:$D$9,"&lt;="&amp;$H84)=0,0,INDEX(Settings!$E$4:$E$9,COUNTIF(Settings!$D$4:$D$9,"&lt;="&amp;$H84))))</f>
        <v/>
      </c>
      <c r="K84" s="51">
        <f>IF($G84=0,0,IF(INDEX(Employees!$I$5:$I$29,$A84)="Per pay period",(N(INDEX(Employees!$J$5:$J$29,$A84))+$J84)/Settings!$B$13,IF(INDEX(Employees!$I$5:$I$29,$A84)="Per hour worked",N(INDEX(Employees!$K$5:$K$29,$A84))*$I84,IF(INDEX(Employees!$I$5:$I$29,$A84)="Front-loaded",IF(OR($B84=1,N($G83)=0),N(INDEX(Employees!$J$5:$J$29,$A84))+$J84,0),0))))</f>
        <v/>
      </c>
      <c r="L84" s="51">
        <f>IF($F84=0,0,SUMIFS('Time Off Log'!$H$5:$H$504,'Time Off Log'!$A$5:$A$504,$C84,'Time Off Log'!$B$5:$B$504,"PTO",'Time Off Log'!$E$5:$E$504,"Approved",'Time Off Log'!$C$5:$C$504,"&gt;="&amp;INDEX(Periods!$E$5:$E$57,$B84),'Time Off Log'!$C$5:$C$504,"&lt;="&amp;INDEX(Periods!$F$5:$F$57,$B84)))</f>
        <v/>
      </c>
      <c r="M84" s="51">
        <f>IF($B84=1,N(INDEX(Employees!$N$5:$N$29,$A84)),P83)</f>
        <v/>
      </c>
      <c r="N84" s="51">
        <f>IF(INDEX(Employees!$L$5:$L$29,$A84)="",K84,MAX(0,MIN(K84,INDEX(Employees!$L$5:$L$29,$A84)-(M84-L84))))</f>
        <v/>
      </c>
      <c r="O84" s="51">
        <f>K84-N84</f>
        <v/>
      </c>
      <c r="P84" s="51">
        <f>M84-L84+N84</f>
        <v/>
      </c>
      <c r="Q84" s="51">
        <f>IF($G84=0,0,IF(INDEX(Employees!$P$5:$P$29,$A84)="Per pay period",(N(INDEX(Employees!$Q$5:$Q$29,$A84)))/Settings!$B$13,IF(INDEX(Employees!$P$5:$P$29,$A84)="Per hour worked",N(INDEX(Employees!$R$5:$R$29,$A84))*$I84,IF(INDEX(Employees!$P$5:$P$29,$A84)="Front-loaded",IF(OR($B84=1,N($G83)=0),N(INDEX(Employees!$Q$5:$Q$29,$A84)),0),0))))</f>
        <v/>
      </c>
      <c r="R84" s="51">
        <f>IF($F84=0,0,SUMIFS('Time Off Log'!$H$5:$H$504,'Time Off Log'!$A$5:$A$504,$C84,'Time Off Log'!$B$5:$B$504,"Sick",'Time Off Log'!$E$5:$E$504,"Approved",'Time Off Log'!$C$5:$C$504,"&gt;="&amp;INDEX(Periods!$E$5:$E$57,$B84),'Time Off Log'!$C$5:$C$504,"&lt;="&amp;INDEX(Periods!$F$5:$F$57,$B84)))</f>
        <v/>
      </c>
      <c r="S84" s="51">
        <f>IF($B84=1,N(INDEX(Employees!$T$5:$T$29,$A84)),V83)</f>
        <v/>
      </c>
      <c r="T84" s="51">
        <f>IF(INDEX(Employees!$S$5:$S$29,$A84)="",Q84,MAX(0,MIN(Q84,INDEX(Employees!$S$5:$S$29,$A84)-(S84-R84))))</f>
        <v/>
      </c>
      <c r="U84" s="51">
        <f>Q84-T84</f>
        <v/>
      </c>
      <c r="V84" s="51">
        <f>S84-R84+T84</f>
        <v/>
      </c>
    </row>
    <row r="85">
      <c r="A85" s="50" t="n">
        <v>2</v>
      </c>
      <c r="B85" s="50" t="n">
        <v>28</v>
      </c>
      <c r="C85" s="51">
        <f>INDEX(Employees!$B$5:$B$29,$A85)&amp;""</f>
        <v/>
      </c>
      <c r="D85" s="52">
        <f>INDEX(Periods!$B$5:$B$57,$B85)</f>
        <v/>
      </c>
      <c r="E85" s="52">
        <f>INDEX(Periods!$C$5:$C$57,$B85)</f>
        <v/>
      </c>
      <c r="F85" s="50">
        <f>IF(AND($C85&lt;&gt;"",INDEX(Periods!$D$5:$D$57,$B85)=1),1,0)</f>
        <v/>
      </c>
      <c r="G85" s="50">
        <f>IF($F85=0,0,IF(AND(OR(INDEX(Employees!$D$5:$D$29,$A85)="",$E85&gt;=INDEX(Employees!$D$5:$D$29,$A85)+N(INDEX(Employees!$U$5:$U$29,$A85))),OR(INDEX(Employees!$E$5:$E$29,$A85)="",$D85&lt;=INDEX(Employees!$E$5:$E$29,$A85))),1,0))</f>
        <v/>
      </c>
      <c r="H85" s="50">
        <f>IF($G85=0,0,IF(INDEX(Employees!$D$5:$D$29,$A85)="",0,DATEDIF(INDEX(Employees!$D$5:$D$29,$A85),$E85,"y")))</f>
        <v/>
      </c>
      <c r="I85" s="51">
        <f>IF($G85=0,0,IF(INDEX('Hours Worked'!$D$5:$BD$29,$A85,$B85)="",N(INDEX(Employees!$H$5:$H$29,$A85)),INDEX('Hours Worked'!$D$5:$BD$29,$A85,$B85)))</f>
        <v/>
      </c>
      <c r="J85" s="51">
        <f>IF(OR($G85=0,INDEX(Employees!$O$5:$O$29,$A85)&lt;&gt;"Yes"),0,IF(COUNTIF(Settings!$D$4:$D$9,"&lt;="&amp;$H85)=0,0,INDEX(Settings!$E$4:$E$9,COUNTIF(Settings!$D$4:$D$9,"&lt;="&amp;$H85))))</f>
        <v/>
      </c>
      <c r="K85" s="51">
        <f>IF($G85=0,0,IF(INDEX(Employees!$I$5:$I$29,$A85)="Per pay period",(N(INDEX(Employees!$J$5:$J$29,$A85))+$J85)/Settings!$B$13,IF(INDEX(Employees!$I$5:$I$29,$A85)="Per hour worked",N(INDEX(Employees!$K$5:$K$29,$A85))*$I85,IF(INDEX(Employees!$I$5:$I$29,$A85)="Front-loaded",IF(OR($B85=1,N($G84)=0),N(INDEX(Employees!$J$5:$J$29,$A85))+$J85,0),0))))</f>
        <v/>
      </c>
      <c r="L85" s="51">
        <f>IF($F85=0,0,SUMIFS('Time Off Log'!$H$5:$H$504,'Time Off Log'!$A$5:$A$504,$C85,'Time Off Log'!$B$5:$B$504,"PTO",'Time Off Log'!$E$5:$E$504,"Approved",'Time Off Log'!$C$5:$C$504,"&gt;="&amp;INDEX(Periods!$E$5:$E$57,$B85),'Time Off Log'!$C$5:$C$504,"&lt;="&amp;INDEX(Periods!$F$5:$F$57,$B85)))</f>
        <v/>
      </c>
      <c r="M85" s="51">
        <f>IF($B85=1,N(INDEX(Employees!$N$5:$N$29,$A85)),P84)</f>
        <v/>
      </c>
      <c r="N85" s="51">
        <f>IF(INDEX(Employees!$L$5:$L$29,$A85)="",K85,MAX(0,MIN(K85,INDEX(Employees!$L$5:$L$29,$A85)-(M85-L85))))</f>
        <v/>
      </c>
      <c r="O85" s="51">
        <f>K85-N85</f>
        <v/>
      </c>
      <c r="P85" s="51">
        <f>M85-L85+N85</f>
        <v/>
      </c>
      <c r="Q85" s="51">
        <f>IF($G85=0,0,IF(INDEX(Employees!$P$5:$P$29,$A85)="Per pay period",(N(INDEX(Employees!$Q$5:$Q$29,$A85)))/Settings!$B$13,IF(INDEX(Employees!$P$5:$P$29,$A85)="Per hour worked",N(INDEX(Employees!$R$5:$R$29,$A85))*$I85,IF(INDEX(Employees!$P$5:$P$29,$A85)="Front-loaded",IF(OR($B85=1,N($G84)=0),N(INDEX(Employees!$Q$5:$Q$29,$A85)),0),0))))</f>
        <v/>
      </c>
      <c r="R85" s="51">
        <f>IF($F85=0,0,SUMIFS('Time Off Log'!$H$5:$H$504,'Time Off Log'!$A$5:$A$504,$C85,'Time Off Log'!$B$5:$B$504,"Sick",'Time Off Log'!$E$5:$E$504,"Approved",'Time Off Log'!$C$5:$C$504,"&gt;="&amp;INDEX(Periods!$E$5:$E$57,$B85),'Time Off Log'!$C$5:$C$504,"&lt;="&amp;INDEX(Periods!$F$5:$F$57,$B85)))</f>
        <v/>
      </c>
      <c r="S85" s="51">
        <f>IF($B85=1,N(INDEX(Employees!$T$5:$T$29,$A85)),V84)</f>
        <v/>
      </c>
      <c r="T85" s="51">
        <f>IF(INDEX(Employees!$S$5:$S$29,$A85)="",Q85,MAX(0,MIN(Q85,INDEX(Employees!$S$5:$S$29,$A85)-(S85-R85))))</f>
        <v/>
      </c>
      <c r="U85" s="51">
        <f>Q85-T85</f>
        <v/>
      </c>
      <c r="V85" s="51">
        <f>S85-R85+T85</f>
        <v/>
      </c>
    </row>
    <row r="86">
      <c r="A86" s="50" t="n">
        <v>2</v>
      </c>
      <c r="B86" s="50" t="n">
        <v>29</v>
      </c>
      <c r="C86" s="51">
        <f>INDEX(Employees!$B$5:$B$29,$A86)&amp;""</f>
        <v/>
      </c>
      <c r="D86" s="52">
        <f>INDEX(Periods!$B$5:$B$57,$B86)</f>
        <v/>
      </c>
      <c r="E86" s="52">
        <f>INDEX(Periods!$C$5:$C$57,$B86)</f>
        <v/>
      </c>
      <c r="F86" s="50">
        <f>IF(AND($C86&lt;&gt;"",INDEX(Periods!$D$5:$D$57,$B86)=1),1,0)</f>
        <v/>
      </c>
      <c r="G86" s="50">
        <f>IF($F86=0,0,IF(AND(OR(INDEX(Employees!$D$5:$D$29,$A86)="",$E86&gt;=INDEX(Employees!$D$5:$D$29,$A86)+N(INDEX(Employees!$U$5:$U$29,$A86))),OR(INDEX(Employees!$E$5:$E$29,$A86)="",$D86&lt;=INDEX(Employees!$E$5:$E$29,$A86))),1,0))</f>
        <v/>
      </c>
      <c r="H86" s="50">
        <f>IF($G86=0,0,IF(INDEX(Employees!$D$5:$D$29,$A86)="",0,DATEDIF(INDEX(Employees!$D$5:$D$29,$A86),$E86,"y")))</f>
        <v/>
      </c>
      <c r="I86" s="51">
        <f>IF($G86=0,0,IF(INDEX('Hours Worked'!$D$5:$BD$29,$A86,$B86)="",N(INDEX(Employees!$H$5:$H$29,$A86)),INDEX('Hours Worked'!$D$5:$BD$29,$A86,$B86)))</f>
        <v/>
      </c>
      <c r="J86" s="51">
        <f>IF(OR($G86=0,INDEX(Employees!$O$5:$O$29,$A86)&lt;&gt;"Yes"),0,IF(COUNTIF(Settings!$D$4:$D$9,"&lt;="&amp;$H86)=0,0,INDEX(Settings!$E$4:$E$9,COUNTIF(Settings!$D$4:$D$9,"&lt;="&amp;$H86))))</f>
        <v/>
      </c>
      <c r="K86" s="51">
        <f>IF($G86=0,0,IF(INDEX(Employees!$I$5:$I$29,$A86)="Per pay period",(N(INDEX(Employees!$J$5:$J$29,$A86))+$J86)/Settings!$B$13,IF(INDEX(Employees!$I$5:$I$29,$A86)="Per hour worked",N(INDEX(Employees!$K$5:$K$29,$A86))*$I86,IF(INDEX(Employees!$I$5:$I$29,$A86)="Front-loaded",IF(OR($B86=1,N($G85)=0),N(INDEX(Employees!$J$5:$J$29,$A86))+$J86,0),0))))</f>
        <v/>
      </c>
      <c r="L86" s="51">
        <f>IF($F86=0,0,SUMIFS('Time Off Log'!$H$5:$H$504,'Time Off Log'!$A$5:$A$504,$C86,'Time Off Log'!$B$5:$B$504,"PTO",'Time Off Log'!$E$5:$E$504,"Approved",'Time Off Log'!$C$5:$C$504,"&gt;="&amp;INDEX(Periods!$E$5:$E$57,$B86),'Time Off Log'!$C$5:$C$504,"&lt;="&amp;INDEX(Periods!$F$5:$F$57,$B86)))</f>
        <v/>
      </c>
      <c r="M86" s="51">
        <f>IF($B86=1,N(INDEX(Employees!$N$5:$N$29,$A86)),P85)</f>
        <v/>
      </c>
      <c r="N86" s="51">
        <f>IF(INDEX(Employees!$L$5:$L$29,$A86)="",K86,MAX(0,MIN(K86,INDEX(Employees!$L$5:$L$29,$A86)-(M86-L86))))</f>
        <v/>
      </c>
      <c r="O86" s="51">
        <f>K86-N86</f>
        <v/>
      </c>
      <c r="P86" s="51">
        <f>M86-L86+N86</f>
        <v/>
      </c>
      <c r="Q86" s="51">
        <f>IF($G86=0,0,IF(INDEX(Employees!$P$5:$P$29,$A86)="Per pay period",(N(INDEX(Employees!$Q$5:$Q$29,$A86)))/Settings!$B$13,IF(INDEX(Employees!$P$5:$P$29,$A86)="Per hour worked",N(INDEX(Employees!$R$5:$R$29,$A86))*$I86,IF(INDEX(Employees!$P$5:$P$29,$A86)="Front-loaded",IF(OR($B86=1,N($G85)=0),N(INDEX(Employees!$Q$5:$Q$29,$A86)),0),0))))</f>
        <v/>
      </c>
      <c r="R86" s="51">
        <f>IF($F86=0,0,SUMIFS('Time Off Log'!$H$5:$H$504,'Time Off Log'!$A$5:$A$504,$C86,'Time Off Log'!$B$5:$B$504,"Sick",'Time Off Log'!$E$5:$E$504,"Approved",'Time Off Log'!$C$5:$C$504,"&gt;="&amp;INDEX(Periods!$E$5:$E$57,$B86),'Time Off Log'!$C$5:$C$504,"&lt;="&amp;INDEX(Periods!$F$5:$F$57,$B86)))</f>
        <v/>
      </c>
      <c r="S86" s="51">
        <f>IF($B86=1,N(INDEX(Employees!$T$5:$T$29,$A86)),V85)</f>
        <v/>
      </c>
      <c r="T86" s="51">
        <f>IF(INDEX(Employees!$S$5:$S$29,$A86)="",Q86,MAX(0,MIN(Q86,INDEX(Employees!$S$5:$S$29,$A86)-(S86-R86))))</f>
        <v/>
      </c>
      <c r="U86" s="51">
        <f>Q86-T86</f>
        <v/>
      </c>
      <c r="V86" s="51">
        <f>S86-R86+T86</f>
        <v/>
      </c>
    </row>
    <row r="87">
      <c r="A87" s="50" t="n">
        <v>2</v>
      </c>
      <c r="B87" s="50" t="n">
        <v>30</v>
      </c>
      <c r="C87" s="51">
        <f>INDEX(Employees!$B$5:$B$29,$A87)&amp;""</f>
        <v/>
      </c>
      <c r="D87" s="52">
        <f>INDEX(Periods!$B$5:$B$57,$B87)</f>
        <v/>
      </c>
      <c r="E87" s="52">
        <f>INDEX(Periods!$C$5:$C$57,$B87)</f>
        <v/>
      </c>
      <c r="F87" s="50">
        <f>IF(AND($C87&lt;&gt;"",INDEX(Periods!$D$5:$D$57,$B87)=1),1,0)</f>
        <v/>
      </c>
      <c r="G87" s="50">
        <f>IF($F87=0,0,IF(AND(OR(INDEX(Employees!$D$5:$D$29,$A87)="",$E87&gt;=INDEX(Employees!$D$5:$D$29,$A87)+N(INDEX(Employees!$U$5:$U$29,$A87))),OR(INDEX(Employees!$E$5:$E$29,$A87)="",$D87&lt;=INDEX(Employees!$E$5:$E$29,$A87))),1,0))</f>
        <v/>
      </c>
      <c r="H87" s="50">
        <f>IF($G87=0,0,IF(INDEX(Employees!$D$5:$D$29,$A87)="",0,DATEDIF(INDEX(Employees!$D$5:$D$29,$A87),$E87,"y")))</f>
        <v/>
      </c>
      <c r="I87" s="51">
        <f>IF($G87=0,0,IF(INDEX('Hours Worked'!$D$5:$BD$29,$A87,$B87)="",N(INDEX(Employees!$H$5:$H$29,$A87)),INDEX('Hours Worked'!$D$5:$BD$29,$A87,$B87)))</f>
        <v/>
      </c>
      <c r="J87" s="51">
        <f>IF(OR($G87=0,INDEX(Employees!$O$5:$O$29,$A87)&lt;&gt;"Yes"),0,IF(COUNTIF(Settings!$D$4:$D$9,"&lt;="&amp;$H87)=0,0,INDEX(Settings!$E$4:$E$9,COUNTIF(Settings!$D$4:$D$9,"&lt;="&amp;$H87))))</f>
        <v/>
      </c>
      <c r="K87" s="51">
        <f>IF($G87=0,0,IF(INDEX(Employees!$I$5:$I$29,$A87)="Per pay period",(N(INDEX(Employees!$J$5:$J$29,$A87))+$J87)/Settings!$B$13,IF(INDEX(Employees!$I$5:$I$29,$A87)="Per hour worked",N(INDEX(Employees!$K$5:$K$29,$A87))*$I87,IF(INDEX(Employees!$I$5:$I$29,$A87)="Front-loaded",IF(OR($B87=1,N($G86)=0),N(INDEX(Employees!$J$5:$J$29,$A87))+$J87,0),0))))</f>
        <v/>
      </c>
      <c r="L87" s="51">
        <f>IF($F87=0,0,SUMIFS('Time Off Log'!$H$5:$H$504,'Time Off Log'!$A$5:$A$504,$C87,'Time Off Log'!$B$5:$B$504,"PTO",'Time Off Log'!$E$5:$E$504,"Approved",'Time Off Log'!$C$5:$C$504,"&gt;="&amp;INDEX(Periods!$E$5:$E$57,$B87),'Time Off Log'!$C$5:$C$504,"&lt;="&amp;INDEX(Periods!$F$5:$F$57,$B87)))</f>
        <v/>
      </c>
      <c r="M87" s="51">
        <f>IF($B87=1,N(INDEX(Employees!$N$5:$N$29,$A87)),P86)</f>
        <v/>
      </c>
      <c r="N87" s="51">
        <f>IF(INDEX(Employees!$L$5:$L$29,$A87)="",K87,MAX(0,MIN(K87,INDEX(Employees!$L$5:$L$29,$A87)-(M87-L87))))</f>
        <v/>
      </c>
      <c r="O87" s="51">
        <f>K87-N87</f>
        <v/>
      </c>
      <c r="P87" s="51">
        <f>M87-L87+N87</f>
        <v/>
      </c>
      <c r="Q87" s="51">
        <f>IF($G87=0,0,IF(INDEX(Employees!$P$5:$P$29,$A87)="Per pay period",(N(INDEX(Employees!$Q$5:$Q$29,$A87)))/Settings!$B$13,IF(INDEX(Employees!$P$5:$P$29,$A87)="Per hour worked",N(INDEX(Employees!$R$5:$R$29,$A87))*$I87,IF(INDEX(Employees!$P$5:$P$29,$A87)="Front-loaded",IF(OR($B87=1,N($G86)=0),N(INDEX(Employees!$Q$5:$Q$29,$A87)),0),0))))</f>
        <v/>
      </c>
      <c r="R87" s="51">
        <f>IF($F87=0,0,SUMIFS('Time Off Log'!$H$5:$H$504,'Time Off Log'!$A$5:$A$504,$C87,'Time Off Log'!$B$5:$B$504,"Sick",'Time Off Log'!$E$5:$E$504,"Approved",'Time Off Log'!$C$5:$C$504,"&gt;="&amp;INDEX(Periods!$E$5:$E$57,$B87),'Time Off Log'!$C$5:$C$504,"&lt;="&amp;INDEX(Periods!$F$5:$F$57,$B87)))</f>
        <v/>
      </c>
      <c r="S87" s="51">
        <f>IF($B87=1,N(INDEX(Employees!$T$5:$T$29,$A87)),V86)</f>
        <v/>
      </c>
      <c r="T87" s="51">
        <f>IF(INDEX(Employees!$S$5:$S$29,$A87)="",Q87,MAX(0,MIN(Q87,INDEX(Employees!$S$5:$S$29,$A87)-(S87-R87))))</f>
        <v/>
      </c>
      <c r="U87" s="51">
        <f>Q87-T87</f>
        <v/>
      </c>
      <c r="V87" s="51">
        <f>S87-R87+T87</f>
        <v/>
      </c>
    </row>
    <row r="88">
      <c r="A88" s="50" t="n">
        <v>2</v>
      </c>
      <c r="B88" s="50" t="n">
        <v>31</v>
      </c>
      <c r="C88" s="51">
        <f>INDEX(Employees!$B$5:$B$29,$A88)&amp;""</f>
        <v/>
      </c>
      <c r="D88" s="52">
        <f>INDEX(Periods!$B$5:$B$57,$B88)</f>
        <v/>
      </c>
      <c r="E88" s="52">
        <f>INDEX(Periods!$C$5:$C$57,$B88)</f>
        <v/>
      </c>
      <c r="F88" s="50">
        <f>IF(AND($C88&lt;&gt;"",INDEX(Periods!$D$5:$D$57,$B88)=1),1,0)</f>
        <v/>
      </c>
      <c r="G88" s="50">
        <f>IF($F88=0,0,IF(AND(OR(INDEX(Employees!$D$5:$D$29,$A88)="",$E88&gt;=INDEX(Employees!$D$5:$D$29,$A88)+N(INDEX(Employees!$U$5:$U$29,$A88))),OR(INDEX(Employees!$E$5:$E$29,$A88)="",$D88&lt;=INDEX(Employees!$E$5:$E$29,$A88))),1,0))</f>
        <v/>
      </c>
      <c r="H88" s="50">
        <f>IF($G88=0,0,IF(INDEX(Employees!$D$5:$D$29,$A88)="",0,DATEDIF(INDEX(Employees!$D$5:$D$29,$A88),$E88,"y")))</f>
        <v/>
      </c>
      <c r="I88" s="51">
        <f>IF($G88=0,0,IF(INDEX('Hours Worked'!$D$5:$BD$29,$A88,$B88)="",N(INDEX(Employees!$H$5:$H$29,$A88)),INDEX('Hours Worked'!$D$5:$BD$29,$A88,$B88)))</f>
        <v/>
      </c>
      <c r="J88" s="51">
        <f>IF(OR($G88=0,INDEX(Employees!$O$5:$O$29,$A88)&lt;&gt;"Yes"),0,IF(COUNTIF(Settings!$D$4:$D$9,"&lt;="&amp;$H88)=0,0,INDEX(Settings!$E$4:$E$9,COUNTIF(Settings!$D$4:$D$9,"&lt;="&amp;$H88))))</f>
        <v/>
      </c>
      <c r="K88" s="51">
        <f>IF($G88=0,0,IF(INDEX(Employees!$I$5:$I$29,$A88)="Per pay period",(N(INDEX(Employees!$J$5:$J$29,$A88))+$J88)/Settings!$B$13,IF(INDEX(Employees!$I$5:$I$29,$A88)="Per hour worked",N(INDEX(Employees!$K$5:$K$29,$A88))*$I88,IF(INDEX(Employees!$I$5:$I$29,$A88)="Front-loaded",IF(OR($B88=1,N($G87)=0),N(INDEX(Employees!$J$5:$J$29,$A88))+$J88,0),0))))</f>
        <v/>
      </c>
      <c r="L88" s="51">
        <f>IF($F88=0,0,SUMIFS('Time Off Log'!$H$5:$H$504,'Time Off Log'!$A$5:$A$504,$C88,'Time Off Log'!$B$5:$B$504,"PTO",'Time Off Log'!$E$5:$E$504,"Approved",'Time Off Log'!$C$5:$C$504,"&gt;="&amp;INDEX(Periods!$E$5:$E$57,$B88),'Time Off Log'!$C$5:$C$504,"&lt;="&amp;INDEX(Periods!$F$5:$F$57,$B88)))</f>
        <v/>
      </c>
      <c r="M88" s="51">
        <f>IF($B88=1,N(INDEX(Employees!$N$5:$N$29,$A88)),P87)</f>
        <v/>
      </c>
      <c r="N88" s="51">
        <f>IF(INDEX(Employees!$L$5:$L$29,$A88)="",K88,MAX(0,MIN(K88,INDEX(Employees!$L$5:$L$29,$A88)-(M88-L88))))</f>
        <v/>
      </c>
      <c r="O88" s="51">
        <f>K88-N88</f>
        <v/>
      </c>
      <c r="P88" s="51">
        <f>M88-L88+N88</f>
        <v/>
      </c>
      <c r="Q88" s="51">
        <f>IF($G88=0,0,IF(INDEX(Employees!$P$5:$P$29,$A88)="Per pay period",(N(INDEX(Employees!$Q$5:$Q$29,$A88)))/Settings!$B$13,IF(INDEX(Employees!$P$5:$P$29,$A88)="Per hour worked",N(INDEX(Employees!$R$5:$R$29,$A88))*$I88,IF(INDEX(Employees!$P$5:$P$29,$A88)="Front-loaded",IF(OR($B88=1,N($G87)=0),N(INDEX(Employees!$Q$5:$Q$29,$A88)),0),0))))</f>
        <v/>
      </c>
      <c r="R88" s="51">
        <f>IF($F88=0,0,SUMIFS('Time Off Log'!$H$5:$H$504,'Time Off Log'!$A$5:$A$504,$C88,'Time Off Log'!$B$5:$B$504,"Sick",'Time Off Log'!$E$5:$E$504,"Approved",'Time Off Log'!$C$5:$C$504,"&gt;="&amp;INDEX(Periods!$E$5:$E$57,$B88),'Time Off Log'!$C$5:$C$504,"&lt;="&amp;INDEX(Periods!$F$5:$F$57,$B88)))</f>
        <v/>
      </c>
      <c r="S88" s="51">
        <f>IF($B88=1,N(INDEX(Employees!$T$5:$T$29,$A88)),V87)</f>
        <v/>
      </c>
      <c r="T88" s="51">
        <f>IF(INDEX(Employees!$S$5:$S$29,$A88)="",Q88,MAX(0,MIN(Q88,INDEX(Employees!$S$5:$S$29,$A88)-(S88-R88))))</f>
        <v/>
      </c>
      <c r="U88" s="51">
        <f>Q88-T88</f>
        <v/>
      </c>
      <c r="V88" s="51">
        <f>S88-R88+T88</f>
        <v/>
      </c>
    </row>
    <row r="89">
      <c r="A89" s="50" t="n">
        <v>2</v>
      </c>
      <c r="B89" s="50" t="n">
        <v>32</v>
      </c>
      <c r="C89" s="51">
        <f>INDEX(Employees!$B$5:$B$29,$A89)&amp;""</f>
        <v/>
      </c>
      <c r="D89" s="52">
        <f>INDEX(Periods!$B$5:$B$57,$B89)</f>
        <v/>
      </c>
      <c r="E89" s="52">
        <f>INDEX(Periods!$C$5:$C$57,$B89)</f>
        <v/>
      </c>
      <c r="F89" s="50">
        <f>IF(AND($C89&lt;&gt;"",INDEX(Periods!$D$5:$D$57,$B89)=1),1,0)</f>
        <v/>
      </c>
      <c r="G89" s="50">
        <f>IF($F89=0,0,IF(AND(OR(INDEX(Employees!$D$5:$D$29,$A89)="",$E89&gt;=INDEX(Employees!$D$5:$D$29,$A89)+N(INDEX(Employees!$U$5:$U$29,$A89))),OR(INDEX(Employees!$E$5:$E$29,$A89)="",$D89&lt;=INDEX(Employees!$E$5:$E$29,$A89))),1,0))</f>
        <v/>
      </c>
      <c r="H89" s="50">
        <f>IF($G89=0,0,IF(INDEX(Employees!$D$5:$D$29,$A89)="",0,DATEDIF(INDEX(Employees!$D$5:$D$29,$A89),$E89,"y")))</f>
        <v/>
      </c>
      <c r="I89" s="51">
        <f>IF($G89=0,0,IF(INDEX('Hours Worked'!$D$5:$BD$29,$A89,$B89)="",N(INDEX(Employees!$H$5:$H$29,$A89)),INDEX('Hours Worked'!$D$5:$BD$29,$A89,$B89)))</f>
        <v/>
      </c>
      <c r="J89" s="51">
        <f>IF(OR($G89=0,INDEX(Employees!$O$5:$O$29,$A89)&lt;&gt;"Yes"),0,IF(COUNTIF(Settings!$D$4:$D$9,"&lt;="&amp;$H89)=0,0,INDEX(Settings!$E$4:$E$9,COUNTIF(Settings!$D$4:$D$9,"&lt;="&amp;$H89))))</f>
        <v/>
      </c>
      <c r="K89" s="51">
        <f>IF($G89=0,0,IF(INDEX(Employees!$I$5:$I$29,$A89)="Per pay period",(N(INDEX(Employees!$J$5:$J$29,$A89))+$J89)/Settings!$B$13,IF(INDEX(Employees!$I$5:$I$29,$A89)="Per hour worked",N(INDEX(Employees!$K$5:$K$29,$A89))*$I89,IF(INDEX(Employees!$I$5:$I$29,$A89)="Front-loaded",IF(OR($B89=1,N($G88)=0),N(INDEX(Employees!$J$5:$J$29,$A89))+$J89,0),0))))</f>
        <v/>
      </c>
      <c r="L89" s="51">
        <f>IF($F89=0,0,SUMIFS('Time Off Log'!$H$5:$H$504,'Time Off Log'!$A$5:$A$504,$C89,'Time Off Log'!$B$5:$B$504,"PTO",'Time Off Log'!$E$5:$E$504,"Approved",'Time Off Log'!$C$5:$C$504,"&gt;="&amp;INDEX(Periods!$E$5:$E$57,$B89),'Time Off Log'!$C$5:$C$504,"&lt;="&amp;INDEX(Periods!$F$5:$F$57,$B89)))</f>
        <v/>
      </c>
      <c r="M89" s="51">
        <f>IF($B89=1,N(INDEX(Employees!$N$5:$N$29,$A89)),P88)</f>
        <v/>
      </c>
      <c r="N89" s="51">
        <f>IF(INDEX(Employees!$L$5:$L$29,$A89)="",K89,MAX(0,MIN(K89,INDEX(Employees!$L$5:$L$29,$A89)-(M89-L89))))</f>
        <v/>
      </c>
      <c r="O89" s="51">
        <f>K89-N89</f>
        <v/>
      </c>
      <c r="P89" s="51">
        <f>M89-L89+N89</f>
        <v/>
      </c>
      <c r="Q89" s="51">
        <f>IF($G89=0,0,IF(INDEX(Employees!$P$5:$P$29,$A89)="Per pay period",(N(INDEX(Employees!$Q$5:$Q$29,$A89)))/Settings!$B$13,IF(INDEX(Employees!$P$5:$P$29,$A89)="Per hour worked",N(INDEX(Employees!$R$5:$R$29,$A89))*$I89,IF(INDEX(Employees!$P$5:$P$29,$A89)="Front-loaded",IF(OR($B89=1,N($G88)=0),N(INDEX(Employees!$Q$5:$Q$29,$A89)),0),0))))</f>
        <v/>
      </c>
      <c r="R89" s="51">
        <f>IF($F89=0,0,SUMIFS('Time Off Log'!$H$5:$H$504,'Time Off Log'!$A$5:$A$504,$C89,'Time Off Log'!$B$5:$B$504,"Sick",'Time Off Log'!$E$5:$E$504,"Approved",'Time Off Log'!$C$5:$C$504,"&gt;="&amp;INDEX(Periods!$E$5:$E$57,$B89),'Time Off Log'!$C$5:$C$504,"&lt;="&amp;INDEX(Periods!$F$5:$F$57,$B89)))</f>
        <v/>
      </c>
      <c r="S89" s="51">
        <f>IF($B89=1,N(INDEX(Employees!$T$5:$T$29,$A89)),V88)</f>
        <v/>
      </c>
      <c r="T89" s="51">
        <f>IF(INDEX(Employees!$S$5:$S$29,$A89)="",Q89,MAX(0,MIN(Q89,INDEX(Employees!$S$5:$S$29,$A89)-(S89-R89))))</f>
        <v/>
      </c>
      <c r="U89" s="51">
        <f>Q89-T89</f>
        <v/>
      </c>
      <c r="V89" s="51">
        <f>S89-R89+T89</f>
        <v/>
      </c>
    </row>
    <row r="90">
      <c r="A90" s="50" t="n">
        <v>2</v>
      </c>
      <c r="B90" s="50" t="n">
        <v>33</v>
      </c>
      <c r="C90" s="51">
        <f>INDEX(Employees!$B$5:$B$29,$A90)&amp;""</f>
        <v/>
      </c>
      <c r="D90" s="52">
        <f>INDEX(Periods!$B$5:$B$57,$B90)</f>
        <v/>
      </c>
      <c r="E90" s="52">
        <f>INDEX(Periods!$C$5:$C$57,$B90)</f>
        <v/>
      </c>
      <c r="F90" s="50">
        <f>IF(AND($C90&lt;&gt;"",INDEX(Periods!$D$5:$D$57,$B90)=1),1,0)</f>
        <v/>
      </c>
      <c r="G90" s="50">
        <f>IF($F90=0,0,IF(AND(OR(INDEX(Employees!$D$5:$D$29,$A90)="",$E90&gt;=INDEX(Employees!$D$5:$D$29,$A90)+N(INDEX(Employees!$U$5:$U$29,$A90))),OR(INDEX(Employees!$E$5:$E$29,$A90)="",$D90&lt;=INDEX(Employees!$E$5:$E$29,$A90))),1,0))</f>
        <v/>
      </c>
      <c r="H90" s="50">
        <f>IF($G90=0,0,IF(INDEX(Employees!$D$5:$D$29,$A90)="",0,DATEDIF(INDEX(Employees!$D$5:$D$29,$A90),$E90,"y")))</f>
        <v/>
      </c>
      <c r="I90" s="51">
        <f>IF($G90=0,0,IF(INDEX('Hours Worked'!$D$5:$BD$29,$A90,$B90)="",N(INDEX(Employees!$H$5:$H$29,$A90)),INDEX('Hours Worked'!$D$5:$BD$29,$A90,$B90)))</f>
        <v/>
      </c>
      <c r="J90" s="51">
        <f>IF(OR($G90=0,INDEX(Employees!$O$5:$O$29,$A90)&lt;&gt;"Yes"),0,IF(COUNTIF(Settings!$D$4:$D$9,"&lt;="&amp;$H90)=0,0,INDEX(Settings!$E$4:$E$9,COUNTIF(Settings!$D$4:$D$9,"&lt;="&amp;$H90))))</f>
        <v/>
      </c>
      <c r="K90" s="51">
        <f>IF($G90=0,0,IF(INDEX(Employees!$I$5:$I$29,$A90)="Per pay period",(N(INDEX(Employees!$J$5:$J$29,$A90))+$J90)/Settings!$B$13,IF(INDEX(Employees!$I$5:$I$29,$A90)="Per hour worked",N(INDEX(Employees!$K$5:$K$29,$A90))*$I90,IF(INDEX(Employees!$I$5:$I$29,$A90)="Front-loaded",IF(OR($B90=1,N($G89)=0),N(INDEX(Employees!$J$5:$J$29,$A90))+$J90,0),0))))</f>
        <v/>
      </c>
      <c r="L90" s="51">
        <f>IF($F90=0,0,SUMIFS('Time Off Log'!$H$5:$H$504,'Time Off Log'!$A$5:$A$504,$C90,'Time Off Log'!$B$5:$B$504,"PTO",'Time Off Log'!$E$5:$E$504,"Approved",'Time Off Log'!$C$5:$C$504,"&gt;="&amp;INDEX(Periods!$E$5:$E$57,$B90),'Time Off Log'!$C$5:$C$504,"&lt;="&amp;INDEX(Periods!$F$5:$F$57,$B90)))</f>
        <v/>
      </c>
      <c r="M90" s="51">
        <f>IF($B90=1,N(INDEX(Employees!$N$5:$N$29,$A90)),P89)</f>
        <v/>
      </c>
      <c r="N90" s="51">
        <f>IF(INDEX(Employees!$L$5:$L$29,$A90)="",K90,MAX(0,MIN(K90,INDEX(Employees!$L$5:$L$29,$A90)-(M90-L90))))</f>
        <v/>
      </c>
      <c r="O90" s="51">
        <f>K90-N90</f>
        <v/>
      </c>
      <c r="P90" s="51">
        <f>M90-L90+N90</f>
        <v/>
      </c>
      <c r="Q90" s="51">
        <f>IF($G90=0,0,IF(INDEX(Employees!$P$5:$P$29,$A90)="Per pay period",(N(INDEX(Employees!$Q$5:$Q$29,$A90)))/Settings!$B$13,IF(INDEX(Employees!$P$5:$P$29,$A90)="Per hour worked",N(INDEX(Employees!$R$5:$R$29,$A90))*$I90,IF(INDEX(Employees!$P$5:$P$29,$A90)="Front-loaded",IF(OR($B90=1,N($G89)=0),N(INDEX(Employees!$Q$5:$Q$29,$A90)),0),0))))</f>
        <v/>
      </c>
      <c r="R90" s="51">
        <f>IF($F90=0,0,SUMIFS('Time Off Log'!$H$5:$H$504,'Time Off Log'!$A$5:$A$504,$C90,'Time Off Log'!$B$5:$B$504,"Sick",'Time Off Log'!$E$5:$E$504,"Approved",'Time Off Log'!$C$5:$C$504,"&gt;="&amp;INDEX(Periods!$E$5:$E$57,$B90),'Time Off Log'!$C$5:$C$504,"&lt;="&amp;INDEX(Periods!$F$5:$F$57,$B90)))</f>
        <v/>
      </c>
      <c r="S90" s="51">
        <f>IF($B90=1,N(INDEX(Employees!$T$5:$T$29,$A90)),V89)</f>
        <v/>
      </c>
      <c r="T90" s="51">
        <f>IF(INDEX(Employees!$S$5:$S$29,$A90)="",Q90,MAX(0,MIN(Q90,INDEX(Employees!$S$5:$S$29,$A90)-(S90-R90))))</f>
        <v/>
      </c>
      <c r="U90" s="51">
        <f>Q90-T90</f>
        <v/>
      </c>
      <c r="V90" s="51">
        <f>S90-R90+T90</f>
        <v/>
      </c>
    </row>
    <row r="91">
      <c r="A91" s="50" t="n">
        <v>2</v>
      </c>
      <c r="B91" s="50" t="n">
        <v>34</v>
      </c>
      <c r="C91" s="51">
        <f>INDEX(Employees!$B$5:$B$29,$A91)&amp;""</f>
        <v/>
      </c>
      <c r="D91" s="52">
        <f>INDEX(Periods!$B$5:$B$57,$B91)</f>
        <v/>
      </c>
      <c r="E91" s="52">
        <f>INDEX(Periods!$C$5:$C$57,$B91)</f>
        <v/>
      </c>
      <c r="F91" s="50">
        <f>IF(AND($C91&lt;&gt;"",INDEX(Periods!$D$5:$D$57,$B91)=1),1,0)</f>
        <v/>
      </c>
      <c r="G91" s="50">
        <f>IF($F91=0,0,IF(AND(OR(INDEX(Employees!$D$5:$D$29,$A91)="",$E91&gt;=INDEX(Employees!$D$5:$D$29,$A91)+N(INDEX(Employees!$U$5:$U$29,$A91))),OR(INDEX(Employees!$E$5:$E$29,$A91)="",$D91&lt;=INDEX(Employees!$E$5:$E$29,$A91))),1,0))</f>
        <v/>
      </c>
      <c r="H91" s="50">
        <f>IF($G91=0,0,IF(INDEX(Employees!$D$5:$D$29,$A91)="",0,DATEDIF(INDEX(Employees!$D$5:$D$29,$A91),$E91,"y")))</f>
        <v/>
      </c>
      <c r="I91" s="51">
        <f>IF($G91=0,0,IF(INDEX('Hours Worked'!$D$5:$BD$29,$A91,$B91)="",N(INDEX(Employees!$H$5:$H$29,$A91)),INDEX('Hours Worked'!$D$5:$BD$29,$A91,$B91)))</f>
        <v/>
      </c>
      <c r="J91" s="51">
        <f>IF(OR($G91=0,INDEX(Employees!$O$5:$O$29,$A91)&lt;&gt;"Yes"),0,IF(COUNTIF(Settings!$D$4:$D$9,"&lt;="&amp;$H91)=0,0,INDEX(Settings!$E$4:$E$9,COUNTIF(Settings!$D$4:$D$9,"&lt;="&amp;$H91))))</f>
        <v/>
      </c>
      <c r="K91" s="51">
        <f>IF($G91=0,0,IF(INDEX(Employees!$I$5:$I$29,$A91)="Per pay period",(N(INDEX(Employees!$J$5:$J$29,$A91))+$J91)/Settings!$B$13,IF(INDEX(Employees!$I$5:$I$29,$A91)="Per hour worked",N(INDEX(Employees!$K$5:$K$29,$A91))*$I91,IF(INDEX(Employees!$I$5:$I$29,$A91)="Front-loaded",IF(OR($B91=1,N($G90)=0),N(INDEX(Employees!$J$5:$J$29,$A91))+$J91,0),0))))</f>
        <v/>
      </c>
      <c r="L91" s="51">
        <f>IF($F91=0,0,SUMIFS('Time Off Log'!$H$5:$H$504,'Time Off Log'!$A$5:$A$504,$C91,'Time Off Log'!$B$5:$B$504,"PTO",'Time Off Log'!$E$5:$E$504,"Approved",'Time Off Log'!$C$5:$C$504,"&gt;="&amp;INDEX(Periods!$E$5:$E$57,$B91),'Time Off Log'!$C$5:$C$504,"&lt;="&amp;INDEX(Periods!$F$5:$F$57,$B91)))</f>
        <v/>
      </c>
      <c r="M91" s="51">
        <f>IF($B91=1,N(INDEX(Employees!$N$5:$N$29,$A91)),P90)</f>
        <v/>
      </c>
      <c r="N91" s="51">
        <f>IF(INDEX(Employees!$L$5:$L$29,$A91)="",K91,MAX(0,MIN(K91,INDEX(Employees!$L$5:$L$29,$A91)-(M91-L91))))</f>
        <v/>
      </c>
      <c r="O91" s="51">
        <f>K91-N91</f>
        <v/>
      </c>
      <c r="P91" s="51">
        <f>M91-L91+N91</f>
        <v/>
      </c>
      <c r="Q91" s="51">
        <f>IF($G91=0,0,IF(INDEX(Employees!$P$5:$P$29,$A91)="Per pay period",(N(INDEX(Employees!$Q$5:$Q$29,$A91)))/Settings!$B$13,IF(INDEX(Employees!$P$5:$P$29,$A91)="Per hour worked",N(INDEX(Employees!$R$5:$R$29,$A91))*$I91,IF(INDEX(Employees!$P$5:$P$29,$A91)="Front-loaded",IF(OR($B91=1,N($G90)=0),N(INDEX(Employees!$Q$5:$Q$29,$A91)),0),0))))</f>
        <v/>
      </c>
      <c r="R91" s="51">
        <f>IF($F91=0,0,SUMIFS('Time Off Log'!$H$5:$H$504,'Time Off Log'!$A$5:$A$504,$C91,'Time Off Log'!$B$5:$B$504,"Sick",'Time Off Log'!$E$5:$E$504,"Approved",'Time Off Log'!$C$5:$C$504,"&gt;="&amp;INDEX(Periods!$E$5:$E$57,$B91),'Time Off Log'!$C$5:$C$504,"&lt;="&amp;INDEX(Periods!$F$5:$F$57,$B91)))</f>
        <v/>
      </c>
      <c r="S91" s="51">
        <f>IF($B91=1,N(INDEX(Employees!$T$5:$T$29,$A91)),V90)</f>
        <v/>
      </c>
      <c r="T91" s="51">
        <f>IF(INDEX(Employees!$S$5:$S$29,$A91)="",Q91,MAX(0,MIN(Q91,INDEX(Employees!$S$5:$S$29,$A91)-(S91-R91))))</f>
        <v/>
      </c>
      <c r="U91" s="51">
        <f>Q91-T91</f>
        <v/>
      </c>
      <c r="V91" s="51">
        <f>S91-R91+T91</f>
        <v/>
      </c>
    </row>
    <row r="92">
      <c r="A92" s="50" t="n">
        <v>2</v>
      </c>
      <c r="B92" s="50" t="n">
        <v>35</v>
      </c>
      <c r="C92" s="51">
        <f>INDEX(Employees!$B$5:$B$29,$A92)&amp;""</f>
        <v/>
      </c>
      <c r="D92" s="52">
        <f>INDEX(Periods!$B$5:$B$57,$B92)</f>
        <v/>
      </c>
      <c r="E92" s="52">
        <f>INDEX(Periods!$C$5:$C$57,$B92)</f>
        <v/>
      </c>
      <c r="F92" s="50">
        <f>IF(AND($C92&lt;&gt;"",INDEX(Periods!$D$5:$D$57,$B92)=1),1,0)</f>
        <v/>
      </c>
      <c r="G92" s="50">
        <f>IF($F92=0,0,IF(AND(OR(INDEX(Employees!$D$5:$D$29,$A92)="",$E92&gt;=INDEX(Employees!$D$5:$D$29,$A92)+N(INDEX(Employees!$U$5:$U$29,$A92))),OR(INDEX(Employees!$E$5:$E$29,$A92)="",$D92&lt;=INDEX(Employees!$E$5:$E$29,$A92))),1,0))</f>
        <v/>
      </c>
      <c r="H92" s="50">
        <f>IF($G92=0,0,IF(INDEX(Employees!$D$5:$D$29,$A92)="",0,DATEDIF(INDEX(Employees!$D$5:$D$29,$A92),$E92,"y")))</f>
        <v/>
      </c>
      <c r="I92" s="51">
        <f>IF($G92=0,0,IF(INDEX('Hours Worked'!$D$5:$BD$29,$A92,$B92)="",N(INDEX(Employees!$H$5:$H$29,$A92)),INDEX('Hours Worked'!$D$5:$BD$29,$A92,$B92)))</f>
        <v/>
      </c>
      <c r="J92" s="51">
        <f>IF(OR($G92=0,INDEX(Employees!$O$5:$O$29,$A92)&lt;&gt;"Yes"),0,IF(COUNTIF(Settings!$D$4:$D$9,"&lt;="&amp;$H92)=0,0,INDEX(Settings!$E$4:$E$9,COUNTIF(Settings!$D$4:$D$9,"&lt;="&amp;$H92))))</f>
        <v/>
      </c>
      <c r="K92" s="51">
        <f>IF($G92=0,0,IF(INDEX(Employees!$I$5:$I$29,$A92)="Per pay period",(N(INDEX(Employees!$J$5:$J$29,$A92))+$J92)/Settings!$B$13,IF(INDEX(Employees!$I$5:$I$29,$A92)="Per hour worked",N(INDEX(Employees!$K$5:$K$29,$A92))*$I92,IF(INDEX(Employees!$I$5:$I$29,$A92)="Front-loaded",IF(OR($B92=1,N($G91)=0),N(INDEX(Employees!$J$5:$J$29,$A92))+$J92,0),0))))</f>
        <v/>
      </c>
      <c r="L92" s="51">
        <f>IF($F92=0,0,SUMIFS('Time Off Log'!$H$5:$H$504,'Time Off Log'!$A$5:$A$504,$C92,'Time Off Log'!$B$5:$B$504,"PTO",'Time Off Log'!$E$5:$E$504,"Approved",'Time Off Log'!$C$5:$C$504,"&gt;="&amp;INDEX(Periods!$E$5:$E$57,$B92),'Time Off Log'!$C$5:$C$504,"&lt;="&amp;INDEX(Periods!$F$5:$F$57,$B92)))</f>
        <v/>
      </c>
      <c r="M92" s="51">
        <f>IF($B92=1,N(INDEX(Employees!$N$5:$N$29,$A92)),P91)</f>
        <v/>
      </c>
      <c r="N92" s="51">
        <f>IF(INDEX(Employees!$L$5:$L$29,$A92)="",K92,MAX(0,MIN(K92,INDEX(Employees!$L$5:$L$29,$A92)-(M92-L92))))</f>
        <v/>
      </c>
      <c r="O92" s="51">
        <f>K92-N92</f>
        <v/>
      </c>
      <c r="P92" s="51">
        <f>M92-L92+N92</f>
        <v/>
      </c>
      <c r="Q92" s="51">
        <f>IF($G92=0,0,IF(INDEX(Employees!$P$5:$P$29,$A92)="Per pay period",(N(INDEX(Employees!$Q$5:$Q$29,$A92)))/Settings!$B$13,IF(INDEX(Employees!$P$5:$P$29,$A92)="Per hour worked",N(INDEX(Employees!$R$5:$R$29,$A92))*$I92,IF(INDEX(Employees!$P$5:$P$29,$A92)="Front-loaded",IF(OR($B92=1,N($G91)=0),N(INDEX(Employees!$Q$5:$Q$29,$A92)),0),0))))</f>
        <v/>
      </c>
      <c r="R92" s="51">
        <f>IF($F92=0,0,SUMIFS('Time Off Log'!$H$5:$H$504,'Time Off Log'!$A$5:$A$504,$C92,'Time Off Log'!$B$5:$B$504,"Sick",'Time Off Log'!$E$5:$E$504,"Approved",'Time Off Log'!$C$5:$C$504,"&gt;="&amp;INDEX(Periods!$E$5:$E$57,$B92),'Time Off Log'!$C$5:$C$504,"&lt;="&amp;INDEX(Periods!$F$5:$F$57,$B92)))</f>
        <v/>
      </c>
      <c r="S92" s="51">
        <f>IF($B92=1,N(INDEX(Employees!$T$5:$T$29,$A92)),V91)</f>
        <v/>
      </c>
      <c r="T92" s="51">
        <f>IF(INDEX(Employees!$S$5:$S$29,$A92)="",Q92,MAX(0,MIN(Q92,INDEX(Employees!$S$5:$S$29,$A92)-(S92-R92))))</f>
        <v/>
      </c>
      <c r="U92" s="51">
        <f>Q92-T92</f>
        <v/>
      </c>
      <c r="V92" s="51">
        <f>S92-R92+T92</f>
        <v/>
      </c>
    </row>
    <row r="93">
      <c r="A93" s="50" t="n">
        <v>2</v>
      </c>
      <c r="B93" s="50" t="n">
        <v>36</v>
      </c>
      <c r="C93" s="51">
        <f>INDEX(Employees!$B$5:$B$29,$A93)&amp;""</f>
        <v/>
      </c>
      <c r="D93" s="52">
        <f>INDEX(Periods!$B$5:$B$57,$B93)</f>
        <v/>
      </c>
      <c r="E93" s="52">
        <f>INDEX(Periods!$C$5:$C$57,$B93)</f>
        <v/>
      </c>
      <c r="F93" s="50">
        <f>IF(AND($C93&lt;&gt;"",INDEX(Periods!$D$5:$D$57,$B93)=1),1,0)</f>
        <v/>
      </c>
      <c r="G93" s="50">
        <f>IF($F93=0,0,IF(AND(OR(INDEX(Employees!$D$5:$D$29,$A93)="",$E93&gt;=INDEX(Employees!$D$5:$D$29,$A93)+N(INDEX(Employees!$U$5:$U$29,$A93))),OR(INDEX(Employees!$E$5:$E$29,$A93)="",$D93&lt;=INDEX(Employees!$E$5:$E$29,$A93))),1,0))</f>
        <v/>
      </c>
      <c r="H93" s="50">
        <f>IF($G93=0,0,IF(INDEX(Employees!$D$5:$D$29,$A93)="",0,DATEDIF(INDEX(Employees!$D$5:$D$29,$A93),$E93,"y")))</f>
        <v/>
      </c>
      <c r="I93" s="51">
        <f>IF($G93=0,0,IF(INDEX('Hours Worked'!$D$5:$BD$29,$A93,$B93)="",N(INDEX(Employees!$H$5:$H$29,$A93)),INDEX('Hours Worked'!$D$5:$BD$29,$A93,$B93)))</f>
        <v/>
      </c>
      <c r="J93" s="51">
        <f>IF(OR($G93=0,INDEX(Employees!$O$5:$O$29,$A93)&lt;&gt;"Yes"),0,IF(COUNTIF(Settings!$D$4:$D$9,"&lt;="&amp;$H93)=0,0,INDEX(Settings!$E$4:$E$9,COUNTIF(Settings!$D$4:$D$9,"&lt;="&amp;$H93))))</f>
        <v/>
      </c>
      <c r="K93" s="51">
        <f>IF($G93=0,0,IF(INDEX(Employees!$I$5:$I$29,$A93)="Per pay period",(N(INDEX(Employees!$J$5:$J$29,$A93))+$J93)/Settings!$B$13,IF(INDEX(Employees!$I$5:$I$29,$A93)="Per hour worked",N(INDEX(Employees!$K$5:$K$29,$A93))*$I93,IF(INDEX(Employees!$I$5:$I$29,$A93)="Front-loaded",IF(OR($B93=1,N($G92)=0),N(INDEX(Employees!$J$5:$J$29,$A93))+$J93,0),0))))</f>
        <v/>
      </c>
      <c r="L93" s="51">
        <f>IF($F93=0,0,SUMIFS('Time Off Log'!$H$5:$H$504,'Time Off Log'!$A$5:$A$504,$C93,'Time Off Log'!$B$5:$B$504,"PTO",'Time Off Log'!$E$5:$E$504,"Approved",'Time Off Log'!$C$5:$C$504,"&gt;="&amp;INDEX(Periods!$E$5:$E$57,$B93),'Time Off Log'!$C$5:$C$504,"&lt;="&amp;INDEX(Periods!$F$5:$F$57,$B93)))</f>
        <v/>
      </c>
      <c r="M93" s="51">
        <f>IF($B93=1,N(INDEX(Employees!$N$5:$N$29,$A93)),P92)</f>
        <v/>
      </c>
      <c r="N93" s="51">
        <f>IF(INDEX(Employees!$L$5:$L$29,$A93)="",K93,MAX(0,MIN(K93,INDEX(Employees!$L$5:$L$29,$A93)-(M93-L93))))</f>
        <v/>
      </c>
      <c r="O93" s="51">
        <f>K93-N93</f>
        <v/>
      </c>
      <c r="P93" s="51">
        <f>M93-L93+N93</f>
        <v/>
      </c>
      <c r="Q93" s="51">
        <f>IF($G93=0,0,IF(INDEX(Employees!$P$5:$P$29,$A93)="Per pay period",(N(INDEX(Employees!$Q$5:$Q$29,$A93)))/Settings!$B$13,IF(INDEX(Employees!$P$5:$P$29,$A93)="Per hour worked",N(INDEX(Employees!$R$5:$R$29,$A93))*$I93,IF(INDEX(Employees!$P$5:$P$29,$A93)="Front-loaded",IF(OR($B93=1,N($G92)=0),N(INDEX(Employees!$Q$5:$Q$29,$A93)),0),0))))</f>
        <v/>
      </c>
      <c r="R93" s="51">
        <f>IF($F93=0,0,SUMIFS('Time Off Log'!$H$5:$H$504,'Time Off Log'!$A$5:$A$504,$C93,'Time Off Log'!$B$5:$B$504,"Sick",'Time Off Log'!$E$5:$E$504,"Approved",'Time Off Log'!$C$5:$C$504,"&gt;="&amp;INDEX(Periods!$E$5:$E$57,$B93),'Time Off Log'!$C$5:$C$504,"&lt;="&amp;INDEX(Periods!$F$5:$F$57,$B93)))</f>
        <v/>
      </c>
      <c r="S93" s="51">
        <f>IF($B93=1,N(INDEX(Employees!$T$5:$T$29,$A93)),V92)</f>
        <v/>
      </c>
      <c r="T93" s="51">
        <f>IF(INDEX(Employees!$S$5:$S$29,$A93)="",Q93,MAX(0,MIN(Q93,INDEX(Employees!$S$5:$S$29,$A93)-(S93-R93))))</f>
        <v/>
      </c>
      <c r="U93" s="51">
        <f>Q93-T93</f>
        <v/>
      </c>
      <c r="V93" s="51">
        <f>S93-R93+T93</f>
        <v/>
      </c>
    </row>
    <row r="94">
      <c r="A94" s="50" t="n">
        <v>2</v>
      </c>
      <c r="B94" s="50" t="n">
        <v>37</v>
      </c>
      <c r="C94" s="51">
        <f>INDEX(Employees!$B$5:$B$29,$A94)&amp;""</f>
        <v/>
      </c>
      <c r="D94" s="52">
        <f>INDEX(Periods!$B$5:$B$57,$B94)</f>
        <v/>
      </c>
      <c r="E94" s="52">
        <f>INDEX(Periods!$C$5:$C$57,$B94)</f>
        <v/>
      </c>
      <c r="F94" s="50">
        <f>IF(AND($C94&lt;&gt;"",INDEX(Periods!$D$5:$D$57,$B94)=1),1,0)</f>
        <v/>
      </c>
      <c r="G94" s="50">
        <f>IF($F94=0,0,IF(AND(OR(INDEX(Employees!$D$5:$D$29,$A94)="",$E94&gt;=INDEX(Employees!$D$5:$D$29,$A94)+N(INDEX(Employees!$U$5:$U$29,$A94))),OR(INDEX(Employees!$E$5:$E$29,$A94)="",$D94&lt;=INDEX(Employees!$E$5:$E$29,$A94))),1,0))</f>
        <v/>
      </c>
      <c r="H94" s="50">
        <f>IF($G94=0,0,IF(INDEX(Employees!$D$5:$D$29,$A94)="",0,DATEDIF(INDEX(Employees!$D$5:$D$29,$A94),$E94,"y")))</f>
        <v/>
      </c>
      <c r="I94" s="51">
        <f>IF($G94=0,0,IF(INDEX('Hours Worked'!$D$5:$BD$29,$A94,$B94)="",N(INDEX(Employees!$H$5:$H$29,$A94)),INDEX('Hours Worked'!$D$5:$BD$29,$A94,$B94)))</f>
        <v/>
      </c>
      <c r="J94" s="51">
        <f>IF(OR($G94=0,INDEX(Employees!$O$5:$O$29,$A94)&lt;&gt;"Yes"),0,IF(COUNTIF(Settings!$D$4:$D$9,"&lt;="&amp;$H94)=0,0,INDEX(Settings!$E$4:$E$9,COUNTIF(Settings!$D$4:$D$9,"&lt;="&amp;$H94))))</f>
        <v/>
      </c>
      <c r="K94" s="51">
        <f>IF($G94=0,0,IF(INDEX(Employees!$I$5:$I$29,$A94)="Per pay period",(N(INDEX(Employees!$J$5:$J$29,$A94))+$J94)/Settings!$B$13,IF(INDEX(Employees!$I$5:$I$29,$A94)="Per hour worked",N(INDEX(Employees!$K$5:$K$29,$A94))*$I94,IF(INDEX(Employees!$I$5:$I$29,$A94)="Front-loaded",IF(OR($B94=1,N($G93)=0),N(INDEX(Employees!$J$5:$J$29,$A94))+$J94,0),0))))</f>
        <v/>
      </c>
      <c r="L94" s="51">
        <f>IF($F94=0,0,SUMIFS('Time Off Log'!$H$5:$H$504,'Time Off Log'!$A$5:$A$504,$C94,'Time Off Log'!$B$5:$B$504,"PTO",'Time Off Log'!$E$5:$E$504,"Approved",'Time Off Log'!$C$5:$C$504,"&gt;="&amp;INDEX(Periods!$E$5:$E$57,$B94),'Time Off Log'!$C$5:$C$504,"&lt;="&amp;INDEX(Periods!$F$5:$F$57,$B94)))</f>
        <v/>
      </c>
      <c r="M94" s="51">
        <f>IF($B94=1,N(INDEX(Employees!$N$5:$N$29,$A94)),P93)</f>
        <v/>
      </c>
      <c r="N94" s="51">
        <f>IF(INDEX(Employees!$L$5:$L$29,$A94)="",K94,MAX(0,MIN(K94,INDEX(Employees!$L$5:$L$29,$A94)-(M94-L94))))</f>
        <v/>
      </c>
      <c r="O94" s="51">
        <f>K94-N94</f>
        <v/>
      </c>
      <c r="P94" s="51">
        <f>M94-L94+N94</f>
        <v/>
      </c>
      <c r="Q94" s="51">
        <f>IF($G94=0,0,IF(INDEX(Employees!$P$5:$P$29,$A94)="Per pay period",(N(INDEX(Employees!$Q$5:$Q$29,$A94)))/Settings!$B$13,IF(INDEX(Employees!$P$5:$P$29,$A94)="Per hour worked",N(INDEX(Employees!$R$5:$R$29,$A94))*$I94,IF(INDEX(Employees!$P$5:$P$29,$A94)="Front-loaded",IF(OR($B94=1,N($G93)=0),N(INDEX(Employees!$Q$5:$Q$29,$A94)),0),0))))</f>
        <v/>
      </c>
      <c r="R94" s="51">
        <f>IF($F94=0,0,SUMIFS('Time Off Log'!$H$5:$H$504,'Time Off Log'!$A$5:$A$504,$C94,'Time Off Log'!$B$5:$B$504,"Sick",'Time Off Log'!$E$5:$E$504,"Approved",'Time Off Log'!$C$5:$C$504,"&gt;="&amp;INDEX(Periods!$E$5:$E$57,$B94),'Time Off Log'!$C$5:$C$504,"&lt;="&amp;INDEX(Periods!$F$5:$F$57,$B94)))</f>
        <v/>
      </c>
      <c r="S94" s="51">
        <f>IF($B94=1,N(INDEX(Employees!$T$5:$T$29,$A94)),V93)</f>
        <v/>
      </c>
      <c r="T94" s="51">
        <f>IF(INDEX(Employees!$S$5:$S$29,$A94)="",Q94,MAX(0,MIN(Q94,INDEX(Employees!$S$5:$S$29,$A94)-(S94-R94))))</f>
        <v/>
      </c>
      <c r="U94" s="51">
        <f>Q94-T94</f>
        <v/>
      </c>
      <c r="V94" s="51">
        <f>S94-R94+T94</f>
        <v/>
      </c>
    </row>
    <row r="95">
      <c r="A95" s="50" t="n">
        <v>2</v>
      </c>
      <c r="B95" s="50" t="n">
        <v>38</v>
      </c>
      <c r="C95" s="51">
        <f>INDEX(Employees!$B$5:$B$29,$A95)&amp;""</f>
        <v/>
      </c>
      <c r="D95" s="52">
        <f>INDEX(Periods!$B$5:$B$57,$B95)</f>
        <v/>
      </c>
      <c r="E95" s="52">
        <f>INDEX(Periods!$C$5:$C$57,$B95)</f>
        <v/>
      </c>
      <c r="F95" s="50">
        <f>IF(AND($C95&lt;&gt;"",INDEX(Periods!$D$5:$D$57,$B95)=1),1,0)</f>
        <v/>
      </c>
      <c r="G95" s="50">
        <f>IF($F95=0,0,IF(AND(OR(INDEX(Employees!$D$5:$D$29,$A95)="",$E95&gt;=INDEX(Employees!$D$5:$D$29,$A95)+N(INDEX(Employees!$U$5:$U$29,$A95))),OR(INDEX(Employees!$E$5:$E$29,$A95)="",$D95&lt;=INDEX(Employees!$E$5:$E$29,$A95))),1,0))</f>
        <v/>
      </c>
      <c r="H95" s="50">
        <f>IF($G95=0,0,IF(INDEX(Employees!$D$5:$D$29,$A95)="",0,DATEDIF(INDEX(Employees!$D$5:$D$29,$A95),$E95,"y")))</f>
        <v/>
      </c>
      <c r="I95" s="51">
        <f>IF($G95=0,0,IF(INDEX('Hours Worked'!$D$5:$BD$29,$A95,$B95)="",N(INDEX(Employees!$H$5:$H$29,$A95)),INDEX('Hours Worked'!$D$5:$BD$29,$A95,$B95)))</f>
        <v/>
      </c>
      <c r="J95" s="51">
        <f>IF(OR($G95=0,INDEX(Employees!$O$5:$O$29,$A95)&lt;&gt;"Yes"),0,IF(COUNTIF(Settings!$D$4:$D$9,"&lt;="&amp;$H95)=0,0,INDEX(Settings!$E$4:$E$9,COUNTIF(Settings!$D$4:$D$9,"&lt;="&amp;$H95))))</f>
        <v/>
      </c>
      <c r="K95" s="51">
        <f>IF($G95=0,0,IF(INDEX(Employees!$I$5:$I$29,$A95)="Per pay period",(N(INDEX(Employees!$J$5:$J$29,$A95))+$J95)/Settings!$B$13,IF(INDEX(Employees!$I$5:$I$29,$A95)="Per hour worked",N(INDEX(Employees!$K$5:$K$29,$A95))*$I95,IF(INDEX(Employees!$I$5:$I$29,$A95)="Front-loaded",IF(OR($B95=1,N($G94)=0),N(INDEX(Employees!$J$5:$J$29,$A95))+$J95,0),0))))</f>
        <v/>
      </c>
      <c r="L95" s="51">
        <f>IF($F95=0,0,SUMIFS('Time Off Log'!$H$5:$H$504,'Time Off Log'!$A$5:$A$504,$C95,'Time Off Log'!$B$5:$B$504,"PTO",'Time Off Log'!$E$5:$E$504,"Approved",'Time Off Log'!$C$5:$C$504,"&gt;="&amp;INDEX(Periods!$E$5:$E$57,$B95),'Time Off Log'!$C$5:$C$504,"&lt;="&amp;INDEX(Periods!$F$5:$F$57,$B95)))</f>
        <v/>
      </c>
      <c r="M95" s="51">
        <f>IF($B95=1,N(INDEX(Employees!$N$5:$N$29,$A95)),P94)</f>
        <v/>
      </c>
      <c r="N95" s="51">
        <f>IF(INDEX(Employees!$L$5:$L$29,$A95)="",K95,MAX(0,MIN(K95,INDEX(Employees!$L$5:$L$29,$A95)-(M95-L95))))</f>
        <v/>
      </c>
      <c r="O95" s="51">
        <f>K95-N95</f>
        <v/>
      </c>
      <c r="P95" s="51">
        <f>M95-L95+N95</f>
        <v/>
      </c>
      <c r="Q95" s="51">
        <f>IF($G95=0,0,IF(INDEX(Employees!$P$5:$P$29,$A95)="Per pay period",(N(INDEX(Employees!$Q$5:$Q$29,$A95)))/Settings!$B$13,IF(INDEX(Employees!$P$5:$P$29,$A95)="Per hour worked",N(INDEX(Employees!$R$5:$R$29,$A95))*$I95,IF(INDEX(Employees!$P$5:$P$29,$A95)="Front-loaded",IF(OR($B95=1,N($G94)=0),N(INDEX(Employees!$Q$5:$Q$29,$A95)),0),0))))</f>
        <v/>
      </c>
      <c r="R95" s="51">
        <f>IF($F95=0,0,SUMIFS('Time Off Log'!$H$5:$H$504,'Time Off Log'!$A$5:$A$504,$C95,'Time Off Log'!$B$5:$B$504,"Sick",'Time Off Log'!$E$5:$E$504,"Approved",'Time Off Log'!$C$5:$C$504,"&gt;="&amp;INDEX(Periods!$E$5:$E$57,$B95),'Time Off Log'!$C$5:$C$504,"&lt;="&amp;INDEX(Periods!$F$5:$F$57,$B95)))</f>
        <v/>
      </c>
      <c r="S95" s="51">
        <f>IF($B95=1,N(INDEX(Employees!$T$5:$T$29,$A95)),V94)</f>
        <v/>
      </c>
      <c r="T95" s="51">
        <f>IF(INDEX(Employees!$S$5:$S$29,$A95)="",Q95,MAX(0,MIN(Q95,INDEX(Employees!$S$5:$S$29,$A95)-(S95-R95))))</f>
        <v/>
      </c>
      <c r="U95" s="51">
        <f>Q95-T95</f>
        <v/>
      </c>
      <c r="V95" s="51">
        <f>S95-R95+T95</f>
        <v/>
      </c>
    </row>
    <row r="96">
      <c r="A96" s="50" t="n">
        <v>2</v>
      </c>
      <c r="B96" s="50" t="n">
        <v>39</v>
      </c>
      <c r="C96" s="51">
        <f>INDEX(Employees!$B$5:$B$29,$A96)&amp;""</f>
        <v/>
      </c>
      <c r="D96" s="52">
        <f>INDEX(Periods!$B$5:$B$57,$B96)</f>
        <v/>
      </c>
      <c r="E96" s="52">
        <f>INDEX(Periods!$C$5:$C$57,$B96)</f>
        <v/>
      </c>
      <c r="F96" s="50">
        <f>IF(AND($C96&lt;&gt;"",INDEX(Periods!$D$5:$D$57,$B96)=1),1,0)</f>
        <v/>
      </c>
      <c r="G96" s="50">
        <f>IF($F96=0,0,IF(AND(OR(INDEX(Employees!$D$5:$D$29,$A96)="",$E96&gt;=INDEX(Employees!$D$5:$D$29,$A96)+N(INDEX(Employees!$U$5:$U$29,$A96))),OR(INDEX(Employees!$E$5:$E$29,$A96)="",$D96&lt;=INDEX(Employees!$E$5:$E$29,$A96))),1,0))</f>
        <v/>
      </c>
      <c r="H96" s="50">
        <f>IF($G96=0,0,IF(INDEX(Employees!$D$5:$D$29,$A96)="",0,DATEDIF(INDEX(Employees!$D$5:$D$29,$A96),$E96,"y")))</f>
        <v/>
      </c>
      <c r="I96" s="51">
        <f>IF($G96=0,0,IF(INDEX('Hours Worked'!$D$5:$BD$29,$A96,$B96)="",N(INDEX(Employees!$H$5:$H$29,$A96)),INDEX('Hours Worked'!$D$5:$BD$29,$A96,$B96)))</f>
        <v/>
      </c>
      <c r="J96" s="51">
        <f>IF(OR($G96=0,INDEX(Employees!$O$5:$O$29,$A96)&lt;&gt;"Yes"),0,IF(COUNTIF(Settings!$D$4:$D$9,"&lt;="&amp;$H96)=0,0,INDEX(Settings!$E$4:$E$9,COUNTIF(Settings!$D$4:$D$9,"&lt;="&amp;$H96))))</f>
        <v/>
      </c>
      <c r="K96" s="51">
        <f>IF($G96=0,0,IF(INDEX(Employees!$I$5:$I$29,$A96)="Per pay period",(N(INDEX(Employees!$J$5:$J$29,$A96))+$J96)/Settings!$B$13,IF(INDEX(Employees!$I$5:$I$29,$A96)="Per hour worked",N(INDEX(Employees!$K$5:$K$29,$A96))*$I96,IF(INDEX(Employees!$I$5:$I$29,$A96)="Front-loaded",IF(OR($B96=1,N($G95)=0),N(INDEX(Employees!$J$5:$J$29,$A96))+$J96,0),0))))</f>
        <v/>
      </c>
      <c r="L96" s="51">
        <f>IF($F96=0,0,SUMIFS('Time Off Log'!$H$5:$H$504,'Time Off Log'!$A$5:$A$504,$C96,'Time Off Log'!$B$5:$B$504,"PTO",'Time Off Log'!$E$5:$E$504,"Approved",'Time Off Log'!$C$5:$C$504,"&gt;="&amp;INDEX(Periods!$E$5:$E$57,$B96),'Time Off Log'!$C$5:$C$504,"&lt;="&amp;INDEX(Periods!$F$5:$F$57,$B96)))</f>
        <v/>
      </c>
      <c r="M96" s="51">
        <f>IF($B96=1,N(INDEX(Employees!$N$5:$N$29,$A96)),P95)</f>
        <v/>
      </c>
      <c r="N96" s="51">
        <f>IF(INDEX(Employees!$L$5:$L$29,$A96)="",K96,MAX(0,MIN(K96,INDEX(Employees!$L$5:$L$29,$A96)-(M96-L96))))</f>
        <v/>
      </c>
      <c r="O96" s="51">
        <f>K96-N96</f>
        <v/>
      </c>
      <c r="P96" s="51">
        <f>M96-L96+N96</f>
        <v/>
      </c>
      <c r="Q96" s="51">
        <f>IF($G96=0,0,IF(INDEX(Employees!$P$5:$P$29,$A96)="Per pay period",(N(INDEX(Employees!$Q$5:$Q$29,$A96)))/Settings!$B$13,IF(INDEX(Employees!$P$5:$P$29,$A96)="Per hour worked",N(INDEX(Employees!$R$5:$R$29,$A96))*$I96,IF(INDEX(Employees!$P$5:$P$29,$A96)="Front-loaded",IF(OR($B96=1,N($G95)=0),N(INDEX(Employees!$Q$5:$Q$29,$A96)),0),0))))</f>
        <v/>
      </c>
      <c r="R96" s="51">
        <f>IF($F96=0,0,SUMIFS('Time Off Log'!$H$5:$H$504,'Time Off Log'!$A$5:$A$504,$C96,'Time Off Log'!$B$5:$B$504,"Sick",'Time Off Log'!$E$5:$E$504,"Approved",'Time Off Log'!$C$5:$C$504,"&gt;="&amp;INDEX(Periods!$E$5:$E$57,$B96),'Time Off Log'!$C$5:$C$504,"&lt;="&amp;INDEX(Periods!$F$5:$F$57,$B96)))</f>
        <v/>
      </c>
      <c r="S96" s="51">
        <f>IF($B96=1,N(INDEX(Employees!$T$5:$T$29,$A96)),V95)</f>
        <v/>
      </c>
      <c r="T96" s="51">
        <f>IF(INDEX(Employees!$S$5:$S$29,$A96)="",Q96,MAX(0,MIN(Q96,INDEX(Employees!$S$5:$S$29,$A96)-(S96-R96))))</f>
        <v/>
      </c>
      <c r="U96" s="51">
        <f>Q96-T96</f>
        <v/>
      </c>
      <c r="V96" s="51">
        <f>S96-R96+T96</f>
        <v/>
      </c>
    </row>
    <row r="97">
      <c r="A97" s="50" t="n">
        <v>2</v>
      </c>
      <c r="B97" s="50" t="n">
        <v>40</v>
      </c>
      <c r="C97" s="51">
        <f>INDEX(Employees!$B$5:$B$29,$A97)&amp;""</f>
        <v/>
      </c>
      <c r="D97" s="52">
        <f>INDEX(Periods!$B$5:$B$57,$B97)</f>
        <v/>
      </c>
      <c r="E97" s="52">
        <f>INDEX(Periods!$C$5:$C$57,$B97)</f>
        <v/>
      </c>
      <c r="F97" s="50">
        <f>IF(AND($C97&lt;&gt;"",INDEX(Periods!$D$5:$D$57,$B97)=1),1,0)</f>
        <v/>
      </c>
      <c r="G97" s="50">
        <f>IF($F97=0,0,IF(AND(OR(INDEX(Employees!$D$5:$D$29,$A97)="",$E97&gt;=INDEX(Employees!$D$5:$D$29,$A97)+N(INDEX(Employees!$U$5:$U$29,$A97))),OR(INDEX(Employees!$E$5:$E$29,$A97)="",$D97&lt;=INDEX(Employees!$E$5:$E$29,$A97))),1,0))</f>
        <v/>
      </c>
      <c r="H97" s="50">
        <f>IF($G97=0,0,IF(INDEX(Employees!$D$5:$D$29,$A97)="",0,DATEDIF(INDEX(Employees!$D$5:$D$29,$A97),$E97,"y")))</f>
        <v/>
      </c>
      <c r="I97" s="51">
        <f>IF($G97=0,0,IF(INDEX('Hours Worked'!$D$5:$BD$29,$A97,$B97)="",N(INDEX(Employees!$H$5:$H$29,$A97)),INDEX('Hours Worked'!$D$5:$BD$29,$A97,$B97)))</f>
        <v/>
      </c>
      <c r="J97" s="51">
        <f>IF(OR($G97=0,INDEX(Employees!$O$5:$O$29,$A97)&lt;&gt;"Yes"),0,IF(COUNTIF(Settings!$D$4:$D$9,"&lt;="&amp;$H97)=0,0,INDEX(Settings!$E$4:$E$9,COUNTIF(Settings!$D$4:$D$9,"&lt;="&amp;$H97))))</f>
        <v/>
      </c>
      <c r="K97" s="51">
        <f>IF($G97=0,0,IF(INDEX(Employees!$I$5:$I$29,$A97)="Per pay period",(N(INDEX(Employees!$J$5:$J$29,$A97))+$J97)/Settings!$B$13,IF(INDEX(Employees!$I$5:$I$29,$A97)="Per hour worked",N(INDEX(Employees!$K$5:$K$29,$A97))*$I97,IF(INDEX(Employees!$I$5:$I$29,$A97)="Front-loaded",IF(OR($B97=1,N($G96)=0),N(INDEX(Employees!$J$5:$J$29,$A97))+$J97,0),0))))</f>
        <v/>
      </c>
      <c r="L97" s="51">
        <f>IF($F97=0,0,SUMIFS('Time Off Log'!$H$5:$H$504,'Time Off Log'!$A$5:$A$504,$C97,'Time Off Log'!$B$5:$B$504,"PTO",'Time Off Log'!$E$5:$E$504,"Approved",'Time Off Log'!$C$5:$C$504,"&gt;="&amp;INDEX(Periods!$E$5:$E$57,$B97),'Time Off Log'!$C$5:$C$504,"&lt;="&amp;INDEX(Periods!$F$5:$F$57,$B97)))</f>
        <v/>
      </c>
      <c r="M97" s="51">
        <f>IF($B97=1,N(INDEX(Employees!$N$5:$N$29,$A97)),P96)</f>
        <v/>
      </c>
      <c r="N97" s="51">
        <f>IF(INDEX(Employees!$L$5:$L$29,$A97)="",K97,MAX(0,MIN(K97,INDEX(Employees!$L$5:$L$29,$A97)-(M97-L97))))</f>
        <v/>
      </c>
      <c r="O97" s="51">
        <f>K97-N97</f>
        <v/>
      </c>
      <c r="P97" s="51">
        <f>M97-L97+N97</f>
        <v/>
      </c>
      <c r="Q97" s="51">
        <f>IF($G97=0,0,IF(INDEX(Employees!$P$5:$P$29,$A97)="Per pay period",(N(INDEX(Employees!$Q$5:$Q$29,$A97)))/Settings!$B$13,IF(INDEX(Employees!$P$5:$P$29,$A97)="Per hour worked",N(INDEX(Employees!$R$5:$R$29,$A97))*$I97,IF(INDEX(Employees!$P$5:$P$29,$A97)="Front-loaded",IF(OR($B97=1,N($G96)=0),N(INDEX(Employees!$Q$5:$Q$29,$A97)),0),0))))</f>
        <v/>
      </c>
      <c r="R97" s="51">
        <f>IF($F97=0,0,SUMIFS('Time Off Log'!$H$5:$H$504,'Time Off Log'!$A$5:$A$504,$C97,'Time Off Log'!$B$5:$B$504,"Sick",'Time Off Log'!$E$5:$E$504,"Approved",'Time Off Log'!$C$5:$C$504,"&gt;="&amp;INDEX(Periods!$E$5:$E$57,$B97),'Time Off Log'!$C$5:$C$504,"&lt;="&amp;INDEX(Periods!$F$5:$F$57,$B97)))</f>
        <v/>
      </c>
      <c r="S97" s="51">
        <f>IF($B97=1,N(INDEX(Employees!$T$5:$T$29,$A97)),V96)</f>
        <v/>
      </c>
      <c r="T97" s="51">
        <f>IF(INDEX(Employees!$S$5:$S$29,$A97)="",Q97,MAX(0,MIN(Q97,INDEX(Employees!$S$5:$S$29,$A97)-(S97-R97))))</f>
        <v/>
      </c>
      <c r="U97" s="51">
        <f>Q97-T97</f>
        <v/>
      </c>
      <c r="V97" s="51">
        <f>S97-R97+T97</f>
        <v/>
      </c>
    </row>
    <row r="98">
      <c r="A98" s="50" t="n">
        <v>2</v>
      </c>
      <c r="B98" s="50" t="n">
        <v>41</v>
      </c>
      <c r="C98" s="51">
        <f>INDEX(Employees!$B$5:$B$29,$A98)&amp;""</f>
        <v/>
      </c>
      <c r="D98" s="52">
        <f>INDEX(Periods!$B$5:$B$57,$B98)</f>
        <v/>
      </c>
      <c r="E98" s="52">
        <f>INDEX(Periods!$C$5:$C$57,$B98)</f>
        <v/>
      </c>
      <c r="F98" s="50">
        <f>IF(AND($C98&lt;&gt;"",INDEX(Periods!$D$5:$D$57,$B98)=1),1,0)</f>
        <v/>
      </c>
      <c r="G98" s="50">
        <f>IF($F98=0,0,IF(AND(OR(INDEX(Employees!$D$5:$D$29,$A98)="",$E98&gt;=INDEX(Employees!$D$5:$D$29,$A98)+N(INDEX(Employees!$U$5:$U$29,$A98))),OR(INDEX(Employees!$E$5:$E$29,$A98)="",$D98&lt;=INDEX(Employees!$E$5:$E$29,$A98))),1,0))</f>
        <v/>
      </c>
      <c r="H98" s="50">
        <f>IF($G98=0,0,IF(INDEX(Employees!$D$5:$D$29,$A98)="",0,DATEDIF(INDEX(Employees!$D$5:$D$29,$A98),$E98,"y")))</f>
        <v/>
      </c>
      <c r="I98" s="51">
        <f>IF($G98=0,0,IF(INDEX('Hours Worked'!$D$5:$BD$29,$A98,$B98)="",N(INDEX(Employees!$H$5:$H$29,$A98)),INDEX('Hours Worked'!$D$5:$BD$29,$A98,$B98)))</f>
        <v/>
      </c>
      <c r="J98" s="51">
        <f>IF(OR($G98=0,INDEX(Employees!$O$5:$O$29,$A98)&lt;&gt;"Yes"),0,IF(COUNTIF(Settings!$D$4:$D$9,"&lt;="&amp;$H98)=0,0,INDEX(Settings!$E$4:$E$9,COUNTIF(Settings!$D$4:$D$9,"&lt;="&amp;$H98))))</f>
        <v/>
      </c>
      <c r="K98" s="51">
        <f>IF($G98=0,0,IF(INDEX(Employees!$I$5:$I$29,$A98)="Per pay period",(N(INDEX(Employees!$J$5:$J$29,$A98))+$J98)/Settings!$B$13,IF(INDEX(Employees!$I$5:$I$29,$A98)="Per hour worked",N(INDEX(Employees!$K$5:$K$29,$A98))*$I98,IF(INDEX(Employees!$I$5:$I$29,$A98)="Front-loaded",IF(OR($B98=1,N($G97)=0),N(INDEX(Employees!$J$5:$J$29,$A98))+$J98,0),0))))</f>
        <v/>
      </c>
      <c r="L98" s="51">
        <f>IF($F98=0,0,SUMIFS('Time Off Log'!$H$5:$H$504,'Time Off Log'!$A$5:$A$504,$C98,'Time Off Log'!$B$5:$B$504,"PTO",'Time Off Log'!$E$5:$E$504,"Approved",'Time Off Log'!$C$5:$C$504,"&gt;="&amp;INDEX(Periods!$E$5:$E$57,$B98),'Time Off Log'!$C$5:$C$504,"&lt;="&amp;INDEX(Periods!$F$5:$F$57,$B98)))</f>
        <v/>
      </c>
      <c r="M98" s="51">
        <f>IF($B98=1,N(INDEX(Employees!$N$5:$N$29,$A98)),P97)</f>
        <v/>
      </c>
      <c r="N98" s="51">
        <f>IF(INDEX(Employees!$L$5:$L$29,$A98)="",K98,MAX(0,MIN(K98,INDEX(Employees!$L$5:$L$29,$A98)-(M98-L98))))</f>
        <v/>
      </c>
      <c r="O98" s="51">
        <f>K98-N98</f>
        <v/>
      </c>
      <c r="P98" s="51">
        <f>M98-L98+N98</f>
        <v/>
      </c>
      <c r="Q98" s="51">
        <f>IF($G98=0,0,IF(INDEX(Employees!$P$5:$P$29,$A98)="Per pay period",(N(INDEX(Employees!$Q$5:$Q$29,$A98)))/Settings!$B$13,IF(INDEX(Employees!$P$5:$P$29,$A98)="Per hour worked",N(INDEX(Employees!$R$5:$R$29,$A98))*$I98,IF(INDEX(Employees!$P$5:$P$29,$A98)="Front-loaded",IF(OR($B98=1,N($G97)=0),N(INDEX(Employees!$Q$5:$Q$29,$A98)),0),0))))</f>
        <v/>
      </c>
      <c r="R98" s="51">
        <f>IF($F98=0,0,SUMIFS('Time Off Log'!$H$5:$H$504,'Time Off Log'!$A$5:$A$504,$C98,'Time Off Log'!$B$5:$B$504,"Sick",'Time Off Log'!$E$5:$E$504,"Approved",'Time Off Log'!$C$5:$C$504,"&gt;="&amp;INDEX(Periods!$E$5:$E$57,$B98),'Time Off Log'!$C$5:$C$504,"&lt;="&amp;INDEX(Periods!$F$5:$F$57,$B98)))</f>
        <v/>
      </c>
      <c r="S98" s="51">
        <f>IF($B98=1,N(INDEX(Employees!$T$5:$T$29,$A98)),V97)</f>
        <v/>
      </c>
      <c r="T98" s="51">
        <f>IF(INDEX(Employees!$S$5:$S$29,$A98)="",Q98,MAX(0,MIN(Q98,INDEX(Employees!$S$5:$S$29,$A98)-(S98-R98))))</f>
        <v/>
      </c>
      <c r="U98" s="51">
        <f>Q98-T98</f>
        <v/>
      </c>
      <c r="V98" s="51">
        <f>S98-R98+T98</f>
        <v/>
      </c>
    </row>
    <row r="99">
      <c r="A99" s="50" t="n">
        <v>2</v>
      </c>
      <c r="B99" s="50" t="n">
        <v>42</v>
      </c>
      <c r="C99" s="51">
        <f>INDEX(Employees!$B$5:$B$29,$A99)&amp;""</f>
        <v/>
      </c>
      <c r="D99" s="52">
        <f>INDEX(Periods!$B$5:$B$57,$B99)</f>
        <v/>
      </c>
      <c r="E99" s="52">
        <f>INDEX(Periods!$C$5:$C$57,$B99)</f>
        <v/>
      </c>
      <c r="F99" s="50">
        <f>IF(AND($C99&lt;&gt;"",INDEX(Periods!$D$5:$D$57,$B99)=1),1,0)</f>
        <v/>
      </c>
      <c r="G99" s="50">
        <f>IF($F99=0,0,IF(AND(OR(INDEX(Employees!$D$5:$D$29,$A99)="",$E99&gt;=INDEX(Employees!$D$5:$D$29,$A99)+N(INDEX(Employees!$U$5:$U$29,$A99))),OR(INDEX(Employees!$E$5:$E$29,$A99)="",$D99&lt;=INDEX(Employees!$E$5:$E$29,$A99))),1,0))</f>
        <v/>
      </c>
      <c r="H99" s="50">
        <f>IF($G99=0,0,IF(INDEX(Employees!$D$5:$D$29,$A99)="",0,DATEDIF(INDEX(Employees!$D$5:$D$29,$A99),$E99,"y")))</f>
        <v/>
      </c>
      <c r="I99" s="51">
        <f>IF($G99=0,0,IF(INDEX('Hours Worked'!$D$5:$BD$29,$A99,$B99)="",N(INDEX(Employees!$H$5:$H$29,$A99)),INDEX('Hours Worked'!$D$5:$BD$29,$A99,$B99)))</f>
        <v/>
      </c>
      <c r="J99" s="51">
        <f>IF(OR($G99=0,INDEX(Employees!$O$5:$O$29,$A99)&lt;&gt;"Yes"),0,IF(COUNTIF(Settings!$D$4:$D$9,"&lt;="&amp;$H99)=0,0,INDEX(Settings!$E$4:$E$9,COUNTIF(Settings!$D$4:$D$9,"&lt;="&amp;$H99))))</f>
        <v/>
      </c>
      <c r="K99" s="51">
        <f>IF($G99=0,0,IF(INDEX(Employees!$I$5:$I$29,$A99)="Per pay period",(N(INDEX(Employees!$J$5:$J$29,$A99))+$J99)/Settings!$B$13,IF(INDEX(Employees!$I$5:$I$29,$A99)="Per hour worked",N(INDEX(Employees!$K$5:$K$29,$A99))*$I99,IF(INDEX(Employees!$I$5:$I$29,$A99)="Front-loaded",IF(OR($B99=1,N($G98)=0),N(INDEX(Employees!$J$5:$J$29,$A99))+$J99,0),0))))</f>
        <v/>
      </c>
      <c r="L99" s="51">
        <f>IF($F99=0,0,SUMIFS('Time Off Log'!$H$5:$H$504,'Time Off Log'!$A$5:$A$504,$C99,'Time Off Log'!$B$5:$B$504,"PTO",'Time Off Log'!$E$5:$E$504,"Approved",'Time Off Log'!$C$5:$C$504,"&gt;="&amp;INDEX(Periods!$E$5:$E$57,$B99),'Time Off Log'!$C$5:$C$504,"&lt;="&amp;INDEX(Periods!$F$5:$F$57,$B99)))</f>
        <v/>
      </c>
      <c r="M99" s="51">
        <f>IF($B99=1,N(INDEX(Employees!$N$5:$N$29,$A99)),P98)</f>
        <v/>
      </c>
      <c r="N99" s="51">
        <f>IF(INDEX(Employees!$L$5:$L$29,$A99)="",K99,MAX(0,MIN(K99,INDEX(Employees!$L$5:$L$29,$A99)-(M99-L99))))</f>
        <v/>
      </c>
      <c r="O99" s="51">
        <f>K99-N99</f>
        <v/>
      </c>
      <c r="P99" s="51">
        <f>M99-L99+N99</f>
        <v/>
      </c>
      <c r="Q99" s="51">
        <f>IF($G99=0,0,IF(INDEX(Employees!$P$5:$P$29,$A99)="Per pay period",(N(INDEX(Employees!$Q$5:$Q$29,$A99)))/Settings!$B$13,IF(INDEX(Employees!$P$5:$P$29,$A99)="Per hour worked",N(INDEX(Employees!$R$5:$R$29,$A99))*$I99,IF(INDEX(Employees!$P$5:$P$29,$A99)="Front-loaded",IF(OR($B99=1,N($G98)=0),N(INDEX(Employees!$Q$5:$Q$29,$A99)),0),0))))</f>
        <v/>
      </c>
      <c r="R99" s="51">
        <f>IF($F99=0,0,SUMIFS('Time Off Log'!$H$5:$H$504,'Time Off Log'!$A$5:$A$504,$C99,'Time Off Log'!$B$5:$B$504,"Sick",'Time Off Log'!$E$5:$E$504,"Approved",'Time Off Log'!$C$5:$C$504,"&gt;="&amp;INDEX(Periods!$E$5:$E$57,$B99),'Time Off Log'!$C$5:$C$504,"&lt;="&amp;INDEX(Periods!$F$5:$F$57,$B99)))</f>
        <v/>
      </c>
      <c r="S99" s="51">
        <f>IF($B99=1,N(INDEX(Employees!$T$5:$T$29,$A99)),V98)</f>
        <v/>
      </c>
      <c r="T99" s="51">
        <f>IF(INDEX(Employees!$S$5:$S$29,$A99)="",Q99,MAX(0,MIN(Q99,INDEX(Employees!$S$5:$S$29,$A99)-(S99-R99))))</f>
        <v/>
      </c>
      <c r="U99" s="51">
        <f>Q99-T99</f>
        <v/>
      </c>
      <c r="V99" s="51">
        <f>S99-R99+T99</f>
        <v/>
      </c>
    </row>
    <row r="100">
      <c r="A100" s="50" t="n">
        <v>2</v>
      </c>
      <c r="B100" s="50" t="n">
        <v>43</v>
      </c>
      <c r="C100" s="51">
        <f>INDEX(Employees!$B$5:$B$29,$A100)&amp;""</f>
        <v/>
      </c>
      <c r="D100" s="52">
        <f>INDEX(Periods!$B$5:$B$57,$B100)</f>
        <v/>
      </c>
      <c r="E100" s="52">
        <f>INDEX(Periods!$C$5:$C$57,$B100)</f>
        <v/>
      </c>
      <c r="F100" s="50">
        <f>IF(AND($C100&lt;&gt;"",INDEX(Periods!$D$5:$D$57,$B100)=1),1,0)</f>
        <v/>
      </c>
      <c r="G100" s="50">
        <f>IF($F100=0,0,IF(AND(OR(INDEX(Employees!$D$5:$D$29,$A100)="",$E100&gt;=INDEX(Employees!$D$5:$D$29,$A100)+N(INDEX(Employees!$U$5:$U$29,$A100))),OR(INDEX(Employees!$E$5:$E$29,$A100)="",$D100&lt;=INDEX(Employees!$E$5:$E$29,$A100))),1,0))</f>
        <v/>
      </c>
      <c r="H100" s="50">
        <f>IF($G100=0,0,IF(INDEX(Employees!$D$5:$D$29,$A100)="",0,DATEDIF(INDEX(Employees!$D$5:$D$29,$A100),$E100,"y")))</f>
        <v/>
      </c>
      <c r="I100" s="51">
        <f>IF($G100=0,0,IF(INDEX('Hours Worked'!$D$5:$BD$29,$A100,$B100)="",N(INDEX(Employees!$H$5:$H$29,$A100)),INDEX('Hours Worked'!$D$5:$BD$29,$A100,$B100)))</f>
        <v/>
      </c>
      <c r="J100" s="51">
        <f>IF(OR($G100=0,INDEX(Employees!$O$5:$O$29,$A100)&lt;&gt;"Yes"),0,IF(COUNTIF(Settings!$D$4:$D$9,"&lt;="&amp;$H100)=0,0,INDEX(Settings!$E$4:$E$9,COUNTIF(Settings!$D$4:$D$9,"&lt;="&amp;$H100))))</f>
        <v/>
      </c>
      <c r="K100" s="51">
        <f>IF($G100=0,0,IF(INDEX(Employees!$I$5:$I$29,$A100)="Per pay period",(N(INDEX(Employees!$J$5:$J$29,$A100))+$J100)/Settings!$B$13,IF(INDEX(Employees!$I$5:$I$29,$A100)="Per hour worked",N(INDEX(Employees!$K$5:$K$29,$A100))*$I100,IF(INDEX(Employees!$I$5:$I$29,$A100)="Front-loaded",IF(OR($B100=1,N($G99)=0),N(INDEX(Employees!$J$5:$J$29,$A100))+$J100,0),0))))</f>
        <v/>
      </c>
      <c r="L100" s="51">
        <f>IF($F100=0,0,SUMIFS('Time Off Log'!$H$5:$H$504,'Time Off Log'!$A$5:$A$504,$C100,'Time Off Log'!$B$5:$B$504,"PTO",'Time Off Log'!$E$5:$E$504,"Approved",'Time Off Log'!$C$5:$C$504,"&gt;="&amp;INDEX(Periods!$E$5:$E$57,$B100),'Time Off Log'!$C$5:$C$504,"&lt;="&amp;INDEX(Periods!$F$5:$F$57,$B100)))</f>
        <v/>
      </c>
      <c r="M100" s="51">
        <f>IF($B100=1,N(INDEX(Employees!$N$5:$N$29,$A100)),P99)</f>
        <v/>
      </c>
      <c r="N100" s="51">
        <f>IF(INDEX(Employees!$L$5:$L$29,$A100)="",K100,MAX(0,MIN(K100,INDEX(Employees!$L$5:$L$29,$A100)-(M100-L100))))</f>
        <v/>
      </c>
      <c r="O100" s="51">
        <f>K100-N100</f>
        <v/>
      </c>
      <c r="P100" s="51">
        <f>M100-L100+N100</f>
        <v/>
      </c>
      <c r="Q100" s="51">
        <f>IF($G100=0,0,IF(INDEX(Employees!$P$5:$P$29,$A100)="Per pay period",(N(INDEX(Employees!$Q$5:$Q$29,$A100)))/Settings!$B$13,IF(INDEX(Employees!$P$5:$P$29,$A100)="Per hour worked",N(INDEX(Employees!$R$5:$R$29,$A100))*$I100,IF(INDEX(Employees!$P$5:$P$29,$A100)="Front-loaded",IF(OR($B100=1,N($G99)=0),N(INDEX(Employees!$Q$5:$Q$29,$A100)),0),0))))</f>
        <v/>
      </c>
      <c r="R100" s="51">
        <f>IF($F100=0,0,SUMIFS('Time Off Log'!$H$5:$H$504,'Time Off Log'!$A$5:$A$504,$C100,'Time Off Log'!$B$5:$B$504,"Sick",'Time Off Log'!$E$5:$E$504,"Approved",'Time Off Log'!$C$5:$C$504,"&gt;="&amp;INDEX(Periods!$E$5:$E$57,$B100),'Time Off Log'!$C$5:$C$504,"&lt;="&amp;INDEX(Periods!$F$5:$F$57,$B100)))</f>
        <v/>
      </c>
      <c r="S100" s="51">
        <f>IF($B100=1,N(INDEX(Employees!$T$5:$T$29,$A100)),V99)</f>
        <v/>
      </c>
      <c r="T100" s="51">
        <f>IF(INDEX(Employees!$S$5:$S$29,$A100)="",Q100,MAX(0,MIN(Q100,INDEX(Employees!$S$5:$S$29,$A100)-(S100-R100))))</f>
        <v/>
      </c>
      <c r="U100" s="51">
        <f>Q100-T100</f>
        <v/>
      </c>
      <c r="V100" s="51">
        <f>S100-R100+T100</f>
        <v/>
      </c>
    </row>
    <row r="101">
      <c r="A101" s="50" t="n">
        <v>2</v>
      </c>
      <c r="B101" s="50" t="n">
        <v>44</v>
      </c>
      <c r="C101" s="51">
        <f>INDEX(Employees!$B$5:$B$29,$A101)&amp;""</f>
        <v/>
      </c>
      <c r="D101" s="52">
        <f>INDEX(Periods!$B$5:$B$57,$B101)</f>
        <v/>
      </c>
      <c r="E101" s="52">
        <f>INDEX(Periods!$C$5:$C$57,$B101)</f>
        <v/>
      </c>
      <c r="F101" s="50">
        <f>IF(AND($C101&lt;&gt;"",INDEX(Periods!$D$5:$D$57,$B101)=1),1,0)</f>
        <v/>
      </c>
      <c r="G101" s="50">
        <f>IF($F101=0,0,IF(AND(OR(INDEX(Employees!$D$5:$D$29,$A101)="",$E101&gt;=INDEX(Employees!$D$5:$D$29,$A101)+N(INDEX(Employees!$U$5:$U$29,$A101))),OR(INDEX(Employees!$E$5:$E$29,$A101)="",$D101&lt;=INDEX(Employees!$E$5:$E$29,$A101))),1,0))</f>
        <v/>
      </c>
      <c r="H101" s="50">
        <f>IF($G101=0,0,IF(INDEX(Employees!$D$5:$D$29,$A101)="",0,DATEDIF(INDEX(Employees!$D$5:$D$29,$A101),$E101,"y")))</f>
        <v/>
      </c>
      <c r="I101" s="51">
        <f>IF($G101=0,0,IF(INDEX('Hours Worked'!$D$5:$BD$29,$A101,$B101)="",N(INDEX(Employees!$H$5:$H$29,$A101)),INDEX('Hours Worked'!$D$5:$BD$29,$A101,$B101)))</f>
        <v/>
      </c>
      <c r="J101" s="51">
        <f>IF(OR($G101=0,INDEX(Employees!$O$5:$O$29,$A101)&lt;&gt;"Yes"),0,IF(COUNTIF(Settings!$D$4:$D$9,"&lt;="&amp;$H101)=0,0,INDEX(Settings!$E$4:$E$9,COUNTIF(Settings!$D$4:$D$9,"&lt;="&amp;$H101))))</f>
        <v/>
      </c>
      <c r="K101" s="51">
        <f>IF($G101=0,0,IF(INDEX(Employees!$I$5:$I$29,$A101)="Per pay period",(N(INDEX(Employees!$J$5:$J$29,$A101))+$J101)/Settings!$B$13,IF(INDEX(Employees!$I$5:$I$29,$A101)="Per hour worked",N(INDEX(Employees!$K$5:$K$29,$A101))*$I101,IF(INDEX(Employees!$I$5:$I$29,$A101)="Front-loaded",IF(OR($B101=1,N($G100)=0),N(INDEX(Employees!$J$5:$J$29,$A101))+$J101,0),0))))</f>
        <v/>
      </c>
      <c r="L101" s="51">
        <f>IF($F101=0,0,SUMIFS('Time Off Log'!$H$5:$H$504,'Time Off Log'!$A$5:$A$504,$C101,'Time Off Log'!$B$5:$B$504,"PTO",'Time Off Log'!$E$5:$E$504,"Approved",'Time Off Log'!$C$5:$C$504,"&gt;="&amp;INDEX(Periods!$E$5:$E$57,$B101),'Time Off Log'!$C$5:$C$504,"&lt;="&amp;INDEX(Periods!$F$5:$F$57,$B101)))</f>
        <v/>
      </c>
      <c r="M101" s="51">
        <f>IF($B101=1,N(INDEX(Employees!$N$5:$N$29,$A101)),P100)</f>
        <v/>
      </c>
      <c r="N101" s="51">
        <f>IF(INDEX(Employees!$L$5:$L$29,$A101)="",K101,MAX(0,MIN(K101,INDEX(Employees!$L$5:$L$29,$A101)-(M101-L101))))</f>
        <v/>
      </c>
      <c r="O101" s="51">
        <f>K101-N101</f>
        <v/>
      </c>
      <c r="P101" s="51">
        <f>M101-L101+N101</f>
        <v/>
      </c>
      <c r="Q101" s="51">
        <f>IF($G101=0,0,IF(INDEX(Employees!$P$5:$P$29,$A101)="Per pay period",(N(INDEX(Employees!$Q$5:$Q$29,$A101)))/Settings!$B$13,IF(INDEX(Employees!$P$5:$P$29,$A101)="Per hour worked",N(INDEX(Employees!$R$5:$R$29,$A101))*$I101,IF(INDEX(Employees!$P$5:$P$29,$A101)="Front-loaded",IF(OR($B101=1,N($G100)=0),N(INDEX(Employees!$Q$5:$Q$29,$A101)),0),0))))</f>
        <v/>
      </c>
      <c r="R101" s="51">
        <f>IF($F101=0,0,SUMIFS('Time Off Log'!$H$5:$H$504,'Time Off Log'!$A$5:$A$504,$C101,'Time Off Log'!$B$5:$B$504,"Sick",'Time Off Log'!$E$5:$E$504,"Approved",'Time Off Log'!$C$5:$C$504,"&gt;="&amp;INDEX(Periods!$E$5:$E$57,$B101),'Time Off Log'!$C$5:$C$504,"&lt;="&amp;INDEX(Periods!$F$5:$F$57,$B101)))</f>
        <v/>
      </c>
      <c r="S101" s="51">
        <f>IF($B101=1,N(INDEX(Employees!$T$5:$T$29,$A101)),V100)</f>
        <v/>
      </c>
      <c r="T101" s="51">
        <f>IF(INDEX(Employees!$S$5:$S$29,$A101)="",Q101,MAX(0,MIN(Q101,INDEX(Employees!$S$5:$S$29,$A101)-(S101-R101))))</f>
        <v/>
      </c>
      <c r="U101" s="51">
        <f>Q101-T101</f>
        <v/>
      </c>
      <c r="V101" s="51">
        <f>S101-R101+T101</f>
        <v/>
      </c>
    </row>
    <row r="102">
      <c r="A102" s="50" t="n">
        <v>2</v>
      </c>
      <c r="B102" s="50" t="n">
        <v>45</v>
      </c>
      <c r="C102" s="51">
        <f>INDEX(Employees!$B$5:$B$29,$A102)&amp;""</f>
        <v/>
      </c>
      <c r="D102" s="52">
        <f>INDEX(Periods!$B$5:$B$57,$B102)</f>
        <v/>
      </c>
      <c r="E102" s="52">
        <f>INDEX(Periods!$C$5:$C$57,$B102)</f>
        <v/>
      </c>
      <c r="F102" s="50">
        <f>IF(AND($C102&lt;&gt;"",INDEX(Periods!$D$5:$D$57,$B102)=1),1,0)</f>
        <v/>
      </c>
      <c r="G102" s="50">
        <f>IF($F102=0,0,IF(AND(OR(INDEX(Employees!$D$5:$D$29,$A102)="",$E102&gt;=INDEX(Employees!$D$5:$D$29,$A102)+N(INDEX(Employees!$U$5:$U$29,$A102))),OR(INDEX(Employees!$E$5:$E$29,$A102)="",$D102&lt;=INDEX(Employees!$E$5:$E$29,$A102))),1,0))</f>
        <v/>
      </c>
      <c r="H102" s="50">
        <f>IF($G102=0,0,IF(INDEX(Employees!$D$5:$D$29,$A102)="",0,DATEDIF(INDEX(Employees!$D$5:$D$29,$A102),$E102,"y")))</f>
        <v/>
      </c>
      <c r="I102" s="51">
        <f>IF($G102=0,0,IF(INDEX('Hours Worked'!$D$5:$BD$29,$A102,$B102)="",N(INDEX(Employees!$H$5:$H$29,$A102)),INDEX('Hours Worked'!$D$5:$BD$29,$A102,$B102)))</f>
        <v/>
      </c>
      <c r="J102" s="51">
        <f>IF(OR($G102=0,INDEX(Employees!$O$5:$O$29,$A102)&lt;&gt;"Yes"),0,IF(COUNTIF(Settings!$D$4:$D$9,"&lt;="&amp;$H102)=0,0,INDEX(Settings!$E$4:$E$9,COUNTIF(Settings!$D$4:$D$9,"&lt;="&amp;$H102))))</f>
        <v/>
      </c>
      <c r="K102" s="51">
        <f>IF($G102=0,0,IF(INDEX(Employees!$I$5:$I$29,$A102)="Per pay period",(N(INDEX(Employees!$J$5:$J$29,$A102))+$J102)/Settings!$B$13,IF(INDEX(Employees!$I$5:$I$29,$A102)="Per hour worked",N(INDEX(Employees!$K$5:$K$29,$A102))*$I102,IF(INDEX(Employees!$I$5:$I$29,$A102)="Front-loaded",IF(OR($B102=1,N($G101)=0),N(INDEX(Employees!$J$5:$J$29,$A102))+$J102,0),0))))</f>
        <v/>
      </c>
      <c r="L102" s="51">
        <f>IF($F102=0,0,SUMIFS('Time Off Log'!$H$5:$H$504,'Time Off Log'!$A$5:$A$504,$C102,'Time Off Log'!$B$5:$B$504,"PTO",'Time Off Log'!$E$5:$E$504,"Approved",'Time Off Log'!$C$5:$C$504,"&gt;="&amp;INDEX(Periods!$E$5:$E$57,$B102),'Time Off Log'!$C$5:$C$504,"&lt;="&amp;INDEX(Periods!$F$5:$F$57,$B102)))</f>
        <v/>
      </c>
      <c r="M102" s="51">
        <f>IF($B102=1,N(INDEX(Employees!$N$5:$N$29,$A102)),P101)</f>
        <v/>
      </c>
      <c r="N102" s="51">
        <f>IF(INDEX(Employees!$L$5:$L$29,$A102)="",K102,MAX(0,MIN(K102,INDEX(Employees!$L$5:$L$29,$A102)-(M102-L102))))</f>
        <v/>
      </c>
      <c r="O102" s="51">
        <f>K102-N102</f>
        <v/>
      </c>
      <c r="P102" s="51">
        <f>M102-L102+N102</f>
        <v/>
      </c>
      <c r="Q102" s="51">
        <f>IF($G102=0,0,IF(INDEX(Employees!$P$5:$P$29,$A102)="Per pay period",(N(INDEX(Employees!$Q$5:$Q$29,$A102)))/Settings!$B$13,IF(INDEX(Employees!$P$5:$P$29,$A102)="Per hour worked",N(INDEX(Employees!$R$5:$R$29,$A102))*$I102,IF(INDEX(Employees!$P$5:$P$29,$A102)="Front-loaded",IF(OR($B102=1,N($G101)=0),N(INDEX(Employees!$Q$5:$Q$29,$A102)),0),0))))</f>
        <v/>
      </c>
      <c r="R102" s="51">
        <f>IF($F102=0,0,SUMIFS('Time Off Log'!$H$5:$H$504,'Time Off Log'!$A$5:$A$504,$C102,'Time Off Log'!$B$5:$B$504,"Sick",'Time Off Log'!$E$5:$E$504,"Approved",'Time Off Log'!$C$5:$C$504,"&gt;="&amp;INDEX(Periods!$E$5:$E$57,$B102),'Time Off Log'!$C$5:$C$504,"&lt;="&amp;INDEX(Periods!$F$5:$F$57,$B102)))</f>
        <v/>
      </c>
      <c r="S102" s="51">
        <f>IF($B102=1,N(INDEX(Employees!$T$5:$T$29,$A102)),V101)</f>
        <v/>
      </c>
      <c r="T102" s="51">
        <f>IF(INDEX(Employees!$S$5:$S$29,$A102)="",Q102,MAX(0,MIN(Q102,INDEX(Employees!$S$5:$S$29,$A102)-(S102-R102))))</f>
        <v/>
      </c>
      <c r="U102" s="51">
        <f>Q102-T102</f>
        <v/>
      </c>
      <c r="V102" s="51">
        <f>S102-R102+T102</f>
        <v/>
      </c>
    </row>
    <row r="103">
      <c r="A103" s="50" t="n">
        <v>2</v>
      </c>
      <c r="B103" s="50" t="n">
        <v>46</v>
      </c>
      <c r="C103" s="51">
        <f>INDEX(Employees!$B$5:$B$29,$A103)&amp;""</f>
        <v/>
      </c>
      <c r="D103" s="52">
        <f>INDEX(Periods!$B$5:$B$57,$B103)</f>
        <v/>
      </c>
      <c r="E103" s="52">
        <f>INDEX(Periods!$C$5:$C$57,$B103)</f>
        <v/>
      </c>
      <c r="F103" s="50">
        <f>IF(AND($C103&lt;&gt;"",INDEX(Periods!$D$5:$D$57,$B103)=1),1,0)</f>
        <v/>
      </c>
      <c r="G103" s="50">
        <f>IF($F103=0,0,IF(AND(OR(INDEX(Employees!$D$5:$D$29,$A103)="",$E103&gt;=INDEX(Employees!$D$5:$D$29,$A103)+N(INDEX(Employees!$U$5:$U$29,$A103))),OR(INDEX(Employees!$E$5:$E$29,$A103)="",$D103&lt;=INDEX(Employees!$E$5:$E$29,$A103))),1,0))</f>
        <v/>
      </c>
      <c r="H103" s="50">
        <f>IF($G103=0,0,IF(INDEX(Employees!$D$5:$D$29,$A103)="",0,DATEDIF(INDEX(Employees!$D$5:$D$29,$A103),$E103,"y")))</f>
        <v/>
      </c>
      <c r="I103" s="51">
        <f>IF($G103=0,0,IF(INDEX('Hours Worked'!$D$5:$BD$29,$A103,$B103)="",N(INDEX(Employees!$H$5:$H$29,$A103)),INDEX('Hours Worked'!$D$5:$BD$29,$A103,$B103)))</f>
        <v/>
      </c>
      <c r="J103" s="51">
        <f>IF(OR($G103=0,INDEX(Employees!$O$5:$O$29,$A103)&lt;&gt;"Yes"),0,IF(COUNTIF(Settings!$D$4:$D$9,"&lt;="&amp;$H103)=0,0,INDEX(Settings!$E$4:$E$9,COUNTIF(Settings!$D$4:$D$9,"&lt;="&amp;$H103))))</f>
        <v/>
      </c>
      <c r="K103" s="51">
        <f>IF($G103=0,0,IF(INDEX(Employees!$I$5:$I$29,$A103)="Per pay period",(N(INDEX(Employees!$J$5:$J$29,$A103))+$J103)/Settings!$B$13,IF(INDEX(Employees!$I$5:$I$29,$A103)="Per hour worked",N(INDEX(Employees!$K$5:$K$29,$A103))*$I103,IF(INDEX(Employees!$I$5:$I$29,$A103)="Front-loaded",IF(OR($B103=1,N($G102)=0),N(INDEX(Employees!$J$5:$J$29,$A103))+$J103,0),0))))</f>
        <v/>
      </c>
      <c r="L103" s="51">
        <f>IF($F103=0,0,SUMIFS('Time Off Log'!$H$5:$H$504,'Time Off Log'!$A$5:$A$504,$C103,'Time Off Log'!$B$5:$B$504,"PTO",'Time Off Log'!$E$5:$E$504,"Approved",'Time Off Log'!$C$5:$C$504,"&gt;="&amp;INDEX(Periods!$E$5:$E$57,$B103),'Time Off Log'!$C$5:$C$504,"&lt;="&amp;INDEX(Periods!$F$5:$F$57,$B103)))</f>
        <v/>
      </c>
      <c r="M103" s="51">
        <f>IF($B103=1,N(INDEX(Employees!$N$5:$N$29,$A103)),P102)</f>
        <v/>
      </c>
      <c r="N103" s="51">
        <f>IF(INDEX(Employees!$L$5:$L$29,$A103)="",K103,MAX(0,MIN(K103,INDEX(Employees!$L$5:$L$29,$A103)-(M103-L103))))</f>
        <v/>
      </c>
      <c r="O103" s="51">
        <f>K103-N103</f>
        <v/>
      </c>
      <c r="P103" s="51">
        <f>M103-L103+N103</f>
        <v/>
      </c>
      <c r="Q103" s="51">
        <f>IF($G103=0,0,IF(INDEX(Employees!$P$5:$P$29,$A103)="Per pay period",(N(INDEX(Employees!$Q$5:$Q$29,$A103)))/Settings!$B$13,IF(INDEX(Employees!$P$5:$P$29,$A103)="Per hour worked",N(INDEX(Employees!$R$5:$R$29,$A103))*$I103,IF(INDEX(Employees!$P$5:$P$29,$A103)="Front-loaded",IF(OR($B103=1,N($G102)=0),N(INDEX(Employees!$Q$5:$Q$29,$A103)),0),0))))</f>
        <v/>
      </c>
      <c r="R103" s="51">
        <f>IF($F103=0,0,SUMIFS('Time Off Log'!$H$5:$H$504,'Time Off Log'!$A$5:$A$504,$C103,'Time Off Log'!$B$5:$B$504,"Sick",'Time Off Log'!$E$5:$E$504,"Approved",'Time Off Log'!$C$5:$C$504,"&gt;="&amp;INDEX(Periods!$E$5:$E$57,$B103),'Time Off Log'!$C$5:$C$504,"&lt;="&amp;INDEX(Periods!$F$5:$F$57,$B103)))</f>
        <v/>
      </c>
      <c r="S103" s="51">
        <f>IF($B103=1,N(INDEX(Employees!$T$5:$T$29,$A103)),V102)</f>
        <v/>
      </c>
      <c r="T103" s="51">
        <f>IF(INDEX(Employees!$S$5:$S$29,$A103)="",Q103,MAX(0,MIN(Q103,INDEX(Employees!$S$5:$S$29,$A103)-(S103-R103))))</f>
        <v/>
      </c>
      <c r="U103" s="51">
        <f>Q103-T103</f>
        <v/>
      </c>
      <c r="V103" s="51">
        <f>S103-R103+T103</f>
        <v/>
      </c>
    </row>
    <row r="104">
      <c r="A104" s="50" t="n">
        <v>2</v>
      </c>
      <c r="B104" s="50" t="n">
        <v>47</v>
      </c>
      <c r="C104" s="51">
        <f>INDEX(Employees!$B$5:$B$29,$A104)&amp;""</f>
        <v/>
      </c>
      <c r="D104" s="52">
        <f>INDEX(Periods!$B$5:$B$57,$B104)</f>
        <v/>
      </c>
      <c r="E104" s="52">
        <f>INDEX(Periods!$C$5:$C$57,$B104)</f>
        <v/>
      </c>
      <c r="F104" s="50">
        <f>IF(AND($C104&lt;&gt;"",INDEX(Periods!$D$5:$D$57,$B104)=1),1,0)</f>
        <v/>
      </c>
      <c r="G104" s="50">
        <f>IF($F104=0,0,IF(AND(OR(INDEX(Employees!$D$5:$D$29,$A104)="",$E104&gt;=INDEX(Employees!$D$5:$D$29,$A104)+N(INDEX(Employees!$U$5:$U$29,$A104))),OR(INDEX(Employees!$E$5:$E$29,$A104)="",$D104&lt;=INDEX(Employees!$E$5:$E$29,$A104))),1,0))</f>
        <v/>
      </c>
      <c r="H104" s="50">
        <f>IF($G104=0,0,IF(INDEX(Employees!$D$5:$D$29,$A104)="",0,DATEDIF(INDEX(Employees!$D$5:$D$29,$A104),$E104,"y")))</f>
        <v/>
      </c>
      <c r="I104" s="51">
        <f>IF($G104=0,0,IF(INDEX('Hours Worked'!$D$5:$BD$29,$A104,$B104)="",N(INDEX(Employees!$H$5:$H$29,$A104)),INDEX('Hours Worked'!$D$5:$BD$29,$A104,$B104)))</f>
        <v/>
      </c>
      <c r="J104" s="51">
        <f>IF(OR($G104=0,INDEX(Employees!$O$5:$O$29,$A104)&lt;&gt;"Yes"),0,IF(COUNTIF(Settings!$D$4:$D$9,"&lt;="&amp;$H104)=0,0,INDEX(Settings!$E$4:$E$9,COUNTIF(Settings!$D$4:$D$9,"&lt;="&amp;$H104))))</f>
        <v/>
      </c>
      <c r="K104" s="51">
        <f>IF($G104=0,0,IF(INDEX(Employees!$I$5:$I$29,$A104)="Per pay period",(N(INDEX(Employees!$J$5:$J$29,$A104))+$J104)/Settings!$B$13,IF(INDEX(Employees!$I$5:$I$29,$A104)="Per hour worked",N(INDEX(Employees!$K$5:$K$29,$A104))*$I104,IF(INDEX(Employees!$I$5:$I$29,$A104)="Front-loaded",IF(OR($B104=1,N($G103)=0),N(INDEX(Employees!$J$5:$J$29,$A104))+$J104,0),0))))</f>
        <v/>
      </c>
      <c r="L104" s="51">
        <f>IF($F104=0,0,SUMIFS('Time Off Log'!$H$5:$H$504,'Time Off Log'!$A$5:$A$504,$C104,'Time Off Log'!$B$5:$B$504,"PTO",'Time Off Log'!$E$5:$E$504,"Approved",'Time Off Log'!$C$5:$C$504,"&gt;="&amp;INDEX(Periods!$E$5:$E$57,$B104),'Time Off Log'!$C$5:$C$504,"&lt;="&amp;INDEX(Periods!$F$5:$F$57,$B104)))</f>
        <v/>
      </c>
      <c r="M104" s="51">
        <f>IF($B104=1,N(INDEX(Employees!$N$5:$N$29,$A104)),P103)</f>
        <v/>
      </c>
      <c r="N104" s="51">
        <f>IF(INDEX(Employees!$L$5:$L$29,$A104)="",K104,MAX(0,MIN(K104,INDEX(Employees!$L$5:$L$29,$A104)-(M104-L104))))</f>
        <v/>
      </c>
      <c r="O104" s="51">
        <f>K104-N104</f>
        <v/>
      </c>
      <c r="P104" s="51">
        <f>M104-L104+N104</f>
        <v/>
      </c>
      <c r="Q104" s="51">
        <f>IF($G104=0,0,IF(INDEX(Employees!$P$5:$P$29,$A104)="Per pay period",(N(INDEX(Employees!$Q$5:$Q$29,$A104)))/Settings!$B$13,IF(INDEX(Employees!$P$5:$P$29,$A104)="Per hour worked",N(INDEX(Employees!$R$5:$R$29,$A104))*$I104,IF(INDEX(Employees!$P$5:$P$29,$A104)="Front-loaded",IF(OR($B104=1,N($G103)=0),N(INDEX(Employees!$Q$5:$Q$29,$A104)),0),0))))</f>
        <v/>
      </c>
      <c r="R104" s="51">
        <f>IF($F104=0,0,SUMIFS('Time Off Log'!$H$5:$H$504,'Time Off Log'!$A$5:$A$504,$C104,'Time Off Log'!$B$5:$B$504,"Sick",'Time Off Log'!$E$5:$E$504,"Approved",'Time Off Log'!$C$5:$C$504,"&gt;="&amp;INDEX(Periods!$E$5:$E$57,$B104),'Time Off Log'!$C$5:$C$504,"&lt;="&amp;INDEX(Periods!$F$5:$F$57,$B104)))</f>
        <v/>
      </c>
      <c r="S104" s="51">
        <f>IF($B104=1,N(INDEX(Employees!$T$5:$T$29,$A104)),V103)</f>
        <v/>
      </c>
      <c r="T104" s="51">
        <f>IF(INDEX(Employees!$S$5:$S$29,$A104)="",Q104,MAX(0,MIN(Q104,INDEX(Employees!$S$5:$S$29,$A104)-(S104-R104))))</f>
        <v/>
      </c>
      <c r="U104" s="51">
        <f>Q104-T104</f>
        <v/>
      </c>
      <c r="V104" s="51">
        <f>S104-R104+T104</f>
        <v/>
      </c>
    </row>
    <row r="105">
      <c r="A105" s="50" t="n">
        <v>2</v>
      </c>
      <c r="B105" s="50" t="n">
        <v>48</v>
      </c>
      <c r="C105" s="51">
        <f>INDEX(Employees!$B$5:$B$29,$A105)&amp;""</f>
        <v/>
      </c>
      <c r="D105" s="52">
        <f>INDEX(Periods!$B$5:$B$57,$B105)</f>
        <v/>
      </c>
      <c r="E105" s="52">
        <f>INDEX(Periods!$C$5:$C$57,$B105)</f>
        <v/>
      </c>
      <c r="F105" s="50">
        <f>IF(AND($C105&lt;&gt;"",INDEX(Periods!$D$5:$D$57,$B105)=1),1,0)</f>
        <v/>
      </c>
      <c r="G105" s="50">
        <f>IF($F105=0,0,IF(AND(OR(INDEX(Employees!$D$5:$D$29,$A105)="",$E105&gt;=INDEX(Employees!$D$5:$D$29,$A105)+N(INDEX(Employees!$U$5:$U$29,$A105))),OR(INDEX(Employees!$E$5:$E$29,$A105)="",$D105&lt;=INDEX(Employees!$E$5:$E$29,$A105))),1,0))</f>
        <v/>
      </c>
      <c r="H105" s="50">
        <f>IF($G105=0,0,IF(INDEX(Employees!$D$5:$D$29,$A105)="",0,DATEDIF(INDEX(Employees!$D$5:$D$29,$A105),$E105,"y")))</f>
        <v/>
      </c>
      <c r="I105" s="51">
        <f>IF($G105=0,0,IF(INDEX('Hours Worked'!$D$5:$BD$29,$A105,$B105)="",N(INDEX(Employees!$H$5:$H$29,$A105)),INDEX('Hours Worked'!$D$5:$BD$29,$A105,$B105)))</f>
        <v/>
      </c>
      <c r="J105" s="51">
        <f>IF(OR($G105=0,INDEX(Employees!$O$5:$O$29,$A105)&lt;&gt;"Yes"),0,IF(COUNTIF(Settings!$D$4:$D$9,"&lt;="&amp;$H105)=0,0,INDEX(Settings!$E$4:$E$9,COUNTIF(Settings!$D$4:$D$9,"&lt;="&amp;$H105))))</f>
        <v/>
      </c>
      <c r="K105" s="51">
        <f>IF($G105=0,0,IF(INDEX(Employees!$I$5:$I$29,$A105)="Per pay period",(N(INDEX(Employees!$J$5:$J$29,$A105))+$J105)/Settings!$B$13,IF(INDEX(Employees!$I$5:$I$29,$A105)="Per hour worked",N(INDEX(Employees!$K$5:$K$29,$A105))*$I105,IF(INDEX(Employees!$I$5:$I$29,$A105)="Front-loaded",IF(OR($B105=1,N($G104)=0),N(INDEX(Employees!$J$5:$J$29,$A105))+$J105,0),0))))</f>
        <v/>
      </c>
      <c r="L105" s="51">
        <f>IF($F105=0,0,SUMIFS('Time Off Log'!$H$5:$H$504,'Time Off Log'!$A$5:$A$504,$C105,'Time Off Log'!$B$5:$B$504,"PTO",'Time Off Log'!$E$5:$E$504,"Approved",'Time Off Log'!$C$5:$C$504,"&gt;="&amp;INDEX(Periods!$E$5:$E$57,$B105),'Time Off Log'!$C$5:$C$504,"&lt;="&amp;INDEX(Periods!$F$5:$F$57,$B105)))</f>
        <v/>
      </c>
      <c r="M105" s="51">
        <f>IF($B105=1,N(INDEX(Employees!$N$5:$N$29,$A105)),P104)</f>
        <v/>
      </c>
      <c r="N105" s="51">
        <f>IF(INDEX(Employees!$L$5:$L$29,$A105)="",K105,MAX(0,MIN(K105,INDEX(Employees!$L$5:$L$29,$A105)-(M105-L105))))</f>
        <v/>
      </c>
      <c r="O105" s="51">
        <f>K105-N105</f>
        <v/>
      </c>
      <c r="P105" s="51">
        <f>M105-L105+N105</f>
        <v/>
      </c>
      <c r="Q105" s="51">
        <f>IF($G105=0,0,IF(INDEX(Employees!$P$5:$P$29,$A105)="Per pay period",(N(INDEX(Employees!$Q$5:$Q$29,$A105)))/Settings!$B$13,IF(INDEX(Employees!$P$5:$P$29,$A105)="Per hour worked",N(INDEX(Employees!$R$5:$R$29,$A105))*$I105,IF(INDEX(Employees!$P$5:$P$29,$A105)="Front-loaded",IF(OR($B105=1,N($G104)=0),N(INDEX(Employees!$Q$5:$Q$29,$A105)),0),0))))</f>
        <v/>
      </c>
      <c r="R105" s="51">
        <f>IF($F105=0,0,SUMIFS('Time Off Log'!$H$5:$H$504,'Time Off Log'!$A$5:$A$504,$C105,'Time Off Log'!$B$5:$B$504,"Sick",'Time Off Log'!$E$5:$E$504,"Approved",'Time Off Log'!$C$5:$C$504,"&gt;="&amp;INDEX(Periods!$E$5:$E$57,$B105),'Time Off Log'!$C$5:$C$504,"&lt;="&amp;INDEX(Periods!$F$5:$F$57,$B105)))</f>
        <v/>
      </c>
      <c r="S105" s="51">
        <f>IF($B105=1,N(INDEX(Employees!$T$5:$T$29,$A105)),V104)</f>
        <v/>
      </c>
      <c r="T105" s="51">
        <f>IF(INDEX(Employees!$S$5:$S$29,$A105)="",Q105,MAX(0,MIN(Q105,INDEX(Employees!$S$5:$S$29,$A105)-(S105-R105))))</f>
        <v/>
      </c>
      <c r="U105" s="51">
        <f>Q105-T105</f>
        <v/>
      </c>
      <c r="V105" s="51">
        <f>S105-R105+T105</f>
        <v/>
      </c>
    </row>
    <row r="106">
      <c r="A106" s="50" t="n">
        <v>2</v>
      </c>
      <c r="B106" s="50" t="n">
        <v>49</v>
      </c>
      <c r="C106" s="51">
        <f>INDEX(Employees!$B$5:$B$29,$A106)&amp;""</f>
        <v/>
      </c>
      <c r="D106" s="52">
        <f>INDEX(Periods!$B$5:$B$57,$B106)</f>
        <v/>
      </c>
      <c r="E106" s="52">
        <f>INDEX(Periods!$C$5:$C$57,$B106)</f>
        <v/>
      </c>
      <c r="F106" s="50">
        <f>IF(AND($C106&lt;&gt;"",INDEX(Periods!$D$5:$D$57,$B106)=1),1,0)</f>
        <v/>
      </c>
      <c r="G106" s="50">
        <f>IF($F106=0,0,IF(AND(OR(INDEX(Employees!$D$5:$D$29,$A106)="",$E106&gt;=INDEX(Employees!$D$5:$D$29,$A106)+N(INDEX(Employees!$U$5:$U$29,$A106))),OR(INDEX(Employees!$E$5:$E$29,$A106)="",$D106&lt;=INDEX(Employees!$E$5:$E$29,$A106))),1,0))</f>
        <v/>
      </c>
      <c r="H106" s="50">
        <f>IF($G106=0,0,IF(INDEX(Employees!$D$5:$D$29,$A106)="",0,DATEDIF(INDEX(Employees!$D$5:$D$29,$A106),$E106,"y")))</f>
        <v/>
      </c>
      <c r="I106" s="51">
        <f>IF($G106=0,0,IF(INDEX('Hours Worked'!$D$5:$BD$29,$A106,$B106)="",N(INDEX(Employees!$H$5:$H$29,$A106)),INDEX('Hours Worked'!$D$5:$BD$29,$A106,$B106)))</f>
        <v/>
      </c>
      <c r="J106" s="51">
        <f>IF(OR($G106=0,INDEX(Employees!$O$5:$O$29,$A106)&lt;&gt;"Yes"),0,IF(COUNTIF(Settings!$D$4:$D$9,"&lt;="&amp;$H106)=0,0,INDEX(Settings!$E$4:$E$9,COUNTIF(Settings!$D$4:$D$9,"&lt;="&amp;$H106))))</f>
        <v/>
      </c>
      <c r="K106" s="51">
        <f>IF($G106=0,0,IF(INDEX(Employees!$I$5:$I$29,$A106)="Per pay period",(N(INDEX(Employees!$J$5:$J$29,$A106))+$J106)/Settings!$B$13,IF(INDEX(Employees!$I$5:$I$29,$A106)="Per hour worked",N(INDEX(Employees!$K$5:$K$29,$A106))*$I106,IF(INDEX(Employees!$I$5:$I$29,$A106)="Front-loaded",IF(OR($B106=1,N($G105)=0),N(INDEX(Employees!$J$5:$J$29,$A106))+$J106,0),0))))</f>
        <v/>
      </c>
      <c r="L106" s="51">
        <f>IF($F106=0,0,SUMIFS('Time Off Log'!$H$5:$H$504,'Time Off Log'!$A$5:$A$504,$C106,'Time Off Log'!$B$5:$B$504,"PTO",'Time Off Log'!$E$5:$E$504,"Approved",'Time Off Log'!$C$5:$C$504,"&gt;="&amp;INDEX(Periods!$E$5:$E$57,$B106),'Time Off Log'!$C$5:$C$504,"&lt;="&amp;INDEX(Periods!$F$5:$F$57,$B106)))</f>
        <v/>
      </c>
      <c r="M106" s="51">
        <f>IF($B106=1,N(INDEX(Employees!$N$5:$N$29,$A106)),P105)</f>
        <v/>
      </c>
      <c r="N106" s="51">
        <f>IF(INDEX(Employees!$L$5:$L$29,$A106)="",K106,MAX(0,MIN(K106,INDEX(Employees!$L$5:$L$29,$A106)-(M106-L106))))</f>
        <v/>
      </c>
      <c r="O106" s="51">
        <f>K106-N106</f>
        <v/>
      </c>
      <c r="P106" s="51">
        <f>M106-L106+N106</f>
        <v/>
      </c>
      <c r="Q106" s="51">
        <f>IF($G106=0,0,IF(INDEX(Employees!$P$5:$P$29,$A106)="Per pay period",(N(INDEX(Employees!$Q$5:$Q$29,$A106)))/Settings!$B$13,IF(INDEX(Employees!$P$5:$P$29,$A106)="Per hour worked",N(INDEX(Employees!$R$5:$R$29,$A106))*$I106,IF(INDEX(Employees!$P$5:$P$29,$A106)="Front-loaded",IF(OR($B106=1,N($G105)=0),N(INDEX(Employees!$Q$5:$Q$29,$A106)),0),0))))</f>
        <v/>
      </c>
      <c r="R106" s="51">
        <f>IF($F106=0,0,SUMIFS('Time Off Log'!$H$5:$H$504,'Time Off Log'!$A$5:$A$504,$C106,'Time Off Log'!$B$5:$B$504,"Sick",'Time Off Log'!$E$5:$E$504,"Approved",'Time Off Log'!$C$5:$C$504,"&gt;="&amp;INDEX(Periods!$E$5:$E$57,$B106),'Time Off Log'!$C$5:$C$504,"&lt;="&amp;INDEX(Periods!$F$5:$F$57,$B106)))</f>
        <v/>
      </c>
      <c r="S106" s="51">
        <f>IF($B106=1,N(INDEX(Employees!$T$5:$T$29,$A106)),V105)</f>
        <v/>
      </c>
      <c r="T106" s="51">
        <f>IF(INDEX(Employees!$S$5:$S$29,$A106)="",Q106,MAX(0,MIN(Q106,INDEX(Employees!$S$5:$S$29,$A106)-(S106-R106))))</f>
        <v/>
      </c>
      <c r="U106" s="51">
        <f>Q106-T106</f>
        <v/>
      </c>
      <c r="V106" s="51">
        <f>S106-R106+T106</f>
        <v/>
      </c>
    </row>
    <row r="107">
      <c r="A107" s="50" t="n">
        <v>2</v>
      </c>
      <c r="B107" s="50" t="n">
        <v>50</v>
      </c>
      <c r="C107" s="51">
        <f>INDEX(Employees!$B$5:$B$29,$A107)&amp;""</f>
        <v/>
      </c>
      <c r="D107" s="52">
        <f>INDEX(Periods!$B$5:$B$57,$B107)</f>
        <v/>
      </c>
      <c r="E107" s="52">
        <f>INDEX(Periods!$C$5:$C$57,$B107)</f>
        <v/>
      </c>
      <c r="F107" s="50">
        <f>IF(AND($C107&lt;&gt;"",INDEX(Periods!$D$5:$D$57,$B107)=1),1,0)</f>
        <v/>
      </c>
      <c r="G107" s="50">
        <f>IF($F107=0,0,IF(AND(OR(INDEX(Employees!$D$5:$D$29,$A107)="",$E107&gt;=INDEX(Employees!$D$5:$D$29,$A107)+N(INDEX(Employees!$U$5:$U$29,$A107))),OR(INDEX(Employees!$E$5:$E$29,$A107)="",$D107&lt;=INDEX(Employees!$E$5:$E$29,$A107))),1,0))</f>
        <v/>
      </c>
      <c r="H107" s="50">
        <f>IF($G107=0,0,IF(INDEX(Employees!$D$5:$D$29,$A107)="",0,DATEDIF(INDEX(Employees!$D$5:$D$29,$A107),$E107,"y")))</f>
        <v/>
      </c>
      <c r="I107" s="51">
        <f>IF($G107=0,0,IF(INDEX('Hours Worked'!$D$5:$BD$29,$A107,$B107)="",N(INDEX(Employees!$H$5:$H$29,$A107)),INDEX('Hours Worked'!$D$5:$BD$29,$A107,$B107)))</f>
        <v/>
      </c>
      <c r="J107" s="51">
        <f>IF(OR($G107=0,INDEX(Employees!$O$5:$O$29,$A107)&lt;&gt;"Yes"),0,IF(COUNTIF(Settings!$D$4:$D$9,"&lt;="&amp;$H107)=0,0,INDEX(Settings!$E$4:$E$9,COUNTIF(Settings!$D$4:$D$9,"&lt;="&amp;$H107))))</f>
        <v/>
      </c>
      <c r="K107" s="51">
        <f>IF($G107=0,0,IF(INDEX(Employees!$I$5:$I$29,$A107)="Per pay period",(N(INDEX(Employees!$J$5:$J$29,$A107))+$J107)/Settings!$B$13,IF(INDEX(Employees!$I$5:$I$29,$A107)="Per hour worked",N(INDEX(Employees!$K$5:$K$29,$A107))*$I107,IF(INDEX(Employees!$I$5:$I$29,$A107)="Front-loaded",IF(OR($B107=1,N($G106)=0),N(INDEX(Employees!$J$5:$J$29,$A107))+$J107,0),0))))</f>
        <v/>
      </c>
      <c r="L107" s="51">
        <f>IF($F107=0,0,SUMIFS('Time Off Log'!$H$5:$H$504,'Time Off Log'!$A$5:$A$504,$C107,'Time Off Log'!$B$5:$B$504,"PTO",'Time Off Log'!$E$5:$E$504,"Approved",'Time Off Log'!$C$5:$C$504,"&gt;="&amp;INDEX(Periods!$E$5:$E$57,$B107),'Time Off Log'!$C$5:$C$504,"&lt;="&amp;INDEX(Periods!$F$5:$F$57,$B107)))</f>
        <v/>
      </c>
      <c r="M107" s="51">
        <f>IF($B107=1,N(INDEX(Employees!$N$5:$N$29,$A107)),P106)</f>
        <v/>
      </c>
      <c r="N107" s="51">
        <f>IF(INDEX(Employees!$L$5:$L$29,$A107)="",K107,MAX(0,MIN(K107,INDEX(Employees!$L$5:$L$29,$A107)-(M107-L107))))</f>
        <v/>
      </c>
      <c r="O107" s="51">
        <f>K107-N107</f>
        <v/>
      </c>
      <c r="P107" s="51">
        <f>M107-L107+N107</f>
        <v/>
      </c>
      <c r="Q107" s="51">
        <f>IF($G107=0,0,IF(INDEX(Employees!$P$5:$P$29,$A107)="Per pay period",(N(INDEX(Employees!$Q$5:$Q$29,$A107)))/Settings!$B$13,IF(INDEX(Employees!$P$5:$P$29,$A107)="Per hour worked",N(INDEX(Employees!$R$5:$R$29,$A107))*$I107,IF(INDEX(Employees!$P$5:$P$29,$A107)="Front-loaded",IF(OR($B107=1,N($G106)=0),N(INDEX(Employees!$Q$5:$Q$29,$A107)),0),0))))</f>
        <v/>
      </c>
      <c r="R107" s="51">
        <f>IF($F107=0,0,SUMIFS('Time Off Log'!$H$5:$H$504,'Time Off Log'!$A$5:$A$504,$C107,'Time Off Log'!$B$5:$B$504,"Sick",'Time Off Log'!$E$5:$E$504,"Approved",'Time Off Log'!$C$5:$C$504,"&gt;="&amp;INDEX(Periods!$E$5:$E$57,$B107),'Time Off Log'!$C$5:$C$504,"&lt;="&amp;INDEX(Periods!$F$5:$F$57,$B107)))</f>
        <v/>
      </c>
      <c r="S107" s="51">
        <f>IF($B107=1,N(INDEX(Employees!$T$5:$T$29,$A107)),V106)</f>
        <v/>
      </c>
      <c r="T107" s="51">
        <f>IF(INDEX(Employees!$S$5:$S$29,$A107)="",Q107,MAX(0,MIN(Q107,INDEX(Employees!$S$5:$S$29,$A107)-(S107-R107))))</f>
        <v/>
      </c>
      <c r="U107" s="51">
        <f>Q107-T107</f>
        <v/>
      </c>
      <c r="V107" s="51">
        <f>S107-R107+T107</f>
        <v/>
      </c>
    </row>
    <row r="108">
      <c r="A108" s="50" t="n">
        <v>2</v>
      </c>
      <c r="B108" s="50" t="n">
        <v>51</v>
      </c>
      <c r="C108" s="51">
        <f>INDEX(Employees!$B$5:$B$29,$A108)&amp;""</f>
        <v/>
      </c>
      <c r="D108" s="52">
        <f>INDEX(Periods!$B$5:$B$57,$B108)</f>
        <v/>
      </c>
      <c r="E108" s="52">
        <f>INDEX(Periods!$C$5:$C$57,$B108)</f>
        <v/>
      </c>
      <c r="F108" s="50">
        <f>IF(AND($C108&lt;&gt;"",INDEX(Periods!$D$5:$D$57,$B108)=1),1,0)</f>
        <v/>
      </c>
      <c r="G108" s="50">
        <f>IF($F108=0,0,IF(AND(OR(INDEX(Employees!$D$5:$D$29,$A108)="",$E108&gt;=INDEX(Employees!$D$5:$D$29,$A108)+N(INDEX(Employees!$U$5:$U$29,$A108))),OR(INDEX(Employees!$E$5:$E$29,$A108)="",$D108&lt;=INDEX(Employees!$E$5:$E$29,$A108))),1,0))</f>
        <v/>
      </c>
      <c r="H108" s="50">
        <f>IF($G108=0,0,IF(INDEX(Employees!$D$5:$D$29,$A108)="",0,DATEDIF(INDEX(Employees!$D$5:$D$29,$A108),$E108,"y")))</f>
        <v/>
      </c>
      <c r="I108" s="51">
        <f>IF($G108=0,0,IF(INDEX('Hours Worked'!$D$5:$BD$29,$A108,$B108)="",N(INDEX(Employees!$H$5:$H$29,$A108)),INDEX('Hours Worked'!$D$5:$BD$29,$A108,$B108)))</f>
        <v/>
      </c>
      <c r="J108" s="51">
        <f>IF(OR($G108=0,INDEX(Employees!$O$5:$O$29,$A108)&lt;&gt;"Yes"),0,IF(COUNTIF(Settings!$D$4:$D$9,"&lt;="&amp;$H108)=0,0,INDEX(Settings!$E$4:$E$9,COUNTIF(Settings!$D$4:$D$9,"&lt;="&amp;$H108))))</f>
        <v/>
      </c>
      <c r="K108" s="51">
        <f>IF($G108=0,0,IF(INDEX(Employees!$I$5:$I$29,$A108)="Per pay period",(N(INDEX(Employees!$J$5:$J$29,$A108))+$J108)/Settings!$B$13,IF(INDEX(Employees!$I$5:$I$29,$A108)="Per hour worked",N(INDEX(Employees!$K$5:$K$29,$A108))*$I108,IF(INDEX(Employees!$I$5:$I$29,$A108)="Front-loaded",IF(OR($B108=1,N($G107)=0),N(INDEX(Employees!$J$5:$J$29,$A108))+$J108,0),0))))</f>
        <v/>
      </c>
      <c r="L108" s="51">
        <f>IF($F108=0,0,SUMIFS('Time Off Log'!$H$5:$H$504,'Time Off Log'!$A$5:$A$504,$C108,'Time Off Log'!$B$5:$B$504,"PTO",'Time Off Log'!$E$5:$E$504,"Approved",'Time Off Log'!$C$5:$C$504,"&gt;="&amp;INDEX(Periods!$E$5:$E$57,$B108),'Time Off Log'!$C$5:$C$504,"&lt;="&amp;INDEX(Periods!$F$5:$F$57,$B108)))</f>
        <v/>
      </c>
      <c r="M108" s="51">
        <f>IF($B108=1,N(INDEX(Employees!$N$5:$N$29,$A108)),P107)</f>
        <v/>
      </c>
      <c r="N108" s="51">
        <f>IF(INDEX(Employees!$L$5:$L$29,$A108)="",K108,MAX(0,MIN(K108,INDEX(Employees!$L$5:$L$29,$A108)-(M108-L108))))</f>
        <v/>
      </c>
      <c r="O108" s="51">
        <f>K108-N108</f>
        <v/>
      </c>
      <c r="P108" s="51">
        <f>M108-L108+N108</f>
        <v/>
      </c>
      <c r="Q108" s="51">
        <f>IF($G108=0,0,IF(INDEX(Employees!$P$5:$P$29,$A108)="Per pay period",(N(INDEX(Employees!$Q$5:$Q$29,$A108)))/Settings!$B$13,IF(INDEX(Employees!$P$5:$P$29,$A108)="Per hour worked",N(INDEX(Employees!$R$5:$R$29,$A108))*$I108,IF(INDEX(Employees!$P$5:$P$29,$A108)="Front-loaded",IF(OR($B108=1,N($G107)=0),N(INDEX(Employees!$Q$5:$Q$29,$A108)),0),0))))</f>
        <v/>
      </c>
      <c r="R108" s="51">
        <f>IF($F108=0,0,SUMIFS('Time Off Log'!$H$5:$H$504,'Time Off Log'!$A$5:$A$504,$C108,'Time Off Log'!$B$5:$B$504,"Sick",'Time Off Log'!$E$5:$E$504,"Approved",'Time Off Log'!$C$5:$C$504,"&gt;="&amp;INDEX(Periods!$E$5:$E$57,$B108),'Time Off Log'!$C$5:$C$504,"&lt;="&amp;INDEX(Periods!$F$5:$F$57,$B108)))</f>
        <v/>
      </c>
      <c r="S108" s="51">
        <f>IF($B108=1,N(INDEX(Employees!$T$5:$T$29,$A108)),V107)</f>
        <v/>
      </c>
      <c r="T108" s="51">
        <f>IF(INDEX(Employees!$S$5:$S$29,$A108)="",Q108,MAX(0,MIN(Q108,INDEX(Employees!$S$5:$S$29,$A108)-(S108-R108))))</f>
        <v/>
      </c>
      <c r="U108" s="51">
        <f>Q108-T108</f>
        <v/>
      </c>
      <c r="V108" s="51">
        <f>S108-R108+T108</f>
        <v/>
      </c>
    </row>
    <row r="109">
      <c r="A109" s="50" t="n">
        <v>2</v>
      </c>
      <c r="B109" s="50" t="n">
        <v>52</v>
      </c>
      <c r="C109" s="51">
        <f>INDEX(Employees!$B$5:$B$29,$A109)&amp;""</f>
        <v/>
      </c>
      <c r="D109" s="52">
        <f>INDEX(Periods!$B$5:$B$57,$B109)</f>
        <v/>
      </c>
      <c r="E109" s="52">
        <f>INDEX(Periods!$C$5:$C$57,$B109)</f>
        <v/>
      </c>
      <c r="F109" s="50">
        <f>IF(AND($C109&lt;&gt;"",INDEX(Periods!$D$5:$D$57,$B109)=1),1,0)</f>
        <v/>
      </c>
      <c r="G109" s="50">
        <f>IF($F109=0,0,IF(AND(OR(INDEX(Employees!$D$5:$D$29,$A109)="",$E109&gt;=INDEX(Employees!$D$5:$D$29,$A109)+N(INDEX(Employees!$U$5:$U$29,$A109))),OR(INDEX(Employees!$E$5:$E$29,$A109)="",$D109&lt;=INDEX(Employees!$E$5:$E$29,$A109))),1,0))</f>
        <v/>
      </c>
      <c r="H109" s="50">
        <f>IF($G109=0,0,IF(INDEX(Employees!$D$5:$D$29,$A109)="",0,DATEDIF(INDEX(Employees!$D$5:$D$29,$A109),$E109,"y")))</f>
        <v/>
      </c>
      <c r="I109" s="51">
        <f>IF($G109=0,0,IF(INDEX('Hours Worked'!$D$5:$BD$29,$A109,$B109)="",N(INDEX(Employees!$H$5:$H$29,$A109)),INDEX('Hours Worked'!$D$5:$BD$29,$A109,$B109)))</f>
        <v/>
      </c>
      <c r="J109" s="51">
        <f>IF(OR($G109=0,INDEX(Employees!$O$5:$O$29,$A109)&lt;&gt;"Yes"),0,IF(COUNTIF(Settings!$D$4:$D$9,"&lt;="&amp;$H109)=0,0,INDEX(Settings!$E$4:$E$9,COUNTIF(Settings!$D$4:$D$9,"&lt;="&amp;$H109))))</f>
        <v/>
      </c>
      <c r="K109" s="51">
        <f>IF($G109=0,0,IF(INDEX(Employees!$I$5:$I$29,$A109)="Per pay period",(N(INDEX(Employees!$J$5:$J$29,$A109))+$J109)/Settings!$B$13,IF(INDEX(Employees!$I$5:$I$29,$A109)="Per hour worked",N(INDEX(Employees!$K$5:$K$29,$A109))*$I109,IF(INDEX(Employees!$I$5:$I$29,$A109)="Front-loaded",IF(OR($B109=1,N($G108)=0),N(INDEX(Employees!$J$5:$J$29,$A109))+$J109,0),0))))</f>
        <v/>
      </c>
      <c r="L109" s="51">
        <f>IF($F109=0,0,SUMIFS('Time Off Log'!$H$5:$H$504,'Time Off Log'!$A$5:$A$504,$C109,'Time Off Log'!$B$5:$B$504,"PTO",'Time Off Log'!$E$5:$E$504,"Approved",'Time Off Log'!$C$5:$C$504,"&gt;="&amp;INDEX(Periods!$E$5:$E$57,$B109),'Time Off Log'!$C$5:$C$504,"&lt;="&amp;INDEX(Periods!$F$5:$F$57,$B109)))</f>
        <v/>
      </c>
      <c r="M109" s="51">
        <f>IF($B109=1,N(INDEX(Employees!$N$5:$N$29,$A109)),P108)</f>
        <v/>
      </c>
      <c r="N109" s="51">
        <f>IF(INDEX(Employees!$L$5:$L$29,$A109)="",K109,MAX(0,MIN(K109,INDEX(Employees!$L$5:$L$29,$A109)-(M109-L109))))</f>
        <v/>
      </c>
      <c r="O109" s="51">
        <f>K109-N109</f>
        <v/>
      </c>
      <c r="P109" s="51">
        <f>M109-L109+N109</f>
        <v/>
      </c>
      <c r="Q109" s="51">
        <f>IF($G109=0,0,IF(INDEX(Employees!$P$5:$P$29,$A109)="Per pay period",(N(INDEX(Employees!$Q$5:$Q$29,$A109)))/Settings!$B$13,IF(INDEX(Employees!$P$5:$P$29,$A109)="Per hour worked",N(INDEX(Employees!$R$5:$R$29,$A109))*$I109,IF(INDEX(Employees!$P$5:$P$29,$A109)="Front-loaded",IF(OR($B109=1,N($G108)=0),N(INDEX(Employees!$Q$5:$Q$29,$A109)),0),0))))</f>
        <v/>
      </c>
      <c r="R109" s="51">
        <f>IF($F109=0,0,SUMIFS('Time Off Log'!$H$5:$H$504,'Time Off Log'!$A$5:$A$504,$C109,'Time Off Log'!$B$5:$B$504,"Sick",'Time Off Log'!$E$5:$E$504,"Approved",'Time Off Log'!$C$5:$C$504,"&gt;="&amp;INDEX(Periods!$E$5:$E$57,$B109),'Time Off Log'!$C$5:$C$504,"&lt;="&amp;INDEX(Periods!$F$5:$F$57,$B109)))</f>
        <v/>
      </c>
      <c r="S109" s="51">
        <f>IF($B109=1,N(INDEX(Employees!$T$5:$T$29,$A109)),V108)</f>
        <v/>
      </c>
      <c r="T109" s="51">
        <f>IF(INDEX(Employees!$S$5:$S$29,$A109)="",Q109,MAX(0,MIN(Q109,INDEX(Employees!$S$5:$S$29,$A109)-(S109-R109))))</f>
        <v/>
      </c>
      <c r="U109" s="51">
        <f>Q109-T109</f>
        <v/>
      </c>
      <c r="V109" s="51">
        <f>S109-R109+T109</f>
        <v/>
      </c>
    </row>
    <row r="110">
      <c r="A110" s="50" t="n">
        <v>2</v>
      </c>
      <c r="B110" s="50" t="n">
        <v>53</v>
      </c>
      <c r="C110" s="51">
        <f>INDEX(Employees!$B$5:$B$29,$A110)&amp;""</f>
        <v/>
      </c>
      <c r="D110" s="52">
        <f>INDEX(Periods!$B$5:$B$57,$B110)</f>
        <v/>
      </c>
      <c r="E110" s="52">
        <f>INDEX(Periods!$C$5:$C$57,$B110)</f>
        <v/>
      </c>
      <c r="F110" s="50">
        <f>IF(AND($C110&lt;&gt;"",INDEX(Periods!$D$5:$D$57,$B110)=1),1,0)</f>
        <v/>
      </c>
      <c r="G110" s="50">
        <f>IF($F110=0,0,IF(AND(OR(INDEX(Employees!$D$5:$D$29,$A110)="",$E110&gt;=INDEX(Employees!$D$5:$D$29,$A110)+N(INDEX(Employees!$U$5:$U$29,$A110))),OR(INDEX(Employees!$E$5:$E$29,$A110)="",$D110&lt;=INDEX(Employees!$E$5:$E$29,$A110))),1,0))</f>
        <v/>
      </c>
      <c r="H110" s="50">
        <f>IF($G110=0,0,IF(INDEX(Employees!$D$5:$D$29,$A110)="",0,DATEDIF(INDEX(Employees!$D$5:$D$29,$A110),$E110,"y")))</f>
        <v/>
      </c>
      <c r="I110" s="51">
        <f>IF($G110=0,0,IF(INDEX('Hours Worked'!$D$5:$BD$29,$A110,$B110)="",N(INDEX(Employees!$H$5:$H$29,$A110)),INDEX('Hours Worked'!$D$5:$BD$29,$A110,$B110)))</f>
        <v/>
      </c>
      <c r="J110" s="51">
        <f>IF(OR($G110=0,INDEX(Employees!$O$5:$O$29,$A110)&lt;&gt;"Yes"),0,IF(COUNTIF(Settings!$D$4:$D$9,"&lt;="&amp;$H110)=0,0,INDEX(Settings!$E$4:$E$9,COUNTIF(Settings!$D$4:$D$9,"&lt;="&amp;$H110))))</f>
        <v/>
      </c>
      <c r="K110" s="51">
        <f>IF($G110=0,0,IF(INDEX(Employees!$I$5:$I$29,$A110)="Per pay period",(N(INDEX(Employees!$J$5:$J$29,$A110))+$J110)/Settings!$B$13,IF(INDEX(Employees!$I$5:$I$29,$A110)="Per hour worked",N(INDEX(Employees!$K$5:$K$29,$A110))*$I110,IF(INDEX(Employees!$I$5:$I$29,$A110)="Front-loaded",IF(OR($B110=1,N($G109)=0),N(INDEX(Employees!$J$5:$J$29,$A110))+$J110,0),0))))</f>
        <v/>
      </c>
      <c r="L110" s="51">
        <f>IF($F110=0,0,SUMIFS('Time Off Log'!$H$5:$H$504,'Time Off Log'!$A$5:$A$504,$C110,'Time Off Log'!$B$5:$B$504,"PTO",'Time Off Log'!$E$5:$E$504,"Approved",'Time Off Log'!$C$5:$C$504,"&gt;="&amp;INDEX(Periods!$E$5:$E$57,$B110),'Time Off Log'!$C$5:$C$504,"&lt;="&amp;INDEX(Periods!$F$5:$F$57,$B110)))</f>
        <v/>
      </c>
      <c r="M110" s="51">
        <f>IF($B110=1,N(INDEX(Employees!$N$5:$N$29,$A110)),P109)</f>
        <v/>
      </c>
      <c r="N110" s="51">
        <f>IF(INDEX(Employees!$L$5:$L$29,$A110)="",K110,MAX(0,MIN(K110,INDEX(Employees!$L$5:$L$29,$A110)-(M110-L110))))</f>
        <v/>
      </c>
      <c r="O110" s="51">
        <f>K110-N110</f>
        <v/>
      </c>
      <c r="P110" s="51">
        <f>M110-L110+N110</f>
        <v/>
      </c>
      <c r="Q110" s="51">
        <f>IF($G110=0,0,IF(INDEX(Employees!$P$5:$P$29,$A110)="Per pay period",(N(INDEX(Employees!$Q$5:$Q$29,$A110)))/Settings!$B$13,IF(INDEX(Employees!$P$5:$P$29,$A110)="Per hour worked",N(INDEX(Employees!$R$5:$R$29,$A110))*$I110,IF(INDEX(Employees!$P$5:$P$29,$A110)="Front-loaded",IF(OR($B110=1,N($G109)=0),N(INDEX(Employees!$Q$5:$Q$29,$A110)),0),0))))</f>
        <v/>
      </c>
      <c r="R110" s="51">
        <f>IF($F110=0,0,SUMIFS('Time Off Log'!$H$5:$H$504,'Time Off Log'!$A$5:$A$504,$C110,'Time Off Log'!$B$5:$B$504,"Sick",'Time Off Log'!$E$5:$E$504,"Approved",'Time Off Log'!$C$5:$C$504,"&gt;="&amp;INDEX(Periods!$E$5:$E$57,$B110),'Time Off Log'!$C$5:$C$504,"&lt;="&amp;INDEX(Periods!$F$5:$F$57,$B110)))</f>
        <v/>
      </c>
      <c r="S110" s="51">
        <f>IF($B110=1,N(INDEX(Employees!$T$5:$T$29,$A110)),V109)</f>
        <v/>
      </c>
      <c r="T110" s="51">
        <f>IF(INDEX(Employees!$S$5:$S$29,$A110)="",Q110,MAX(0,MIN(Q110,INDEX(Employees!$S$5:$S$29,$A110)-(S110-R110))))</f>
        <v/>
      </c>
      <c r="U110" s="51">
        <f>Q110-T110</f>
        <v/>
      </c>
      <c r="V110" s="51">
        <f>S110-R110+T110</f>
        <v/>
      </c>
    </row>
    <row r="111">
      <c r="A111" s="47" t="n">
        <v>3</v>
      </c>
      <c r="B111" s="47" t="n">
        <v>1</v>
      </c>
      <c r="C111" s="48">
        <f>INDEX(Employees!$B$5:$B$29,$A111)&amp;""</f>
        <v/>
      </c>
      <c r="D111" s="49">
        <f>INDEX(Periods!$B$5:$B$57,$B111)</f>
        <v/>
      </c>
      <c r="E111" s="49">
        <f>INDEX(Periods!$C$5:$C$57,$B111)</f>
        <v/>
      </c>
      <c r="F111" s="47">
        <f>IF(AND($C111&lt;&gt;"",INDEX(Periods!$D$5:$D$57,$B111)=1),1,0)</f>
        <v/>
      </c>
      <c r="G111" s="47">
        <f>IF($F111=0,0,IF(AND(OR(INDEX(Employees!$D$5:$D$29,$A111)="",$E111&gt;=INDEX(Employees!$D$5:$D$29,$A111)+N(INDEX(Employees!$U$5:$U$29,$A111))),OR(INDEX(Employees!$E$5:$E$29,$A111)="",$D111&lt;=INDEX(Employees!$E$5:$E$29,$A111))),1,0))</f>
        <v/>
      </c>
      <c r="H111" s="47">
        <f>IF($G111=0,0,IF(INDEX(Employees!$D$5:$D$29,$A111)="",0,DATEDIF(INDEX(Employees!$D$5:$D$29,$A111),$E111,"y")))</f>
        <v/>
      </c>
      <c r="I111" s="48">
        <f>IF($G111=0,0,IF(INDEX('Hours Worked'!$D$5:$BD$29,$A111,$B111)="",N(INDEX(Employees!$H$5:$H$29,$A111)),INDEX('Hours Worked'!$D$5:$BD$29,$A111,$B111)))</f>
        <v/>
      </c>
      <c r="J111" s="48">
        <f>IF(OR($G111=0,INDEX(Employees!$O$5:$O$29,$A111)&lt;&gt;"Yes"),0,IF(COUNTIF(Settings!$D$4:$D$9,"&lt;="&amp;$H111)=0,0,INDEX(Settings!$E$4:$E$9,COUNTIF(Settings!$D$4:$D$9,"&lt;="&amp;$H111))))</f>
        <v/>
      </c>
      <c r="K111" s="48">
        <f>IF($G111=0,0,IF(INDEX(Employees!$I$5:$I$29,$A111)="Per pay period",(N(INDEX(Employees!$J$5:$J$29,$A111))+$J111)/Settings!$B$13,IF(INDEX(Employees!$I$5:$I$29,$A111)="Per hour worked",N(INDEX(Employees!$K$5:$K$29,$A111))*$I111,IF(INDEX(Employees!$I$5:$I$29,$A111)="Front-loaded",IF(OR($B111=1,N($G110)=0),N(INDEX(Employees!$J$5:$J$29,$A111))+$J111,0),0))))</f>
        <v/>
      </c>
      <c r="L111" s="48">
        <f>IF($F111=0,0,SUMIFS('Time Off Log'!$H$5:$H$504,'Time Off Log'!$A$5:$A$504,$C111,'Time Off Log'!$B$5:$B$504,"PTO",'Time Off Log'!$E$5:$E$504,"Approved",'Time Off Log'!$C$5:$C$504,"&gt;="&amp;INDEX(Periods!$E$5:$E$57,$B111),'Time Off Log'!$C$5:$C$504,"&lt;="&amp;INDEX(Periods!$F$5:$F$57,$B111)))</f>
        <v/>
      </c>
      <c r="M111" s="48">
        <f>N(INDEX(Employees!$N$5:$N$29,$A111))</f>
        <v/>
      </c>
      <c r="N111" s="48">
        <f>IF(INDEX(Employees!$L$5:$L$29,$A111)="",K111,MAX(0,MIN(K111,INDEX(Employees!$L$5:$L$29,$A111)-(M111-L111))))</f>
        <v/>
      </c>
      <c r="O111" s="48">
        <f>K111-N111</f>
        <v/>
      </c>
      <c r="P111" s="48">
        <f>M111-L111+N111</f>
        <v/>
      </c>
      <c r="Q111" s="48">
        <f>IF($G111=0,0,IF(INDEX(Employees!$P$5:$P$29,$A111)="Per pay period",(N(INDEX(Employees!$Q$5:$Q$29,$A111)))/Settings!$B$13,IF(INDEX(Employees!$P$5:$P$29,$A111)="Per hour worked",N(INDEX(Employees!$R$5:$R$29,$A111))*$I111,IF(INDEX(Employees!$P$5:$P$29,$A111)="Front-loaded",IF(OR($B111=1,N($G110)=0),N(INDEX(Employees!$Q$5:$Q$29,$A111)),0),0))))</f>
        <v/>
      </c>
      <c r="R111" s="48">
        <f>IF($F111=0,0,SUMIFS('Time Off Log'!$H$5:$H$504,'Time Off Log'!$A$5:$A$504,$C111,'Time Off Log'!$B$5:$B$504,"Sick",'Time Off Log'!$E$5:$E$504,"Approved",'Time Off Log'!$C$5:$C$504,"&gt;="&amp;INDEX(Periods!$E$5:$E$57,$B111),'Time Off Log'!$C$5:$C$504,"&lt;="&amp;INDEX(Periods!$F$5:$F$57,$B111)))</f>
        <v/>
      </c>
      <c r="S111" s="48">
        <f>N(INDEX(Employees!$T$5:$T$29,$A111))</f>
        <v/>
      </c>
      <c r="T111" s="48">
        <f>IF(INDEX(Employees!$S$5:$S$29,$A111)="",Q111,MAX(0,MIN(Q111,INDEX(Employees!$S$5:$S$29,$A111)-(S111-R111))))</f>
        <v/>
      </c>
      <c r="U111" s="48">
        <f>Q111-T111</f>
        <v/>
      </c>
      <c r="V111" s="48">
        <f>S111-R111+T111</f>
        <v/>
      </c>
    </row>
    <row r="112">
      <c r="A112" s="47" t="n">
        <v>3</v>
      </c>
      <c r="B112" s="47" t="n">
        <v>2</v>
      </c>
      <c r="C112" s="48">
        <f>INDEX(Employees!$B$5:$B$29,$A112)&amp;""</f>
        <v/>
      </c>
      <c r="D112" s="49">
        <f>INDEX(Periods!$B$5:$B$57,$B112)</f>
        <v/>
      </c>
      <c r="E112" s="49">
        <f>INDEX(Periods!$C$5:$C$57,$B112)</f>
        <v/>
      </c>
      <c r="F112" s="47">
        <f>IF(AND($C112&lt;&gt;"",INDEX(Periods!$D$5:$D$57,$B112)=1),1,0)</f>
        <v/>
      </c>
      <c r="G112" s="47">
        <f>IF($F112=0,0,IF(AND(OR(INDEX(Employees!$D$5:$D$29,$A112)="",$E112&gt;=INDEX(Employees!$D$5:$D$29,$A112)+N(INDEX(Employees!$U$5:$U$29,$A112))),OR(INDEX(Employees!$E$5:$E$29,$A112)="",$D112&lt;=INDEX(Employees!$E$5:$E$29,$A112))),1,0))</f>
        <v/>
      </c>
      <c r="H112" s="47">
        <f>IF($G112=0,0,IF(INDEX(Employees!$D$5:$D$29,$A112)="",0,DATEDIF(INDEX(Employees!$D$5:$D$29,$A112),$E112,"y")))</f>
        <v/>
      </c>
      <c r="I112" s="48">
        <f>IF($G112=0,0,IF(INDEX('Hours Worked'!$D$5:$BD$29,$A112,$B112)="",N(INDEX(Employees!$H$5:$H$29,$A112)),INDEX('Hours Worked'!$D$5:$BD$29,$A112,$B112)))</f>
        <v/>
      </c>
      <c r="J112" s="48">
        <f>IF(OR($G112=0,INDEX(Employees!$O$5:$O$29,$A112)&lt;&gt;"Yes"),0,IF(COUNTIF(Settings!$D$4:$D$9,"&lt;="&amp;$H112)=0,0,INDEX(Settings!$E$4:$E$9,COUNTIF(Settings!$D$4:$D$9,"&lt;="&amp;$H112))))</f>
        <v/>
      </c>
      <c r="K112" s="48">
        <f>IF($G112=0,0,IF(INDEX(Employees!$I$5:$I$29,$A112)="Per pay period",(N(INDEX(Employees!$J$5:$J$29,$A112))+$J112)/Settings!$B$13,IF(INDEX(Employees!$I$5:$I$29,$A112)="Per hour worked",N(INDEX(Employees!$K$5:$K$29,$A112))*$I112,IF(INDEX(Employees!$I$5:$I$29,$A112)="Front-loaded",IF(OR($B112=1,N($G111)=0),N(INDEX(Employees!$J$5:$J$29,$A112))+$J112,0),0))))</f>
        <v/>
      </c>
      <c r="L112" s="48">
        <f>IF($F112=0,0,SUMIFS('Time Off Log'!$H$5:$H$504,'Time Off Log'!$A$5:$A$504,$C112,'Time Off Log'!$B$5:$B$504,"PTO",'Time Off Log'!$E$5:$E$504,"Approved",'Time Off Log'!$C$5:$C$504,"&gt;="&amp;INDEX(Periods!$E$5:$E$57,$B112),'Time Off Log'!$C$5:$C$504,"&lt;="&amp;INDEX(Periods!$F$5:$F$57,$B112)))</f>
        <v/>
      </c>
      <c r="M112" s="48">
        <f>IF($B112=1,N(INDEX(Employees!$N$5:$N$29,$A112)),P111)</f>
        <v/>
      </c>
      <c r="N112" s="48">
        <f>IF(INDEX(Employees!$L$5:$L$29,$A112)="",K112,MAX(0,MIN(K112,INDEX(Employees!$L$5:$L$29,$A112)-(M112-L112))))</f>
        <v/>
      </c>
      <c r="O112" s="48">
        <f>K112-N112</f>
        <v/>
      </c>
      <c r="P112" s="48">
        <f>M112-L112+N112</f>
        <v/>
      </c>
      <c r="Q112" s="48">
        <f>IF($G112=0,0,IF(INDEX(Employees!$P$5:$P$29,$A112)="Per pay period",(N(INDEX(Employees!$Q$5:$Q$29,$A112)))/Settings!$B$13,IF(INDEX(Employees!$P$5:$P$29,$A112)="Per hour worked",N(INDEX(Employees!$R$5:$R$29,$A112))*$I112,IF(INDEX(Employees!$P$5:$P$29,$A112)="Front-loaded",IF(OR($B112=1,N($G111)=0),N(INDEX(Employees!$Q$5:$Q$29,$A112)),0),0))))</f>
        <v/>
      </c>
      <c r="R112" s="48">
        <f>IF($F112=0,0,SUMIFS('Time Off Log'!$H$5:$H$504,'Time Off Log'!$A$5:$A$504,$C112,'Time Off Log'!$B$5:$B$504,"Sick",'Time Off Log'!$E$5:$E$504,"Approved",'Time Off Log'!$C$5:$C$504,"&gt;="&amp;INDEX(Periods!$E$5:$E$57,$B112),'Time Off Log'!$C$5:$C$504,"&lt;="&amp;INDEX(Periods!$F$5:$F$57,$B112)))</f>
        <v/>
      </c>
      <c r="S112" s="48">
        <f>IF($B112=1,N(INDEX(Employees!$T$5:$T$29,$A112)),V111)</f>
        <v/>
      </c>
      <c r="T112" s="48">
        <f>IF(INDEX(Employees!$S$5:$S$29,$A112)="",Q112,MAX(0,MIN(Q112,INDEX(Employees!$S$5:$S$29,$A112)-(S112-R112))))</f>
        <v/>
      </c>
      <c r="U112" s="48">
        <f>Q112-T112</f>
        <v/>
      </c>
      <c r="V112" s="48">
        <f>S112-R112+T112</f>
        <v/>
      </c>
    </row>
    <row r="113">
      <c r="A113" s="47" t="n">
        <v>3</v>
      </c>
      <c r="B113" s="47" t="n">
        <v>3</v>
      </c>
      <c r="C113" s="48">
        <f>INDEX(Employees!$B$5:$B$29,$A113)&amp;""</f>
        <v/>
      </c>
      <c r="D113" s="49">
        <f>INDEX(Periods!$B$5:$B$57,$B113)</f>
        <v/>
      </c>
      <c r="E113" s="49">
        <f>INDEX(Periods!$C$5:$C$57,$B113)</f>
        <v/>
      </c>
      <c r="F113" s="47">
        <f>IF(AND($C113&lt;&gt;"",INDEX(Periods!$D$5:$D$57,$B113)=1),1,0)</f>
        <v/>
      </c>
      <c r="G113" s="47">
        <f>IF($F113=0,0,IF(AND(OR(INDEX(Employees!$D$5:$D$29,$A113)="",$E113&gt;=INDEX(Employees!$D$5:$D$29,$A113)+N(INDEX(Employees!$U$5:$U$29,$A113))),OR(INDEX(Employees!$E$5:$E$29,$A113)="",$D113&lt;=INDEX(Employees!$E$5:$E$29,$A113))),1,0))</f>
        <v/>
      </c>
      <c r="H113" s="47">
        <f>IF($G113=0,0,IF(INDEX(Employees!$D$5:$D$29,$A113)="",0,DATEDIF(INDEX(Employees!$D$5:$D$29,$A113),$E113,"y")))</f>
        <v/>
      </c>
      <c r="I113" s="48">
        <f>IF($G113=0,0,IF(INDEX('Hours Worked'!$D$5:$BD$29,$A113,$B113)="",N(INDEX(Employees!$H$5:$H$29,$A113)),INDEX('Hours Worked'!$D$5:$BD$29,$A113,$B113)))</f>
        <v/>
      </c>
      <c r="J113" s="48">
        <f>IF(OR($G113=0,INDEX(Employees!$O$5:$O$29,$A113)&lt;&gt;"Yes"),0,IF(COUNTIF(Settings!$D$4:$D$9,"&lt;="&amp;$H113)=0,0,INDEX(Settings!$E$4:$E$9,COUNTIF(Settings!$D$4:$D$9,"&lt;="&amp;$H113))))</f>
        <v/>
      </c>
      <c r="K113" s="48">
        <f>IF($G113=0,0,IF(INDEX(Employees!$I$5:$I$29,$A113)="Per pay period",(N(INDEX(Employees!$J$5:$J$29,$A113))+$J113)/Settings!$B$13,IF(INDEX(Employees!$I$5:$I$29,$A113)="Per hour worked",N(INDEX(Employees!$K$5:$K$29,$A113))*$I113,IF(INDEX(Employees!$I$5:$I$29,$A113)="Front-loaded",IF(OR($B113=1,N($G112)=0),N(INDEX(Employees!$J$5:$J$29,$A113))+$J113,0),0))))</f>
        <v/>
      </c>
      <c r="L113" s="48">
        <f>IF($F113=0,0,SUMIFS('Time Off Log'!$H$5:$H$504,'Time Off Log'!$A$5:$A$504,$C113,'Time Off Log'!$B$5:$B$504,"PTO",'Time Off Log'!$E$5:$E$504,"Approved",'Time Off Log'!$C$5:$C$504,"&gt;="&amp;INDEX(Periods!$E$5:$E$57,$B113),'Time Off Log'!$C$5:$C$504,"&lt;="&amp;INDEX(Periods!$F$5:$F$57,$B113)))</f>
        <v/>
      </c>
      <c r="M113" s="48">
        <f>IF($B113=1,N(INDEX(Employees!$N$5:$N$29,$A113)),P112)</f>
        <v/>
      </c>
      <c r="N113" s="48">
        <f>IF(INDEX(Employees!$L$5:$L$29,$A113)="",K113,MAX(0,MIN(K113,INDEX(Employees!$L$5:$L$29,$A113)-(M113-L113))))</f>
        <v/>
      </c>
      <c r="O113" s="48">
        <f>K113-N113</f>
        <v/>
      </c>
      <c r="P113" s="48">
        <f>M113-L113+N113</f>
        <v/>
      </c>
      <c r="Q113" s="48">
        <f>IF($G113=0,0,IF(INDEX(Employees!$P$5:$P$29,$A113)="Per pay period",(N(INDEX(Employees!$Q$5:$Q$29,$A113)))/Settings!$B$13,IF(INDEX(Employees!$P$5:$P$29,$A113)="Per hour worked",N(INDEX(Employees!$R$5:$R$29,$A113))*$I113,IF(INDEX(Employees!$P$5:$P$29,$A113)="Front-loaded",IF(OR($B113=1,N($G112)=0),N(INDEX(Employees!$Q$5:$Q$29,$A113)),0),0))))</f>
        <v/>
      </c>
      <c r="R113" s="48">
        <f>IF($F113=0,0,SUMIFS('Time Off Log'!$H$5:$H$504,'Time Off Log'!$A$5:$A$504,$C113,'Time Off Log'!$B$5:$B$504,"Sick",'Time Off Log'!$E$5:$E$504,"Approved",'Time Off Log'!$C$5:$C$504,"&gt;="&amp;INDEX(Periods!$E$5:$E$57,$B113),'Time Off Log'!$C$5:$C$504,"&lt;="&amp;INDEX(Periods!$F$5:$F$57,$B113)))</f>
        <v/>
      </c>
      <c r="S113" s="48">
        <f>IF($B113=1,N(INDEX(Employees!$T$5:$T$29,$A113)),V112)</f>
        <v/>
      </c>
      <c r="T113" s="48">
        <f>IF(INDEX(Employees!$S$5:$S$29,$A113)="",Q113,MAX(0,MIN(Q113,INDEX(Employees!$S$5:$S$29,$A113)-(S113-R113))))</f>
        <v/>
      </c>
      <c r="U113" s="48">
        <f>Q113-T113</f>
        <v/>
      </c>
      <c r="V113" s="48">
        <f>S113-R113+T113</f>
        <v/>
      </c>
    </row>
    <row r="114">
      <c r="A114" s="47" t="n">
        <v>3</v>
      </c>
      <c r="B114" s="47" t="n">
        <v>4</v>
      </c>
      <c r="C114" s="48">
        <f>INDEX(Employees!$B$5:$B$29,$A114)&amp;""</f>
        <v/>
      </c>
      <c r="D114" s="49">
        <f>INDEX(Periods!$B$5:$B$57,$B114)</f>
        <v/>
      </c>
      <c r="E114" s="49">
        <f>INDEX(Periods!$C$5:$C$57,$B114)</f>
        <v/>
      </c>
      <c r="F114" s="47">
        <f>IF(AND($C114&lt;&gt;"",INDEX(Periods!$D$5:$D$57,$B114)=1),1,0)</f>
        <v/>
      </c>
      <c r="G114" s="47">
        <f>IF($F114=0,0,IF(AND(OR(INDEX(Employees!$D$5:$D$29,$A114)="",$E114&gt;=INDEX(Employees!$D$5:$D$29,$A114)+N(INDEX(Employees!$U$5:$U$29,$A114))),OR(INDEX(Employees!$E$5:$E$29,$A114)="",$D114&lt;=INDEX(Employees!$E$5:$E$29,$A114))),1,0))</f>
        <v/>
      </c>
      <c r="H114" s="47">
        <f>IF($G114=0,0,IF(INDEX(Employees!$D$5:$D$29,$A114)="",0,DATEDIF(INDEX(Employees!$D$5:$D$29,$A114),$E114,"y")))</f>
        <v/>
      </c>
      <c r="I114" s="48">
        <f>IF($G114=0,0,IF(INDEX('Hours Worked'!$D$5:$BD$29,$A114,$B114)="",N(INDEX(Employees!$H$5:$H$29,$A114)),INDEX('Hours Worked'!$D$5:$BD$29,$A114,$B114)))</f>
        <v/>
      </c>
      <c r="J114" s="48">
        <f>IF(OR($G114=0,INDEX(Employees!$O$5:$O$29,$A114)&lt;&gt;"Yes"),0,IF(COUNTIF(Settings!$D$4:$D$9,"&lt;="&amp;$H114)=0,0,INDEX(Settings!$E$4:$E$9,COUNTIF(Settings!$D$4:$D$9,"&lt;="&amp;$H114))))</f>
        <v/>
      </c>
      <c r="K114" s="48">
        <f>IF($G114=0,0,IF(INDEX(Employees!$I$5:$I$29,$A114)="Per pay period",(N(INDEX(Employees!$J$5:$J$29,$A114))+$J114)/Settings!$B$13,IF(INDEX(Employees!$I$5:$I$29,$A114)="Per hour worked",N(INDEX(Employees!$K$5:$K$29,$A114))*$I114,IF(INDEX(Employees!$I$5:$I$29,$A114)="Front-loaded",IF(OR($B114=1,N($G113)=0),N(INDEX(Employees!$J$5:$J$29,$A114))+$J114,0),0))))</f>
        <v/>
      </c>
      <c r="L114" s="48">
        <f>IF($F114=0,0,SUMIFS('Time Off Log'!$H$5:$H$504,'Time Off Log'!$A$5:$A$504,$C114,'Time Off Log'!$B$5:$B$504,"PTO",'Time Off Log'!$E$5:$E$504,"Approved",'Time Off Log'!$C$5:$C$504,"&gt;="&amp;INDEX(Periods!$E$5:$E$57,$B114),'Time Off Log'!$C$5:$C$504,"&lt;="&amp;INDEX(Periods!$F$5:$F$57,$B114)))</f>
        <v/>
      </c>
      <c r="M114" s="48">
        <f>IF($B114=1,N(INDEX(Employees!$N$5:$N$29,$A114)),P113)</f>
        <v/>
      </c>
      <c r="N114" s="48">
        <f>IF(INDEX(Employees!$L$5:$L$29,$A114)="",K114,MAX(0,MIN(K114,INDEX(Employees!$L$5:$L$29,$A114)-(M114-L114))))</f>
        <v/>
      </c>
      <c r="O114" s="48">
        <f>K114-N114</f>
        <v/>
      </c>
      <c r="P114" s="48">
        <f>M114-L114+N114</f>
        <v/>
      </c>
      <c r="Q114" s="48">
        <f>IF($G114=0,0,IF(INDEX(Employees!$P$5:$P$29,$A114)="Per pay period",(N(INDEX(Employees!$Q$5:$Q$29,$A114)))/Settings!$B$13,IF(INDEX(Employees!$P$5:$P$29,$A114)="Per hour worked",N(INDEX(Employees!$R$5:$R$29,$A114))*$I114,IF(INDEX(Employees!$P$5:$P$29,$A114)="Front-loaded",IF(OR($B114=1,N($G113)=0),N(INDEX(Employees!$Q$5:$Q$29,$A114)),0),0))))</f>
        <v/>
      </c>
      <c r="R114" s="48">
        <f>IF($F114=0,0,SUMIFS('Time Off Log'!$H$5:$H$504,'Time Off Log'!$A$5:$A$504,$C114,'Time Off Log'!$B$5:$B$504,"Sick",'Time Off Log'!$E$5:$E$504,"Approved",'Time Off Log'!$C$5:$C$504,"&gt;="&amp;INDEX(Periods!$E$5:$E$57,$B114),'Time Off Log'!$C$5:$C$504,"&lt;="&amp;INDEX(Periods!$F$5:$F$57,$B114)))</f>
        <v/>
      </c>
      <c r="S114" s="48">
        <f>IF($B114=1,N(INDEX(Employees!$T$5:$T$29,$A114)),V113)</f>
        <v/>
      </c>
      <c r="T114" s="48">
        <f>IF(INDEX(Employees!$S$5:$S$29,$A114)="",Q114,MAX(0,MIN(Q114,INDEX(Employees!$S$5:$S$29,$A114)-(S114-R114))))</f>
        <v/>
      </c>
      <c r="U114" s="48">
        <f>Q114-T114</f>
        <v/>
      </c>
      <c r="V114" s="48">
        <f>S114-R114+T114</f>
        <v/>
      </c>
    </row>
    <row r="115">
      <c r="A115" s="47" t="n">
        <v>3</v>
      </c>
      <c r="B115" s="47" t="n">
        <v>5</v>
      </c>
      <c r="C115" s="48">
        <f>INDEX(Employees!$B$5:$B$29,$A115)&amp;""</f>
        <v/>
      </c>
      <c r="D115" s="49">
        <f>INDEX(Periods!$B$5:$B$57,$B115)</f>
        <v/>
      </c>
      <c r="E115" s="49">
        <f>INDEX(Periods!$C$5:$C$57,$B115)</f>
        <v/>
      </c>
      <c r="F115" s="47">
        <f>IF(AND($C115&lt;&gt;"",INDEX(Periods!$D$5:$D$57,$B115)=1),1,0)</f>
        <v/>
      </c>
      <c r="G115" s="47">
        <f>IF($F115=0,0,IF(AND(OR(INDEX(Employees!$D$5:$D$29,$A115)="",$E115&gt;=INDEX(Employees!$D$5:$D$29,$A115)+N(INDEX(Employees!$U$5:$U$29,$A115))),OR(INDEX(Employees!$E$5:$E$29,$A115)="",$D115&lt;=INDEX(Employees!$E$5:$E$29,$A115))),1,0))</f>
        <v/>
      </c>
      <c r="H115" s="47">
        <f>IF($G115=0,0,IF(INDEX(Employees!$D$5:$D$29,$A115)="",0,DATEDIF(INDEX(Employees!$D$5:$D$29,$A115),$E115,"y")))</f>
        <v/>
      </c>
      <c r="I115" s="48">
        <f>IF($G115=0,0,IF(INDEX('Hours Worked'!$D$5:$BD$29,$A115,$B115)="",N(INDEX(Employees!$H$5:$H$29,$A115)),INDEX('Hours Worked'!$D$5:$BD$29,$A115,$B115)))</f>
        <v/>
      </c>
      <c r="J115" s="48">
        <f>IF(OR($G115=0,INDEX(Employees!$O$5:$O$29,$A115)&lt;&gt;"Yes"),0,IF(COUNTIF(Settings!$D$4:$D$9,"&lt;="&amp;$H115)=0,0,INDEX(Settings!$E$4:$E$9,COUNTIF(Settings!$D$4:$D$9,"&lt;="&amp;$H115))))</f>
        <v/>
      </c>
      <c r="K115" s="48">
        <f>IF($G115=0,0,IF(INDEX(Employees!$I$5:$I$29,$A115)="Per pay period",(N(INDEX(Employees!$J$5:$J$29,$A115))+$J115)/Settings!$B$13,IF(INDEX(Employees!$I$5:$I$29,$A115)="Per hour worked",N(INDEX(Employees!$K$5:$K$29,$A115))*$I115,IF(INDEX(Employees!$I$5:$I$29,$A115)="Front-loaded",IF(OR($B115=1,N($G114)=0),N(INDEX(Employees!$J$5:$J$29,$A115))+$J115,0),0))))</f>
        <v/>
      </c>
      <c r="L115" s="48">
        <f>IF($F115=0,0,SUMIFS('Time Off Log'!$H$5:$H$504,'Time Off Log'!$A$5:$A$504,$C115,'Time Off Log'!$B$5:$B$504,"PTO",'Time Off Log'!$E$5:$E$504,"Approved",'Time Off Log'!$C$5:$C$504,"&gt;="&amp;INDEX(Periods!$E$5:$E$57,$B115),'Time Off Log'!$C$5:$C$504,"&lt;="&amp;INDEX(Periods!$F$5:$F$57,$B115)))</f>
        <v/>
      </c>
      <c r="M115" s="48">
        <f>IF($B115=1,N(INDEX(Employees!$N$5:$N$29,$A115)),P114)</f>
        <v/>
      </c>
      <c r="N115" s="48">
        <f>IF(INDEX(Employees!$L$5:$L$29,$A115)="",K115,MAX(0,MIN(K115,INDEX(Employees!$L$5:$L$29,$A115)-(M115-L115))))</f>
        <v/>
      </c>
      <c r="O115" s="48">
        <f>K115-N115</f>
        <v/>
      </c>
      <c r="P115" s="48">
        <f>M115-L115+N115</f>
        <v/>
      </c>
      <c r="Q115" s="48">
        <f>IF($G115=0,0,IF(INDEX(Employees!$P$5:$P$29,$A115)="Per pay period",(N(INDEX(Employees!$Q$5:$Q$29,$A115)))/Settings!$B$13,IF(INDEX(Employees!$P$5:$P$29,$A115)="Per hour worked",N(INDEX(Employees!$R$5:$R$29,$A115))*$I115,IF(INDEX(Employees!$P$5:$P$29,$A115)="Front-loaded",IF(OR($B115=1,N($G114)=0),N(INDEX(Employees!$Q$5:$Q$29,$A115)),0),0))))</f>
        <v/>
      </c>
      <c r="R115" s="48">
        <f>IF($F115=0,0,SUMIFS('Time Off Log'!$H$5:$H$504,'Time Off Log'!$A$5:$A$504,$C115,'Time Off Log'!$B$5:$B$504,"Sick",'Time Off Log'!$E$5:$E$504,"Approved",'Time Off Log'!$C$5:$C$504,"&gt;="&amp;INDEX(Periods!$E$5:$E$57,$B115),'Time Off Log'!$C$5:$C$504,"&lt;="&amp;INDEX(Periods!$F$5:$F$57,$B115)))</f>
        <v/>
      </c>
      <c r="S115" s="48">
        <f>IF($B115=1,N(INDEX(Employees!$T$5:$T$29,$A115)),V114)</f>
        <v/>
      </c>
      <c r="T115" s="48">
        <f>IF(INDEX(Employees!$S$5:$S$29,$A115)="",Q115,MAX(0,MIN(Q115,INDEX(Employees!$S$5:$S$29,$A115)-(S115-R115))))</f>
        <v/>
      </c>
      <c r="U115" s="48">
        <f>Q115-T115</f>
        <v/>
      </c>
      <c r="V115" s="48">
        <f>S115-R115+T115</f>
        <v/>
      </c>
    </row>
    <row r="116">
      <c r="A116" s="47" t="n">
        <v>3</v>
      </c>
      <c r="B116" s="47" t="n">
        <v>6</v>
      </c>
      <c r="C116" s="48">
        <f>INDEX(Employees!$B$5:$B$29,$A116)&amp;""</f>
        <v/>
      </c>
      <c r="D116" s="49">
        <f>INDEX(Periods!$B$5:$B$57,$B116)</f>
        <v/>
      </c>
      <c r="E116" s="49">
        <f>INDEX(Periods!$C$5:$C$57,$B116)</f>
        <v/>
      </c>
      <c r="F116" s="47">
        <f>IF(AND($C116&lt;&gt;"",INDEX(Periods!$D$5:$D$57,$B116)=1),1,0)</f>
        <v/>
      </c>
      <c r="G116" s="47">
        <f>IF($F116=0,0,IF(AND(OR(INDEX(Employees!$D$5:$D$29,$A116)="",$E116&gt;=INDEX(Employees!$D$5:$D$29,$A116)+N(INDEX(Employees!$U$5:$U$29,$A116))),OR(INDEX(Employees!$E$5:$E$29,$A116)="",$D116&lt;=INDEX(Employees!$E$5:$E$29,$A116))),1,0))</f>
        <v/>
      </c>
      <c r="H116" s="47">
        <f>IF($G116=0,0,IF(INDEX(Employees!$D$5:$D$29,$A116)="",0,DATEDIF(INDEX(Employees!$D$5:$D$29,$A116),$E116,"y")))</f>
        <v/>
      </c>
      <c r="I116" s="48">
        <f>IF($G116=0,0,IF(INDEX('Hours Worked'!$D$5:$BD$29,$A116,$B116)="",N(INDEX(Employees!$H$5:$H$29,$A116)),INDEX('Hours Worked'!$D$5:$BD$29,$A116,$B116)))</f>
        <v/>
      </c>
      <c r="J116" s="48">
        <f>IF(OR($G116=0,INDEX(Employees!$O$5:$O$29,$A116)&lt;&gt;"Yes"),0,IF(COUNTIF(Settings!$D$4:$D$9,"&lt;="&amp;$H116)=0,0,INDEX(Settings!$E$4:$E$9,COUNTIF(Settings!$D$4:$D$9,"&lt;="&amp;$H116))))</f>
        <v/>
      </c>
      <c r="K116" s="48">
        <f>IF($G116=0,0,IF(INDEX(Employees!$I$5:$I$29,$A116)="Per pay period",(N(INDEX(Employees!$J$5:$J$29,$A116))+$J116)/Settings!$B$13,IF(INDEX(Employees!$I$5:$I$29,$A116)="Per hour worked",N(INDEX(Employees!$K$5:$K$29,$A116))*$I116,IF(INDEX(Employees!$I$5:$I$29,$A116)="Front-loaded",IF(OR($B116=1,N($G115)=0),N(INDEX(Employees!$J$5:$J$29,$A116))+$J116,0),0))))</f>
        <v/>
      </c>
      <c r="L116" s="48">
        <f>IF($F116=0,0,SUMIFS('Time Off Log'!$H$5:$H$504,'Time Off Log'!$A$5:$A$504,$C116,'Time Off Log'!$B$5:$B$504,"PTO",'Time Off Log'!$E$5:$E$504,"Approved",'Time Off Log'!$C$5:$C$504,"&gt;="&amp;INDEX(Periods!$E$5:$E$57,$B116),'Time Off Log'!$C$5:$C$504,"&lt;="&amp;INDEX(Periods!$F$5:$F$57,$B116)))</f>
        <v/>
      </c>
      <c r="M116" s="48">
        <f>IF($B116=1,N(INDEX(Employees!$N$5:$N$29,$A116)),P115)</f>
        <v/>
      </c>
      <c r="N116" s="48">
        <f>IF(INDEX(Employees!$L$5:$L$29,$A116)="",K116,MAX(0,MIN(K116,INDEX(Employees!$L$5:$L$29,$A116)-(M116-L116))))</f>
        <v/>
      </c>
      <c r="O116" s="48">
        <f>K116-N116</f>
        <v/>
      </c>
      <c r="P116" s="48">
        <f>M116-L116+N116</f>
        <v/>
      </c>
      <c r="Q116" s="48">
        <f>IF($G116=0,0,IF(INDEX(Employees!$P$5:$P$29,$A116)="Per pay period",(N(INDEX(Employees!$Q$5:$Q$29,$A116)))/Settings!$B$13,IF(INDEX(Employees!$P$5:$P$29,$A116)="Per hour worked",N(INDEX(Employees!$R$5:$R$29,$A116))*$I116,IF(INDEX(Employees!$P$5:$P$29,$A116)="Front-loaded",IF(OR($B116=1,N($G115)=0),N(INDEX(Employees!$Q$5:$Q$29,$A116)),0),0))))</f>
        <v/>
      </c>
      <c r="R116" s="48">
        <f>IF($F116=0,0,SUMIFS('Time Off Log'!$H$5:$H$504,'Time Off Log'!$A$5:$A$504,$C116,'Time Off Log'!$B$5:$B$504,"Sick",'Time Off Log'!$E$5:$E$504,"Approved",'Time Off Log'!$C$5:$C$504,"&gt;="&amp;INDEX(Periods!$E$5:$E$57,$B116),'Time Off Log'!$C$5:$C$504,"&lt;="&amp;INDEX(Periods!$F$5:$F$57,$B116)))</f>
        <v/>
      </c>
      <c r="S116" s="48">
        <f>IF($B116=1,N(INDEX(Employees!$T$5:$T$29,$A116)),V115)</f>
        <v/>
      </c>
      <c r="T116" s="48">
        <f>IF(INDEX(Employees!$S$5:$S$29,$A116)="",Q116,MAX(0,MIN(Q116,INDEX(Employees!$S$5:$S$29,$A116)-(S116-R116))))</f>
        <v/>
      </c>
      <c r="U116" s="48">
        <f>Q116-T116</f>
        <v/>
      </c>
      <c r="V116" s="48">
        <f>S116-R116+T116</f>
        <v/>
      </c>
    </row>
    <row r="117">
      <c r="A117" s="47" t="n">
        <v>3</v>
      </c>
      <c r="B117" s="47" t="n">
        <v>7</v>
      </c>
      <c r="C117" s="48">
        <f>INDEX(Employees!$B$5:$B$29,$A117)&amp;""</f>
        <v/>
      </c>
      <c r="D117" s="49">
        <f>INDEX(Periods!$B$5:$B$57,$B117)</f>
        <v/>
      </c>
      <c r="E117" s="49">
        <f>INDEX(Periods!$C$5:$C$57,$B117)</f>
        <v/>
      </c>
      <c r="F117" s="47">
        <f>IF(AND($C117&lt;&gt;"",INDEX(Periods!$D$5:$D$57,$B117)=1),1,0)</f>
        <v/>
      </c>
      <c r="G117" s="47">
        <f>IF($F117=0,0,IF(AND(OR(INDEX(Employees!$D$5:$D$29,$A117)="",$E117&gt;=INDEX(Employees!$D$5:$D$29,$A117)+N(INDEX(Employees!$U$5:$U$29,$A117))),OR(INDEX(Employees!$E$5:$E$29,$A117)="",$D117&lt;=INDEX(Employees!$E$5:$E$29,$A117))),1,0))</f>
        <v/>
      </c>
      <c r="H117" s="47">
        <f>IF($G117=0,0,IF(INDEX(Employees!$D$5:$D$29,$A117)="",0,DATEDIF(INDEX(Employees!$D$5:$D$29,$A117),$E117,"y")))</f>
        <v/>
      </c>
      <c r="I117" s="48">
        <f>IF($G117=0,0,IF(INDEX('Hours Worked'!$D$5:$BD$29,$A117,$B117)="",N(INDEX(Employees!$H$5:$H$29,$A117)),INDEX('Hours Worked'!$D$5:$BD$29,$A117,$B117)))</f>
        <v/>
      </c>
      <c r="J117" s="48">
        <f>IF(OR($G117=0,INDEX(Employees!$O$5:$O$29,$A117)&lt;&gt;"Yes"),0,IF(COUNTIF(Settings!$D$4:$D$9,"&lt;="&amp;$H117)=0,0,INDEX(Settings!$E$4:$E$9,COUNTIF(Settings!$D$4:$D$9,"&lt;="&amp;$H117))))</f>
        <v/>
      </c>
      <c r="K117" s="48">
        <f>IF($G117=0,0,IF(INDEX(Employees!$I$5:$I$29,$A117)="Per pay period",(N(INDEX(Employees!$J$5:$J$29,$A117))+$J117)/Settings!$B$13,IF(INDEX(Employees!$I$5:$I$29,$A117)="Per hour worked",N(INDEX(Employees!$K$5:$K$29,$A117))*$I117,IF(INDEX(Employees!$I$5:$I$29,$A117)="Front-loaded",IF(OR($B117=1,N($G116)=0),N(INDEX(Employees!$J$5:$J$29,$A117))+$J117,0),0))))</f>
        <v/>
      </c>
      <c r="L117" s="48">
        <f>IF($F117=0,0,SUMIFS('Time Off Log'!$H$5:$H$504,'Time Off Log'!$A$5:$A$504,$C117,'Time Off Log'!$B$5:$B$504,"PTO",'Time Off Log'!$E$5:$E$504,"Approved",'Time Off Log'!$C$5:$C$504,"&gt;="&amp;INDEX(Periods!$E$5:$E$57,$B117),'Time Off Log'!$C$5:$C$504,"&lt;="&amp;INDEX(Periods!$F$5:$F$57,$B117)))</f>
        <v/>
      </c>
      <c r="M117" s="48">
        <f>IF($B117=1,N(INDEX(Employees!$N$5:$N$29,$A117)),P116)</f>
        <v/>
      </c>
      <c r="N117" s="48">
        <f>IF(INDEX(Employees!$L$5:$L$29,$A117)="",K117,MAX(0,MIN(K117,INDEX(Employees!$L$5:$L$29,$A117)-(M117-L117))))</f>
        <v/>
      </c>
      <c r="O117" s="48">
        <f>K117-N117</f>
        <v/>
      </c>
      <c r="P117" s="48">
        <f>M117-L117+N117</f>
        <v/>
      </c>
      <c r="Q117" s="48">
        <f>IF($G117=0,0,IF(INDEX(Employees!$P$5:$P$29,$A117)="Per pay period",(N(INDEX(Employees!$Q$5:$Q$29,$A117)))/Settings!$B$13,IF(INDEX(Employees!$P$5:$P$29,$A117)="Per hour worked",N(INDEX(Employees!$R$5:$R$29,$A117))*$I117,IF(INDEX(Employees!$P$5:$P$29,$A117)="Front-loaded",IF(OR($B117=1,N($G116)=0),N(INDEX(Employees!$Q$5:$Q$29,$A117)),0),0))))</f>
        <v/>
      </c>
      <c r="R117" s="48">
        <f>IF($F117=0,0,SUMIFS('Time Off Log'!$H$5:$H$504,'Time Off Log'!$A$5:$A$504,$C117,'Time Off Log'!$B$5:$B$504,"Sick",'Time Off Log'!$E$5:$E$504,"Approved",'Time Off Log'!$C$5:$C$504,"&gt;="&amp;INDEX(Periods!$E$5:$E$57,$B117),'Time Off Log'!$C$5:$C$504,"&lt;="&amp;INDEX(Periods!$F$5:$F$57,$B117)))</f>
        <v/>
      </c>
      <c r="S117" s="48">
        <f>IF($B117=1,N(INDEX(Employees!$T$5:$T$29,$A117)),V116)</f>
        <v/>
      </c>
      <c r="T117" s="48">
        <f>IF(INDEX(Employees!$S$5:$S$29,$A117)="",Q117,MAX(0,MIN(Q117,INDEX(Employees!$S$5:$S$29,$A117)-(S117-R117))))</f>
        <v/>
      </c>
      <c r="U117" s="48">
        <f>Q117-T117</f>
        <v/>
      </c>
      <c r="V117" s="48">
        <f>S117-R117+T117</f>
        <v/>
      </c>
    </row>
    <row r="118">
      <c r="A118" s="47" t="n">
        <v>3</v>
      </c>
      <c r="B118" s="47" t="n">
        <v>8</v>
      </c>
      <c r="C118" s="48">
        <f>INDEX(Employees!$B$5:$B$29,$A118)&amp;""</f>
        <v/>
      </c>
      <c r="D118" s="49">
        <f>INDEX(Periods!$B$5:$B$57,$B118)</f>
        <v/>
      </c>
      <c r="E118" s="49">
        <f>INDEX(Periods!$C$5:$C$57,$B118)</f>
        <v/>
      </c>
      <c r="F118" s="47">
        <f>IF(AND($C118&lt;&gt;"",INDEX(Periods!$D$5:$D$57,$B118)=1),1,0)</f>
        <v/>
      </c>
      <c r="G118" s="47">
        <f>IF($F118=0,0,IF(AND(OR(INDEX(Employees!$D$5:$D$29,$A118)="",$E118&gt;=INDEX(Employees!$D$5:$D$29,$A118)+N(INDEX(Employees!$U$5:$U$29,$A118))),OR(INDEX(Employees!$E$5:$E$29,$A118)="",$D118&lt;=INDEX(Employees!$E$5:$E$29,$A118))),1,0))</f>
        <v/>
      </c>
      <c r="H118" s="47">
        <f>IF($G118=0,0,IF(INDEX(Employees!$D$5:$D$29,$A118)="",0,DATEDIF(INDEX(Employees!$D$5:$D$29,$A118),$E118,"y")))</f>
        <v/>
      </c>
      <c r="I118" s="48">
        <f>IF($G118=0,0,IF(INDEX('Hours Worked'!$D$5:$BD$29,$A118,$B118)="",N(INDEX(Employees!$H$5:$H$29,$A118)),INDEX('Hours Worked'!$D$5:$BD$29,$A118,$B118)))</f>
        <v/>
      </c>
      <c r="J118" s="48">
        <f>IF(OR($G118=0,INDEX(Employees!$O$5:$O$29,$A118)&lt;&gt;"Yes"),0,IF(COUNTIF(Settings!$D$4:$D$9,"&lt;="&amp;$H118)=0,0,INDEX(Settings!$E$4:$E$9,COUNTIF(Settings!$D$4:$D$9,"&lt;="&amp;$H118))))</f>
        <v/>
      </c>
      <c r="K118" s="48">
        <f>IF($G118=0,0,IF(INDEX(Employees!$I$5:$I$29,$A118)="Per pay period",(N(INDEX(Employees!$J$5:$J$29,$A118))+$J118)/Settings!$B$13,IF(INDEX(Employees!$I$5:$I$29,$A118)="Per hour worked",N(INDEX(Employees!$K$5:$K$29,$A118))*$I118,IF(INDEX(Employees!$I$5:$I$29,$A118)="Front-loaded",IF(OR($B118=1,N($G117)=0),N(INDEX(Employees!$J$5:$J$29,$A118))+$J118,0),0))))</f>
        <v/>
      </c>
      <c r="L118" s="48">
        <f>IF($F118=0,0,SUMIFS('Time Off Log'!$H$5:$H$504,'Time Off Log'!$A$5:$A$504,$C118,'Time Off Log'!$B$5:$B$504,"PTO",'Time Off Log'!$E$5:$E$504,"Approved",'Time Off Log'!$C$5:$C$504,"&gt;="&amp;INDEX(Periods!$E$5:$E$57,$B118),'Time Off Log'!$C$5:$C$504,"&lt;="&amp;INDEX(Periods!$F$5:$F$57,$B118)))</f>
        <v/>
      </c>
      <c r="M118" s="48">
        <f>IF($B118=1,N(INDEX(Employees!$N$5:$N$29,$A118)),P117)</f>
        <v/>
      </c>
      <c r="N118" s="48">
        <f>IF(INDEX(Employees!$L$5:$L$29,$A118)="",K118,MAX(0,MIN(K118,INDEX(Employees!$L$5:$L$29,$A118)-(M118-L118))))</f>
        <v/>
      </c>
      <c r="O118" s="48">
        <f>K118-N118</f>
        <v/>
      </c>
      <c r="P118" s="48">
        <f>M118-L118+N118</f>
        <v/>
      </c>
      <c r="Q118" s="48">
        <f>IF($G118=0,0,IF(INDEX(Employees!$P$5:$P$29,$A118)="Per pay period",(N(INDEX(Employees!$Q$5:$Q$29,$A118)))/Settings!$B$13,IF(INDEX(Employees!$P$5:$P$29,$A118)="Per hour worked",N(INDEX(Employees!$R$5:$R$29,$A118))*$I118,IF(INDEX(Employees!$P$5:$P$29,$A118)="Front-loaded",IF(OR($B118=1,N($G117)=0),N(INDEX(Employees!$Q$5:$Q$29,$A118)),0),0))))</f>
        <v/>
      </c>
      <c r="R118" s="48">
        <f>IF($F118=0,0,SUMIFS('Time Off Log'!$H$5:$H$504,'Time Off Log'!$A$5:$A$504,$C118,'Time Off Log'!$B$5:$B$504,"Sick",'Time Off Log'!$E$5:$E$504,"Approved",'Time Off Log'!$C$5:$C$504,"&gt;="&amp;INDEX(Periods!$E$5:$E$57,$B118),'Time Off Log'!$C$5:$C$504,"&lt;="&amp;INDEX(Periods!$F$5:$F$57,$B118)))</f>
        <v/>
      </c>
      <c r="S118" s="48">
        <f>IF($B118=1,N(INDEX(Employees!$T$5:$T$29,$A118)),V117)</f>
        <v/>
      </c>
      <c r="T118" s="48">
        <f>IF(INDEX(Employees!$S$5:$S$29,$A118)="",Q118,MAX(0,MIN(Q118,INDEX(Employees!$S$5:$S$29,$A118)-(S118-R118))))</f>
        <v/>
      </c>
      <c r="U118" s="48">
        <f>Q118-T118</f>
        <v/>
      </c>
      <c r="V118" s="48">
        <f>S118-R118+T118</f>
        <v/>
      </c>
    </row>
    <row r="119">
      <c r="A119" s="47" t="n">
        <v>3</v>
      </c>
      <c r="B119" s="47" t="n">
        <v>9</v>
      </c>
      <c r="C119" s="48">
        <f>INDEX(Employees!$B$5:$B$29,$A119)&amp;""</f>
        <v/>
      </c>
      <c r="D119" s="49">
        <f>INDEX(Periods!$B$5:$B$57,$B119)</f>
        <v/>
      </c>
      <c r="E119" s="49">
        <f>INDEX(Periods!$C$5:$C$57,$B119)</f>
        <v/>
      </c>
      <c r="F119" s="47">
        <f>IF(AND($C119&lt;&gt;"",INDEX(Periods!$D$5:$D$57,$B119)=1),1,0)</f>
        <v/>
      </c>
      <c r="G119" s="47">
        <f>IF($F119=0,0,IF(AND(OR(INDEX(Employees!$D$5:$D$29,$A119)="",$E119&gt;=INDEX(Employees!$D$5:$D$29,$A119)+N(INDEX(Employees!$U$5:$U$29,$A119))),OR(INDEX(Employees!$E$5:$E$29,$A119)="",$D119&lt;=INDEX(Employees!$E$5:$E$29,$A119))),1,0))</f>
        <v/>
      </c>
      <c r="H119" s="47">
        <f>IF($G119=0,0,IF(INDEX(Employees!$D$5:$D$29,$A119)="",0,DATEDIF(INDEX(Employees!$D$5:$D$29,$A119),$E119,"y")))</f>
        <v/>
      </c>
      <c r="I119" s="48">
        <f>IF($G119=0,0,IF(INDEX('Hours Worked'!$D$5:$BD$29,$A119,$B119)="",N(INDEX(Employees!$H$5:$H$29,$A119)),INDEX('Hours Worked'!$D$5:$BD$29,$A119,$B119)))</f>
        <v/>
      </c>
      <c r="J119" s="48">
        <f>IF(OR($G119=0,INDEX(Employees!$O$5:$O$29,$A119)&lt;&gt;"Yes"),0,IF(COUNTIF(Settings!$D$4:$D$9,"&lt;="&amp;$H119)=0,0,INDEX(Settings!$E$4:$E$9,COUNTIF(Settings!$D$4:$D$9,"&lt;="&amp;$H119))))</f>
        <v/>
      </c>
      <c r="K119" s="48">
        <f>IF($G119=0,0,IF(INDEX(Employees!$I$5:$I$29,$A119)="Per pay period",(N(INDEX(Employees!$J$5:$J$29,$A119))+$J119)/Settings!$B$13,IF(INDEX(Employees!$I$5:$I$29,$A119)="Per hour worked",N(INDEX(Employees!$K$5:$K$29,$A119))*$I119,IF(INDEX(Employees!$I$5:$I$29,$A119)="Front-loaded",IF(OR($B119=1,N($G118)=0),N(INDEX(Employees!$J$5:$J$29,$A119))+$J119,0),0))))</f>
        <v/>
      </c>
      <c r="L119" s="48">
        <f>IF($F119=0,0,SUMIFS('Time Off Log'!$H$5:$H$504,'Time Off Log'!$A$5:$A$504,$C119,'Time Off Log'!$B$5:$B$504,"PTO",'Time Off Log'!$E$5:$E$504,"Approved",'Time Off Log'!$C$5:$C$504,"&gt;="&amp;INDEX(Periods!$E$5:$E$57,$B119),'Time Off Log'!$C$5:$C$504,"&lt;="&amp;INDEX(Periods!$F$5:$F$57,$B119)))</f>
        <v/>
      </c>
      <c r="M119" s="48">
        <f>IF($B119=1,N(INDEX(Employees!$N$5:$N$29,$A119)),P118)</f>
        <v/>
      </c>
      <c r="N119" s="48">
        <f>IF(INDEX(Employees!$L$5:$L$29,$A119)="",K119,MAX(0,MIN(K119,INDEX(Employees!$L$5:$L$29,$A119)-(M119-L119))))</f>
        <v/>
      </c>
      <c r="O119" s="48">
        <f>K119-N119</f>
        <v/>
      </c>
      <c r="P119" s="48">
        <f>M119-L119+N119</f>
        <v/>
      </c>
      <c r="Q119" s="48">
        <f>IF($G119=0,0,IF(INDEX(Employees!$P$5:$P$29,$A119)="Per pay period",(N(INDEX(Employees!$Q$5:$Q$29,$A119)))/Settings!$B$13,IF(INDEX(Employees!$P$5:$P$29,$A119)="Per hour worked",N(INDEX(Employees!$R$5:$R$29,$A119))*$I119,IF(INDEX(Employees!$P$5:$P$29,$A119)="Front-loaded",IF(OR($B119=1,N($G118)=0),N(INDEX(Employees!$Q$5:$Q$29,$A119)),0),0))))</f>
        <v/>
      </c>
      <c r="R119" s="48">
        <f>IF($F119=0,0,SUMIFS('Time Off Log'!$H$5:$H$504,'Time Off Log'!$A$5:$A$504,$C119,'Time Off Log'!$B$5:$B$504,"Sick",'Time Off Log'!$E$5:$E$504,"Approved",'Time Off Log'!$C$5:$C$504,"&gt;="&amp;INDEX(Periods!$E$5:$E$57,$B119),'Time Off Log'!$C$5:$C$504,"&lt;="&amp;INDEX(Periods!$F$5:$F$57,$B119)))</f>
        <v/>
      </c>
      <c r="S119" s="48">
        <f>IF($B119=1,N(INDEX(Employees!$T$5:$T$29,$A119)),V118)</f>
        <v/>
      </c>
      <c r="T119" s="48">
        <f>IF(INDEX(Employees!$S$5:$S$29,$A119)="",Q119,MAX(0,MIN(Q119,INDEX(Employees!$S$5:$S$29,$A119)-(S119-R119))))</f>
        <v/>
      </c>
      <c r="U119" s="48">
        <f>Q119-T119</f>
        <v/>
      </c>
      <c r="V119" s="48">
        <f>S119-R119+T119</f>
        <v/>
      </c>
    </row>
    <row r="120">
      <c r="A120" s="47" t="n">
        <v>3</v>
      </c>
      <c r="B120" s="47" t="n">
        <v>10</v>
      </c>
      <c r="C120" s="48">
        <f>INDEX(Employees!$B$5:$B$29,$A120)&amp;""</f>
        <v/>
      </c>
      <c r="D120" s="49">
        <f>INDEX(Periods!$B$5:$B$57,$B120)</f>
        <v/>
      </c>
      <c r="E120" s="49">
        <f>INDEX(Periods!$C$5:$C$57,$B120)</f>
        <v/>
      </c>
      <c r="F120" s="47">
        <f>IF(AND($C120&lt;&gt;"",INDEX(Periods!$D$5:$D$57,$B120)=1),1,0)</f>
        <v/>
      </c>
      <c r="G120" s="47">
        <f>IF($F120=0,0,IF(AND(OR(INDEX(Employees!$D$5:$D$29,$A120)="",$E120&gt;=INDEX(Employees!$D$5:$D$29,$A120)+N(INDEX(Employees!$U$5:$U$29,$A120))),OR(INDEX(Employees!$E$5:$E$29,$A120)="",$D120&lt;=INDEX(Employees!$E$5:$E$29,$A120))),1,0))</f>
        <v/>
      </c>
      <c r="H120" s="47">
        <f>IF($G120=0,0,IF(INDEX(Employees!$D$5:$D$29,$A120)="",0,DATEDIF(INDEX(Employees!$D$5:$D$29,$A120),$E120,"y")))</f>
        <v/>
      </c>
      <c r="I120" s="48">
        <f>IF($G120=0,0,IF(INDEX('Hours Worked'!$D$5:$BD$29,$A120,$B120)="",N(INDEX(Employees!$H$5:$H$29,$A120)),INDEX('Hours Worked'!$D$5:$BD$29,$A120,$B120)))</f>
        <v/>
      </c>
      <c r="J120" s="48">
        <f>IF(OR($G120=0,INDEX(Employees!$O$5:$O$29,$A120)&lt;&gt;"Yes"),0,IF(COUNTIF(Settings!$D$4:$D$9,"&lt;="&amp;$H120)=0,0,INDEX(Settings!$E$4:$E$9,COUNTIF(Settings!$D$4:$D$9,"&lt;="&amp;$H120))))</f>
        <v/>
      </c>
      <c r="K120" s="48">
        <f>IF($G120=0,0,IF(INDEX(Employees!$I$5:$I$29,$A120)="Per pay period",(N(INDEX(Employees!$J$5:$J$29,$A120))+$J120)/Settings!$B$13,IF(INDEX(Employees!$I$5:$I$29,$A120)="Per hour worked",N(INDEX(Employees!$K$5:$K$29,$A120))*$I120,IF(INDEX(Employees!$I$5:$I$29,$A120)="Front-loaded",IF(OR($B120=1,N($G119)=0),N(INDEX(Employees!$J$5:$J$29,$A120))+$J120,0),0))))</f>
        <v/>
      </c>
      <c r="L120" s="48">
        <f>IF($F120=0,0,SUMIFS('Time Off Log'!$H$5:$H$504,'Time Off Log'!$A$5:$A$504,$C120,'Time Off Log'!$B$5:$B$504,"PTO",'Time Off Log'!$E$5:$E$504,"Approved",'Time Off Log'!$C$5:$C$504,"&gt;="&amp;INDEX(Periods!$E$5:$E$57,$B120),'Time Off Log'!$C$5:$C$504,"&lt;="&amp;INDEX(Periods!$F$5:$F$57,$B120)))</f>
        <v/>
      </c>
      <c r="M120" s="48">
        <f>IF($B120=1,N(INDEX(Employees!$N$5:$N$29,$A120)),P119)</f>
        <v/>
      </c>
      <c r="N120" s="48">
        <f>IF(INDEX(Employees!$L$5:$L$29,$A120)="",K120,MAX(0,MIN(K120,INDEX(Employees!$L$5:$L$29,$A120)-(M120-L120))))</f>
        <v/>
      </c>
      <c r="O120" s="48">
        <f>K120-N120</f>
        <v/>
      </c>
      <c r="P120" s="48">
        <f>M120-L120+N120</f>
        <v/>
      </c>
      <c r="Q120" s="48">
        <f>IF($G120=0,0,IF(INDEX(Employees!$P$5:$P$29,$A120)="Per pay period",(N(INDEX(Employees!$Q$5:$Q$29,$A120)))/Settings!$B$13,IF(INDEX(Employees!$P$5:$P$29,$A120)="Per hour worked",N(INDEX(Employees!$R$5:$R$29,$A120))*$I120,IF(INDEX(Employees!$P$5:$P$29,$A120)="Front-loaded",IF(OR($B120=1,N($G119)=0),N(INDEX(Employees!$Q$5:$Q$29,$A120)),0),0))))</f>
        <v/>
      </c>
      <c r="R120" s="48">
        <f>IF($F120=0,0,SUMIFS('Time Off Log'!$H$5:$H$504,'Time Off Log'!$A$5:$A$504,$C120,'Time Off Log'!$B$5:$B$504,"Sick",'Time Off Log'!$E$5:$E$504,"Approved",'Time Off Log'!$C$5:$C$504,"&gt;="&amp;INDEX(Periods!$E$5:$E$57,$B120),'Time Off Log'!$C$5:$C$504,"&lt;="&amp;INDEX(Periods!$F$5:$F$57,$B120)))</f>
        <v/>
      </c>
      <c r="S120" s="48">
        <f>IF($B120=1,N(INDEX(Employees!$T$5:$T$29,$A120)),V119)</f>
        <v/>
      </c>
      <c r="T120" s="48">
        <f>IF(INDEX(Employees!$S$5:$S$29,$A120)="",Q120,MAX(0,MIN(Q120,INDEX(Employees!$S$5:$S$29,$A120)-(S120-R120))))</f>
        <v/>
      </c>
      <c r="U120" s="48">
        <f>Q120-T120</f>
        <v/>
      </c>
      <c r="V120" s="48">
        <f>S120-R120+T120</f>
        <v/>
      </c>
    </row>
    <row r="121">
      <c r="A121" s="47" t="n">
        <v>3</v>
      </c>
      <c r="B121" s="47" t="n">
        <v>11</v>
      </c>
      <c r="C121" s="48">
        <f>INDEX(Employees!$B$5:$B$29,$A121)&amp;""</f>
        <v/>
      </c>
      <c r="D121" s="49">
        <f>INDEX(Periods!$B$5:$B$57,$B121)</f>
        <v/>
      </c>
      <c r="E121" s="49">
        <f>INDEX(Periods!$C$5:$C$57,$B121)</f>
        <v/>
      </c>
      <c r="F121" s="47">
        <f>IF(AND($C121&lt;&gt;"",INDEX(Periods!$D$5:$D$57,$B121)=1),1,0)</f>
        <v/>
      </c>
      <c r="G121" s="47">
        <f>IF($F121=0,0,IF(AND(OR(INDEX(Employees!$D$5:$D$29,$A121)="",$E121&gt;=INDEX(Employees!$D$5:$D$29,$A121)+N(INDEX(Employees!$U$5:$U$29,$A121))),OR(INDEX(Employees!$E$5:$E$29,$A121)="",$D121&lt;=INDEX(Employees!$E$5:$E$29,$A121))),1,0))</f>
        <v/>
      </c>
      <c r="H121" s="47">
        <f>IF($G121=0,0,IF(INDEX(Employees!$D$5:$D$29,$A121)="",0,DATEDIF(INDEX(Employees!$D$5:$D$29,$A121),$E121,"y")))</f>
        <v/>
      </c>
      <c r="I121" s="48">
        <f>IF($G121=0,0,IF(INDEX('Hours Worked'!$D$5:$BD$29,$A121,$B121)="",N(INDEX(Employees!$H$5:$H$29,$A121)),INDEX('Hours Worked'!$D$5:$BD$29,$A121,$B121)))</f>
        <v/>
      </c>
      <c r="J121" s="48">
        <f>IF(OR($G121=0,INDEX(Employees!$O$5:$O$29,$A121)&lt;&gt;"Yes"),0,IF(COUNTIF(Settings!$D$4:$D$9,"&lt;="&amp;$H121)=0,0,INDEX(Settings!$E$4:$E$9,COUNTIF(Settings!$D$4:$D$9,"&lt;="&amp;$H121))))</f>
        <v/>
      </c>
      <c r="K121" s="48">
        <f>IF($G121=0,0,IF(INDEX(Employees!$I$5:$I$29,$A121)="Per pay period",(N(INDEX(Employees!$J$5:$J$29,$A121))+$J121)/Settings!$B$13,IF(INDEX(Employees!$I$5:$I$29,$A121)="Per hour worked",N(INDEX(Employees!$K$5:$K$29,$A121))*$I121,IF(INDEX(Employees!$I$5:$I$29,$A121)="Front-loaded",IF(OR($B121=1,N($G120)=0),N(INDEX(Employees!$J$5:$J$29,$A121))+$J121,0),0))))</f>
        <v/>
      </c>
      <c r="L121" s="48">
        <f>IF($F121=0,0,SUMIFS('Time Off Log'!$H$5:$H$504,'Time Off Log'!$A$5:$A$504,$C121,'Time Off Log'!$B$5:$B$504,"PTO",'Time Off Log'!$E$5:$E$504,"Approved",'Time Off Log'!$C$5:$C$504,"&gt;="&amp;INDEX(Periods!$E$5:$E$57,$B121),'Time Off Log'!$C$5:$C$504,"&lt;="&amp;INDEX(Periods!$F$5:$F$57,$B121)))</f>
        <v/>
      </c>
      <c r="M121" s="48">
        <f>IF($B121=1,N(INDEX(Employees!$N$5:$N$29,$A121)),P120)</f>
        <v/>
      </c>
      <c r="N121" s="48">
        <f>IF(INDEX(Employees!$L$5:$L$29,$A121)="",K121,MAX(0,MIN(K121,INDEX(Employees!$L$5:$L$29,$A121)-(M121-L121))))</f>
        <v/>
      </c>
      <c r="O121" s="48">
        <f>K121-N121</f>
        <v/>
      </c>
      <c r="P121" s="48">
        <f>M121-L121+N121</f>
        <v/>
      </c>
      <c r="Q121" s="48">
        <f>IF($G121=0,0,IF(INDEX(Employees!$P$5:$P$29,$A121)="Per pay period",(N(INDEX(Employees!$Q$5:$Q$29,$A121)))/Settings!$B$13,IF(INDEX(Employees!$P$5:$P$29,$A121)="Per hour worked",N(INDEX(Employees!$R$5:$R$29,$A121))*$I121,IF(INDEX(Employees!$P$5:$P$29,$A121)="Front-loaded",IF(OR($B121=1,N($G120)=0),N(INDEX(Employees!$Q$5:$Q$29,$A121)),0),0))))</f>
        <v/>
      </c>
      <c r="R121" s="48">
        <f>IF($F121=0,0,SUMIFS('Time Off Log'!$H$5:$H$504,'Time Off Log'!$A$5:$A$504,$C121,'Time Off Log'!$B$5:$B$504,"Sick",'Time Off Log'!$E$5:$E$504,"Approved",'Time Off Log'!$C$5:$C$504,"&gt;="&amp;INDEX(Periods!$E$5:$E$57,$B121),'Time Off Log'!$C$5:$C$504,"&lt;="&amp;INDEX(Periods!$F$5:$F$57,$B121)))</f>
        <v/>
      </c>
      <c r="S121" s="48">
        <f>IF($B121=1,N(INDEX(Employees!$T$5:$T$29,$A121)),V120)</f>
        <v/>
      </c>
      <c r="T121" s="48">
        <f>IF(INDEX(Employees!$S$5:$S$29,$A121)="",Q121,MAX(0,MIN(Q121,INDEX(Employees!$S$5:$S$29,$A121)-(S121-R121))))</f>
        <v/>
      </c>
      <c r="U121" s="48">
        <f>Q121-T121</f>
        <v/>
      </c>
      <c r="V121" s="48">
        <f>S121-R121+T121</f>
        <v/>
      </c>
    </row>
    <row r="122">
      <c r="A122" s="47" t="n">
        <v>3</v>
      </c>
      <c r="B122" s="47" t="n">
        <v>12</v>
      </c>
      <c r="C122" s="48">
        <f>INDEX(Employees!$B$5:$B$29,$A122)&amp;""</f>
        <v/>
      </c>
      <c r="D122" s="49">
        <f>INDEX(Periods!$B$5:$B$57,$B122)</f>
        <v/>
      </c>
      <c r="E122" s="49">
        <f>INDEX(Periods!$C$5:$C$57,$B122)</f>
        <v/>
      </c>
      <c r="F122" s="47">
        <f>IF(AND($C122&lt;&gt;"",INDEX(Periods!$D$5:$D$57,$B122)=1),1,0)</f>
        <v/>
      </c>
      <c r="G122" s="47">
        <f>IF($F122=0,0,IF(AND(OR(INDEX(Employees!$D$5:$D$29,$A122)="",$E122&gt;=INDEX(Employees!$D$5:$D$29,$A122)+N(INDEX(Employees!$U$5:$U$29,$A122))),OR(INDEX(Employees!$E$5:$E$29,$A122)="",$D122&lt;=INDEX(Employees!$E$5:$E$29,$A122))),1,0))</f>
        <v/>
      </c>
      <c r="H122" s="47">
        <f>IF($G122=0,0,IF(INDEX(Employees!$D$5:$D$29,$A122)="",0,DATEDIF(INDEX(Employees!$D$5:$D$29,$A122),$E122,"y")))</f>
        <v/>
      </c>
      <c r="I122" s="48">
        <f>IF($G122=0,0,IF(INDEX('Hours Worked'!$D$5:$BD$29,$A122,$B122)="",N(INDEX(Employees!$H$5:$H$29,$A122)),INDEX('Hours Worked'!$D$5:$BD$29,$A122,$B122)))</f>
        <v/>
      </c>
      <c r="J122" s="48">
        <f>IF(OR($G122=0,INDEX(Employees!$O$5:$O$29,$A122)&lt;&gt;"Yes"),0,IF(COUNTIF(Settings!$D$4:$D$9,"&lt;="&amp;$H122)=0,0,INDEX(Settings!$E$4:$E$9,COUNTIF(Settings!$D$4:$D$9,"&lt;="&amp;$H122))))</f>
        <v/>
      </c>
      <c r="K122" s="48">
        <f>IF($G122=0,0,IF(INDEX(Employees!$I$5:$I$29,$A122)="Per pay period",(N(INDEX(Employees!$J$5:$J$29,$A122))+$J122)/Settings!$B$13,IF(INDEX(Employees!$I$5:$I$29,$A122)="Per hour worked",N(INDEX(Employees!$K$5:$K$29,$A122))*$I122,IF(INDEX(Employees!$I$5:$I$29,$A122)="Front-loaded",IF(OR($B122=1,N($G121)=0),N(INDEX(Employees!$J$5:$J$29,$A122))+$J122,0),0))))</f>
        <v/>
      </c>
      <c r="L122" s="48">
        <f>IF($F122=0,0,SUMIFS('Time Off Log'!$H$5:$H$504,'Time Off Log'!$A$5:$A$504,$C122,'Time Off Log'!$B$5:$B$504,"PTO",'Time Off Log'!$E$5:$E$504,"Approved",'Time Off Log'!$C$5:$C$504,"&gt;="&amp;INDEX(Periods!$E$5:$E$57,$B122),'Time Off Log'!$C$5:$C$504,"&lt;="&amp;INDEX(Periods!$F$5:$F$57,$B122)))</f>
        <v/>
      </c>
      <c r="M122" s="48">
        <f>IF($B122=1,N(INDEX(Employees!$N$5:$N$29,$A122)),P121)</f>
        <v/>
      </c>
      <c r="N122" s="48">
        <f>IF(INDEX(Employees!$L$5:$L$29,$A122)="",K122,MAX(0,MIN(K122,INDEX(Employees!$L$5:$L$29,$A122)-(M122-L122))))</f>
        <v/>
      </c>
      <c r="O122" s="48">
        <f>K122-N122</f>
        <v/>
      </c>
      <c r="P122" s="48">
        <f>M122-L122+N122</f>
        <v/>
      </c>
      <c r="Q122" s="48">
        <f>IF($G122=0,0,IF(INDEX(Employees!$P$5:$P$29,$A122)="Per pay period",(N(INDEX(Employees!$Q$5:$Q$29,$A122)))/Settings!$B$13,IF(INDEX(Employees!$P$5:$P$29,$A122)="Per hour worked",N(INDEX(Employees!$R$5:$R$29,$A122))*$I122,IF(INDEX(Employees!$P$5:$P$29,$A122)="Front-loaded",IF(OR($B122=1,N($G121)=0),N(INDEX(Employees!$Q$5:$Q$29,$A122)),0),0))))</f>
        <v/>
      </c>
      <c r="R122" s="48">
        <f>IF($F122=0,0,SUMIFS('Time Off Log'!$H$5:$H$504,'Time Off Log'!$A$5:$A$504,$C122,'Time Off Log'!$B$5:$B$504,"Sick",'Time Off Log'!$E$5:$E$504,"Approved",'Time Off Log'!$C$5:$C$504,"&gt;="&amp;INDEX(Periods!$E$5:$E$57,$B122),'Time Off Log'!$C$5:$C$504,"&lt;="&amp;INDEX(Periods!$F$5:$F$57,$B122)))</f>
        <v/>
      </c>
      <c r="S122" s="48">
        <f>IF($B122=1,N(INDEX(Employees!$T$5:$T$29,$A122)),V121)</f>
        <v/>
      </c>
      <c r="T122" s="48">
        <f>IF(INDEX(Employees!$S$5:$S$29,$A122)="",Q122,MAX(0,MIN(Q122,INDEX(Employees!$S$5:$S$29,$A122)-(S122-R122))))</f>
        <v/>
      </c>
      <c r="U122" s="48">
        <f>Q122-T122</f>
        <v/>
      </c>
      <c r="V122" s="48">
        <f>S122-R122+T122</f>
        <v/>
      </c>
    </row>
    <row r="123">
      <c r="A123" s="47" t="n">
        <v>3</v>
      </c>
      <c r="B123" s="47" t="n">
        <v>13</v>
      </c>
      <c r="C123" s="48">
        <f>INDEX(Employees!$B$5:$B$29,$A123)&amp;""</f>
        <v/>
      </c>
      <c r="D123" s="49">
        <f>INDEX(Periods!$B$5:$B$57,$B123)</f>
        <v/>
      </c>
      <c r="E123" s="49">
        <f>INDEX(Periods!$C$5:$C$57,$B123)</f>
        <v/>
      </c>
      <c r="F123" s="47">
        <f>IF(AND($C123&lt;&gt;"",INDEX(Periods!$D$5:$D$57,$B123)=1),1,0)</f>
        <v/>
      </c>
      <c r="G123" s="47">
        <f>IF($F123=0,0,IF(AND(OR(INDEX(Employees!$D$5:$D$29,$A123)="",$E123&gt;=INDEX(Employees!$D$5:$D$29,$A123)+N(INDEX(Employees!$U$5:$U$29,$A123))),OR(INDEX(Employees!$E$5:$E$29,$A123)="",$D123&lt;=INDEX(Employees!$E$5:$E$29,$A123))),1,0))</f>
        <v/>
      </c>
      <c r="H123" s="47">
        <f>IF($G123=0,0,IF(INDEX(Employees!$D$5:$D$29,$A123)="",0,DATEDIF(INDEX(Employees!$D$5:$D$29,$A123),$E123,"y")))</f>
        <v/>
      </c>
      <c r="I123" s="48">
        <f>IF($G123=0,0,IF(INDEX('Hours Worked'!$D$5:$BD$29,$A123,$B123)="",N(INDEX(Employees!$H$5:$H$29,$A123)),INDEX('Hours Worked'!$D$5:$BD$29,$A123,$B123)))</f>
        <v/>
      </c>
      <c r="J123" s="48">
        <f>IF(OR($G123=0,INDEX(Employees!$O$5:$O$29,$A123)&lt;&gt;"Yes"),0,IF(COUNTIF(Settings!$D$4:$D$9,"&lt;="&amp;$H123)=0,0,INDEX(Settings!$E$4:$E$9,COUNTIF(Settings!$D$4:$D$9,"&lt;="&amp;$H123))))</f>
        <v/>
      </c>
      <c r="K123" s="48">
        <f>IF($G123=0,0,IF(INDEX(Employees!$I$5:$I$29,$A123)="Per pay period",(N(INDEX(Employees!$J$5:$J$29,$A123))+$J123)/Settings!$B$13,IF(INDEX(Employees!$I$5:$I$29,$A123)="Per hour worked",N(INDEX(Employees!$K$5:$K$29,$A123))*$I123,IF(INDEX(Employees!$I$5:$I$29,$A123)="Front-loaded",IF(OR($B123=1,N($G122)=0),N(INDEX(Employees!$J$5:$J$29,$A123))+$J123,0),0))))</f>
        <v/>
      </c>
      <c r="L123" s="48">
        <f>IF($F123=0,0,SUMIFS('Time Off Log'!$H$5:$H$504,'Time Off Log'!$A$5:$A$504,$C123,'Time Off Log'!$B$5:$B$504,"PTO",'Time Off Log'!$E$5:$E$504,"Approved",'Time Off Log'!$C$5:$C$504,"&gt;="&amp;INDEX(Periods!$E$5:$E$57,$B123),'Time Off Log'!$C$5:$C$504,"&lt;="&amp;INDEX(Periods!$F$5:$F$57,$B123)))</f>
        <v/>
      </c>
      <c r="M123" s="48">
        <f>IF($B123=1,N(INDEX(Employees!$N$5:$N$29,$A123)),P122)</f>
        <v/>
      </c>
      <c r="N123" s="48">
        <f>IF(INDEX(Employees!$L$5:$L$29,$A123)="",K123,MAX(0,MIN(K123,INDEX(Employees!$L$5:$L$29,$A123)-(M123-L123))))</f>
        <v/>
      </c>
      <c r="O123" s="48">
        <f>K123-N123</f>
        <v/>
      </c>
      <c r="P123" s="48">
        <f>M123-L123+N123</f>
        <v/>
      </c>
      <c r="Q123" s="48">
        <f>IF($G123=0,0,IF(INDEX(Employees!$P$5:$P$29,$A123)="Per pay period",(N(INDEX(Employees!$Q$5:$Q$29,$A123)))/Settings!$B$13,IF(INDEX(Employees!$P$5:$P$29,$A123)="Per hour worked",N(INDEX(Employees!$R$5:$R$29,$A123))*$I123,IF(INDEX(Employees!$P$5:$P$29,$A123)="Front-loaded",IF(OR($B123=1,N($G122)=0),N(INDEX(Employees!$Q$5:$Q$29,$A123)),0),0))))</f>
        <v/>
      </c>
      <c r="R123" s="48">
        <f>IF($F123=0,0,SUMIFS('Time Off Log'!$H$5:$H$504,'Time Off Log'!$A$5:$A$504,$C123,'Time Off Log'!$B$5:$B$504,"Sick",'Time Off Log'!$E$5:$E$504,"Approved",'Time Off Log'!$C$5:$C$504,"&gt;="&amp;INDEX(Periods!$E$5:$E$57,$B123),'Time Off Log'!$C$5:$C$504,"&lt;="&amp;INDEX(Periods!$F$5:$F$57,$B123)))</f>
        <v/>
      </c>
      <c r="S123" s="48">
        <f>IF($B123=1,N(INDEX(Employees!$T$5:$T$29,$A123)),V122)</f>
        <v/>
      </c>
      <c r="T123" s="48">
        <f>IF(INDEX(Employees!$S$5:$S$29,$A123)="",Q123,MAX(0,MIN(Q123,INDEX(Employees!$S$5:$S$29,$A123)-(S123-R123))))</f>
        <v/>
      </c>
      <c r="U123" s="48">
        <f>Q123-T123</f>
        <v/>
      </c>
      <c r="V123" s="48">
        <f>S123-R123+T123</f>
        <v/>
      </c>
    </row>
    <row r="124">
      <c r="A124" s="47" t="n">
        <v>3</v>
      </c>
      <c r="B124" s="47" t="n">
        <v>14</v>
      </c>
      <c r="C124" s="48">
        <f>INDEX(Employees!$B$5:$B$29,$A124)&amp;""</f>
        <v/>
      </c>
      <c r="D124" s="49">
        <f>INDEX(Periods!$B$5:$B$57,$B124)</f>
        <v/>
      </c>
      <c r="E124" s="49">
        <f>INDEX(Periods!$C$5:$C$57,$B124)</f>
        <v/>
      </c>
      <c r="F124" s="47">
        <f>IF(AND($C124&lt;&gt;"",INDEX(Periods!$D$5:$D$57,$B124)=1),1,0)</f>
        <v/>
      </c>
      <c r="G124" s="47">
        <f>IF($F124=0,0,IF(AND(OR(INDEX(Employees!$D$5:$D$29,$A124)="",$E124&gt;=INDEX(Employees!$D$5:$D$29,$A124)+N(INDEX(Employees!$U$5:$U$29,$A124))),OR(INDEX(Employees!$E$5:$E$29,$A124)="",$D124&lt;=INDEX(Employees!$E$5:$E$29,$A124))),1,0))</f>
        <v/>
      </c>
      <c r="H124" s="47">
        <f>IF($G124=0,0,IF(INDEX(Employees!$D$5:$D$29,$A124)="",0,DATEDIF(INDEX(Employees!$D$5:$D$29,$A124),$E124,"y")))</f>
        <v/>
      </c>
      <c r="I124" s="48">
        <f>IF($G124=0,0,IF(INDEX('Hours Worked'!$D$5:$BD$29,$A124,$B124)="",N(INDEX(Employees!$H$5:$H$29,$A124)),INDEX('Hours Worked'!$D$5:$BD$29,$A124,$B124)))</f>
        <v/>
      </c>
      <c r="J124" s="48">
        <f>IF(OR($G124=0,INDEX(Employees!$O$5:$O$29,$A124)&lt;&gt;"Yes"),0,IF(COUNTIF(Settings!$D$4:$D$9,"&lt;="&amp;$H124)=0,0,INDEX(Settings!$E$4:$E$9,COUNTIF(Settings!$D$4:$D$9,"&lt;="&amp;$H124))))</f>
        <v/>
      </c>
      <c r="K124" s="48">
        <f>IF($G124=0,0,IF(INDEX(Employees!$I$5:$I$29,$A124)="Per pay period",(N(INDEX(Employees!$J$5:$J$29,$A124))+$J124)/Settings!$B$13,IF(INDEX(Employees!$I$5:$I$29,$A124)="Per hour worked",N(INDEX(Employees!$K$5:$K$29,$A124))*$I124,IF(INDEX(Employees!$I$5:$I$29,$A124)="Front-loaded",IF(OR($B124=1,N($G123)=0),N(INDEX(Employees!$J$5:$J$29,$A124))+$J124,0),0))))</f>
        <v/>
      </c>
      <c r="L124" s="48">
        <f>IF($F124=0,0,SUMIFS('Time Off Log'!$H$5:$H$504,'Time Off Log'!$A$5:$A$504,$C124,'Time Off Log'!$B$5:$B$504,"PTO",'Time Off Log'!$E$5:$E$504,"Approved",'Time Off Log'!$C$5:$C$504,"&gt;="&amp;INDEX(Periods!$E$5:$E$57,$B124),'Time Off Log'!$C$5:$C$504,"&lt;="&amp;INDEX(Periods!$F$5:$F$57,$B124)))</f>
        <v/>
      </c>
      <c r="M124" s="48">
        <f>IF($B124=1,N(INDEX(Employees!$N$5:$N$29,$A124)),P123)</f>
        <v/>
      </c>
      <c r="N124" s="48">
        <f>IF(INDEX(Employees!$L$5:$L$29,$A124)="",K124,MAX(0,MIN(K124,INDEX(Employees!$L$5:$L$29,$A124)-(M124-L124))))</f>
        <v/>
      </c>
      <c r="O124" s="48">
        <f>K124-N124</f>
        <v/>
      </c>
      <c r="P124" s="48">
        <f>M124-L124+N124</f>
        <v/>
      </c>
      <c r="Q124" s="48">
        <f>IF($G124=0,0,IF(INDEX(Employees!$P$5:$P$29,$A124)="Per pay period",(N(INDEX(Employees!$Q$5:$Q$29,$A124)))/Settings!$B$13,IF(INDEX(Employees!$P$5:$P$29,$A124)="Per hour worked",N(INDEX(Employees!$R$5:$R$29,$A124))*$I124,IF(INDEX(Employees!$P$5:$P$29,$A124)="Front-loaded",IF(OR($B124=1,N($G123)=0),N(INDEX(Employees!$Q$5:$Q$29,$A124)),0),0))))</f>
        <v/>
      </c>
      <c r="R124" s="48">
        <f>IF($F124=0,0,SUMIFS('Time Off Log'!$H$5:$H$504,'Time Off Log'!$A$5:$A$504,$C124,'Time Off Log'!$B$5:$B$504,"Sick",'Time Off Log'!$E$5:$E$504,"Approved",'Time Off Log'!$C$5:$C$504,"&gt;="&amp;INDEX(Periods!$E$5:$E$57,$B124),'Time Off Log'!$C$5:$C$504,"&lt;="&amp;INDEX(Periods!$F$5:$F$57,$B124)))</f>
        <v/>
      </c>
      <c r="S124" s="48">
        <f>IF($B124=1,N(INDEX(Employees!$T$5:$T$29,$A124)),V123)</f>
        <v/>
      </c>
      <c r="T124" s="48">
        <f>IF(INDEX(Employees!$S$5:$S$29,$A124)="",Q124,MAX(0,MIN(Q124,INDEX(Employees!$S$5:$S$29,$A124)-(S124-R124))))</f>
        <v/>
      </c>
      <c r="U124" s="48">
        <f>Q124-T124</f>
        <v/>
      </c>
      <c r="V124" s="48">
        <f>S124-R124+T124</f>
        <v/>
      </c>
    </row>
    <row r="125">
      <c r="A125" s="47" t="n">
        <v>3</v>
      </c>
      <c r="B125" s="47" t="n">
        <v>15</v>
      </c>
      <c r="C125" s="48">
        <f>INDEX(Employees!$B$5:$B$29,$A125)&amp;""</f>
        <v/>
      </c>
      <c r="D125" s="49">
        <f>INDEX(Periods!$B$5:$B$57,$B125)</f>
        <v/>
      </c>
      <c r="E125" s="49">
        <f>INDEX(Periods!$C$5:$C$57,$B125)</f>
        <v/>
      </c>
      <c r="F125" s="47">
        <f>IF(AND($C125&lt;&gt;"",INDEX(Periods!$D$5:$D$57,$B125)=1),1,0)</f>
        <v/>
      </c>
      <c r="G125" s="47">
        <f>IF($F125=0,0,IF(AND(OR(INDEX(Employees!$D$5:$D$29,$A125)="",$E125&gt;=INDEX(Employees!$D$5:$D$29,$A125)+N(INDEX(Employees!$U$5:$U$29,$A125))),OR(INDEX(Employees!$E$5:$E$29,$A125)="",$D125&lt;=INDEX(Employees!$E$5:$E$29,$A125))),1,0))</f>
        <v/>
      </c>
      <c r="H125" s="47">
        <f>IF($G125=0,0,IF(INDEX(Employees!$D$5:$D$29,$A125)="",0,DATEDIF(INDEX(Employees!$D$5:$D$29,$A125),$E125,"y")))</f>
        <v/>
      </c>
      <c r="I125" s="48">
        <f>IF($G125=0,0,IF(INDEX('Hours Worked'!$D$5:$BD$29,$A125,$B125)="",N(INDEX(Employees!$H$5:$H$29,$A125)),INDEX('Hours Worked'!$D$5:$BD$29,$A125,$B125)))</f>
        <v/>
      </c>
      <c r="J125" s="48">
        <f>IF(OR($G125=0,INDEX(Employees!$O$5:$O$29,$A125)&lt;&gt;"Yes"),0,IF(COUNTIF(Settings!$D$4:$D$9,"&lt;="&amp;$H125)=0,0,INDEX(Settings!$E$4:$E$9,COUNTIF(Settings!$D$4:$D$9,"&lt;="&amp;$H125))))</f>
        <v/>
      </c>
      <c r="K125" s="48">
        <f>IF($G125=0,0,IF(INDEX(Employees!$I$5:$I$29,$A125)="Per pay period",(N(INDEX(Employees!$J$5:$J$29,$A125))+$J125)/Settings!$B$13,IF(INDEX(Employees!$I$5:$I$29,$A125)="Per hour worked",N(INDEX(Employees!$K$5:$K$29,$A125))*$I125,IF(INDEX(Employees!$I$5:$I$29,$A125)="Front-loaded",IF(OR($B125=1,N($G124)=0),N(INDEX(Employees!$J$5:$J$29,$A125))+$J125,0),0))))</f>
        <v/>
      </c>
      <c r="L125" s="48">
        <f>IF($F125=0,0,SUMIFS('Time Off Log'!$H$5:$H$504,'Time Off Log'!$A$5:$A$504,$C125,'Time Off Log'!$B$5:$B$504,"PTO",'Time Off Log'!$E$5:$E$504,"Approved",'Time Off Log'!$C$5:$C$504,"&gt;="&amp;INDEX(Periods!$E$5:$E$57,$B125),'Time Off Log'!$C$5:$C$504,"&lt;="&amp;INDEX(Periods!$F$5:$F$57,$B125)))</f>
        <v/>
      </c>
      <c r="M125" s="48">
        <f>IF($B125=1,N(INDEX(Employees!$N$5:$N$29,$A125)),P124)</f>
        <v/>
      </c>
      <c r="N125" s="48">
        <f>IF(INDEX(Employees!$L$5:$L$29,$A125)="",K125,MAX(0,MIN(K125,INDEX(Employees!$L$5:$L$29,$A125)-(M125-L125))))</f>
        <v/>
      </c>
      <c r="O125" s="48">
        <f>K125-N125</f>
        <v/>
      </c>
      <c r="P125" s="48">
        <f>M125-L125+N125</f>
        <v/>
      </c>
      <c r="Q125" s="48">
        <f>IF($G125=0,0,IF(INDEX(Employees!$P$5:$P$29,$A125)="Per pay period",(N(INDEX(Employees!$Q$5:$Q$29,$A125)))/Settings!$B$13,IF(INDEX(Employees!$P$5:$P$29,$A125)="Per hour worked",N(INDEX(Employees!$R$5:$R$29,$A125))*$I125,IF(INDEX(Employees!$P$5:$P$29,$A125)="Front-loaded",IF(OR($B125=1,N($G124)=0),N(INDEX(Employees!$Q$5:$Q$29,$A125)),0),0))))</f>
        <v/>
      </c>
      <c r="R125" s="48">
        <f>IF($F125=0,0,SUMIFS('Time Off Log'!$H$5:$H$504,'Time Off Log'!$A$5:$A$504,$C125,'Time Off Log'!$B$5:$B$504,"Sick",'Time Off Log'!$E$5:$E$504,"Approved",'Time Off Log'!$C$5:$C$504,"&gt;="&amp;INDEX(Periods!$E$5:$E$57,$B125),'Time Off Log'!$C$5:$C$504,"&lt;="&amp;INDEX(Periods!$F$5:$F$57,$B125)))</f>
        <v/>
      </c>
      <c r="S125" s="48">
        <f>IF($B125=1,N(INDEX(Employees!$T$5:$T$29,$A125)),V124)</f>
        <v/>
      </c>
      <c r="T125" s="48">
        <f>IF(INDEX(Employees!$S$5:$S$29,$A125)="",Q125,MAX(0,MIN(Q125,INDEX(Employees!$S$5:$S$29,$A125)-(S125-R125))))</f>
        <v/>
      </c>
      <c r="U125" s="48">
        <f>Q125-T125</f>
        <v/>
      </c>
      <c r="V125" s="48">
        <f>S125-R125+T125</f>
        <v/>
      </c>
    </row>
    <row r="126">
      <c r="A126" s="47" t="n">
        <v>3</v>
      </c>
      <c r="B126" s="47" t="n">
        <v>16</v>
      </c>
      <c r="C126" s="48">
        <f>INDEX(Employees!$B$5:$B$29,$A126)&amp;""</f>
        <v/>
      </c>
      <c r="D126" s="49">
        <f>INDEX(Periods!$B$5:$B$57,$B126)</f>
        <v/>
      </c>
      <c r="E126" s="49">
        <f>INDEX(Periods!$C$5:$C$57,$B126)</f>
        <v/>
      </c>
      <c r="F126" s="47">
        <f>IF(AND($C126&lt;&gt;"",INDEX(Periods!$D$5:$D$57,$B126)=1),1,0)</f>
        <v/>
      </c>
      <c r="G126" s="47">
        <f>IF($F126=0,0,IF(AND(OR(INDEX(Employees!$D$5:$D$29,$A126)="",$E126&gt;=INDEX(Employees!$D$5:$D$29,$A126)+N(INDEX(Employees!$U$5:$U$29,$A126))),OR(INDEX(Employees!$E$5:$E$29,$A126)="",$D126&lt;=INDEX(Employees!$E$5:$E$29,$A126))),1,0))</f>
        <v/>
      </c>
      <c r="H126" s="47">
        <f>IF($G126=0,0,IF(INDEX(Employees!$D$5:$D$29,$A126)="",0,DATEDIF(INDEX(Employees!$D$5:$D$29,$A126),$E126,"y")))</f>
        <v/>
      </c>
      <c r="I126" s="48">
        <f>IF($G126=0,0,IF(INDEX('Hours Worked'!$D$5:$BD$29,$A126,$B126)="",N(INDEX(Employees!$H$5:$H$29,$A126)),INDEX('Hours Worked'!$D$5:$BD$29,$A126,$B126)))</f>
        <v/>
      </c>
      <c r="J126" s="48">
        <f>IF(OR($G126=0,INDEX(Employees!$O$5:$O$29,$A126)&lt;&gt;"Yes"),0,IF(COUNTIF(Settings!$D$4:$D$9,"&lt;="&amp;$H126)=0,0,INDEX(Settings!$E$4:$E$9,COUNTIF(Settings!$D$4:$D$9,"&lt;="&amp;$H126))))</f>
        <v/>
      </c>
      <c r="K126" s="48">
        <f>IF($G126=0,0,IF(INDEX(Employees!$I$5:$I$29,$A126)="Per pay period",(N(INDEX(Employees!$J$5:$J$29,$A126))+$J126)/Settings!$B$13,IF(INDEX(Employees!$I$5:$I$29,$A126)="Per hour worked",N(INDEX(Employees!$K$5:$K$29,$A126))*$I126,IF(INDEX(Employees!$I$5:$I$29,$A126)="Front-loaded",IF(OR($B126=1,N($G125)=0),N(INDEX(Employees!$J$5:$J$29,$A126))+$J126,0),0))))</f>
        <v/>
      </c>
      <c r="L126" s="48">
        <f>IF($F126=0,0,SUMIFS('Time Off Log'!$H$5:$H$504,'Time Off Log'!$A$5:$A$504,$C126,'Time Off Log'!$B$5:$B$504,"PTO",'Time Off Log'!$E$5:$E$504,"Approved",'Time Off Log'!$C$5:$C$504,"&gt;="&amp;INDEX(Periods!$E$5:$E$57,$B126),'Time Off Log'!$C$5:$C$504,"&lt;="&amp;INDEX(Periods!$F$5:$F$57,$B126)))</f>
        <v/>
      </c>
      <c r="M126" s="48">
        <f>IF($B126=1,N(INDEX(Employees!$N$5:$N$29,$A126)),P125)</f>
        <v/>
      </c>
      <c r="N126" s="48">
        <f>IF(INDEX(Employees!$L$5:$L$29,$A126)="",K126,MAX(0,MIN(K126,INDEX(Employees!$L$5:$L$29,$A126)-(M126-L126))))</f>
        <v/>
      </c>
      <c r="O126" s="48">
        <f>K126-N126</f>
        <v/>
      </c>
      <c r="P126" s="48">
        <f>M126-L126+N126</f>
        <v/>
      </c>
      <c r="Q126" s="48">
        <f>IF($G126=0,0,IF(INDEX(Employees!$P$5:$P$29,$A126)="Per pay period",(N(INDEX(Employees!$Q$5:$Q$29,$A126)))/Settings!$B$13,IF(INDEX(Employees!$P$5:$P$29,$A126)="Per hour worked",N(INDEX(Employees!$R$5:$R$29,$A126))*$I126,IF(INDEX(Employees!$P$5:$P$29,$A126)="Front-loaded",IF(OR($B126=1,N($G125)=0),N(INDEX(Employees!$Q$5:$Q$29,$A126)),0),0))))</f>
        <v/>
      </c>
      <c r="R126" s="48">
        <f>IF($F126=0,0,SUMIFS('Time Off Log'!$H$5:$H$504,'Time Off Log'!$A$5:$A$504,$C126,'Time Off Log'!$B$5:$B$504,"Sick",'Time Off Log'!$E$5:$E$504,"Approved",'Time Off Log'!$C$5:$C$504,"&gt;="&amp;INDEX(Periods!$E$5:$E$57,$B126),'Time Off Log'!$C$5:$C$504,"&lt;="&amp;INDEX(Periods!$F$5:$F$57,$B126)))</f>
        <v/>
      </c>
      <c r="S126" s="48">
        <f>IF($B126=1,N(INDEX(Employees!$T$5:$T$29,$A126)),V125)</f>
        <v/>
      </c>
      <c r="T126" s="48">
        <f>IF(INDEX(Employees!$S$5:$S$29,$A126)="",Q126,MAX(0,MIN(Q126,INDEX(Employees!$S$5:$S$29,$A126)-(S126-R126))))</f>
        <v/>
      </c>
      <c r="U126" s="48">
        <f>Q126-T126</f>
        <v/>
      </c>
      <c r="V126" s="48">
        <f>S126-R126+T126</f>
        <v/>
      </c>
    </row>
    <row r="127">
      <c r="A127" s="47" t="n">
        <v>3</v>
      </c>
      <c r="B127" s="47" t="n">
        <v>17</v>
      </c>
      <c r="C127" s="48">
        <f>INDEX(Employees!$B$5:$B$29,$A127)&amp;""</f>
        <v/>
      </c>
      <c r="D127" s="49">
        <f>INDEX(Periods!$B$5:$B$57,$B127)</f>
        <v/>
      </c>
      <c r="E127" s="49">
        <f>INDEX(Periods!$C$5:$C$57,$B127)</f>
        <v/>
      </c>
      <c r="F127" s="47">
        <f>IF(AND($C127&lt;&gt;"",INDEX(Periods!$D$5:$D$57,$B127)=1),1,0)</f>
        <v/>
      </c>
      <c r="G127" s="47">
        <f>IF($F127=0,0,IF(AND(OR(INDEX(Employees!$D$5:$D$29,$A127)="",$E127&gt;=INDEX(Employees!$D$5:$D$29,$A127)+N(INDEX(Employees!$U$5:$U$29,$A127))),OR(INDEX(Employees!$E$5:$E$29,$A127)="",$D127&lt;=INDEX(Employees!$E$5:$E$29,$A127))),1,0))</f>
        <v/>
      </c>
      <c r="H127" s="47">
        <f>IF($G127=0,0,IF(INDEX(Employees!$D$5:$D$29,$A127)="",0,DATEDIF(INDEX(Employees!$D$5:$D$29,$A127),$E127,"y")))</f>
        <v/>
      </c>
      <c r="I127" s="48">
        <f>IF($G127=0,0,IF(INDEX('Hours Worked'!$D$5:$BD$29,$A127,$B127)="",N(INDEX(Employees!$H$5:$H$29,$A127)),INDEX('Hours Worked'!$D$5:$BD$29,$A127,$B127)))</f>
        <v/>
      </c>
      <c r="J127" s="48">
        <f>IF(OR($G127=0,INDEX(Employees!$O$5:$O$29,$A127)&lt;&gt;"Yes"),0,IF(COUNTIF(Settings!$D$4:$D$9,"&lt;="&amp;$H127)=0,0,INDEX(Settings!$E$4:$E$9,COUNTIF(Settings!$D$4:$D$9,"&lt;="&amp;$H127))))</f>
        <v/>
      </c>
      <c r="K127" s="48">
        <f>IF($G127=0,0,IF(INDEX(Employees!$I$5:$I$29,$A127)="Per pay period",(N(INDEX(Employees!$J$5:$J$29,$A127))+$J127)/Settings!$B$13,IF(INDEX(Employees!$I$5:$I$29,$A127)="Per hour worked",N(INDEX(Employees!$K$5:$K$29,$A127))*$I127,IF(INDEX(Employees!$I$5:$I$29,$A127)="Front-loaded",IF(OR($B127=1,N($G126)=0),N(INDEX(Employees!$J$5:$J$29,$A127))+$J127,0),0))))</f>
        <v/>
      </c>
      <c r="L127" s="48">
        <f>IF($F127=0,0,SUMIFS('Time Off Log'!$H$5:$H$504,'Time Off Log'!$A$5:$A$504,$C127,'Time Off Log'!$B$5:$B$504,"PTO",'Time Off Log'!$E$5:$E$504,"Approved",'Time Off Log'!$C$5:$C$504,"&gt;="&amp;INDEX(Periods!$E$5:$E$57,$B127),'Time Off Log'!$C$5:$C$504,"&lt;="&amp;INDEX(Periods!$F$5:$F$57,$B127)))</f>
        <v/>
      </c>
      <c r="M127" s="48">
        <f>IF($B127=1,N(INDEX(Employees!$N$5:$N$29,$A127)),P126)</f>
        <v/>
      </c>
      <c r="N127" s="48">
        <f>IF(INDEX(Employees!$L$5:$L$29,$A127)="",K127,MAX(0,MIN(K127,INDEX(Employees!$L$5:$L$29,$A127)-(M127-L127))))</f>
        <v/>
      </c>
      <c r="O127" s="48">
        <f>K127-N127</f>
        <v/>
      </c>
      <c r="P127" s="48">
        <f>M127-L127+N127</f>
        <v/>
      </c>
      <c r="Q127" s="48">
        <f>IF($G127=0,0,IF(INDEX(Employees!$P$5:$P$29,$A127)="Per pay period",(N(INDEX(Employees!$Q$5:$Q$29,$A127)))/Settings!$B$13,IF(INDEX(Employees!$P$5:$P$29,$A127)="Per hour worked",N(INDEX(Employees!$R$5:$R$29,$A127))*$I127,IF(INDEX(Employees!$P$5:$P$29,$A127)="Front-loaded",IF(OR($B127=1,N($G126)=0),N(INDEX(Employees!$Q$5:$Q$29,$A127)),0),0))))</f>
        <v/>
      </c>
      <c r="R127" s="48">
        <f>IF($F127=0,0,SUMIFS('Time Off Log'!$H$5:$H$504,'Time Off Log'!$A$5:$A$504,$C127,'Time Off Log'!$B$5:$B$504,"Sick",'Time Off Log'!$E$5:$E$504,"Approved",'Time Off Log'!$C$5:$C$504,"&gt;="&amp;INDEX(Periods!$E$5:$E$57,$B127),'Time Off Log'!$C$5:$C$504,"&lt;="&amp;INDEX(Periods!$F$5:$F$57,$B127)))</f>
        <v/>
      </c>
      <c r="S127" s="48">
        <f>IF($B127=1,N(INDEX(Employees!$T$5:$T$29,$A127)),V126)</f>
        <v/>
      </c>
      <c r="T127" s="48">
        <f>IF(INDEX(Employees!$S$5:$S$29,$A127)="",Q127,MAX(0,MIN(Q127,INDEX(Employees!$S$5:$S$29,$A127)-(S127-R127))))</f>
        <v/>
      </c>
      <c r="U127" s="48">
        <f>Q127-T127</f>
        <v/>
      </c>
      <c r="V127" s="48">
        <f>S127-R127+T127</f>
        <v/>
      </c>
    </row>
    <row r="128">
      <c r="A128" s="47" t="n">
        <v>3</v>
      </c>
      <c r="B128" s="47" t="n">
        <v>18</v>
      </c>
      <c r="C128" s="48">
        <f>INDEX(Employees!$B$5:$B$29,$A128)&amp;""</f>
        <v/>
      </c>
      <c r="D128" s="49">
        <f>INDEX(Periods!$B$5:$B$57,$B128)</f>
        <v/>
      </c>
      <c r="E128" s="49">
        <f>INDEX(Periods!$C$5:$C$57,$B128)</f>
        <v/>
      </c>
      <c r="F128" s="47">
        <f>IF(AND($C128&lt;&gt;"",INDEX(Periods!$D$5:$D$57,$B128)=1),1,0)</f>
        <v/>
      </c>
      <c r="G128" s="47">
        <f>IF($F128=0,0,IF(AND(OR(INDEX(Employees!$D$5:$D$29,$A128)="",$E128&gt;=INDEX(Employees!$D$5:$D$29,$A128)+N(INDEX(Employees!$U$5:$U$29,$A128))),OR(INDEX(Employees!$E$5:$E$29,$A128)="",$D128&lt;=INDEX(Employees!$E$5:$E$29,$A128))),1,0))</f>
        <v/>
      </c>
      <c r="H128" s="47">
        <f>IF($G128=0,0,IF(INDEX(Employees!$D$5:$D$29,$A128)="",0,DATEDIF(INDEX(Employees!$D$5:$D$29,$A128),$E128,"y")))</f>
        <v/>
      </c>
      <c r="I128" s="48">
        <f>IF($G128=0,0,IF(INDEX('Hours Worked'!$D$5:$BD$29,$A128,$B128)="",N(INDEX(Employees!$H$5:$H$29,$A128)),INDEX('Hours Worked'!$D$5:$BD$29,$A128,$B128)))</f>
        <v/>
      </c>
      <c r="J128" s="48">
        <f>IF(OR($G128=0,INDEX(Employees!$O$5:$O$29,$A128)&lt;&gt;"Yes"),0,IF(COUNTIF(Settings!$D$4:$D$9,"&lt;="&amp;$H128)=0,0,INDEX(Settings!$E$4:$E$9,COUNTIF(Settings!$D$4:$D$9,"&lt;="&amp;$H128))))</f>
        <v/>
      </c>
      <c r="K128" s="48">
        <f>IF($G128=0,0,IF(INDEX(Employees!$I$5:$I$29,$A128)="Per pay period",(N(INDEX(Employees!$J$5:$J$29,$A128))+$J128)/Settings!$B$13,IF(INDEX(Employees!$I$5:$I$29,$A128)="Per hour worked",N(INDEX(Employees!$K$5:$K$29,$A128))*$I128,IF(INDEX(Employees!$I$5:$I$29,$A128)="Front-loaded",IF(OR($B128=1,N($G127)=0),N(INDEX(Employees!$J$5:$J$29,$A128))+$J128,0),0))))</f>
        <v/>
      </c>
      <c r="L128" s="48">
        <f>IF($F128=0,0,SUMIFS('Time Off Log'!$H$5:$H$504,'Time Off Log'!$A$5:$A$504,$C128,'Time Off Log'!$B$5:$B$504,"PTO",'Time Off Log'!$E$5:$E$504,"Approved",'Time Off Log'!$C$5:$C$504,"&gt;="&amp;INDEX(Periods!$E$5:$E$57,$B128),'Time Off Log'!$C$5:$C$504,"&lt;="&amp;INDEX(Periods!$F$5:$F$57,$B128)))</f>
        <v/>
      </c>
      <c r="M128" s="48">
        <f>IF($B128=1,N(INDEX(Employees!$N$5:$N$29,$A128)),P127)</f>
        <v/>
      </c>
      <c r="N128" s="48">
        <f>IF(INDEX(Employees!$L$5:$L$29,$A128)="",K128,MAX(0,MIN(K128,INDEX(Employees!$L$5:$L$29,$A128)-(M128-L128))))</f>
        <v/>
      </c>
      <c r="O128" s="48">
        <f>K128-N128</f>
        <v/>
      </c>
      <c r="P128" s="48">
        <f>M128-L128+N128</f>
        <v/>
      </c>
      <c r="Q128" s="48">
        <f>IF($G128=0,0,IF(INDEX(Employees!$P$5:$P$29,$A128)="Per pay period",(N(INDEX(Employees!$Q$5:$Q$29,$A128)))/Settings!$B$13,IF(INDEX(Employees!$P$5:$P$29,$A128)="Per hour worked",N(INDEX(Employees!$R$5:$R$29,$A128))*$I128,IF(INDEX(Employees!$P$5:$P$29,$A128)="Front-loaded",IF(OR($B128=1,N($G127)=0),N(INDEX(Employees!$Q$5:$Q$29,$A128)),0),0))))</f>
        <v/>
      </c>
      <c r="R128" s="48">
        <f>IF($F128=0,0,SUMIFS('Time Off Log'!$H$5:$H$504,'Time Off Log'!$A$5:$A$504,$C128,'Time Off Log'!$B$5:$B$504,"Sick",'Time Off Log'!$E$5:$E$504,"Approved",'Time Off Log'!$C$5:$C$504,"&gt;="&amp;INDEX(Periods!$E$5:$E$57,$B128),'Time Off Log'!$C$5:$C$504,"&lt;="&amp;INDEX(Periods!$F$5:$F$57,$B128)))</f>
        <v/>
      </c>
      <c r="S128" s="48">
        <f>IF($B128=1,N(INDEX(Employees!$T$5:$T$29,$A128)),V127)</f>
        <v/>
      </c>
      <c r="T128" s="48">
        <f>IF(INDEX(Employees!$S$5:$S$29,$A128)="",Q128,MAX(0,MIN(Q128,INDEX(Employees!$S$5:$S$29,$A128)-(S128-R128))))</f>
        <v/>
      </c>
      <c r="U128" s="48">
        <f>Q128-T128</f>
        <v/>
      </c>
      <c r="V128" s="48">
        <f>S128-R128+T128</f>
        <v/>
      </c>
    </row>
    <row r="129">
      <c r="A129" s="47" t="n">
        <v>3</v>
      </c>
      <c r="B129" s="47" t="n">
        <v>19</v>
      </c>
      <c r="C129" s="48">
        <f>INDEX(Employees!$B$5:$B$29,$A129)&amp;""</f>
        <v/>
      </c>
      <c r="D129" s="49">
        <f>INDEX(Periods!$B$5:$B$57,$B129)</f>
        <v/>
      </c>
      <c r="E129" s="49">
        <f>INDEX(Periods!$C$5:$C$57,$B129)</f>
        <v/>
      </c>
      <c r="F129" s="47">
        <f>IF(AND($C129&lt;&gt;"",INDEX(Periods!$D$5:$D$57,$B129)=1),1,0)</f>
        <v/>
      </c>
      <c r="G129" s="47">
        <f>IF($F129=0,0,IF(AND(OR(INDEX(Employees!$D$5:$D$29,$A129)="",$E129&gt;=INDEX(Employees!$D$5:$D$29,$A129)+N(INDEX(Employees!$U$5:$U$29,$A129))),OR(INDEX(Employees!$E$5:$E$29,$A129)="",$D129&lt;=INDEX(Employees!$E$5:$E$29,$A129))),1,0))</f>
        <v/>
      </c>
      <c r="H129" s="47">
        <f>IF($G129=0,0,IF(INDEX(Employees!$D$5:$D$29,$A129)="",0,DATEDIF(INDEX(Employees!$D$5:$D$29,$A129),$E129,"y")))</f>
        <v/>
      </c>
      <c r="I129" s="48">
        <f>IF($G129=0,0,IF(INDEX('Hours Worked'!$D$5:$BD$29,$A129,$B129)="",N(INDEX(Employees!$H$5:$H$29,$A129)),INDEX('Hours Worked'!$D$5:$BD$29,$A129,$B129)))</f>
        <v/>
      </c>
      <c r="J129" s="48">
        <f>IF(OR($G129=0,INDEX(Employees!$O$5:$O$29,$A129)&lt;&gt;"Yes"),0,IF(COUNTIF(Settings!$D$4:$D$9,"&lt;="&amp;$H129)=0,0,INDEX(Settings!$E$4:$E$9,COUNTIF(Settings!$D$4:$D$9,"&lt;="&amp;$H129))))</f>
        <v/>
      </c>
      <c r="K129" s="48">
        <f>IF($G129=0,0,IF(INDEX(Employees!$I$5:$I$29,$A129)="Per pay period",(N(INDEX(Employees!$J$5:$J$29,$A129))+$J129)/Settings!$B$13,IF(INDEX(Employees!$I$5:$I$29,$A129)="Per hour worked",N(INDEX(Employees!$K$5:$K$29,$A129))*$I129,IF(INDEX(Employees!$I$5:$I$29,$A129)="Front-loaded",IF(OR($B129=1,N($G128)=0),N(INDEX(Employees!$J$5:$J$29,$A129))+$J129,0),0))))</f>
        <v/>
      </c>
      <c r="L129" s="48">
        <f>IF($F129=0,0,SUMIFS('Time Off Log'!$H$5:$H$504,'Time Off Log'!$A$5:$A$504,$C129,'Time Off Log'!$B$5:$B$504,"PTO",'Time Off Log'!$E$5:$E$504,"Approved",'Time Off Log'!$C$5:$C$504,"&gt;="&amp;INDEX(Periods!$E$5:$E$57,$B129),'Time Off Log'!$C$5:$C$504,"&lt;="&amp;INDEX(Periods!$F$5:$F$57,$B129)))</f>
        <v/>
      </c>
      <c r="M129" s="48">
        <f>IF($B129=1,N(INDEX(Employees!$N$5:$N$29,$A129)),P128)</f>
        <v/>
      </c>
      <c r="N129" s="48">
        <f>IF(INDEX(Employees!$L$5:$L$29,$A129)="",K129,MAX(0,MIN(K129,INDEX(Employees!$L$5:$L$29,$A129)-(M129-L129))))</f>
        <v/>
      </c>
      <c r="O129" s="48">
        <f>K129-N129</f>
        <v/>
      </c>
      <c r="P129" s="48">
        <f>M129-L129+N129</f>
        <v/>
      </c>
      <c r="Q129" s="48">
        <f>IF($G129=0,0,IF(INDEX(Employees!$P$5:$P$29,$A129)="Per pay period",(N(INDEX(Employees!$Q$5:$Q$29,$A129)))/Settings!$B$13,IF(INDEX(Employees!$P$5:$P$29,$A129)="Per hour worked",N(INDEX(Employees!$R$5:$R$29,$A129))*$I129,IF(INDEX(Employees!$P$5:$P$29,$A129)="Front-loaded",IF(OR($B129=1,N($G128)=0),N(INDEX(Employees!$Q$5:$Q$29,$A129)),0),0))))</f>
        <v/>
      </c>
      <c r="R129" s="48">
        <f>IF($F129=0,0,SUMIFS('Time Off Log'!$H$5:$H$504,'Time Off Log'!$A$5:$A$504,$C129,'Time Off Log'!$B$5:$B$504,"Sick",'Time Off Log'!$E$5:$E$504,"Approved",'Time Off Log'!$C$5:$C$504,"&gt;="&amp;INDEX(Periods!$E$5:$E$57,$B129),'Time Off Log'!$C$5:$C$504,"&lt;="&amp;INDEX(Periods!$F$5:$F$57,$B129)))</f>
        <v/>
      </c>
      <c r="S129" s="48">
        <f>IF($B129=1,N(INDEX(Employees!$T$5:$T$29,$A129)),V128)</f>
        <v/>
      </c>
      <c r="T129" s="48">
        <f>IF(INDEX(Employees!$S$5:$S$29,$A129)="",Q129,MAX(0,MIN(Q129,INDEX(Employees!$S$5:$S$29,$A129)-(S129-R129))))</f>
        <v/>
      </c>
      <c r="U129" s="48">
        <f>Q129-T129</f>
        <v/>
      </c>
      <c r="V129" s="48">
        <f>S129-R129+T129</f>
        <v/>
      </c>
    </row>
    <row r="130">
      <c r="A130" s="47" t="n">
        <v>3</v>
      </c>
      <c r="B130" s="47" t="n">
        <v>20</v>
      </c>
      <c r="C130" s="48">
        <f>INDEX(Employees!$B$5:$B$29,$A130)&amp;""</f>
        <v/>
      </c>
      <c r="D130" s="49">
        <f>INDEX(Periods!$B$5:$B$57,$B130)</f>
        <v/>
      </c>
      <c r="E130" s="49">
        <f>INDEX(Periods!$C$5:$C$57,$B130)</f>
        <v/>
      </c>
      <c r="F130" s="47">
        <f>IF(AND($C130&lt;&gt;"",INDEX(Periods!$D$5:$D$57,$B130)=1),1,0)</f>
        <v/>
      </c>
      <c r="G130" s="47">
        <f>IF($F130=0,0,IF(AND(OR(INDEX(Employees!$D$5:$D$29,$A130)="",$E130&gt;=INDEX(Employees!$D$5:$D$29,$A130)+N(INDEX(Employees!$U$5:$U$29,$A130))),OR(INDEX(Employees!$E$5:$E$29,$A130)="",$D130&lt;=INDEX(Employees!$E$5:$E$29,$A130))),1,0))</f>
        <v/>
      </c>
      <c r="H130" s="47">
        <f>IF($G130=0,0,IF(INDEX(Employees!$D$5:$D$29,$A130)="",0,DATEDIF(INDEX(Employees!$D$5:$D$29,$A130),$E130,"y")))</f>
        <v/>
      </c>
      <c r="I130" s="48">
        <f>IF($G130=0,0,IF(INDEX('Hours Worked'!$D$5:$BD$29,$A130,$B130)="",N(INDEX(Employees!$H$5:$H$29,$A130)),INDEX('Hours Worked'!$D$5:$BD$29,$A130,$B130)))</f>
        <v/>
      </c>
      <c r="J130" s="48">
        <f>IF(OR($G130=0,INDEX(Employees!$O$5:$O$29,$A130)&lt;&gt;"Yes"),0,IF(COUNTIF(Settings!$D$4:$D$9,"&lt;="&amp;$H130)=0,0,INDEX(Settings!$E$4:$E$9,COUNTIF(Settings!$D$4:$D$9,"&lt;="&amp;$H130))))</f>
        <v/>
      </c>
      <c r="K130" s="48">
        <f>IF($G130=0,0,IF(INDEX(Employees!$I$5:$I$29,$A130)="Per pay period",(N(INDEX(Employees!$J$5:$J$29,$A130))+$J130)/Settings!$B$13,IF(INDEX(Employees!$I$5:$I$29,$A130)="Per hour worked",N(INDEX(Employees!$K$5:$K$29,$A130))*$I130,IF(INDEX(Employees!$I$5:$I$29,$A130)="Front-loaded",IF(OR($B130=1,N($G129)=0),N(INDEX(Employees!$J$5:$J$29,$A130))+$J130,0),0))))</f>
        <v/>
      </c>
      <c r="L130" s="48">
        <f>IF($F130=0,0,SUMIFS('Time Off Log'!$H$5:$H$504,'Time Off Log'!$A$5:$A$504,$C130,'Time Off Log'!$B$5:$B$504,"PTO",'Time Off Log'!$E$5:$E$504,"Approved",'Time Off Log'!$C$5:$C$504,"&gt;="&amp;INDEX(Periods!$E$5:$E$57,$B130),'Time Off Log'!$C$5:$C$504,"&lt;="&amp;INDEX(Periods!$F$5:$F$57,$B130)))</f>
        <v/>
      </c>
      <c r="M130" s="48">
        <f>IF($B130=1,N(INDEX(Employees!$N$5:$N$29,$A130)),P129)</f>
        <v/>
      </c>
      <c r="N130" s="48">
        <f>IF(INDEX(Employees!$L$5:$L$29,$A130)="",K130,MAX(0,MIN(K130,INDEX(Employees!$L$5:$L$29,$A130)-(M130-L130))))</f>
        <v/>
      </c>
      <c r="O130" s="48">
        <f>K130-N130</f>
        <v/>
      </c>
      <c r="P130" s="48">
        <f>M130-L130+N130</f>
        <v/>
      </c>
      <c r="Q130" s="48">
        <f>IF($G130=0,0,IF(INDEX(Employees!$P$5:$P$29,$A130)="Per pay period",(N(INDEX(Employees!$Q$5:$Q$29,$A130)))/Settings!$B$13,IF(INDEX(Employees!$P$5:$P$29,$A130)="Per hour worked",N(INDEX(Employees!$R$5:$R$29,$A130))*$I130,IF(INDEX(Employees!$P$5:$P$29,$A130)="Front-loaded",IF(OR($B130=1,N($G129)=0),N(INDEX(Employees!$Q$5:$Q$29,$A130)),0),0))))</f>
        <v/>
      </c>
      <c r="R130" s="48">
        <f>IF($F130=0,0,SUMIFS('Time Off Log'!$H$5:$H$504,'Time Off Log'!$A$5:$A$504,$C130,'Time Off Log'!$B$5:$B$504,"Sick",'Time Off Log'!$E$5:$E$504,"Approved",'Time Off Log'!$C$5:$C$504,"&gt;="&amp;INDEX(Periods!$E$5:$E$57,$B130),'Time Off Log'!$C$5:$C$504,"&lt;="&amp;INDEX(Periods!$F$5:$F$57,$B130)))</f>
        <v/>
      </c>
      <c r="S130" s="48">
        <f>IF($B130=1,N(INDEX(Employees!$T$5:$T$29,$A130)),V129)</f>
        <v/>
      </c>
      <c r="T130" s="48">
        <f>IF(INDEX(Employees!$S$5:$S$29,$A130)="",Q130,MAX(0,MIN(Q130,INDEX(Employees!$S$5:$S$29,$A130)-(S130-R130))))</f>
        <v/>
      </c>
      <c r="U130" s="48">
        <f>Q130-T130</f>
        <v/>
      </c>
      <c r="V130" s="48">
        <f>S130-R130+T130</f>
        <v/>
      </c>
    </row>
    <row r="131">
      <c r="A131" s="47" t="n">
        <v>3</v>
      </c>
      <c r="B131" s="47" t="n">
        <v>21</v>
      </c>
      <c r="C131" s="48">
        <f>INDEX(Employees!$B$5:$B$29,$A131)&amp;""</f>
        <v/>
      </c>
      <c r="D131" s="49">
        <f>INDEX(Periods!$B$5:$B$57,$B131)</f>
        <v/>
      </c>
      <c r="E131" s="49">
        <f>INDEX(Periods!$C$5:$C$57,$B131)</f>
        <v/>
      </c>
      <c r="F131" s="47">
        <f>IF(AND($C131&lt;&gt;"",INDEX(Periods!$D$5:$D$57,$B131)=1),1,0)</f>
        <v/>
      </c>
      <c r="G131" s="47">
        <f>IF($F131=0,0,IF(AND(OR(INDEX(Employees!$D$5:$D$29,$A131)="",$E131&gt;=INDEX(Employees!$D$5:$D$29,$A131)+N(INDEX(Employees!$U$5:$U$29,$A131))),OR(INDEX(Employees!$E$5:$E$29,$A131)="",$D131&lt;=INDEX(Employees!$E$5:$E$29,$A131))),1,0))</f>
        <v/>
      </c>
      <c r="H131" s="47">
        <f>IF($G131=0,0,IF(INDEX(Employees!$D$5:$D$29,$A131)="",0,DATEDIF(INDEX(Employees!$D$5:$D$29,$A131),$E131,"y")))</f>
        <v/>
      </c>
      <c r="I131" s="48">
        <f>IF($G131=0,0,IF(INDEX('Hours Worked'!$D$5:$BD$29,$A131,$B131)="",N(INDEX(Employees!$H$5:$H$29,$A131)),INDEX('Hours Worked'!$D$5:$BD$29,$A131,$B131)))</f>
        <v/>
      </c>
      <c r="J131" s="48">
        <f>IF(OR($G131=0,INDEX(Employees!$O$5:$O$29,$A131)&lt;&gt;"Yes"),0,IF(COUNTIF(Settings!$D$4:$D$9,"&lt;="&amp;$H131)=0,0,INDEX(Settings!$E$4:$E$9,COUNTIF(Settings!$D$4:$D$9,"&lt;="&amp;$H131))))</f>
        <v/>
      </c>
      <c r="K131" s="48">
        <f>IF($G131=0,0,IF(INDEX(Employees!$I$5:$I$29,$A131)="Per pay period",(N(INDEX(Employees!$J$5:$J$29,$A131))+$J131)/Settings!$B$13,IF(INDEX(Employees!$I$5:$I$29,$A131)="Per hour worked",N(INDEX(Employees!$K$5:$K$29,$A131))*$I131,IF(INDEX(Employees!$I$5:$I$29,$A131)="Front-loaded",IF(OR($B131=1,N($G130)=0),N(INDEX(Employees!$J$5:$J$29,$A131))+$J131,0),0))))</f>
        <v/>
      </c>
      <c r="L131" s="48">
        <f>IF($F131=0,0,SUMIFS('Time Off Log'!$H$5:$H$504,'Time Off Log'!$A$5:$A$504,$C131,'Time Off Log'!$B$5:$B$504,"PTO",'Time Off Log'!$E$5:$E$504,"Approved",'Time Off Log'!$C$5:$C$504,"&gt;="&amp;INDEX(Periods!$E$5:$E$57,$B131),'Time Off Log'!$C$5:$C$504,"&lt;="&amp;INDEX(Periods!$F$5:$F$57,$B131)))</f>
        <v/>
      </c>
      <c r="M131" s="48">
        <f>IF($B131=1,N(INDEX(Employees!$N$5:$N$29,$A131)),P130)</f>
        <v/>
      </c>
      <c r="N131" s="48">
        <f>IF(INDEX(Employees!$L$5:$L$29,$A131)="",K131,MAX(0,MIN(K131,INDEX(Employees!$L$5:$L$29,$A131)-(M131-L131))))</f>
        <v/>
      </c>
      <c r="O131" s="48">
        <f>K131-N131</f>
        <v/>
      </c>
      <c r="P131" s="48">
        <f>M131-L131+N131</f>
        <v/>
      </c>
      <c r="Q131" s="48">
        <f>IF($G131=0,0,IF(INDEX(Employees!$P$5:$P$29,$A131)="Per pay period",(N(INDEX(Employees!$Q$5:$Q$29,$A131)))/Settings!$B$13,IF(INDEX(Employees!$P$5:$P$29,$A131)="Per hour worked",N(INDEX(Employees!$R$5:$R$29,$A131))*$I131,IF(INDEX(Employees!$P$5:$P$29,$A131)="Front-loaded",IF(OR($B131=1,N($G130)=0),N(INDEX(Employees!$Q$5:$Q$29,$A131)),0),0))))</f>
        <v/>
      </c>
      <c r="R131" s="48">
        <f>IF($F131=0,0,SUMIFS('Time Off Log'!$H$5:$H$504,'Time Off Log'!$A$5:$A$504,$C131,'Time Off Log'!$B$5:$B$504,"Sick",'Time Off Log'!$E$5:$E$504,"Approved",'Time Off Log'!$C$5:$C$504,"&gt;="&amp;INDEX(Periods!$E$5:$E$57,$B131),'Time Off Log'!$C$5:$C$504,"&lt;="&amp;INDEX(Periods!$F$5:$F$57,$B131)))</f>
        <v/>
      </c>
      <c r="S131" s="48">
        <f>IF($B131=1,N(INDEX(Employees!$T$5:$T$29,$A131)),V130)</f>
        <v/>
      </c>
      <c r="T131" s="48">
        <f>IF(INDEX(Employees!$S$5:$S$29,$A131)="",Q131,MAX(0,MIN(Q131,INDEX(Employees!$S$5:$S$29,$A131)-(S131-R131))))</f>
        <v/>
      </c>
      <c r="U131" s="48">
        <f>Q131-T131</f>
        <v/>
      </c>
      <c r="V131" s="48">
        <f>S131-R131+T131</f>
        <v/>
      </c>
    </row>
    <row r="132">
      <c r="A132" s="47" t="n">
        <v>3</v>
      </c>
      <c r="B132" s="47" t="n">
        <v>22</v>
      </c>
      <c r="C132" s="48">
        <f>INDEX(Employees!$B$5:$B$29,$A132)&amp;""</f>
        <v/>
      </c>
      <c r="D132" s="49">
        <f>INDEX(Periods!$B$5:$B$57,$B132)</f>
        <v/>
      </c>
      <c r="E132" s="49">
        <f>INDEX(Periods!$C$5:$C$57,$B132)</f>
        <v/>
      </c>
      <c r="F132" s="47">
        <f>IF(AND($C132&lt;&gt;"",INDEX(Periods!$D$5:$D$57,$B132)=1),1,0)</f>
        <v/>
      </c>
      <c r="G132" s="47">
        <f>IF($F132=0,0,IF(AND(OR(INDEX(Employees!$D$5:$D$29,$A132)="",$E132&gt;=INDEX(Employees!$D$5:$D$29,$A132)+N(INDEX(Employees!$U$5:$U$29,$A132))),OR(INDEX(Employees!$E$5:$E$29,$A132)="",$D132&lt;=INDEX(Employees!$E$5:$E$29,$A132))),1,0))</f>
        <v/>
      </c>
      <c r="H132" s="47">
        <f>IF($G132=0,0,IF(INDEX(Employees!$D$5:$D$29,$A132)="",0,DATEDIF(INDEX(Employees!$D$5:$D$29,$A132),$E132,"y")))</f>
        <v/>
      </c>
      <c r="I132" s="48">
        <f>IF($G132=0,0,IF(INDEX('Hours Worked'!$D$5:$BD$29,$A132,$B132)="",N(INDEX(Employees!$H$5:$H$29,$A132)),INDEX('Hours Worked'!$D$5:$BD$29,$A132,$B132)))</f>
        <v/>
      </c>
      <c r="J132" s="48">
        <f>IF(OR($G132=0,INDEX(Employees!$O$5:$O$29,$A132)&lt;&gt;"Yes"),0,IF(COUNTIF(Settings!$D$4:$D$9,"&lt;="&amp;$H132)=0,0,INDEX(Settings!$E$4:$E$9,COUNTIF(Settings!$D$4:$D$9,"&lt;="&amp;$H132))))</f>
        <v/>
      </c>
      <c r="K132" s="48">
        <f>IF($G132=0,0,IF(INDEX(Employees!$I$5:$I$29,$A132)="Per pay period",(N(INDEX(Employees!$J$5:$J$29,$A132))+$J132)/Settings!$B$13,IF(INDEX(Employees!$I$5:$I$29,$A132)="Per hour worked",N(INDEX(Employees!$K$5:$K$29,$A132))*$I132,IF(INDEX(Employees!$I$5:$I$29,$A132)="Front-loaded",IF(OR($B132=1,N($G131)=0),N(INDEX(Employees!$J$5:$J$29,$A132))+$J132,0),0))))</f>
        <v/>
      </c>
      <c r="L132" s="48">
        <f>IF($F132=0,0,SUMIFS('Time Off Log'!$H$5:$H$504,'Time Off Log'!$A$5:$A$504,$C132,'Time Off Log'!$B$5:$B$504,"PTO",'Time Off Log'!$E$5:$E$504,"Approved",'Time Off Log'!$C$5:$C$504,"&gt;="&amp;INDEX(Periods!$E$5:$E$57,$B132),'Time Off Log'!$C$5:$C$504,"&lt;="&amp;INDEX(Periods!$F$5:$F$57,$B132)))</f>
        <v/>
      </c>
      <c r="M132" s="48">
        <f>IF($B132=1,N(INDEX(Employees!$N$5:$N$29,$A132)),P131)</f>
        <v/>
      </c>
      <c r="N132" s="48">
        <f>IF(INDEX(Employees!$L$5:$L$29,$A132)="",K132,MAX(0,MIN(K132,INDEX(Employees!$L$5:$L$29,$A132)-(M132-L132))))</f>
        <v/>
      </c>
      <c r="O132" s="48">
        <f>K132-N132</f>
        <v/>
      </c>
      <c r="P132" s="48">
        <f>M132-L132+N132</f>
        <v/>
      </c>
      <c r="Q132" s="48">
        <f>IF($G132=0,0,IF(INDEX(Employees!$P$5:$P$29,$A132)="Per pay period",(N(INDEX(Employees!$Q$5:$Q$29,$A132)))/Settings!$B$13,IF(INDEX(Employees!$P$5:$P$29,$A132)="Per hour worked",N(INDEX(Employees!$R$5:$R$29,$A132))*$I132,IF(INDEX(Employees!$P$5:$P$29,$A132)="Front-loaded",IF(OR($B132=1,N($G131)=0),N(INDEX(Employees!$Q$5:$Q$29,$A132)),0),0))))</f>
        <v/>
      </c>
      <c r="R132" s="48">
        <f>IF($F132=0,0,SUMIFS('Time Off Log'!$H$5:$H$504,'Time Off Log'!$A$5:$A$504,$C132,'Time Off Log'!$B$5:$B$504,"Sick",'Time Off Log'!$E$5:$E$504,"Approved",'Time Off Log'!$C$5:$C$504,"&gt;="&amp;INDEX(Periods!$E$5:$E$57,$B132),'Time Off Log'!$C$5:$C$504,"&lt;="&amp;INDEX(Periods!$F$5:$F$57,$B132)))</f>
        <v/>
      </c>
      <c r="S132" s="48">
        <f>IF($B132=1,N(INDEX(Employees!$T$5:$T$29,$A132)),V131)</f>
        <v/>
      </c>
      <c r="T132" s="48">
        <f>IF(INDEX(Employees!$S$5:$S$29,$A132)="",Q132,MAX(0,MIN(Q132,INDEX(Employees!$S$5:$S$29,$A132)-(S132-R132))))</f>
        <v/>
      </c>
      <c r="U132" s="48">
        <f>Q132-T132</f>
        <v/>
      </c>
      <c r="V132" s="48">
        <f>S132-R132+T132</f>
        <v/>
      </c>
    </row>
    <row r="133">
      <c r="A133" s="47" t="n">
        <v>3</v>
      </c>
      <c r="B133" s="47" t="n">
        <v>23</v>
      </c>
      <c r="C133" s="48">
        <f>INDEX(Employees!$B$5:$B$29,$A133)&amp;""</f>
        <v/>
      </c>
      <c r="D133" s="49">
        <f>INDEX(Periods!$B$5:$B$57,$B133)</f>
        <v/>
      </c>
      <c r="E133" s="49">
        <f>INDEX(Periods!$C$5:$C$57,$B133)</f>
        <v/>
      </c>
      <c r="F133" s="47">
        <f>IF(AND($C133&lt;&gt;"",INDEX(Periods!$D$5:$D$57,$B133)=1),1,0)</f>
        <v/>
      </c>
      <c r="G133" s="47">
        <f>IF($F133=0,0,IF(AND(OR(INDEX(Employees!$D$5:$D$29,$A133)="",$E133&gt;=INDEX(Employees!$D$5:$D$29,$A133)+N(INDEX(Employees!$U$5:$U$29,$A133))),OR(INDEX(Employees!$E$5:$E$29,$A133)="",$D133&lt;=INDEX(Employees!$E$5:$E$29,$A133))),1,0))</f>
        <v/>
      </c>
      <c r="H133" s="47">
        <f>IF($G133=0,0,IF(INDEX(Employees!$D$5:$D$29,$A133)="",0,DATEDIF(INDEX(Employees!$D$5:$D$29,$A133),$E133,"y")))</f>
        <v/>
      </c>
      <c r="I133" s="48">
        <f>IF($G133=0,0,IF(INDEX('Hours Worked'!$D$5:$BD$29,$A133,$B133)="",N(INDEX(Employees!$H$5:$H$29,$A133)),INDEX('Hours Worked'!$D$5:$BD$29,$A133,$B133)))</f>
        <v/>
      </c>
      <c r="J133" s="48">
        <f>IF(OR($G133=0,INDEX(Employees!$O$5:$O$29,$A133)&lt;&gt;"Yes"),0,IF(COUNTIF(Settings!$D$4:$D$9,"&lt;="&amp;$H133)=0,0,INDEX(Settings!$E$4:$E$9,COUNTIF(Settings!$D$4:$D$9,"&lt;="&amp;$H133))))</f>
        <v/>
      </c>
      <c r="K133" s="48">
        <f>IF($G133=0,0,IF(INDEX(Employees!$I$5:$I$29,$A133)="Per pay period",(N(INDEX(Employees!$J$5:$J$29,$A133))+$J133)/Settings!$B$13,IF(INDEX(Employees!$I$5:$I$29,$A133)="Per hour worked",N(INDEX(Employees!$K$5:$K$29,$A133))*$I133,IF(INDEX(Employees!$I$5:$I$29,$A133)="Front-loaded",IF(OR($B133=1,N($G132)=0),N(INDEX(Employees!$J$5:$J$29,$A133))+$J133,0),0))))</f>
        <v/>
      </c>
      <c r="L133" s="48">
        <f>IF($F133=0,0,SUMIFS('Time Off Log'!$H$5:$H$504,'Time Off Log'!$A$5:$A$504,$C133,'Time Off Log'!$B$5:$B$504,"PTO",'Time Off Log'!$E$5:$E$504,"Approved",'Time Off Log'!$C$5:$C$504,"&gt;="&amp;INDEX(Periods!$E$5:$E$57,$B133),'Time Off Log'!$C$5:$C$504,"&lt;="&amp;INDEX(Periods!$F$5:$F$57,$B133)))</f>
        <v/>
      </c>
      <c r="M133" s="48">
        <f>IF($B133=1,N(INDEX(Employees!$N$5:$N$29,$A133)),P132)</f>
        <v/>
      </c>
      <c r="N133" s="48">
        <f>IF(INDEX(Employees!$L$5:$L$29,$A133)="",K133,MAX(0,MIN(K133,INDEX(Employees!$L$5:$L$29,$A133)-(M133-L133))))</f>
        <v/>
      </c>
      <c r="O133" s="48">
        <f>K133-N133</f>
        <v/>
      </c>
      <c r="P133" s="48">
        <f>M133-L133+N133</f>
        <v/>
      </c>
      <c r="Q133" s="48">
        <f>IF($G133=0,0,IF(INDEX(Employees!$P$5:$P$29,$A133)="Per pay period",(N(INDEX(Employees!$Q$5:$Q$29,$A133)))/Settings!$B$13,IF(INDEX(Employees!$P$5:$P$29,$A133)="Per hour worked",N(INDEX(Employees!$R$5:$R$29,$A133))*$I133,IF(INDEX(Employees!$P$5:$P$29,$A133)="Front-loaded",IF(OR($B133=1,N($G132)=0),N(INDEX(Employees!$Q$5:$Q$29,$A133)),0),0))))</f>
        <v/>
      </c>
      <c r="R133" s="48">
        <f>IF($F133=0,0,SUMIFS('Time Off Log'!$H$5:$H$504,'Time Off Log'!$A$5:$A$504,$C133,'Time Off Log'!$B$5:$B$504,"Sick",'Time Off Log'!$E$5:$E$504,"Approved",'Time Off Log'!$C$5:$C$504,"&gt;="&amp;INDEX(Periods!$E$5:$E$57,$B133),'Time Off Log'!$C$5:$C$504,"&lt;="&amp;INDEX(Periods!$F$5:$F$57,$B133)))</f>
        <v/>
      </c>
      <c r="S133" s="48">
        <f>IF($B133=1,N(INDEX(Employees!$T$5:$T$29,$A133)),V132)</f>
        <v/>
      </c>
      <c r="T133" s="48">
        <f>IF(INDEX(Employees!$S$5:$S$29,$A133)="",Q133,MAX(0,MIN(Q133,INDEX(Employees!$S$5:$S$29,$A133)-(S133-R133))))</f>
        <v/>
      </c>
      <c r="U133" s="48">
        <f>Q133-T133</f>
        <v/>
      </c>
      <c r="V133" s="48">
        <f>S133-R133+T133</f>
        <v/>
      </c>
    </row>
    <row r="134">
      <c r="A134" s="47" t="n">
        <v>3</v>
      </c>
      <c r="B134" s="47" t="n">
        <v>24</v>
      </c>
      <c r="C134" s="48">
        <f>INDEX(Employees!$B$5:$B$29,$A134)&amp;""</f>
        <v/>
      </c>
      <c r="D134" s="49">
        <f>INDEX(Periods!$B$5:$B$57,$B134)</f>
        <v/>
      </c>
      <c r="E134" s="49">
        <f>INDEX(Periods!$C$5:$C$57,$B134)</f>
        <v/>
      </c>
      <c r="F134" s="47">
        <f>IF(AND($C134&lt;&gt;"",INDEX(Periods!$D$5:$D$57,$B134)=1),1,0)</f>
        <v/>
      </c>
      <c r="G134" s="47">
        <f>IF($F134=0,0,IF(AND(OR(INDEX(Employees!$D$5:$D$29,$A134)="",$E134&gt;=INDEX(Employees!$D$5:$D$29,$A134)+N(INDEX(Employees!$U$5:$U$29,$A134))),OR(INDEX(Employees!$E$5:$E$29,$A134)="",$D134&lt;=INDEX(Employees!$E$5:$E$29,$A134))),1,0))</f>
        <v/>
      </c>
      <c r="H134" s="47">
        <f>IF($G134=0,0,IF(INDEX(Employees!$D$5:$D$29,$A134)="",0,DATEDIF(INDEX(Employees!$D$5:$D$29,$A134),$E134,"y")))</f>
        <v/>
      </c>
      <c r="I134" s="48">
        <f>IF($G134=0,0,IF(INDEX('Hours Worked'!$D$5:$BD$29,$A134,$B134)="",N(INDEX(Employees!$H$5:$H$29,$A134)),INDEX('Hours Worked'!$D$5:$BD$29,$A134,$B134)))</f>
        <v/>
      </c>
      <c r="J134" s="48">
        <f>IF(OR($G134=0,INDEX(Employees!$O$5:$O$29,$A134)&lt;&gt;"Yes"),0,IF(COUNTIF(Settings!$D$4:$D$9,"&lt;="&amp;$H134)=0,0,INDEX(Settings!$E$4:$E$9,COUNTIF(Settings!$D$4:$D$9,"&lt;="&amp;$H134))))</f>
        <v/>
      </c>
      <c r="K134" s="48">
        <f>IF($G134=0,0,IF(INDEX(Employees!$I$5:$I$29,$A134)="Per pay period",(N(INDEX(Employees!$J$5:$J$29,$A134))+$J134)/Settings!$B$13,IF(INDEX(Employees!$I$5:$I$29,$A134)="Per hour worked",N(INDEX(Employees!$K$5:$K$29,$A134))*$I134,IF(INDEX(Employees!$I$5:$I$29,$A134)="Front-loaded",IF(OR($B134=1,N($G133)=0),N(INDEX(Employees!$J$5:$J$29,$A134))+$J134,0),0))))</f>
        <v/>
      </c>
      <c r="L134" s="48">
        <f>IF($F134=0,0,SUMIFS('Time Off Log'!$H$5:$H$504,'Time Off Log'!$A$5:$A$504,$C134,'Time Off Log'!$B$5:$B$504,"PTO",'Time Off Log'!$E$5:$E$504,"Approved",'Time Off Log'!$C$5:$C$504,"&gt;="&amp;INDEX(Periods!$E$5:$E$57,$B134),'Time Off Log'!$C$5:$C$504,"&lt;="&amp;INDEX(Periods!$F$5:$F$57,$B134)))</f>
        <v/>
      </c>
      <c r="M134" s="48">
        <f>IF($B134=1,N(INDEX(Employees!$N$5:$N$29,$A134)),P133)</f>
        <v/>
      </c>
      <c r="N134" s="48">
        <f>IF(INDEX(Employees!$L$5:$L$29,$A134)="",K134,MAX(0,MIN(K134,INDEX(Employees!$L$5:$L$29,$A134)-(M134-L134))))</f>
        <v/>
      </c>
      <c r="O134" s="48">
        <f>K134-N134</f>
        <v/>
      </c>
      <c r="P134" s="48">
        <f>M134-L134+N134</f>
        <v/>
      </c>
      <c r="Q134" s="48">
        <f>IF($G134=0,0,IF(INDEX(Employees!$P$5:$P$29,$A134)="Per pay period",(N(INDEX(Employees!$Q$5:$Q$29,$A134)))/Settings!$B$13,IF(INDEX(Employees!$P$5:$P$29,$A134)="Per hour worked",N(INDEX(Employees!$R$5:$R$29,$A134))*$I134,IF(INDEX(Employees!$P$5:$P$29,$A134)="Front-loaded",IF(OR($B134=1,N($G133)=0),N(INDEX(Employees!$Q$5:$Q$29,$A134)),0),0))))</f>
        <v/>
      </c>
      <c r="R134" s="48">
        <f>IF($F134=0,0,SUMIFS('Time Off Log'!$H$5:$H$504,'Time Off Log'!$A$5:$A$504,$C134,'Time Off Log'!$B$5:$B$504,"Sick",'Time Off Log'!$E$5:$E$504,"Approved",'Time Off Log'!$C$5:$C$504,"&gt;="&amp;INDEX(Periods!$E$5:$E$57,$B134),'Time Off Log'!$C$5:$C$504,"&lt;="&amp;INDEX(Periods!$F$5:$F$57,$B134)))</f>
        <v/>
      </c>
      <c r="S134" s="48">
        <f>IF($B134=1,N(INDEX(Employees!$T$5:$T$29,$A134)),V133)</f>
        <v/>
      </c>
      <c r="T134" s="48">
        <f>IF(INDEX(Employees!$S$5:$S$29,$A134)="",Q134,MAX(0,MIN(Q134,INDEX(Employees!$S$5:$S$29,$A134)-(S134-R134))))</f>
        <v/>
      </c>
      <c r="U134" s="48">
        <f>Q134-T134</f>
        <v/>
      </c>
      <c r="V134" s="48">
        <f>S134-R134+T134</f>
        <v/>
      </c>
    </row>
    <row r="135">
      <c r="A135" s="47" t="n">
        <v>3</v>
      </c>
      <c r="B135" s="47" t="n">
        <v>25</v>
      </c>
      <c r="C135" s="48">
        <f>INDEX(Employees!$B$5:$B$29,$A135)&amp;""</f>
        <v/>
      </c>
      <c r="D135" s="49">
        <f>INDEX(Periods!$B$5:$B$57,$B135)</f>
        <v/>
      </c>
      <c r="E135" s="49">
        <f>INDEX(Periods!$C$5:$C$57,$B135)</f>
        <v/>
      </c>
      <c r="F135" s="47">
        <f>IF(AND($C135&lt;&gt;"",INDEX(Periods!$D$5:$D$57,$B135)=1),1,0)</f>
        <v/>
      </c>
      <c r="G135" s="47">
        <f>IF($F135=0,0,IF(AND(OR(INDEX(Employees!$D$5:$D$29,$A135)="",$E135&gt;=INDEX(Employees!$D$5:$D$29,$A135)+N(INDEX(Employees!$U$5:$U$29,$A135))),OR(INDEX(Employees!$E$5:$E$29,$A135)="",$D135&lt;=INDEX(Employees!$E$5:$E$29,$A135))),1,0))</f>
        <v/>
      </c>
      <c r="H135" s="47">
        <f>IF($G135=0,0,IF(INDEX(Employees!$D$5:$D$29,$A135)="",0,DATEDIF(INDEX(Employees!$D$5:$D$29,$A135),$E135,"y")))</f>
        <v/>
      </c>
      <c r="I135" s="48">
        <f>IF($G135=0,0,IF(INDEX('Hours Worked'!$D$5:$BD$29,$A135,$B135)="",N(INDEX(Employees!$H$5:$H$29,$A135)),INDEX('Hours Worked'!$D$5:$BD$29,$A135,$B135)))</f>
        <v/>
      </c>
      <c r="J135" s="48">
        <f>IF(OR($G135=0,INDEX(Employees!$O$5:$O$29,$A135)&lt;&gt;"Yes"),0,IF(COUNTIF(Settings!$D$4:$D$9,"&lt;="&amp;$H135)=0,0,INDEX(Settings!$E$4:$E$9,COUNTIF(Settings!$D$4:$D$9,"&lt;="&amp;$H135))))</f>
        <v/>
      </c>
      <c r="K135" s="48">
        <f>IF($G135=0,0,IF(INDEX(Employees!$I$5:$I$29,$A135)="Per pay period",(N(INDEX(Employees!$J$5:$J$29,$A135))+$J135)/Settings!$B$13,IF(INDEX(Employees!$I$5:$I$29,$A135)="Per hour worked",N(INDEX(Employees!$K$5:$K$29,$A135))*$I135,IF(INDEX(Employees!$I$5:$I$29,$A135)="Front-loaded",IF(OR($B135=1,N($G134)=0),N(INDEX(Employees!$J$5:$J$29,$A135))+$J135,0),0))))</f>
        <v/>
      </c>
      <c r="L135" s="48">
        <f>IF($F135=0,0,SUMIFS('Time Off Log'!$H$5:$H$504,'Time Off Log'!$A$5:$A$504,$C135,'Time Off Log'!$B$5:$B$504,"PTO",'Time Off Log'!$E$5:$E$504,"Approved",'Time Off Log'!$C$5:$C$504,"&gt;="&amp;INDEX(Periods!$E$5:$E$57,$B135),'Time Off Log'!$C$5:$C$504,"&lt;="&amp;INDEX(Periods!$F$5:$F$57,$B135)))</f>
        <v/>
      </c>
      <c r="M135" s="48">
        <f>IF($B135=1,N(INDEX(Employees!$N$5:$N$29,$A135)),P134)</f>
        <v/>
      </c>
      <c r="N135" s="48">
        <f>IF(INDEX(Employees!$L$5:$L$29,$A135)="",K135,MAX(0,MIN(K135,INDEX(Employees!$L$5:$L$29,$A135)-(M135-L135))))</f>
        <v/>
      </c>
      <c r="O135" s="48">
        <f>K135-N135</f>
        <v/>
      </c>
      <c r="P135" s="48">
        <f>M135-L135+N135</f>
        <v/>
      </c>
      <c r="Q135" s="48">
        <f>IF($G135=0,0,IF(INDEX(Employees!$P$5:$P$29,$A135)="Per pay period",(N(INDEX(Employees!$Q$5:$Q$29,$A135)))/Settings!$B$13,IF(INDEX(Employees!$P$5:$P$29,$A135)="Per hour worked",N(INDEX(Employees!$R$5:$R$29,$A135))*$I135,IF(INDEX(Employees!$P$5:$P$29,$A135)="Front-loaded",IF(OR($B135=1,N($G134)=0),N(INDEX(Employees!$Q$5:$Q$29,$A135)),0),0))))</f>
        <v/>
      </c>
      <c r="R135" s="48">
        <f>IF($F135=0,0,SUMIFS('Time Off Log'!$H$5:$H$504,'Time Off Log'!$A$5:$A$504,$C135,'Time Off Log'!$B$5:$B$504,"Sick",'Time Off Log'!$E$5:$E$504,"Approved",'Time Off Log'!$C$5:$C$504,"&gt;="&amp;INDEX(Periods!$E$5:$E$57,$B135),'Time Off Log'!$C$5:$C$504,"&lt;="&amp;INDEX(Periods!$F$5:$F$57,$B135)))</f>
        <v/>
      </c>
      <c r="S135" s="48">
        <f>IF($B135=1,N(INDEX(Employees!$T$5:$T$29,$A135)),V134)</f>
        <v/>
      </c>
      <c r="T135" s="48">
        <f>IF(INDEX(Employees!$S$5:$S$29,$A135)="",Q135,MAX(0,MIN(Q135,INDEX(Employees!$S$5:$S$29,$A135)-(S135-R135))))</f>
        <v/>
      </c>
      <c r="U135" s="48">
        <f>Q135-T135</f>
        <v/>
      </c>
      <c r="V135" s="48">
        <f>S135-R135+T135</f>
        <v/>
      </c>
    </row>
    <row r="136">
      <c r="A136" s="47" t="n">
        <v>3</v>
      </c>
      <c r="B136" s="47" t="n">
        <v>26</v>
      </c>
      <c r="C136" s="48">
        <f>INDEX(Employees!$B$5:$B$29,$A136)&amp;""</f>
        <v/>
      </c>
      <c r="D136" s="49">
        <f>INDEX(Periods!$B$5:$B$57,$B136)</f>
        <v/>
      </c>
      <c r="E136" s="49">
        <f>INDEX(Periods!$C$5:$C$57,$B136)</f>
        <v/>
      </c>
      <c r="F136" s="47">
        <f>IF(AND($C136&lt;&gt;"",INDEX(Periods!$D$5:$D$57,$B136)=1),1,0)</f>
        <v/>
      </c>
      <c r="G136" s="47">
        <f>IF($F136=0,0,IF(AND(OR(INDEX(Employees!$D$5:$D$29,$A136)="",$E136&gt;=INDEX(Employees!$D$5:$D$29,$A136)+N(INDEX(Employees!$U$5:$U$29,$A136))),OR(INDEX(Employees!$E$5:$E$29,$A136)="",$D136&lt;=INDEX(Employees!$E$5:$E$29,$A136))),1,0))</f>
        <v/>
      </c>
      <c r="H136" s="47">
        <f>IF($G136=0,0,IF(INDEX(Employees!$D$5:$D$29,$A136)="",0,DATEDIF(INDEX(Employees!$D$5:$D$29,$A136),$E136,"y")))</f>
        <v/>
      </c>
      <c r="I136" s="48">
        <f>IF($G136=0,0,IF(INDEX('Hours Worked'!$D$5:$BD$29,$A136,$B136)="",N(INDEX(Employees!$H$5:$H$29,$A136)),INDEX('Hours Worked'!$D$5:$BD$29,$A136,$B136)))</f>
        <v/>
      </c>
      <c r="J136" s="48">
        <f>IF(OR($G136=0,INDEX(Employees!$O$5:$O$29,$A136)&lt;&gt;"Yes"),0,IF(COUNTIF(Settings!$D$4:$D$9,"&lt;="&amp;$H136)=0,0,INDEX(Settings!$E$4:$E$9,COUNTIF(Settings!$D$4:$D$9,"&lt;="&amp;$H136))))</f>
        <v/>
      </c>
      <c r="K136" s="48">
        <f>IF($G136=0,0,IF(INDEX(Employees!$I$5:$I$29,$A136)="Per pay period",(N(INDEX(Employees!$J$5:$J$29,$A136))+$J136)/Settings!$B$13,IF(INDEX(Employees!$I$5:$I$29,$A136)="Per hour worked",N(INDEX(Employees!$K$5:$K$29,$A136))*$I136,IF(INDEX(Employees!$I$5:$I$29,$A136)="Front-loaded",IF(OR($B136=1,N($G135)=0),N(INDEX(Employees!$J$5:$J$29,$A136))+$J136,0),0))))</f>
        <v/>
      </c>
      <c r="L136" s="48">
        <f>IF($F136=0,0,SUMIFS('Time Off Log'!$H$5:$H$504,'Time Off Log'!$A$5:$A$504,$C136,'Time Off Log'!$B$5:$B$504,"PTO",'Time Off Log'!$E$5:$E$504,"Approved",'Time Off Log'!$C$5:$C$504,"&gt;="&amp;INDEX(Periods!$E$5:$E$57,$B136),'Time Off Log'!$C$5:$C$504,"&lt;="&amp;INDEX(Periods!$F$5:$F$57,$B136)))</f>
        <v/>
      </c>
      <c r="M136" s="48">
        <f>IF($B136=1,N(INDEX(Employees!$N$5:$N$29,$A136)),P135)</f>
        <v/>
      </c>
      <c r="N136" s="48">
        <f>IF(INDEX(Employees!$L$5:$L$29,$A136)="",K136,MAX(0,MIN(K136,INDEX(Employees!$L$5:$L$29,$A136)-(M136-L136))))</f>
        <v/>
      </c>
      <c r="O136" s="48">
        <f>K136-N136</f>
        <v/>
      </c>
      <c r="P136" s="48">
        <f>M136-L136+N136</f>
        <v/>
      </c>
      <c r="Q136" s="48">
        <f>IF($G136=0,0,IF(INDEX(Employees!$P$5:$P$29,$A136)="Per pay period",(N(INDEX(Employees!$Q$5:$Q$29,$A136)))/Settings!$B$13,IF(INDEX(Employees!$P$5:$P$29,$A136)="Per hour worked",N(INDEX(Employees!$R$5:$R$29,$A136))*$I136,IF(INDEX(Employees!$P$5:$P$29,$A136)="Front-loaded",IF(OR($B136=1,N($G135)=0),N(INDEX(Employees!$Q$5:$Q$29,$A136)),0),0))))</f>
        <v/>
      </c>
      <c r="R136" s="48">
        <f>IF($F136=0,0,SUMIFS('Time Off Log'!$H$5:$H$504,'Time Off Log'!$A$5:$A$504,$C136,'Time Off Log'!$B$5:$B$504,"Sick",'Time Off Log'!$E$5:$E$504,"Approved",'Time Off Log'!$C$5:$C$504,"&gt;="&amp;INDEX(Periods!$E$5:$E$57,$B136),'Time Off Log'!$C$5:$C$504,"&lt;="&amp;INDEX(Periods!$F$5:$F$57,$B136)))</f>
        <v/>
      </c>
      <c r="S136" s="48">
        <f>IF($B136=1,N(INDEX(Employees!$T$5:$T$29,$A136)),V135)</f>
        <v/>
      </c>
      <c r="T136" s="48">
        <f>IF(INDEX(Employees!$S$5:$S$29,$A136)="",Q136,MAX(0,MIN(Q136,INDEX(Employees!$S$5:$S$29,$A136)-(S136-R136))))</f>
        <v/>
      </c>
      <c r="U136" s="48">
        <f>Q136-T136</f>
        <v/>
      </c>
      <c r="V136" s="48">
        <f>S136-R136+T136</f>
        <v/>
      </c>
    </row>
    <row r="137">
      <c r="A137" s="47" t="n">
        <v>3</v>
      </c>
      <c r="B137" s="47" t="n">
        <v>27</v>
      </c>
      <c r="C137" s="48">
        <f>INDEX(Employees!$B$5:$B$29,$A137)&amp;""</f>
        <v/>
      </c>
      <c r="D137" s="49">
        <f>INDEX(Periods!$B$5:$B$57,$B137)</f>
        <v/>
      </c>
      <c r="E137" s="49">
        <f>INDEX(Periods!$C$5:$C$57,$B137)</f>
        <v/>
      </c>
      <c r="F137" s="47">
        <f>IF(AND($C137&lt;&gt;"",INDEX(Periods!$D$5:$D$57,$B137)=1),1,0)</f>
        <v/>
      </c>
      <c r="G137" s="47">
        <f>IF($F137=0,0,IF(AND(OR(INDEX(Employees!$D$5:$D$29,$A137)="",$E137&gt;=INDEX(Employees!$D$5:$D$29,$A137)+N(INDEX(Employees!$U$5:$U$29,$A137))),OR(INDEX(Employees!$E$5:$E$29,$A137)="",$D137&lt;=INDEX(Employees!$E$5:$E$29,$A137))),1,0))</f>
        <v/>
      </c>
      <c r="H137" s="47">
        <f>IF($G137=0,0,IF(INDEX(Employees!$D$5:$D$29,$A137)="",0,DATEDIF(INDEX(Employees!$D$5:$D$29,$A137),$E137,"y")))</f>
        <v/>
      </c>
      <c r="I137" s="48">
        <f>IF($G137=0,0,IF(INDEX('Hours Worked'!$D$5:$BD$29,$A137,$B137)="",N(INDEX(Employees!$H$5:$H$29,$A137)),INDEX('Hours Worked'!$D$5:$BD$29,$A137,$B137)))</f>
        <v/>
      </c>
      <c r="J137" s="48">
        <f>IF(OR($G137=0,INDEX(Employees!$O$5:$O$29,$A137)&lt;&gt;"Yes"),0,IF(COUNTIF(Settings!$D$4:$D$9,"&lt;="&amp;$H137)=0,0,INDEX(Settings!$E$4:$E$9,COUNTIF(Settings!$D$4:$D$9,"&lt;="&amp;$H137))))</f>
        <v/>
      </c>
      <c r="K137" s="48">
        <f>IF($G137=0,0,IF(INDEX(Employees!$I$5:$I$29,$A137)="Per pay period",(N(INDEX(Employees!$J$5:$J$29,$A137))+$J137)/Settings!$B$13,IF(INDEX(Employees!$I$5:$I$29,$A137)="Per hour worked",N(INDEX(Employees!$K$5:$K$29,$A137))*$I137,IF(INDEX(Employees!$I$5:$I$29,$A137)="Front-loaded",IF(OR($B137=1,N($G136)=0),N(INDEX(Employees!$J$5:$J$29,$A137))+$J137,0),0))))</f>
        <v/>
      </c>
      <c r="L137" s="48">
        <f>IF($F137=0,0,SUMIFS('Time Off Log'!$H$5:$H$504,'Time Off Log'!$A$5:$A$504,$C137,'Time Off Log'!$B$5:$B$504,"PTO",'Time Off Log'!$E$5:$E$504,"Approved",'Time Off Log'!$C$5:$C$504,"&gt;="&amp;INDEX(Periods!$E$5:$E$57,$B137),'Time Off Log'!$C$5:$C$504,"&lt;="&amp;INDEX(Periods!$F$5:$F$57,$B137)))</f>
        <v/>
      </c>
      <c r="M137" s="48">
        <f>IF($B137=1,N(INDEX(Employees!$N$5:$N$29,$A137)),P136)</f>
        <v/>
      </c>
      <c r="N137" s="48">
        <f>IF(INDEX(Employees!$L$5:$L$29,$A137)="",K137,MAX(0,MIN(K137,INDEX(Employees!$L$5:$L$29,$A137)-(M137-L137))))</f>
        <v/>
      </c>
      <c r="O137" s="48">
        <f>K137-N137</f>
        <v/>
      </c>
      <c r="P137" s="48">
        <f>M137-L137+N137</f>
        <v/>
      </c>
      <c r="Q137" s="48">
        <f>IF($G137=0,0,IF(INDEX(Employees!$P$5:$P$29,$A137)="Per pay period",(N(INDEX(Employees!$Q$5:$Q$29,$A137)))/Settings!$B$13,IF(INDEX(Employees!$P$5:$P$29,$A137)="Per hour worked",N(INDEX(Employees!$R$5:$R$29,$A137))*$I137,IF(INDEX(Employees!$P$5:$P$29,$A137)="Front-loaded",IF(OR($B137=1,N($G136)=0),N(INDEX(Employees!$Q$5:$Q$29,$A137)),0),0))))</f>
        <v/>
      </c>
      <c r="R137" s="48">
        <f>IF($F137=0,0,SUMIFS('Time Off Log'!$H$5:$H$504,'Time Off Log'!$A$5:$A$504,$C137,'Time Off Log'!$B$5:$B$504,"Sick",'Time Off Log'!$E$5:$E$504,"Approved",'Time Off Log'!$C$5:$C$504,"&gt;="&amp;INDEX(Periods!$E$5:$E$57,$B137),'Time Off Log'!$C$5:$C$504,"&lt;="&amp;INDEX(Periods!$F$5:$F$57,$B137)))</f>
        <v/>
      </c>
      <c r="S137" s="48">
        <f>IF($B137=1,N(INDEX(Employees!$T$5:$T$29,$A137)),V136)</f>
        <v/>
      </c>
      <c r="T137" s="48">
        <f>IF(INDEX(Employees!$S$5:$S$29,$A137)="",Q137,MAX(0,MIN(Q137,INDEX(Employees!$S$5:$S$29,$A137)-(S137-R137))))</f>
        <v/>
      </c>
      <c r="U137" s="48">
        <f>Q137-T137</f>
        <v/>
      </c>
      <c r="V137" s="48">
        <f>S137-R137+T137</f>
        <v/>
      </c>
    </row>
    <row r="138">
      <c r="A138" s="47" t="n">
        <v>3</v>
      </c>
      <c r="B138" s="47" t="n">
        <v>28</v>
      </c>
      <c r="C138" s="48">
        <f>INDEX(Employees!$B$5:$B$29,$A138)&amp;""</f>
        <v/>
      </c>
      <c r="D138" s="49">
        <f>INDEX(Periods!$B$5:$B$57,$B138)</f>
        <v/>
      </c>
      <c r="E138" s="49">
        <f>INDEX(Periods!$C$5:$C$57,$B138)</f>
        <v/>
      </c>
      <c r="F138" s="47">
        <f>IF(AND($C138&lt;&gt;"",INDEX(Periods!$D$5:$D$57,$B138)=1),1,0)</f>
        <v/>
      </c>
      <c r="G138" s="47">
        <f>IF($F138=0,0,IF(AND(OR(INDEX(Employees!$D$5:$D$29,$A138)="",$E138&gt;=INDEX(Employees!$D$5:$D$29,$A138)+N(INDEX(Employees!$U$5:$U$29,$A138))),OR(INDEX(Employees!$E$5:$E$29,$A138)="",$D138&lt;=INDEX(Employees!$E$5:$E$29,$A138))),1,0))</f>
        <v/>
      </c>
      <c r="H138" s="47">
        <f>IF($G138=0,0,IF(INDEX(Employees!$D$5:$D$29,$A138)="",0,DATEDIF(INDEX(Employees!$D$5:$D$29,$A138),$E138,"y")))</f>
        <v/>
      </c>
      <c r="I138" s="48">
        <f>IF($G138=0,0,IF(INDEX('Hours Worked'!$D$5:$BD$29,$A138,$B138)="",N(INDEX(Employees!$H$5:$H$29,$A138)),INDEX('Hours Worked'!$D$5:$BD$29,$A138,$B138)))</f>
        <v/>
      </c>
      <c r="J138" s="48">
        <f>IF(OR($G138=0,INDEX(Employees!$O$5:$O$29,$A138)&lt;&gt;"Yes"),0,IF(COUNTIF(Settings!$D$4:$D$9,"&lt;="&amp;$H138)=0,0,INDEX(Settings!$E$4:$E$9,COUNTIF(Settings!$D$4:$D$9,"&lt;="&amp;$H138))))</f>
        <v/>
      </c>
      <c r="K138" s="48">
        <f>IF($G138=0,0,IF(INDEX(Employees!$I$5:$I$29,$A138)="Per pay period",(N(INDEX(Employees!$J$5:$J$29,$A138))+$J138)/Settings!$B$13,IF(INDEX(Employees!$I$5:$I$29,$A138)="Per hour worked",N(INDEX(Employees!$K$5:$K$29,$A138))*$I138,IF(INDEX(Employees!$I$5:$I$29,$A138)="Front-loaded",IF(OR($B138=1,N($G137)=0),N(INDEX(Employees!$J$5:$J$29,$A138))+$J138,0),0))))</f>
        <v/>
      </c>
      <c r="L138" s="48">
        <f>IF($F138=0,0,SUMIFS('Time Off Log'!$H$5:$H$504,'Time Off Log'!$A$5:$A$504,$C138,'Time Off Log'!$B$5:$B$504,"PTO",'Time Off Log'!$E$5:$E$504,"Approved",'Time Off Log'!$C$5:$C$504,"&gt;="&amp;INDEX(Periods!$E$5:$E$57,$B138),'Time Off Log'!$C$5:$C$504,"&lt;="&amp;INDEX(Periods!$F$5:$F$57,$B138)))</f>
        <v/>
      </c>
      <c r="M138" s="48">
        <f>IF($B138=1,N(INDEX(Employees!$N$5:$N$29,$A138)),P137)</f>
        <v/>
      </c>
      <c r="N138" s="48">
        <f>IF(INDEX(Employees!$L$5:$L$29,$A138)="",K138,MAX(0,MIN(K138,INDEX(Employees!$L$5:$L$29,$A138)-(M138-L138))))</f>
        <v/>
      </c>
      <c r="O138" s="48">
        <f>K138-N138</f>
        <v/>
      </c>
      <c r="P138" s="48">
        <f>M138-L138+N138</f>
        <v/>
      </c>
      <c r="Q138" s="48">
        <f>IF($G138=0,0,IF(INDEX(Employees!$P$5:$P$29,$A138)="Per pay period",(N(INDEX(Employees!$Q$5:$Q$29,$A138)))/Settings!$B$13,IF(INDEX(Employees!$P$5:$P$29,$A138)="Per hour worked",N(INDEX(Employees!$R$5:$R$29,$A138))*$I138,IF(INDEX(Employees!$P$5:$P$29,$A138)="Front-loaded",IF(OR($B138=1,N($G137)=0),N(INDEX(Employees!$Q$5:$Q$29,$A138)),0),0))))</f>
        <v/>
      </c>
      <c r="R138" s="48">
        <f>IF($F138=0,0,SUMIFS('Time Off Log'!$H$5:$H$504,'Time Off Log'!$A$5:$A$504,$C138,'Time Off Log'!$B$5:$B$504,"Sick",'Time Off Log'!$E$5:$E$504,"Approved",'Time Off Log'!$C$5:$C$504,"&gt;="&amp;INDEX(Periods!$E$5:$E$57,$B138),'Time Off Log'!$C$5:$C$504,"&lt;="&amp;INDEX(Periods!$F$5:$F$57,$B138)))</f>
        <v/>
      </c>
      <c r="S138" s="48">
        <f>IF($B138=1,N(INDEX(Employees!$T$5:$T$29,$A138)),V137)</f>
        <v/>
      </c>
      <c r="T138" s="48">
        <f>IF(INDEX(Employees!$S$5:$S$29,$A138)="",Q138,MAX(0,MIN(Q138,INDEX(Employees!$S$5:$S$29,$A138)-(S138-R138))))</f>
        <v/>
      </c>
      <c r="U138" s="48">
        <f>Q138-T138</f>
        <v/>
      </c>
      <c r="V138" s="48">
        <f>S138-R138+T138</f>
        <v/>
      </c>
    </row>
    <row r="139">
      <c r="A139" s="47" t="n">
        <v>3</v>
      </c>
      <c r="B139" s="47" t="n">
        <v>29</v>
      </c>
      <c r="C139" s="48">
        <f>INDEX(Employees!$B$5:$B$29,$A139)&amp;""</f>
        <v/>
      </c>
      <c r="D139" s="49">
        <f>INDEX(Periods!$B$5:$B$57,$B139)</f>
        <v/>
      </c>
      <c r="E139" s="49">
        <f>INDEX(Periods!$C$5:$C$57,$B139)</f>
        <v/>
      </c>
      <c r="F139" s="47">
        <f>IF(AND($C139&lt;&gt;"",INDEX(Periods!$D$5:$D$57,$B139)=1),1,0)</f>
        <v/>
      </c>
      <c r="G139" s="47">
        <f>IF($F139=0,0,IF(AND(OR(INDEX(Employees!$D$5:$D$29,$A139)="",$E139&gt;=INDEX(Employees!$D$5:$D$29,$A139)+N(INDEX(Employees!$U$5:$U$29,$A139))),OR(INDEX(Employees!$E$5:$E$29,$A139)="",$D139&lt;=INDEX(Employees!$E$5:$E$29,$A139))),1,0))</f>
        <v/>
      </c>
      <c r="H139" s="47">
        <f>IF($G139=0,0,IF(INDEX(Employees!$D$5:$D$29,$A139)="",0,DATEDIF(INDEX(Employees!$D$5:$D$29,$A139),$E139,"y")))</f>
        <v/>
      </c>
      <c r="I139" s="48">
        <f>IF($G139=0,0,IF(INDEX('Hours Worked'!$D$5:$BD$29,$A139,$B139)="",N(INDEX(Employees!$H$5:$H$29,$A139)),INDEX('Hours Worked'!$D$5:$BD$29,$A139,$B139)))</f>
        <v/>
      </c>
      <c r="J139" s="48">
        <f>IF(OR($G139=0,INDEX(Employees!$O$5:$O$29,$A139)&lt;&gt;"Yes"),0,IF(COUNTIF(Settings!$D$4:$D$9,"&lt;="&amp;$H139)=0,0,INDEX(Settings!$E$4:$E$9,COUNTIF(Settings!$D$4:$D$9,"&lt;="&amp;$H139))))</f>
        <v/>
      </c>
      <c r="K139" s="48">
        <f>IF($G139=0,0,IF(INDEX(Employees!$I$5:$I$29,$A139)="Per pay period",(N(INDEX(Employees!$J$5:$J$29,$A139))+$J139)/Settings!$B$13,IF(INDEX(Employees!$I$5:$I$29,$A139)="Per hour worked",N(INDEX(Employees!$K$5:$K$29,$A139))*$I139,IF(INDEX(Employees!$I$5:$I$29,$A139)="Front-loaded",IF(OR($B139=1,N($G138)=0),N(INDEX(Employees!$J$5:$J$29,$A139))+$J139,0),0))))</f>
        <v/>
      </c>
      <c r="L139" s="48">
        <f>IF($F139=0,0,SUMIFS('Time Off Log'!$H$5:$H$504,'Time Off Log'!$A$5:$A$504,$C139,'Time Off Log'!$B$5:$B$504,"PTO",'Time Off Log'!$E$5:$E$504,"Approved",'Time Off Log'!$C$5:$C$504,"&gt;="&amp;INDEX(Periods!$E$5:$E$57,$B139),'Time Off Log'!$C$5:$C$504,"&lt;="&amp;INDEX(Periods!$F$5:$F$57,$B139)))</f>
        <v/>
      </c>
      <c r="M139" s="48">
        <f>IF($B139=1,N(INDEX(Employees!$N$5:$N$29,$A139)),P138)</f>
        <v/>
      </c>
      <c r="N139" s="48">
        <f>IF(INDEX(Employees!$L$5:$L$29,$A139)="",K139,MAX(0,MIN(K139,INDEX(Employees!$L$5:$L$29,$A139)-(M139-L139))))</f>
        <v/>
      </c>
      <c r="O139" s="48">
        <f>K139-N139</f>
        <v/>
      </c>
      <c r="P139" s="48">
        <f>M139-L139+N139</f>
        <v/>
      </c>
      <c r="Q139" s="48">
        <f>IF($G139=0,0,IF(INDEX(Employees!$P$5:$P$29,$A139)="Per pay period",(N(INDEX(Employees!$Q$5:$Q$29,$A139)))/Settings!$B$13,IF(INDEX(Employees!$P$5:$P$29,$A139)="Per hour worked",N(INDEX(Employees!$R$5:$R$29,$A139))*$I139,IF(INDEX(Employees!$P$5:$P$29,$A139)="Front-loaded",IF(OR($B139=1,N($G138)=0),N(INDEX(Employees!$Q$5:$Q$29,$A139)),0),0))))</f>
        <v/>
      </c>
      <c r="R139" s="48">
        <f>IF($F139=0,0,SUMIFS('Time Off Log'!$H$5:$H$504,'Time Off Log'!$A$5:$A$504,$C139,'Time Off Log'!$B$5:$B$504,"Sick",'Time Off Log'!$E$5:$E$504,"Approved",'Time Off Log'!$C$5:$C$504,"&gt;="&amp;INDEX(Periods!$E$5:$E$57,$B139),'Time Off Log'!$C$5:$C$504,"&lt;="&amp;INDEX(Periods!$F$5:$F$57,$B139)))</f>
        <v/>
      </c>
      <c r="S139" s="48">
        <f>IF($B139=1,N(INDEX(Employees!$T$5:$T$29,$A139)),V138)</f>
        <v/>
      </c>
      <c r="T139" s="48">
        <f>IF(INDEX(Employees!$S$5:$S$29,$A139)="",Q139,MAX(0,MIN(Q139,INDEX(Employees!$S$5:$S$29,$A139)-(S139-R139))))</f>
        <v/>
      </c>
      <c r="U139" s="48">
        <f>Q139-T139</f>
        <v/>
      </c>
      <c r="V139" s="48">
        <f>S139-R139+T139</f>
        <v/>
      </c>
    </row>
    <row r="140">
      <c r="A140" s="47" t="n">
        <v>3</v>
      </c>
      <c r="B140" s="47" t="n">
        <v>30</v>
      </c>
      <c r="C140" s="48">
        <f>INDEX(Employees!$B$5:$B$29,$A140)&amp;""</f>
        <v/>
      </c>
      <c r="D140" s="49">
        <f>INDEX(Periods!$B$5:$B$57,$B140)</f>
        <v/>
      </c>
      <c r="E140" s="49">
        <f>INDEX(Periods!$C$5:$C$57,$B140)</f>
        <v/>
      </c>
      <c r="F140" s="47">
        <f>IF(AND($C140&lt;&gt;"",INDEX(Periods!$D$5:$D$57,$B140)=1),1,0)</f>
        <v/>
      </c>
      <c r="G140" s="47">
        <f>IF($F140=0,0,IF(AND(OR(INDEX(Employees!$D$5:$D$29,$A140)="",$E140&gt;=INDEX(Employees!$D$5:$D$29,$A140)+N(INDEX(Employees!$U$5:$U$29,$A140))),OR(INDEX(Employees!$E$5:$E$29,$A140)="",$D140&lt;=INDEX(Employees!$E$5:$E$29,$A140))),1,0))</f>
        <v/>
      </c>
      <c r="H140" s="47">
        <f>IF($G140=0,0,IF(INDEX(Employees!$D$5:$D$29,$A140)="",0,DATEDIF(INDEX(Employees!$D$5:$D$29,$A140),$E140,"y")))</f>
        <v/>
      </c>
      <c r="I140" s="48">
        <f>IF($G140=0,0,IF(INDEX('Hours Worked'!$D$5:$BD$29,$A140,$B140)="",N(INDEX(Employees!$H$5:$H$29,$A140)),INDEX('Hours Worked'!$D$5:$BD$29,$A140,$B140)))</f>
        <v/>
      </c>
      <c r="J140" s="48">
        <f>IF(OR($G140=0,INDEX(Employees!$O$5:$O$29,$A140)&lt;&gt;"Yes"),0,IF(COUNTIF(Settings!$D$4:$D$9,"&lt;="&amp;$H140)=0,0,INDEX(Settings!$E$4:$E$9,COUNTIF(Settings!$D$4:$D$9,"&lt;="&amp;$H140))))</f>
        <v/>
      </c>
      <c r="K140" s="48">
        <f>IF($G140=0,0,IF(INDEX(Employees!$I$5:$I$29,$A140)="Per pay period",(N(INDEX(Employees!$J$5:$J$29,$A140))+$J140)/Settings!$B$13,IF(INDEX(Employees!$I$5:$I$29,$A140)="Per hour worked",N(INDEX(Employees!$K$5:$K$29,$A140))*$I140,IF(INDEX(Employees!$I$5:$I$29,$A140)="Front-loaded",IF(OR($B140=1,N($G139)=0),N(INDEX(Employees!$J$5:$J$29,$A140))+$J140,0),0))))</f>
        <v/>
      </c>
      <c r="L140" s="48">
        <f>IF($F140=0,0,SUMIFS('Time Off Log'!$H$5:$H$504,'Time Off Log'!$A$5:$A$504,$C140,'Time Off Log'!$B$5:$B$504,"PTO",'Time Off Log'!$E$5:$E$504,"Approved",'Time Off Log'!$C$5:$C$504,"&gt;="&amp;INDEX(Periods!$E$5:$E$57,$B140),'Time Off Log'!$C$5:$C$504,"&lt;="&amp;INDEX(Periods!$F$5:$F$57,$B140)))</f>
        <v/>
      </c>
      <c r="M140" s="48">
        <f>IF($B140=1,N(INDEX(Employees!$N$5:$N$29,$A140)),P139)</f>
        <v/>
      </c>
      <c r="N140" s="48">
        <f>IF(INDEX(Employees!$L$5:$L$29,$A140)="",K140,MAX(0,MIN(K140,INDEX(Employees!$L$5:$L$29,$A140)-(M140-L140))))</f>
        <v/>
      </c>
      <c r="O140" s="48">
        <f>K140-N140</f>
        <v/>
      </c>
      <c r="P140" s="48">
        <f>M140-L140+N140</f>
        <v/>
      </c>
      <c r="Q140" s="48">
        <f>IF($G140=0,0,IF(INDEX(Employees!$P$5:$P$29,$A140)="Per pay period",(N(INDEX(Employees!$Q$5:$Q$29,$A140)))/Settings!$B$13,IF(INDEX(Employees!$P$5:$P$29,$A140)="Per hour worked",N(INDEX(Employees!$R$5:$R$29,$A140))*$I140,IF(INDEX(Employees!$P$5:$P$29,$A140)="Front-loaded",IF(OR($B140=1,N($G139)=0),N(INDEX(Employees!$Q$5:$Q$29,$A140)),0),0))))</f>
        <v/>
      </c>
      <c r="R140" s="48">
        <f>IF($F140=0,0,SUMIFS('Time Off Log'!$H$5:$H$504,'Time Off Log'!$A$5:$A$504,$C140,'Time Off Log'!$B$5:$B$504,"Sick",'Time Off Log'!$E$5:$E$504,"Approved",'Time Off Log'!$C$5:$C$504,"&gt;="&amp;INDEX(Periods!$E$5:$E$57,$B140),'Time Off Log'!$C$5:$C$504,"&lt;="&amp;INDEX(Periods!$F$5:$F$57,$B140)))</f>
        <v/>
      </c>
      <c r="S140" s="48">
        <f>IF($B140=1,N(INDEX(Employees!$T$5:$T$29,$A140)),V139)</f>
        <v/>
      </c>
      <c r="T140" s="48">
        <f>IF(INDEX(Employees!$S$5:$S$29,$A140)="",Q140,MAX(0,MIN(Q140,INDEX(Employees!$S$5:$S$29,$A140)-(S140-R140))))</f>
        <v/>
      </c>
      <c r="U140" s="48">
        <f>Q140-T140</f>
        <v/>
      </c>
      <c r="V140" s="48">
        <f>S140-R140+T140</f>
        <v/>
      </c>
    </row>
    <row r="141">
      <c r="A141" s="47" t="n">
        <v>3</v>
      </c>
      <c r="B141" s="47" t="n">
        <v>31</v>
      </c>
      <c r="C141" s="48">
        <f>INDEX(Employees!$B$5:$B$29,$A141)&amp;""</f>
        <v/>
      </c>
      <c r="D141" s="49">
        <f>INDEX(Periods!$B$5:$B$57,$B141)</f>
        <v/>
      </c>
      <c r="E141" s="49">
        <f>INDEX(Periods!$C$5:$C$57,$B141)</f>
        <v/>
      </c>
      <c r="F141" s="47">
        <f>IF(AND($C141&lt;&gt;"",INDEX(Periods!$D$5:$D$57,$B141)=1),1,0)</f>
        <v/>
      </c>
      <c r="G141" s="47">
        <f>IF($F141=0,0,IF(AND(OR(INDEX(Employees!$D$5:$D$29,$A141)="",$E141&gt;=INDEX(Employees!$D$5:$D$29,$A141)+N(INDEX(Employees!$U$5:$U$29,$A141))),OR(INDEX(Employees!$E$5:$E$29,$A141)="",$D141&lt;=INDEX(Employees!$E$5:$E$29,$A141))),1,0))</f>
        <v/>
      </c>
      <c r="H141" s="47">
        <f>IF($G141=0,0,IF(INDEX(Employees!$D$5:$D$29,$A141)="",0,DATEDIF(INDEX(Employees!$D$5:$D$29,$A141),$E141,"y")))</f>
        <v/>
      </c>
      <c r="I141" s="48">
        <f>IF($G141=0,0,IF(INDEX('Hours Worked'!$D$5:$BD$29,$A141,$B141)="",N(INDEX(Employees!$H$5:$H$29,$A141)),INDEX('Hours Worked'!$D$5:$BD$29,$A141,$B141)))</f>
        <v/>
      </c>
      <c r="J141" s="48">
        <f>IF(OR($G141=0,INDEX(Employees!$O$5:$O$29,$A141)&lt;&gt;"Yes"),0,IF(COUNTIF(Settings!$D$4:$D$9,"&lt;="&amp;$H141)=0,0,INDEX(Settings!$E$4:$E$9,COUNTIF(Settings!$D$4:$D$9,"&lt;="&amp;$H141))))</f>
        <v/>
      </c>
      <c r="K141" s="48">
        <f>IF($G141=0,0,IF(INDEX(Employees!$I$5:$I$29,$A141)="Per pay period",(N(INDEX(Employees!$J$5:$J$29,$A141))+$J141)/Settings!$B$13,IF(INDEX(Employees!$I$5:$I$29,$A141)="Per hour worked",N(INDEX(Employees!$K$5:$K$29,$A141))*$I141,IF(INDEX(Employees!$I$5:$I$29,$A141)="Front-loaded",IF(OR($B141=1,N($G140)=0),N(INDEX(Employees!$J$5:$J$29,$A141))+$J141,0),0))))</f>
        <v/>
      </c>
      <c r="L141" s="48">
        <f>IF($F141=0,0,SUMIFS('Time Off Log'!$H$5:$H$504,'Time Off Log'!$A$5:$A$504,$C141,'Time Off Log'!$B$5:$B$504,"PTO",'Time Off Log'!$E$5:$E$504,"Approved",'Time Off Log'!$C$5:$C$504,"&gt;="&amp;INDEX(Periods!$E$5:$E$57,$B141),'Time Off Log'!$C$5:$C$504,"&lt;="&amp;INDEX(Periods!$F$5:$F$57,$B141)))</f>
        <v/>
      </c>
      <c r="M141" s="48">
        <f>IF($B141=1,N(INDEX(Employees!$N$5:$N$29,$A141)),P140)</f>
        <v/>
      </c>
      <c r="N141" s="48">
        <f>IF(INDEX(Employees!$L$5:$L$29,$A141)="",K141,MAX(0,MIN(K141,INDEX(Employees!$L$5:$L$29,$A141)-(M141-L141))))</f>
        <v/>
      </c>
      <c r="O141" s="48">
        <f>K141-N141</f>
        <v/>
      </c>
      <c r="P141" s="48">
        <f>M141-L141+N141</f>
        <v/>
      </c>
      <c r="Q141" s="48">
        <f>IF($G141=0,0,IF(INDEX(Employees!$P$5:$P$29,$A141)="Per pay period",(N(INDEX(Employees!$Q$5:$Q$29,$A141)))/Settings!$B$13,IF(INDEX(Employees!$P$5:$P$29,$A141)="Per hour worked",N(INDEX(Employees!$R$5:$R$29,$A141))*$I141,IF(INDEX(Employees!$P$5:$P$29,$A141)="Front-loaded",IF(OR($B141=1,N($G140)=0),N(INDEX(Employees!$Q$5:$Q$29,$A141)),0),0))))</f>
        <v/>
      </c>
      <c r="R141" s="48">
        <f>IF($F141=0,0,SUMIFS('Time Off Log'!$H$5:$H$504,'Time Off Log'!$A$5:$A$504,$C141,'Time Off Log'!$B$5:$B$504,"Sick",'Time Off Log'!$E$5:$E$504,"Approved",'Time Off Log'!$C$5:$C$504,"&gt;="&amp;INDEX(Periods!$E$5:$E$57,$B141),'Time Off Log'!$C$5:$C$504,"&lt;="&amp;INDEX(Periods!$F$5:$F$57,$B141)))</f>
        <v/>
      </c>
      <c r="S141" s="48">
        <f>IF($B141=1,N(INDEX(Employees!$T$5:$T$29,$A141)),V140)</f>
        <v/>
      </c>
      <c r="T141" s="48">
        <f>IF(INDEX(Employees!$S$5:$S$29,$A141)="",Q141,MAX(0,MIN(Q141,INDEX(Employees!$S$5:$S$29,$A141)-(S141-R141))))</f>
        <v/>
      </c>
      <c r="U141" s="48">
        <f>Q141-T141</f>
        <v/>
      </c>
      <c r="V141" s="48">
        <f>S141-R141+T141</f>
        <v/>
      </c>
    </row>
    <row r="142">
      <c r="A142" s="47" t="n">
        <v>3</v>
      </c>
      <c r="B142" s="47" t="n">
        <v>32</v>
      </c>
      <c r="C142" s="48">
        <f>INDEX(Employees!$B$5:$B$29,$A142)&amp;""</f>
        <v/>
      </c>
      <c r="D142" s="49">
        <f>INDEX(Periods!$B$5:$B$57,$B142)</f>
        <v/>
      </c>
      <c r="E142" s="49">
        <f>INDEX(Periods!$C$5:$C$57,$B142)</f>
        <v/>
      </c>
      <c r="F142" s="47">
        <f>IF(AND($C142&lt;&gt;"",INDEX(Periods!$D$5:$D$57,$B142)=1),1,0)</f>
        <v/>
      </c>
      <c r="G142" s="47">
        <f>IF($F142=0,0,IF(AND(OR(INDEX(Employees!$D$5:$D$29,$A142)="",$E142&gt;=INDEX(Employees!$D$5:$D$29,$A142)+N(INDEX(Employees!$U$5:$U$29,$A142))),OR(INDEX(Employees!$E$5:$E$29,$A142)="",$D142&lt;=INDEX(Employees!$E$5:$E$29,$A142))),1,0))</f>
        <v/>
      </c>
      <c r="H142" s="47">
        <f>IF($G142=0,0,IF(INDEX(Employees!$D$5:$D$29,$A142)="",0,DATEDIF(INDEX(Employees!$D$5:$D$29,$A142),$E142,"y")))</f>
        <v/>
      </c>
      <c r="I142" s="48">
        <f>IF($G142=0,0,IF(INDEX('Hours Worked'!$D$5:$BD$29,$A142,$B142)="",N(INDEX(Employees!$H$5:$H$29,$A142)),INDEX('Hours Worked'!$D$5:$BD$29,$A142,$B142)))</f>
        <v/>
      </c>
      <c r="J142" s="48">
        <f>IF(OR($G142=0,INDEX(Employees!$O$5:$O$29,$A142)&lt;&gt;"Yes"),0,IF(COUNTIF(Settings!$D$4:$D$9,"&lt;="&amp;$H142)=0,0,INDEX(Settings!$E$4:$E$9,COUNTIF(Settings!$D$4:$D$9,"&lt;="&amp;$H142))))</f>
        <v/>
      </c>
      <c r="K142" s="48">
        <f>IF($G142=0,0,IF(INDEX(Employees!$I$5:$I$29,$A142)="Per pay period",(N(INDEX(Employees!$J$5:$J$29,$A142))+$J142)/Settings!$B$13,IF(INDEX(Employees!$I$5:$I$29,$A142)="Per hour worked",N(INDEX(Employees!$K$5:$K$29,$A142))*$I142,IF(INDEX(Employees!$I$5:$I$29,$A142)="Front-loaded",IF(OR($B142=1,N($G141)=0),N(INDEX(Employees!$J$5:$J$29,$A142))+$J142,0),0))))</f>
        <v/>
      </c>
      <c r="L142" s="48">
        <f>IF($F142=0,0,SUMIFS('Time Off Log'!$H$5:$H$504,'Time Off Log'!$A$5:$A$504,$C142,'Time Off Log'!$B$5:$B$504,"PTO",'Time Off Log'!$E$5:$E$504,"Approved",'Time Off Log'!$C$5:$C$504,"&gt;="&amp;INDEX(Periods!$E$5:$E$57,$B142),'Time Off Log'!$C$5:$C$504,"&lt;="&amp;INDEX(Periods!$F$5:$F$57,$B142)))</f>
        <v/>
      </c>
      <c r="M142" s="48">
        <f>IF($B142=1,N(INDEX(Employees!$N$5:$N$29,$A142)),P141)</f>
        <v/>
      </c>
      <c r="N142" s="48">
        <f>IF(INDEX(Employees!$L$5:$L$29,$A142)="",K142,MAX(0,MIN(K142,INDEX(Employees!$L$5:$L$29,$A142)-(M142-L142))))</f>
        <v/>
      </c>
      <c r="O142" s="48">
        <f>K142-N142</f>
        <v/>
      </c>
      <c r="P142" s="48">
        <f>M142-L142+N142</f>
        <v/>
      </c>
      <c r="Q142" s="48">
        <f>IF($G142=0,0,IF(INDEX(Employees!$P$5:$P$29,$A142)="Per pay period",(N(INDEX(Employees!$Q$5:$Q$29,$A142)))/Settings!$B$13,IF(INDEX(Employees!$P$5:$P$29,$A142)="Per hour worked",N(INDEX(Employees!$R$5:$R$29,$A142))*$I142,IF(INDEX(Employees!$P$5:$P$29,$A142)="Front-loaded",IF(OR($B142=1,N($G141)=0),N(INDEX(Employees!$Q$5:$Q$29,$A142)),0),0))))</f>
        <v/>
      </c>
      <c r="R142" s="48">
        <f>IF($F142=0,0,SUMIFS('Time Off Log'!$H$5:$H$504,'Time Off Log'!$A$5:$A$504,$C142,'Time Off Log'!$B$5:$B$504,"Sick",'Time Off Log'!$E$5:$E$504,"Approved",'Time Off Log'!$C$5:$C$504,"&gt;="&amp;INDEX(Periods!$E$5:$E$57,$B142),'Time Off Log'!$C$5:$C$504,"&lt;="&amp;INDEX(Periods!$F$5:$F$57,$B142)))</f>
        <v/>
      </c>
      <c r="S142" s="48">
        <f>IF($B142=1,N(INDEX(Employees!$T$5:$T$29,$A142)),V141)</f>
        <v/>
      </c>
      <c r="T142" s="48">
        <f>IF(INDEX(Employees!$S$5:$S$29,$A142)="",Q142,MAX(0,MIN(Q142,INDEX(Employees!$S$5:$S$29,$A142)-(S142-R142))))</f>
        <v/>
      </c>
      <c r="U142" s="48">
        <f>Q142-T142</f>
        <v/>
      </c>
      <c r="V142" s="48">
        <f>S142-R142+T142</f>
        <v/>
      </c>
    </row>
    <row r="143">
      <c r="A143" s="47" t="n">
        <v>3</v>
      </c>
      <c r="B143" s="47" t="n">
        <v>33</v>
      </c>
      <c r="C143" s="48">
        <f>INDEX(Employees!$B$5:$B$29,$A143)&amp;""</f>
        <v/>
      </c>
      <c r="D143" s="49">
        <f>INDEX(Periods!$B$5:$B$57,$B143)</f>
        <v/>
      </c>
      <c r="E143" s="49">
        <f>INDEX(Periods!$C$5:$C$57,$B143)</f>
        <v/>
      </c>
      <c r="F143" s="47">
        <f>IF(AND($C143&lt;&gt;"",INDEX(Periods!$D$5:$D$57,$B143)=1),1,0)</f>
        <v/>
      </c>
      <c r="G143" s="47">
        <f>IF($F143=0,0,IF(AND(OR(INDEX(Employees!$D$5:$D$29,$A143)="",$E143&gt;=INDEX(Employees!$D$5:$D$29,$A143)+N(INDEX(Employees!$U$5:$U$29,$A143))),OR(INDEX(Employees!$E$5:$E$29,$A143)="",$D143&lt;=INDEX(Employees!$E$5:$E$29,$A143))),1,0))</f>
        <v/>
      </c>
      <c r="H143" s="47">
        <f>IF($G143=0,0,IF(INDEX(Employees!$D$5:$D$29,$A143)="",0,DATEDIF(INDEX(Employees!$D$5:$D$29,$A143),$E143,"y")))</f>
        <v/>
      </c>
      <c r="I143" s="48">
        <f>IF($G143=0,0,IF(INDEX('Hours Worked'!$D$5:$BD$29,$A143,$B143)="",N(INDEX(Employees!$H$5:$H$29,$A143)),INDEX('Hours Worked'!$D$5:$BD$29,$A143,$B143)))</f>
        <v/>
      </c>
      <c r="J143" s="48">
        <f>IF(OR($G143=0,INDEX(Employees!$O$5:$O$29,$A143)&lt;&gt;"Yes"),0,IF(COUNTIF(Settings!$D$4:$D$9,"&lt;="&amp;$H143)=0,0,INDEX(Settings!$E$4:$E$9,COUNTIF(Settings!$D$4:$D$9,"&lt;="&amp;$H143))))</f>
        <v/>
      </c>
      <c r="K143" s="48">
        <f>IF($G143=0,0,IF(INDEX(Employees!$I$5:$I$29,$A143)="Per pay period",(N(INDEX(Employees!$J$5:$J$29,$A143))+$J143)/Settings!$B$13,IF(INDEX(Employees!$I$5:$I$29,$A143)="Per hour worked",N(INDEX(Employees!$K$5:$K$29,$A143))*$I143,IF(INDEX(Employees!$I$5:$I$29,$A143)="Front-loaded",IF(OR($B143=1,N($G142)=0),N(INDEX(Employees!$J$5:$J$29,$A143))+$J143,0),0))))</f>
        <v/>
      </c>
      <c r="L143" s="48">
        <f>IF($F143=0,0,SUMIFS('Time Off Log'!$H$5:$H$504,'Time Off Log'!$A$5:$A$504,$C143,'Time Off Log'!$B$5:$B$504,"PTO",'Time Off Log'!$E$5:$E$504,"Approved",'Time Off Log'!$C$5:$C$504,"&gt;="&amp;INDEX(Periods!$E$5:$E$57,$B143),'Time Off Log'!$C$5:$C$504,"&lt;="&amp;INDEX(Periods!$F$5:$F$57,$B143)))</f>
        <v/>
      </c>
      <c r="M143" s="48">
        <f>IF($B143=1,N(INDEX(Employees!$N$5:$N$29,$A143)),P142)</f>
        <v/>
      </c>
      <c r="N143" s="48">
        <f>IF(INDEX(Employees!$L$5:$L$29,$A143)="",K143,MAX(0,MIN(K143,INDEX(Employees!$L$5:$L$29,$A143)-(M143-L143))))</f>
        <v/>
      </c>
      <c r="O143" s="48">
        <f>K143-N143</f>
        <v/>
      </c>
      <c r="P143" s="48">
        <f>M143-L143+N143</f>
        <v/>
      </c>
      <c r="Q143" s="48">
        <f>IF($G143=0,0,IF(INDEX(Employees!$P$5:$P$29,$A143)="Per pay period",(N(INDEX(Employees!$Q$5:$Q$29,$A143)))/Settings!$B$13,IF(INDEX(Employees!$P$5:$P$29,$A143)="Per hour worked",N(INDEX(Employees!$R$5:$R$29,$A143))*$I143,IF(INDEX(Employees!$P$5:$P$29,$A143)="Front-loaded",IF(OR($B143=1,N($G142)=0),N(INDEX(Employees!$Q$5:$Q$29,$A143)),0),0))))</f>
        <v/>
      </c>
      <c r="R143" s="48">
        <f>IF($F143=0,0,SUMIFS('Time Off Log'!$H$5:$H$504,'Time Off Log'!$A$5:$A$504,$C143,'Time Off Log'!$B$5:$B$504,"Sick",'Time Off Log'!$E$5:$E$504,"Approved",'Time Off Log'!$C$5:$C$504,"&gt;="&amp;INDEX(Periods!$E$5:$E$57,$B143),'Time Off Log'!$C$5:$C$504,"&lt;="&amp;INDEX(Periods!$F$5:$F$57,$B143)))</f>
        <v/>
      </c>
      <c r="S143" s="48">
        <f>IF($B143=1,N(INDEX(Employees!$T$5:$T$29,$A143)),V142)</f>
        <v/>
      </c>
      <c r="T143" s="48">
        <f>IF(INDEX(Employees!$S$5:$S$29,$A143)="",Q143,MAX(0,MIN(Q143,INDEX(Employees!$S$5:$S$29,$A143)-(S143-R143))))</f>
        <v/>
      </c>
      <c r="U143" s="48">
        <f>Q143-T143</f>
        <v/>
      </c>
      <c r="V143" s="48">
        <f>S143-R143+T143</f>
        <v/>
      </c>
    </row>
    <row r="144">
      <c r="A144" s="47" t="n">
        <v>3</v>
      </c>
      <c r="B144" s="47" t="n">
        <v>34</v>
      </c>
      <c r="C144" s="48">
        <f>INDEX(Employees!$B$5:$B$29,$A144)&amp;""</f>
        <v/>
      </c>
      <c r="D144" s="49">
        <f>INDEX(Periods!$B$5:$B$57,$B144)</f>
        <v/>
      </c>
      <c r="E144" s="49">
        <f>INDEX(Periods!$C$5:$C$57,$B144)</f>
        <v/>
      </c>
      <c r="F144" s="47">
        <f>IF(AND($C144&lt;&gt;"",INDEX(Periods!$D$5:$D$57,$B144)=1),1,0)</f>
        <v/>
      </c>
      <c r="G144" s="47">
        <f>IF($F144=0,0,IF(AND(OR(INDEX(Employees!$D$5:$D$29,$A144)="",$E144&gt;=INDEX(Employees!$D$5:$D$29,$A144)+N(INDEX(Employees!$U$5:$U$29,$A144))),OR(INDEX(Employees!$E$5:$E$29,$A144)="",$D144&lt;=INDEX(Employees!$E$5:$E$29,$A144))),1,0))</f>
        <v/>
      </c>
      <c r="H144" s="47">
        <f>IF($G144=0,0,IF(INDEX(Employees!$D$5:$D$29,$A144)="",0,DATEDIF(INDEX(Employees!$D$5:$D$29,$A144),$E144,"y")))</f>
        <v/>
      </c>
      <c r="I144" s="48">
        <f>IF($G144=0,0,IF(INDEX('Hours Worked'!$D$5:$BD$29,$A144,$B144)="",N(INDEX(Employees!$H$5:$H$29,$A144)),INDEX('Hours Worked'!$D$5:$BD$29,$A144,$B144)))</f>
        <v/>
      </c>
      <c r="J144" s="48">
        <f>IF(OR($G144=0,INDEX(Employees!$O$5:$O$29,$A144)&lt;&gt;"Yes"),0,IF(COUNTIF(Settings!$D$4:$D$9,"&lt;="&amp;$H144)=0,0,INDEX(Settings!$E$4:$E$9,COUNTIF(Settings!$D$4:$D$9,"&lt;="&amp;$H144))))</f>
        <v/>
      </c>
      <c r="K144" s="48">
        <f>IF($G144=0,0,IF(INDEX(Employees!$I$5:$I$29,$A144)="Per pay period",(N(INDEX(Employees!$J$5:$J$29,$A144))+$J144)/Settings!$B$13,IF(INDEX(Employees!$I$5:$I$29,$A144)="Per hour worked",N(INDEX(Employees!$K$5:$K$29,$A144))*$I144,IF(INDEX(Employees!$I$5:$I$29,$A144)="Front-loaded",IF(OR($B144=1,N($G143)=0),N(INDEX(Employees!$J$5:$J$29,$A144))+$J144,0),0))))</f>
        <v/>
      </c>
      <c r="L144" s="48">
        <f>IF($F144=0,0,SUMIFS('Time Off Log'!$H$5:$H$504,'Time Off Log'!$A$5:$A$504,$C144,'Time Off Log'!$B$5:$B$504,"PTO",'Time Off Log'!$E$5:$E$504,"Approved",'Time Off Log'!$C$5:$C$504,"&gt;="&amp;INDEX(Periods!$E$5:$E$57,$B144),'Time Off Log'!$C$5:$C$504,"&lt;="&amp;INDEX(Periods!$F$5:$F$57,$B144)))</f>
        <v/>
      </c>
      <c r="M144" s="48">
        <f>IF($B144=1,N(INDEX(Employees!$N$5:$N$29,$A144)),P143)</f>
        <v/>
      </c>
      <c r="N144" s="48">
        <f>IF(INDEX(Employees!$L$5:$L$29,$A144)="",K144,MAX(0,MIN(K144,INDEX(Employees!$L$5:$L$29,$A144)-(M144-L144))))</f>
        <v/>
      </c>
      <c r="O144" s="48">
        <f>K144-N144</f>
        <v/>
      </c>
      <c r="P144" s="48">
        <f>M144-L144+N144</f>
        <v/>
      </c>
      <c r="Q144" s="48">
        <f>IF($G144=0,0,IF(INDEX(Employees!$P$5:$P$29,$A144)="Per pay period",(N(INDEX(Employees!$Q$5:$Q$29,$A144)))/Settings!$B$13,IF(INDEX(Employees!$P$5:$P$29,$A144)="Per hour worked",N(INDEX(Employees!$R$5:$R$29,$A144))*$I144,IF(INDEX(Employees!$P$5:$P$29,$A144)="Front-loaded",IF(OR($B144=1,N($G143)=0),N(INDEX(Employees!$Q$5:$Q$29,$A144)),0),0))))</f>
        <v/>
      </c>
      <c r="R144" s="48">
        <f>IF($F144=0,0,SUMIFS('Time Off Log'!$H$5:$H$504,'Time Off Log'!$A$5:$A$504,$C144,'Time Off Log'!$B$5:$B$504,"Sick",'Time Off Log'!$E$5:$E$504,"Approved",'Time Off Log'!$C$5:$C$504,"&gt;="&amp;INDEX(Periods!$E$5:$E$57,$B144),'Time Off Log'!$C$5:$C$504,"&lt;="&amp;INDEX(Periods!$F$5:$F$57,$B144)))</f>
        <v/>
      </c>
      <c r="S144" s="48">
        <f>IF($B144=1,N(INDEX(Employees!$T$5:$T$29,$A144)),V143)</f>
        <v/>
      </c>
      <c r="T144" s="48">
        <f>IF(INDEX(Employees!$S$5:$S$29,$A144)="",Q144,MAX(0,MIN(Q144,INDEX(Employees!$S$5:$S$29,$A144)-(S144-R144))))</f>
        <v/>
      </c>
      <c r="U144" s="48">
        <f>Q144-T144</f>
        <v/>
      </c>
      <c r="V144" s="48">
        <f>S144-R144+T144</f>
        <v/>
      </c>
    </row>
    <row r="145">
      <c r="A145" s="47" t="n">
        <v>3</v>
      </c>
      <c r="B145" s="47" t="n">
        <v>35</v>
      </c>
      <c r="C145" s="48">
        <f>INDEX(Employees!$B$5:$B$29,$A145)&amp;""</f>
        <v/>
      </c>
      <c r="D145" s="49">
        <f>INDEX(Periods!$B$5:$B$57,$B145)</f>
        <v/>
      </c>
      <c r="E145" s="49">
        <f>INDEX(Periods!$C$5:$C$57,$B145)</f>
        <v/>
      </c>
      <c r="F145" s="47">
        <f>IF(AND($C145&lt;&gt;"",INDEX(Periods!$D$5:$D$57,$B145)=1),1,0)</f>
        <v/>
      </c>
      <c r="G145" s="47">
        <f>IF($F145=0,0,IF(AND(OR(INDEX(Employees!$D$5:$D$29,$A145)="",$E145&gt;=INDEX(Employees!$D$5:$D$29,$A145)+N(INDEX(Employees!$U$5:$U$29,$A145))),OR(INDEX(Employees!$E$5:$E$29,$A145)="",$D145&lt;=INDEX(Employees!$E$5:$E$29,$A145))),1,0))</f>
        <v/>
      </c>
      <c r="H145" s="47">
        <f>IF($G145=0,0,IF(INDEX(Employees!$D$5:$D$29,$A145)="",0,DATEDIF(INDEX(Employees!$D$5:$D$29,$A145),$E145,"y")))</f>
        <v/>
      </c>
      <c r="I145" s="48">
        <f>IF($G145=0,0,IF(INDEX('Hours Worked'!$D$5:$BD$29,$A145,$B145)="",N(INDEX(Employees!$H$5:$H$29,$A145)),INDEX('Hours Worked'!$D$5:$BD$29,$A145,$B145)))</f>
        <v/>
      </c>
      <c r="J145" s="48">
        <f>IF(OR($G145=0,INDEX(Employees!$O$5:$O$29,$A145)&lt;&gt;"Yes"),0,IF(COUNTIF(Settings!$D$4:$D$9,"&lt;="&amp;$H145)=0,0,INDEX(Settings!$E$4:$E$9,COUNTIF(Settings!$D$4:$D$9,"&lt;="&amp;$H145))))</f>
        <v/>
      </c>
      <c r="K145" s="48">
        <f>IF($G145=0,0,IF(INDEX(Employees!$I$5:$I$29,$A145)="Per pay period",(N(INDEX(Employees!$J$5:$J$29,$A145))+$J145)/Settings!$B$13,IF(INDEX(Employees!$I$5:$I$29,$A145)="Per hour worked",N(INDEX(Employees!$K$5:$K$29,$A145))*$I145,IF(INDEX(Employees!$I$5:$I$29,$A145)="Front-loaded",IF(OR($B145=1,N($G144)=0),N(INDEX(Employees!$J$5:$J$29,$A145))+$J145,0),0))))</f>
        <v/>
      </c>
      <c r="L145" s="48">
        <f>IF($F145=0,0,SUMIFS('Time Off Log'!$H$5:$H$504,'Time Off Log'!$A$5:$A$504,$C145,'Time Off Log'!$B$5:$B$504,"PTO",'Time Off Log'!$E$5:$E$504,"Approved",'Time Off Log'!$C$5:$C$504,"&gt;="&amp;INDEX(Periods!$E$5:$E$57,$B145),'Time Off Log'!$C$5:$C$504,"&lt;="&amp;INDEX(Periods!$F$5:$F$57,$B145)))</f>
        <v/>
      </c>
      <c r="M145" s="48">
        <f>IF($B145=1,N(INDEX(Employees!$N$5:$N$29,$A145)),P144)</f>
        <v/>
      </c>
      <c r="N145" s="48">
        <f>IF(INDEX(Employees!$L$5:$L$29,$A145)="",K145,MAX(0,MIN(K145,INDEX(Employees!$L$5:$L$29,$A145)-(M145-L145))))</f>
        <v/>
      </c>
      <c r="O145" s="48">
        <f>K145-N145</f>
        <v/>
      </c>
      <c r="P145" s="48">
        <f>M145-L145+N145</f>
        <v/>
      </c>
      <c r="Q145" s="48">
        <f>IF($G145=0,0,IF(INDEX(Employees!$P$5:$P$29,$A145)="Per pay period",(N(INDEX(Employees!$Q$5:$Q$29,$A145)))/Settings!$B$13,IF(INDEX(Employees!$P$5:$P$29,$A145)="Per hour worked",N(INDEX(Employees!$R$5:$R$29,$A145))*$I145,IF(INDEX(Employees!$P$5:$P$29,$A145)="Front-loaded",IF(OR($B145=1,N($G144)=0),N(INDEX(Employees!$Q$5:$Q$29,$A145)),0),0))))</f>
        <v/>
      </c>
      <c r="R145" s="48">
        <f>IF($F145=0,0,SUMIFS('Time Off Log'!$H$5:$H$504,'Time Off Log'!$A$5:$A$504,$C145,'Time Off Log'!$B$5:$B$504,"Sick",'Time Off Log'!$E$5:$E$504,"Approved",'Time Off Log'!$C$5:$C$504,"&gt;="&amp;INDEX(Periods!$E$5:$E$57,$B145),'Time Off Log'!$C$5:$C$504,"&lt;="&amp;INDEX(Periods!$F$5:$F$57,$B145)))</f>
        <v/>
      </c>
      <c r="S145" s="48">
        <f>IF($B145=1,N(INDEX(Employees!$T$5:$T$29,$A145)),V144)</f>
        <v/>
      </c>
      <c r="T145" s="48">
        <f>IF(INDEX(Employees!$S$5:$S$29,$A145)="",Q145,MAX(0,MIN(Q145,INDEX(Employees!$S$5:$S$29,$A145)-(S145-R145))))</f>
        <v/>
      </c>
      <c r="U145" s="48">
        <f>Q145-T145</f>
        <v/>
      </c>
      <c r="V145" s="48">
        <f>S145-R145+T145</f>
        <v/>
      </c>
    </row>
    <row r="146">
      <c r="A146" s="47" t="n">
        <v>3</v>
      </c>
      <c r="B146" s="47" t="n">
        <v>36</v>
      </c>
      <c r="C146" s="48">
        <f>INDEX(Employees!$B$5:$B$29,$A146)&amp;""</f>
        <v/>
      </c>
      <c r="D146" s="49">
        <f>INDEX(Periods!$B$5:$B$57,$B146)</f>
        <v/>
      </c>
      <c r="E146" s="49">
        <f>INDEX(Periods!$C$5:$C$57,$B146)</f>
        <v/>
      </c>
      <c r="F146" s="47">
        <f>IF(AND($C146&lt;&gt;"",INDEX(Periods!$D$5:$D$57,$B146)=1),1,0)</f>
        <v/>
      </c>
      <c r="G146" s="47">
        <f>IF($F146=0,0,IF(AND(OR(INDEX(Employees!$D$5:$D$29,$A146)="",$E146&gt;=INDEX(Employees!$D$5:$D$29,$A146)+N(INDEX(Employees!$U$5:$U$29,$A146))),OR(INDEX(Employees!$E$5:$E$29,$A146)="",$D146&lt;=INDEX(Employees!$E$5:$E$29,$A146))),1,0))</f>
        <v/>
      </c>
      <c r="H146" s="47">
        <f>IF($G146=0,0,IF(INDEX(Employees!$D$5:$D$29,$A146)="",0,DATEDIF(INDEX(Employees!$D$5:$D$29,$A146),$E146,"y")))</f>
        <v/>
      </c>
      <c r="I146" s="48">
        <f>IF($G146=0,0,IF(INDEX('Hours Worked'!$D$5:$BD$29,$A146,$B146)="",N(INDEX(Employees!$H$5:$H$29,$A146)),INDEX('Hours Worked'!$D$5:$BD$29,$A146,$B146)))</f>
        <v/>
      </c>
      <c r="J146" s="48">
        <f>IF(OR($G146=0,INDEX(Employees!$O$5:$O$29,$A146)&lt;&gt;"Yes"),0,IF(COUNTIF(Settings!$D$4:$D$9,"&lt;="&amp;$H146)=0,0,INDEX(Settings!$E$4:$E$9,COUNTIF(Settings!$D$4:$D$9,"&lt;="&amp;$H146))))</f>
        <v/>
      </c>
      <c r="K146" s="48">
        <f>IF($G146=0,0,IF(INDEX(Employees!$I$5:$I$29,$A146)="Per pay period",(N(INDEX(Employees!$J$5:$J$29,$A146))+$J146)/Settings!$B$13,IF(INDEX(Employees!$I$5:$I$29,$A146)="Per hour worked",N(INDEX(Employees!$K$5:$K$29,$A146))*$I146,IF(INDEX(Employees!$I$5:$I$29,$A146)="Front-loaded",IF(OR($B146=1,N($G145)=0),N(INDEX(Employees!$J$5:$J$29,$A146))+$J146,0),0))))</f>
        <v/>
      </c>
      <c r="L146" s="48">
        <f>IF($F146=0,0,SUMIFS('Time Off Log'!$H$5:$H$504,'Time Off Log'!$A$5:$A$504,$C146,'Time Off Log'!$B$5:$B$504,"PTO",'Time Off Log'!$E$5:$E$504,"Approved",'Time Off Log'!$C$5:$C$504,"&gt;="&amp;INDEX(Periods!$E$5:$E$57,$B146),'Time Off Log'!$C$5:$C$504,"&lt;="&amp;INDEX(Periods!$F$5:$F$57,$B146)))</f>
        <v/>
      </c>
      <c r="M146" s="48">
        <f>IF($B146=1,N(INDEX(Employees!$N$5:$N$29,$A146)),P145)</f>
        <v/>
      </c>
      <c r="N146" s="48">
        <f>IF(INDEX(Employees!$L$5:$L$29,$A146)="",K146,MAX(0,MIN(K146,INDEX(Employees!$L$5:$L$29,$A146)-(M146-L146))))</f>
        <v/>
      </c>
      <c r="O146" s="48">
        <f>K146-N146</f>
        <v/>
      </c>
      <c r="P146" s="48">
        <f>M146-L146+N146</f>
        <v/>
      </c>
      <c r="Q146" s="48">
        <f>IF($G146=0,0,IF(INDEX(Employees!$P$5:$P$29,$A146)="Per pay period",(N(INDEX(Employees!$Q$5:$Q$29,$A146)))/Settings!$B$13,IF(INDEX(Employees!$P$5:$P$29,$A146)="Per hour worked",N(INDEX(Employees!$R$5:$R$29,$A146))*$I146,IF(INDEX(Employees!$P$5:$P$29,$A146)="Front-loaded",IF(OR($B146=1,N($G145)=0),N(INDEX(Employees!$Q$5:$Q$29,$A146)),0),0))))</f>
        <v/>
      </c>
      <c r="R146" s="48">
        <f>IF($F146=0,0,SUMIFS('Time Off Log'!$H$5:$H$504,'Time Off Log'!$A$5:$A$504,$C146,'Time Off Log'!$B$5:$B$504,"Sick",'Time Off Log'!$E$5:$E$504,"Approved",'Time Off Log'!$C$5:$C$504,"&gt;="&amp;INDEX(Periods!$E$5:$E$57,$B146),'Time Off Log'!$C$5:$C$504,"&lt;="&amp;INDEX(Periods!$F$5:$F$57,$B146)))</f>
        <v/>
      </c>
      <c r="S146" s="48">
        <f>IF($B146=1,N(INDEX(Employees!$T$5:$T$29,$A146)),V145)</f>
        <v/>
      </c>
      <c r="T146" s="48">
        <f>IF(INDEX(Employees!$S$5:$S$29,$A146)="",Q146,MAX(0,MIN(Q146,INDEX(Employees!$S$5:$S$29,$A146)-(S146-R146))))</f>
        <v/>
      </c>
      <c r="U146" s="48">
        <f>Q146-T146</f>
        <v/>
      </c>
      <c r="V146" s="48">
        <f>S146-R146+T146</f>
        <v/>
      </c>
    </row>
    <row r="147">
      <c r="A147" s="47" t="n">
        <v>3</v>
      </c>
      <c r="B147" s="47" t="n">
        <v>37</v>
      </c>
      <c r="C147" s="48">
        <f>INDEX(Employees!$B$5:$B$29,$A147)&amp;""</f>
        <v/>
      </c>
      <c r="D147" s="49">
        <f>INDEX(Periods!$B$5:$B$57,$B147)</f>
        <v/>
      </c>
      <c r="E147" s="49">
        <f>INDEX(Periods!$C$5:$C$57,$B147)</f>
        <v/>
      </c>
      <c r="F147" s="47">
        <f>IF(AND($C147&lt;&gt;"",INDEX(Periods!$D$5:$D$57,$B147)=1),1,0)</f>
        <v/>
      </c>
      <c r="G147" s="47">
        <f>IF($F147=0,0,IF(AND(OR(INDEX(Employees!$D$5:$D$29,$A147)="",$E147&gt;=INDEX(Employees!$D$5:$D$29,$A147)+N(INDEX(Employees!$U$5:$U$29,$A147))),OR(INDEX(Employees!$E$5:$E$29,$A147)="",$D147&lt;=INDEX(Employees!$E$5:$E$29,$A147))),1,0))</f>
        <v/>
      </c>
      <c r="H147" s="47">
        <f>IF($G147=0,0,IF(INDEX(Employees!$D$5:$D$29,$A147)="",0,DATEDIF(INDEX(Employees!$D$5:$D$29,$A147),$E147,"y")))</f>
        <v/>
      </c>
      <c r="I147" s="48">
        <f>IF($G147=0,0,IF(INDEX('Hours Worked'!$D$5:$BD$29,$A147,$B147)="",N(INDEX(Employees!$H$5:$H$29,$A147)),INDEX('Hours Worked'!$D$5:$BD$29,$A147,$B147)))</f>
        <v/>
      </c>
      <c r="J147" s="48">
        <f>IF(OR($G147=0,INDEX(Employees!$O$5:$O$29,$A147)&lt;&gt;"Yes"),0,IF(COUNTIF(Settings!$D$4:$D$9,"&lt;="&amp;$H147)=0,0,INDEX(Settings!$E$4:$E$9,COUNTIF(Settings!$D$4:$D$9,"&lt;="&amp;$H147))))</f>
        <v/>
      </c>
      <c r="K147" s="48">
        <f>IF($G147=0,0,IF(INDEX(Employees!$I$5:$I$29,$A147)="Per pay period",(N(INDEX(Employees!$J$5:$J$29,$A147))+$J147)/Settings!$B$13,IF(INDEX(Employees!$I$5:$I$29,$A147)="Per hour worked",N(INDEX(Employees!$K$5:$K$29,$A147))*$I147,IF(INDEX(Employees!$I$5:$I$29,$A147)="Front-loaded",IF(OR($B147=1,N($G146)=0),N(INDEX(Employees!$J$5:$J$29,$A147))+$J147,0),0))))</f>
        <v/>
      </c>
      <c r="L147" s="48">
        <f>IF($F147=0,0,SUMIFS('Time Off Log'!$H$5:$H$504,'Time Off Log'!$A$5:$A$504,$C147,'Time Off Log'!$B$5:$B$504,"PTO",'Time Off Log'!$E$5:$E$504,"Approved",'Time Off Log'!$C$5:$C$504,"&gt;="&amp;INDEX(Periods!$E$5:$E$57,$B147),'Time Off Log'!$C$5:$C$504,"&lt;="&amp;INDEX(Periods!$F$5:$F$57,$B147)))</f>
        <v/>
      </c>
      <c r="M147" s="48">
        <f>IF($B147=1,N(INDEX(Employees!$N$5:$N$29,$A147)),P146)</f>
        <v/>
      </c>
      <c r="N147" s="48">
        <f>IF(INDEX(Employees!$L$5:$L$29,$A147)="",K147,MAX(0,MIN(K147,INDEX(Employees!$L$5:$L$29,$A147)-(M147-L147))))</f>
        <v/>
      </c>
      <c r="O147" s="48">
        <f>K147-N147</f>
        <v/>
      </c>
      <c r="P147" s="48">
        <f>M147-L147+N147</f>
        <v/>
      </c>
      <c r="Q147" s="48">
        <f>IF($G147=0,0,IF(INDEX(Employees!$P$5:$P$29,$A147)="Per pay period",(N(INDEX(Employees!$Q$5:$Q$29,$A147)))/Settings!$B$13,IF(INDEX(Employees!$P$5:$P$29,$A147)="Per hour worked",N(INDEX(Employees!$R$5:$R$29,$A147))*$I147,IF(INDEX(Employees!$P$5:$P$29,$A147)="Front-loaded",IF(OR($B147=1,N($G146)=0),N(INDEX(Employees!$Q$5:$Q$29,$A147)),0),0))))</f>
        <v/>
      </c>
      <c r="R147" s="48">
        <f>IF($F147=0,0,SUMIFS('Time Off Log'!$H$5:$H$504,'Time Off Log'!$A$5:$A$504,$C147,'Time Off Log'!$B$5:$B$504,"Sick",'Time Off Log'!$E$5:$E$504,"Approved",'Time Off Log'!$C$5:$C$504,"&gt;="&amp;INDEX(Periods!$E$5:$E$57,$B147),'Time Off Log'!$C$5:$C$504,"&lt;="&amp;INDEX(Periods!$F$5:$F$57,$B147)))</f>
        <v/>
      </c>
      <c r="S147" s="48">
        <f>IF($B147=1,N(INDEX(Employees!$T$5:$T$29,$A147)),V146)</f>
        <v/>
      </c>
      <c r="T147" s="48">
        <f>IF(INDEX(Employees!$S$5:$S$29,$A147)="",Q147,MAX(0,MIN(Q147,INDEX(Employees!$S$5:$S$29,$A147)-(S147-R147))))</f>
        <v/>
      </c>
      <c r="U147" s="48">
        <f>Q147-T147</f>
        <v/>
      </c>
      <c r="V147" s="48">
        <f>S147-R147+T147</f>
        <v/>
      </c>
    </row>
    <row r="148">
      <c r="A148" s="47" t="n">
        <v>3</v>
      </c>
      <c r="B148" s="47" t="n">
        <v>38</v>
      </c>
      <c r="C148" s="48">
        <f>INDEX(Employees!$B$5:$B$29,$A148)&amp;""</f>
        <v/>
      </c>
      <c r="D148" s="49">
        <f>INDEX(Periods!$B$5:$B$57,$B148)</f>
        <v/>
      </c>
      <c r="E148" s="49">
        <f>INDEX(Periods!$C$5:$C$57,$B148)</f>
        <v/>
      </c>
      <c r="F148" s="47">
        <f>IF(AND($C148&lt;&gt;"",INDEX(Periods!$D$5:$D$57,$B148)=1),1,0)</f>
        <v/>
      </c>
      <c r="G148" s="47">
        <f>IF($F148=0,0,IF(AND(OR(INDEX(Employees!$D$5:$D$29,$A148)="",$E148&gt;=INDEX(Employees!$D$5:$D$29,$A148)+N(INDEX(Employees!$U$5:$U$29,$A148))),OR(INDEX(Employees!$E$5:$E$29,$A148)="",$D148&lt;=INDEX(Employees!$E$5:$E$29,$A148))),1,0))</f>
        <v/>
      </c>
      <c r="H148" s="47">
        <f>IF($G148=0,0,IF(INDEX(Employees!$D$5:$D$29,$A148)="",0,DATEDIF(INDEX(Employees!$D$5:$D$29,$A148),$E148,"y")))</f>
        <v/>
      </c>
      <c r="I148" s="48">
        <f>IF($G148=0,0,IF(INDEX('Hours Worked'!$D$5:$BD$29,$A148,$B148)="",N(INDEX(Employees!$H$5:$H$29,$A148)),INDEX('Hours Worked'!$D$5:$BD$29,$A148,$B148)))</f>
        <v/>
      </c>
      <c r="J148" s="48">
        <f>IF(OR($G148=0,INDEX(Employees!$O$5:$O$29,$A148)&lt;&gt;"Yes"),0,IF(COUNTIF(Settings!$D$4:$D$9,"&lt;="&amp;$H148)=0,0,INDEX(Settings!$E$4:$E$9,COUNTIF(Settings!$D$4:$D$9,"&lt;="&amp;$H148))))</f>
        <v/>
      </c>
      <c r="K148" s="48">
        <f>IF($G148=0,0,IF(INDEX(Employees!$I$5:$I$29,$A148)="Per pay period",(N(INDEX(Employees!$J$5:$J$29,$A148))+$J148)/Settings!$B$13,IF(INDEX(Employees!$I$5:$I$29,$A148)="Per hour worked",N(INDEX(Employees!$K$5:$K$29,$A148))*$I148,IF(INDEX(Employees!$I$5:$I$29,$A148)="Front-loaded",IF(OR($B148=1,N($G147)=0),N(INDEX(Employees!$J$5:$J$29,$A148))+$J148,0),0))))</f>
        <v/>
      </c>
      <c r="L148" s="48">
        <f>IF($F148=0,0,SUMIFS('Time Off Log'!$H$5:$H$504,'Time Off Log'!$A$5:$A$504,$C148,'Time Off Log'!$B$5:$B$504,"PTO",'Time Off Log'!$E$5:$E$504,"Approved",'Time Off Log'!$C$5:$C$504,"&gt;="&amp;INDEX(Periods!$E$5:$E$57,$B148),'Time Off Log'!$C$5:$C$504,"&lt;="&amp;INDEX(Periods!$F$5:$F$57,$B148)))</f>
        <v/>
      </c>
      <c r="M148" s="48">
        <f>IF($B148=1,N(INDEX(Employees!$N$5:$N$29,$A148)),P147)</f>
        <v/>
      </c>
      <c r="N148" s="48">
        <f>IF(INDEX(Employees!$L$5:$L$29,$A148)="",K148,MAX(0,MIN(K148,INDEX(Employees!$L$5:$L$29,$A148)-(M148-L148))))</f>
        <v/>
      </c>
      <c r="O148" s="48">
        <f>K148-N148</f>
        <v/>
      </c>
      <c r="P148" s="48">
        <f>M148-L148+N148</f>
        <v/>
      </c>
      <c r="Q148" s="48">
        <f>IF($G148=0,0,IF(INDEX(Employees!$P$5:$P$29,$A148)="Per pay period",(N(INDEX(Employees!$Q$5:$Q$29,$A148)))/Settings!$B$13,IF(INDEX(Employees!$P$5:$P$29,$A148)="Per hour worked",N(INDEX(Employees!$R$5:$R$29,$A148))*$I148,IF(INDEX(Employees!$P$5:$P$29,$A148)="Front-loaded",IF(OR($B148=1,N($G147)=0),N(INDEX(Employees!$Q$5:$Q$29,$A148)),0),0))))</f>
        <v/>
      </c>
      <c r="R148" s="48">
        <f>IF($F148=0,0,SUMIFS('Time Off Log'!$H$5:$H$504,'Time Off Log'!$A$5:$A$504,$C148,'Time Off Log'!$B$5:$B$504,"Sick",'Time Off Log'!$E$5:$E$504,"Approved",'Time Off Log'!$C$5:$C$504,"&gt;="&amp;INDEX(Periods!$E$5:$E$57,$B148),'Time Off Log'!$C$5:$C$504,"&lt;="&amp;INDEX(Periods!$F$5:$F$57,$B148)))</f>
        <v/>
      </c>
      <c r="S148" s="48">
        <f>IF($B148=1,N(INDEX(Employees!$T$5:$T$29,$A148)),V147)</f>
        <v/>
      </c>
      <c r="T148" s="48">
        <f>IF(INDEX(Employees!$S$5:$S$29,$A148)="",Q148,MAX(0,MIN(Q148,INDEX(Employees!$S$5:$S$29,$A148)-(S148-R148))))</f>
        <v/>
      </c>
      <c r="U148" s="48">
        <f>Q148-T148</f>
        <v/>
      </c>
      <c r="V148" s="48">
        <f>S148-R148+T148</f>
        <v/>
      </c>
    </row>
    <row r="149">
      <c r="A149" s="47" t="n">
        <v>3</v>
      </c>
      <c r="B149" s="47" t="n">
        <v>39</v>
      </c>
      <c r="C149" s="48">
        <f>INDEX(Employees!$B$5:$B$29,$A149)&amp;""</f>
        <v/>
      </c>
      <c r="D149" s="49">
        <f>INDEX(Periods!$B$5:$B$57,$B149)</f>
        <v/>
      </c>
      <c r="E149" s="49">
        <f>INDEX(Periods!$C$5:$C$57,$B149)</f>
        <v/>
      </c>
      <c r="F149" s="47">
        <f>IF(AND($C149&lt;&gt;"",INDEX(Periods!$D$5:$D$57,$B149)=1),1,0)</f>
        <v/>
      </c>
      <c r="G149" s="47">
        <f>IF($F149=0,0,IF(AND(OR(INDEX(Employees!$D$5:$D$29,$A149)="",$E149&gt;=INDEX(Employees!$D$5:$D$29,$A149)+N(INDEX(Employees!$U$5:$U$29,$A149))),OR(INDEX(Employees!$E$5:$E$29,$A149)="",$D149&lt;=INDEX(Employees!$E$5:$E$29,$A149))),1,0))</f>
        <v/>
      </c>
      <c r="H149" s="47">
        <f>IF($G149=0,0,IF(INDEX(Employees!$D$5:$D$29,$A149)="",0,DATEDIF(INDEX(Employees!$D$5:$D$29,$A149),$E149,"y")))</f>
        <v/>
      </c>
      <c r="I149" s="48">
        <f>IF($G149=0,0,IF(INDEX('Hours Worked'!$D$5:$BD$29,$A149,$B149)="",N(INDEX(Employees!$H$5:$H$29,$A149)),INDEX('Hours Worked'!$D$5:$BD$29,$A149,$B149)))</f>
        <v/>
      </c>
      <c r="J149" s="48">
        <f>IF(OR($G149=0,INDEX(Employees!$O$5:$O$29,$A149)&lt;&gt;"Yes"),0,IF(COUNTIF(Settings!$D$4:$D$9,"&lt;="&amp;$H149)=0,0,INDEX(Settings!$E$4:$E$9,COUNTIF(Settings!$D$4:$D$9,"&lt;="&amp;$H149))))</f>
        <v/>
      </c>
      <c r="K149" s="48">
        <f>IF($G149=0,0,IF(INDEX(Employees!$I$5:$I$29,$A149)="Per pay period",(N(INDEX(Employees!$J$5:$J$29,$A149))+$J149)/Settings!$B$13,IF(INDEX(Employees!$I$5:$I$29,$A149)="Per hour worked",N(INDEX(Employees!$K$5:$K$29,$A149))*$I149,IF(INDEX(Employees!$I$5:$I$29,$A149)="Front-loaded",IF(OR($B149=1,N($G148)=0),N(INDEX(Employees!$J$5:$J$29,$A149))+$J149,0),0))))</f>
        <v/>
      </c>
      <c r="L149" s="48">
        <f>IF($F149=0,0,SUMIFS('Time Off Log'!$H$5:$H$504,'Time Off Log'!$A$5:$A$504,$C149,'Time Off Log'!$B$5:$B$504,"PTO",'Time Off Log'!$E$5:$E$504,"Approved",'Time Off Log'!$C$5:$C$504,"&gt;="&amp;INDEX(Periods!$E$5:$E$57,$B149),'Time Off Log'!$C$5:$C$504,"&lt;="&amp;INDEX(Periods!$F$5:$F$57,$B149)))</f>
        <v/>
      </c>
      <c r="M149" s="48">
        <f>IF($B149=1,N(INDEX(Employees!$N$5:$N$29,$A149)),P148)</f>
        <v/>
      </c>
      <c r="N149" s="48">
        <f>IF(INDEX(Employees!$L$5:$L$29,$A149)="",K149,MAX(0,MIN(K149,INDEX(Employees!$L$5:$L$29,$A149)-(M149-L149))))</f>
        <v/>
      </c>
      <c r="O149" s="48">
        <f>K149-N149</f>
        <v/>
      </c>
      <c r="P149" s="48">
        <f>M149-L149+N149</f>
        <v/>
      </c>
      <c r="Q149" s="48">
        <f>IF($G149=0,0,IF(INDEX(Employees!$P$5:$P$29,$A149)="Per pay period",(N(INDEX(Employees!$Q$5:$Q$29,$A149)))/Settings!$B$13,IF(INDEX(Employees!$P$5:$P$29,$A149)="Per hour worked",N(INDEX(Employees!$R$5:$R$29,$A149))*$I149,IF(INDEX(Employees!$P$5:$P$29,$A149)="Front-loaded",IF(OR($B149=1,N($G148)=0),N(INDEX(Employees!$Q$5:$Q$29,$A149)),0),0))))</f>
        <v/>
      </c>
      <c r="R149" s="48">
        <f>IF($F149=0,0,SUMIFS('Time Off Log'!$H$5:$H$504,'Time Off Log'!$A$5:$A$504,$C149,'Time Off Log'!$B$5:$B$504,"Sick",'Time Off Log'!$E$5:$E$504,"Approved",'Time Off Log'!$C$5:$C$504,"&gt;="&amp;INDEX(Periods!$E$5:$E$57,$B149),'Time Off Log'!$C$5:$C$504,"&lt;="&amp;INDEX(Periods!$F$5:$F$57,$B149)))</f>
        <v/>
      </c>
      <c r="S149" s="48">
        <f>IF($B149=1,N(INDEX(Employees!$T$5:$T$29,$A149)),V148)</f>
        <v/>
      </c>
      <c r="T149" s="48">
        <f>IF(INDEX(Employees!$S$5:$S$29,$A149)="",Q149,MAX(0,MIN(Q149,INDEX(Employees!$S$5:$S$29,$A149)-(S149-R149))))</f>
        <v/>
      </c>
      <c r="U149" s="48">
        <f>Q149-T149</f>
        <v/>
      </c>
      <c r="V149" s="48">
        <f>S149-R149+T149</f>
        <v/>
      </c>
    </row>
    <row r="150">
      <c r="A150" s="47" t="n">
        <v>3</v>
      </c>
      <c r="B150" s="47" t="n">
        <v>40</v>
      </c>
      <c r="C150" s="48">
        <f>INDEX(Employees!$B$5:$B$29,$A150)&amp;""</f>
        <v/>
      </c>
      <c r="D150" s="49">
        <f>INDEX(Periods!$B$5:$B$57,$B150)</f>
        <v/>
      </c>
      <c r="E150" s="49">
        <f>INDEX(Periods!$C$5:$C$57,$B150)</f>
        <v/>
      </c>
      <c r="F150" s="47">
        <f>IF(AND($C150&lt;&gt;"",INDEX(Periods!$D$5:$D$57,$B150)=1),1,0)</f>
        <v/>
      </c>
      <c r="G150" s="47">
        <f>IF($F150=0,0,IF(AND(OR(INDEX(Employees!$D$5:$D$29,$A150)="",$E150&gt;=INDEX(Employees!$D$5:$D$29,$A150)+N(INDEX(Employees!$U$5:$U$29,$A150))),OR(INDEX(Employees!$E$5:$E$29,$A150)="",$D150&lt;=INDEX(Employees!$E$5:$E$29,$A150))),1,0))</f>
        <v/>
      </c>
      <c r="H150" s="47">
        <f>IF($G150=0,0,IF(INDEX(Employees!$D$5:$D$29,$A150)="",0,DATEDIF(INDEX(Employees!$D$5:$D$29,$A150),$E150,"y")))</f>
        <v/>
      </c>
      <c r="I150" s="48">
        <f>IF($G150=0,0,IF(INDEX('Hours Worked'!$D$5:$BD$29,$A150,$B150)="",N(INDEX(Employees!$H$5:$H$29,$A150)),INDEX('Hours Worked'!$D$5:$BD$29,$A150,$B150)))</f>
        <v/>
      </c>
      <c r="J150" s="48">
        <f>IF(OR($G150=0,INDEX(Employees!$O$5:$O$29,$A150)&lt;&gt;"Yes"),0,IF(COUNTIF(Settings!$D$4:$D$9,"&lt;="&amp;$H150)=0,0,INDEX(Settings!$E$4:$E$9,COUNTIF(Settings!$D$4:$D$9,"&lt;="&amp;$H150))))</f>
        <v/>
      </c>
      <c r="K150" s="48">
        <f>IF($G150=0,0,IF(INDEX(Employees!$I$5:$I$29,$A150)="Per pay period",(N(INDEX(Employees!$J$5:$J$29,$A150))+$J150)/Settings!$B$13,IF(INDEX(Employees!$I$5:$I$29,$A150)="Per hour worked",N(INDEX(Employees!$K$5:$K$29,$A150))*$I150,IF(INDEX(Employees!$I$5:$I$29,$A150)="Front-loaded",IF(OR($B150=1,N($G149)=0),N(INDEX(Employees!$J$5:$J$29,$A150))+$J150,0),0))))</f>
        <v/>
      </c>
      <c r="L150" s="48">
        <f>IF($F150=0,0,SUMIFS('Time Off Log'!$H$5:$H$504,'Time Off Log'!$A$5:$A$504,$C150,'Time Off Log'!$B$5:$B$504,"PTO",'Time Off Log'!$E$5:$E$504,"Approved",'Time Off Log'!$C$5:$C$504,"&gt;="&amp;INDEX(Periods!$E$5:$E$57,$B150),'Time Off Log'!$C$5:$C$504,"&lt;="&amp;INDEX(Periods!$F$5:$F$57,$B150)))</f>
        <v/>
      </c>
      <c r="M150" s="48">
        <f>IF($B150=1,N(INDEX(Employees!$N$5:$N$29,$A150)),P149)</f>
        <v/>
      </c>
      <c r="N150" s="48">
        <f>IF(INDEX(Employees!$L$5:$L$29,$A150)="",K150,MAX(0,MIN(K150,INDEX(Employees!$L$5:$L$29,$A150)-(M150-L150))))</f>
        <v/>
      </c>
      <c r="O150" s="48">
        <f>K150-N150</f>
        <v/>
      </c>
      <c r="P150" s="48">
        <f>M150-L150+N150</f>
        <v/>
      </c>
      <c r="Q150" s="48">
        <f>IF($G150=0,0,IF(INDEX(Employees!$P$5:$P$29,$A150)="Per pay period",(N(INDEX(Employees!$Q$5:$Q$29,$A150)))/Settings!$B$13,IF(INDEX(Employees!$P$5:$P$29,$A150)="Per hour worked",N(INDEX(Employees!$R$5:$R$29,$A150))*$I150,IF(INDEX(Employees!$P$5:$P$29,$A150)="Front-loaded",IF(OR($B150=1,N($G149)=0),N(INDEX(Employees!$Q$5:$Q$29,$A150)),0),0))))</f>
        <v/>
      </c>
      <c r="R150" s="48">
        <f>IF($F150=0,0,SUMIFS('Time Off Log'!$H$5:$H$504,'Time Off Log'!$A$5:$A$504,$C150,'Time Off Log'!$B$5:$B$504,"Sick",'Time Off Log'!$E$5:$E$504,"Approved",'Time Off Log'!$C$5:$C$504,"&gt;="&amp;INDEX(Periods!$E$5:$E$57,$B150),'Time Off Log'!$C$5:$C$504,"&lt;="&amp;INDEX(Periods!$F$5:$F$57,$B150)))</f>
        <v/>
      </c>
      <c r="S150" s="48">
        <f>IF($B150=1,N(INDEX(Employees!$T$5:$T$29,$A150)),V149)</f>
        <v/>
      </c>
      <c r="T150" s="48">
        <f>IF(INDEX(Employees!$S$5:$S$29,$A150)="",Q150,MAX(0,MIN(Q150,INDEX(Employees!$S$5:$S$29,$A150)-(S150-R150))))</f>
        <v/>
      </c>
      <c r="U150" s="48">
        <f>Q150-T150</f>
        <v/>
      </c>
      <c r="V150" s="48">
        <f>S150-R150+T150</f>
        <v/>
      </c>
    </row>
    <row r="151">
      <c r="A151" s="47" t="n">
        <v>3</v>
      </c>
      <c r="B151" s="47" t="n">
        <v>41</v>
      </c>
      <c r="C151" s="48">
        <f>INDEX(Employees!$B$5:$B$29,$A151)&amp;""</f>
        <v/>
      </c>
      <c r="D151" s="49">
        <f>INDEX(Periods!$B$5:$B$57,$B151)</f>
        <v/>
      </c>
      <c r="E151" s="49">
        <f>INDEX(Periods!$C$5:$C$57,$B151)</f>
        <v/>
      </c>
      <c r="F151" s="47">
        <f>IF(AND($C151&lt;&gt;"",INDEX(Periods!$D$5:$D$57,$B151)=1),1,0)</f>
        <v/>
      </c>
      <c r="G151" s="47">
        <f>IF($F151=0,0,IF(AND(OR(INDEX(Employees!$D$5:$D$29,$A151)="",$E151&gt;=INDEX(Employees!$D$5:$D$29,$A151)+N(INDEX(Employees!$U$5:$U$29,$A151))),OR(INDEX(Employees!$E$5:$E$29,$A151)="",$D151&lt;=INDEX(Employees!$E$5:$E$29,$A151))),1,0))</f>
        <v/>
      </c>
      <c r="H151" s="47">
        <f>IF($G151=0,0,IF(INDEX(Employees!$D$5:$D$29,$A151)="",0,DATEDIF(INDEX(Employees!$D$5:$D$29,$A151),$E151,"y")))</f>
        <v/>
      </c>
      <c r="I151" s="48">
        <f>IF($G151=0,0,IF(INDEX('Hours Worked'!$D$5:$BD$29,$A151,$B151)="",N(INDEX(Employees!$H$5:$H$29,$A151)),INDEX('Hours Worked'!$D$5:$BD$29,$A151,$B151)))</f>
        <v/>
      </c>
      <c r="J151" s="48">
        <f>IF(OR($G151=0,INDEX(Employees!$O$5:$O$29,$A151)&lt;&gt;"Yes"),0,IF(COUNTIF(Settings!$D$4:$D$9,"&lt;="&amp;$H151)=0,0,INDEX(Settings!$E$4:$E$9,COUNTIF(Settings!$D$4:$D$9,"&lt;="&amp;$H151))))</f>
        <v/>
      </c>
      <c r="K151" s="48">
        <f>IF($G151=0,0,IF(INDEX(Employees!$I$5:$I$29,$A151)="Per pay period",(N(INDEX(Employees!$J$5:$J$29,$A151))+$J151)/Settings!$B$13,IF(INDEX(Employees!$I$5:$I$29,$A151)="Per hour worked",N(INDEX(Employees!$K$5:$K$29,$A151))*$I151,IF(INDEX(Employees!$I$5:$I$29,$A151)="Front-loaded",IF(OR($B151=1,N($G150)=0),N(INDEX(Employees!$J$5:$J$29,$A151))+$J151,0),0))))</f>
        <v/>
      </c>
      <c r="L151" s="48">
        <f>IF($F151=0,0,SUMIFS('Time Off Log'!$H$5:$H$504,'Time Off Log'!$A$5:$A$504,$C151,'Time Off Log'!$B$5:$B$504,"PTO",'Time Off Log'!$E$5:$E$504,"Approved",'Time Off Log'!$C$5:$C$504,"&gt;="&amp;INDEX(Periods!$E$5:$E$57,$B151),'Time Off Log'!$C$5:$C$504,"&lt;="&amp;INDEX(Periods!$F$5:$F$57,$B151)))</f>
        <v/>
      </c>
      <c r="M151" s="48">
        <f>IF($B151=1,N(INDEX(Employees!$N$5:$N$29,$A151)),P150)</f>
        <v/>
      </c>
      <c r="N151" s="48">
        <f>IF(INDEX(Employees!$L$5:$L$29,$A151)="",K151,MAX(0,MIN(K151,INDEX(Employees!$L$5:$L$29,$A151)-(M151-L151))))</f>
        <v/>
      </c>
      <c r="O151" s="48">
        <f>K151-N151</f>
        <v/>
      </c>
      <c r="P151" s="48">
        <f>M151-L151+N151</f>
        <v/>
      </c>
      <c r="Q151" s="48">
        <f>IF($G151=0,0,IF(INDEX(Employees!$P$5:$P$29,$A151)="Per pay period",(N(INDEX(Employees!$Q$5:$Q$29,$A151)))/Settings!$B$13,IF(INDEX(Employees!$P$5:$P$29,$A151)="Per hour worked",N(INDEX(Employees!$R$5:$R$29,$A151))*$I151,IF(INDEX(Employees!$P$5:$P$29,$A151)="Front-loaded",IF(OR($B151=1,N($G150)=0),N(INDEX(Employees!$Q$5:$Q$29,$A151)),0),0))))</f>
        <v/>
      </c>
      <c r="R151" s="48">
        <f>IF($F151=0,0,SUMIFS('Time Off Log'!$H$5:$H$504,'Time Off Log'!$A$5:$A$504,$C151,'Time Off Log'!$B$5:$B$504,"Sick",'Time Off Log'!$E$5:$E$504,"Approved",'Time Off Log'!$C$5:$C$504,"&gt;="&amp;INDEX(Periods!$E$5:$E$57,$B151),'Time Off Log'!$C$5:$C$504,"&lt;="&amp;INDEX(Periods!$F$5:$F$57,$B151)))</f>
        <v/>
      </c>
      <c r="S151" s="48">
        <f>IF($B151=1,N(INDEX(Employees!$T$5:$T$29,$A151)),V150)</f>
        <v/>
      </c>
      <c r="T151" s="48">
        <f>IF(INDEX(Employees!$S$5:$S$29,$A151)="",Q151,MAX(0,MIN(Q151,INDEX(Employees!$S$5:$S$29,$A151)-(S151-R151))))</f>
        <v/>
      </c>
      <c r="U151" s="48">
        <f>Q151-T151</f>
        <v/>
      </c>
      <c r="V151" s="48">
        <f>S151-R151+T151</f>
        <v/>
      </c>
    </row>
    <row r="152">
      <c r="A152" s="47" t="n">
        <v>3</v>
      </c>
      <c r="B152" s="47" t="n">
        <v>42</v>
      </c>
      <c r="C152" s="48">
        <f>INDEX(Employees!$B$5:$B$29,$A152)&amp;""</f>
        <v/>
      </c>
      <c r="D152" s="49">
        <f>INDEX(Periods!$B$5:$B$57,$B152)</f>
        <v/>
      </c>
      <c r="E152" s="49">
        <f>INDEX(Periods!$C$5:$C$57,$B152)</f>
        <v/>
      </c>
      <c r="F152" s="47">
        <f>IF(AND($C152&lt;&gt;"",INDEX(Periods!$D$5:$D$57,$B152)=1),1,0)</f>
        <v/>
      </c>
      <c r="G152" s="47">
        <f>IF($F152=0,0,IF(AND(OR(INDEX(Employees!$D$5:$D$29,$A152)="",$E152&gt;=INDEX(Employees!$D$5:$D$29,$A152)+N(INDEX(Employees!$U$5:$U$29,$A152))),OR(INDEX(Employees!$E$5:$E$29,$A152)="",$D152&lt;=INDEX(Employees!$E$5:$E$29,$A152))),1,0))</f>
        <v/>
      </c>
      <c r="H152" s="47">
        <f>IF($G152=0,0,IF(INDEX(Employees!$D$5:$D$29,$A152)="",0,DATEDIF(INDEX(Employees!$D$5:$D$29,$A152),$E152,"y")))</f>
        <v/>
      </c>
      <c r="I152" s="48">
        <f>IF($G152=0,0,IF(INDEX('Hours Worked'!$D$5:$BD$29,$A152,$B152)="",N(INDEX(Employees!$H$5:$H$29,$A152)),INDEX('Hours Worked'!$D$5:$BD$29,$A152,$B152)))</f>
        <v/>
      </c>
      <c r="J152" s="48">
        <f>IF(OR($G152=0,INDEX(Employees!$O$5:$O$29,$A152)&lt;&gt;"Yes"),0,IF(COUNTIF(Settings!$D$4:$D$9,"&lt;="&amp;$H152)=0,0,INDEX(Settings!$E$4:$E$9,COUNTIF(Settings!$D$4:$D$9,"&lt;="&amp;$H152))))</f>
        <v/>
      </c>
      <c r="K152" s="48">
        <f>IF($G152=0,0,IF(INDEX(Employees!$I$5:$I$29,$A152)="Per pay period",(N(INDEX(Employees!$J$5:$J$29,$A152))+$J152)/Settings!$B$13,IF(INDEX(Employees!$I$5:$I$29,$A152)="Per hour worked",N(INDEX(Employees!$K$5:$K$29,$A152))*$I152,IF(INDEX(Employees!$I$5:$I$29,$A152)="Front-loaded",IF(OR($B152=1,N($G151)=0),N(INDEX(Employees!$J$5:$J$29,$A152))+$J152,0),0))))</f>
        <v/>
      </c>
      <c r="L152" s="48">
        <f>IF($F152=0,0,SUMIFS('Time Off Log'!$H$5:$H$504,'Time Off Log'!$A$5:$A$504,$C152,'Time Off Log'!$B$5:$B$504,"PTO",'Time Off Log'!$E$5:$E$504,"Approved",'Time Off Log'!$C$5:$C$504,"&gt;="&amp;INDEX(Periods!$E$5:$E$57,$B152),'Time Off Log'!$C$5:$C$504,"&lt;="&amp;INDEX(Periods!$F$5:$F$57,$B152)))</f>
        <v/>
      </c>
      <c r="M152" s="48">
        <f>IF($B152=1,N(INDEX(Employees!$N$5:$N$29,$A152)),P151)</f>
        <v/>
      </c>
      <c r="N152" s="48">
        <f>IF(INDEX(Employees!$L$5:$L$29,$A152)="",K152,MAX(0,MIN(K152,INDEX(Employees!$L$5:$L$29,$A152)-(M152-L152))))</f>
        <v/>
      </c>
      <c r="O152" s="48">
        <f>K152-N152</f>
        <v/>
      </c>
      <c r="P152" s="48">
        <f>M152-L152+N152</f>
        <v/>
      </c>
      <c r="Q152" s="48">
        <f>IF($G152=0,0,IF(INDEX(Employees!$P$5:$P$29,$A152)="Per pay period",(N(INDEX(Employees!$Q$5:$Q$29,$A152)))/Settings!$B$13,IF(INDEX(Employees!$P$5:$P$29,$A152)="Per hour worked",N(INDEX(Employees!$R$5:$R$29,$A152))*$I152,IF(INDEX(Employees!$P$5:$P$29,$A152)="Front-loaded",IF(OR($B152=1,N($G151)=0),N(INDEX(Employees!$Q$5:$Q$29,$A152)),0),0))))</f>
        <v/>
      </c>
      <c r="R152" s="48">
        <f>IF($F152=0,0,SUMIFS('Time Off Log'!$H$5:$H$504,'Time Off Log'!$A$5:$A$504,$C152,'Time Off Log'!$B$5:$B$504,"Sick",'Time Off Log'!$E$5:$E$504,"Approved",'Time Off Log'!$C$5:$C$504,"&gt;="&amp;INDEX(Periods!$E$5:$E$57,$B152),'Time Off Log'!$C$5:$C$504,"&lt;="&amp;INDEX(Periods!$F$5:$F$57,$B152)))</f>
        <v/>
      </c>
      <c r="S152" s="48">
        <f>IF($B152=1,N(INDEX(Employees!$T$5:$T$29,$A152)),V151)</f>
        <v/>
      </c>
      <c r="T152" s="48">
        <f>IF(INDEX(Employees!$S$5:$S$29,$A152)="",Q152,MAX(0,MIN(Q152,INDEX(Employees!$S$5:$S$29,$A152)-(S152-R152))))</f>
        <v/>
      </c>
      <c r="U152" s="48">
        <f>Q152-T152</f>
        <v/>
      </c>
      <c r="V152" s="48">
        <f>S152-R152+T152</f>
        <v/>
      </c>
    </row>
    <row r="153">
      <c r="A153" s="47" t="n">
        <v>3</v>
      </c>
      <c r="B153" s="47" t="n">
        <v>43</v>
      </c>
      <c r="C153" s="48">
        <f>INDEX(Employees!$B$5:$B$29,$A153)&amp;""</f>
        <v/>
      </c>
      <c r="D153" s="49">
        <f>INDEX(Periods!$B$5:$B$57,$B153)</f>
        <v/>
      </c>
      <c r="E153" s="49">
        <f>INDEX(Periods!$C$5:$C$57,$B153)</f>
        <v/>
      </c>
      <c r="F153" s="47">
        <f>IF(AND($C153&lt;&gt;"",INDEX(Periods!$D$5:$D$57,$B153)=1),1,0)</f>
        <v/>
      </c>
      <c r="G153" s="47">
        <f>IF($F153=0,0,IF(AND(OR(INDEX(Employees!$D$5:$D$29,$A153)="",$E153&gt;=INDEX(Employees!$D$5:$D$29,$A153)+N(INDEX(Employees!$U$5:$U$29,$A153))),OR(INDEX(Employees!$E$5:$E$29,$A153)="",$D153&lt;=INDEX(Employees!$E$5:$E$29,$A153))),1,0))</f>
        <v/>
      </c>
      <c r="H153" s="47">
        <f>IF($G153=0,0,IF(INDEX(Employees!$D$5:$D$29,$A153)="",0,DATEDIF(INDEX(Employees!$D$5:$D$29,$A153),$E153,"y")))</f>
        <v/>
      </c>
      <c r="I153" s="48">
        <f>IF($G153=0,0,IF(INDEX('Hours Worked'!$D$5:$BD$29,$A153,$B153)="",N(INDEX(Employees!$H$5:$H$29,$A153)),INDEX('Hours Worked'!$D$5:$BD$29,$A153,$B153)))</f>
        <v/>
      </c>
      <c r="J153" s="48">
        <f>IF(OR($G153=0,INDEX(Employees!$O$5:$O$29,$A153)&lt;&gt;"Yes"),0,IF(COUNTIF(Settings!$D$4:$D$9,"&lt;="&amp;$H153)=0,0,INDEX(Settings!$E$4:$E$9,COUNTIF(Settings!$D$4:$D$9,"&lt;="&amp;$H153))))</f>
        <v/>
      </c>
      <c r="K153" s="48">
        <f>IF($G153=0,0,IF(INDEX(Employees!$I$5:$I$29,$A153)="Per pay period",(N(INDEX(Employees!$J$5:$J$29,$A153))+$J153)/Settings!$B$13,IF(INDEX(Employees!$I$5:$I$29,$A153)="Per hour worked",N(INDEX(Employees!$K$5:$K$29,$A153))*$I153,IF(INDEX(Employees!$I$5:$I$29,$A153)="Front-loaded",IF(OR($B153=1,N($G152)=0),N(INDEX(Employees!$J$5:$J$29,$A153))+$J153,0),0))))</f>
        <v/>
      </c>
      <c r="L153" s="48">
        <f>IF($F153=0,0,SUMIFS('Time Off Log'!$H$5:$H$504,'Time Off Log'!$A$5:$A$504,$C153,'Time Off Log'!$B$5:$B$504,"PTO",'Time Off Log'!$E$5:$E$504,"Approved",'Time Off Log'!$C$5:$C$504,"&gt;="&amp;INDEX(Periods!$E$5:$E$57,$B153),'Time Off Log'!$C$5:$C$504,"&lt;="&amp;INDEX(Periods!$F$5:$F$57,$B153)))</f>
        <v/>
      </c>
      <c r="M153" s="48">
        <f>IF($B153=1,N(INDEX(Employees!$N$5:$N$29,$A153)),P152)</f>
        <v/>
      </c>
      <c r="N153" s="48">
        <f>IF(INDEX(Employees!$L$5:$L$29,$A153)="",K153,MAX(0,MIN(K153,INDEX(Employees!$L$5:$L$29,$A153)-(M153-L153))))</f>
        <v/>
      </c>
      <c r="O153" s="48">
        <f>K153-N153</f>
        <v/>
      </c>
      <c r="P153" s="48">
        <f>M153-L153+N153</f>
        <v/>
      </c>
      <c r="Q153" s="48">
        <f>IF($G153=0,0,IF(INDEX(Employees!$P$5:$P$29,$A153)="Per pay period",(N(INDEX(Employees!$Q$5:$Q$29,$A153)))/Settings!$B$13,IF(INDEX(Employees!$P$5:$P$29,$A153)="Per hour worked",N(INDEX(Employees!$R$5:$R$29,$A153))*$I153,IF(INDEX(Employees!$P$5:$P$29,$A153)="Front-loaded",IF(OR($B153=1,N($G152)=0),N(INDEX(Employees!$Q$5:$Q$29,$A153)),0),0))))</f>
        <v/>
      </c>
      <c r="R153" s="48">
        <f>IF($F153=0,0,SUMIFS('Time Off Log'!$H$5:$H$504,'Time Off Log'!$A$5:$A$504,$C153,'Time Off Log'!$B$5:$B$504,"Sick",'Time Off Log'!$E$5:$E$504,"Approved",'Time Off Log'!$C$5:$C$504,"&gt;="&amp;INDEX(Periods!$E$5:$E$57,$B153),'Time Off Log'!$C$5:$C$504,"&lt;="&amp;INDEX(Periods!$F$5:$F$57,$B153)))</f>
        <v/>
      </c>
      <c r="S153" s="48">
        <f>IF($B153=1,N(INDEX(Employees!$T$5:$T$29,$A153)),V152)</f>
        <v/>
      </c>
      <c r="T153" s="48">
        <f>IF(INDEX(Employees!$S$5:$S$29,$A153)="",Q153,MAX(0,MIN(Q153,INDEX(Employees!$S$5:$S$29,$A153)-(S153-R153))))</f>
        <v/>
      </c>
      <c r="U153" s="48">
        <f>Q153-T153</f>
        <v/>
      </c>
      <c r="V153" s="48">
        <f>S153-R153+T153</f>
        <v/>
      </c>
    </row>
    <row r="154">
      <c r="A154" s="47" t="n">
        <v>3</v>
      </c>
      <c r="B154" s="47" t="n">
        <v>44</v>
      </c>
      <c r="C154" s="48">
        <f>INDEX(Employees!$B$5:$B$29,$A154)&amp;""</f>
        <v/>
      </c>
      <c r="D154" s="49">
        <f>INDEX(Periods!$B$5:$B$57,$B154)</f>
        <v/>
      </c>
      <c r="E154" s="49">
        <f>INDEX(Periods!$C$5:$C$57,$B154)</f>
        <v/>
      </c>
      <c r="F154" s="47">
        <f>IF(AND($C154&lt;&gt;"",INDEX(Periods!$D$5:$D$57,$B154)=1),1,0)</f>
        <v/>
      </c>
      <c r="G154" s="47">
        <f>IF($F154=0,0,IF(AND(OR(INDEX(Employees!$D$5:$D$29,$A154)="",$E154&gt;=INDEX(Employees!$D$5:$D$29,$A154)+N(INDEX(Employees!$U$5:$U$29,$A154))),OR(INDEX(Employees!$E$5:$E$29,$A154)="",$D154&lt;=INDEX(Employees!$E$5:$E$29,$A154))),1,0))</f>
        <v/>
      </c>
      <c r="H154" s="47">
        <f>IF($G154=0,0,IF(INDEX(Employees!$D$5:$D$29,$A154)="",0,DATEDIF(INDEX(Employees!$D$5:$D$29,$A154),$E154,"y")))</f>
        <v/>
      </c>
      <c r="I154" s="48">
        <f>IF($G154=0,0,IF(INDEX('Hours Worked'!$D$5:$BD$29,$A154,$B154)="",N(INDEX(Employees!$H$5:$H$29,$A154)),INDEX('Hours Worked'!$D$5:$BD$29,$A154,$B154)))</f>
        <v/>
      </c>
      <c r="J154" s="48">
        <f>IF(OR($G154=0,INDEX(Employees!$O$5:$O$29,$A154)&lt;&gt;"Yes"),0,IF(COUNTIF(Settings!$D$4:$D$9,"&lt;="&amp;$H154)=0,0,INDEX(Settings!$E$4:$E$9,COUNTIF(Settings!$D$4:$D$9,"&lt;="&amp;$H154))))</f>
        <v/>
      </c>
      <c r="K154" s="48">
        <f>IF($G154=0,0,IF(INDEX(Employees!$I$5:$I$29,$A154)="Per pay period",(N(INDEX(Employees!$J$5:$J$29,$A154))+$J154)/Settings!$B$13,IF(INDEX(Employees!$I$5:$I$29,$A154)="Per hour worked",N(INDEX(Employees!$K$5:$K$29,$A154))*$I154,IF(INDEX(Employees!$I$5:$I$29,$A154)="Front-loaded",IF(OR($B154=1,N($G153)=0),N(INDEX(Employees!$J$5:$J$29,$A154))+$J154,0),0))))</f>
        <v/>
      </c>
      <c r="L154" s="48">
        <f>IF($F154=0,0,SUMIFS('Time Off Log'!$H$5:$H$504,'Time Off Log'!$A$5:$A$504,$C154,'Time Off Log'!$B$5:$B$504,"PTO",'Time Off Log'!$E$5:$E$504,"Approved",'Time Off Log'!$C$5:$C$504,"&gt;="&amp;INDEX(Periods!$E$5:$E$57,$B154),'Time Off Log'!$C$5:$C$504,"&lt;="&amp;INDEX(Periods!$F$5:$F$57,$B154)))</f>
        <v/>
      </c>
      <c r="M154" s="48">
        <f>IF($B154=1,N(INDEX(Employees!$N$5:$N$29,$A154)),P153)</f>
        <v/>
      </c>
      <c r="N154" s="48">
        <f>IF(INDEX(Employees!$L$5:$L$29,$A154)="",K154,MAX(0,MIN(K154,INDEX(Employees!$L$5:$L$29,$A154)-(M154-L154))))</f>
        <v/>
      </c>
      <c r="O154" s="48">
        <f>K154-N154</f>
        <v/>
      </c>
      <c r="P154" s="48">
        <f>M154-L154+N154</f>
        <v/>
      </c>
      <c r="Q154" s="48">
        <f>IF($G154=0,0,IF(INDEX(Employees!$P$5:$P$29,$A154)="Per pay period",(N(INDEX(Employees!$Q$5:$Q$29,$A154)))/Settings!$B$13,IF(INDEX(Employees!$P$5:$P$29,$A154)="Per hour worked",N(INDEX(Employees!$R$5:$R$29,$A154))*$I154,IF(INDEX(Employees!$P$5:$P$29,$A154)="Front-loaded",IF(OR($B154=1,N($G153)=0),N(INDEX(Employees!$Q$5:$Q$29,$A154)),0),0))))</f>
        <v/>
      </c>
      <c r="R154" s="48">
        <f>IF($F154=0,0,SUMIFS('Time Off Log'!$H$5:$H$504,'Time Off Log'!$A$5:$A$504,$C154,'Time Off Log'!$B$5:$B$504,"Sick",'Time Off Log'!$E$5:$E$504,"Approved",'Time Off Log'!$C$5:$C$504,"&gt;="&amp;INDEX(Periods!$E$5:$E$57,$B154),'Time Off Log'!$C$5:$C$504,"&lt;="&amp;INDEX(Periods!$F$5:$F$57,$B154)))</f>
        <v/>
      </c>
      <c r="S154" s="48">
        <f>IF($B154=1,N(INDEX(Employees!$T$5:$T$29,$A154)),V153)</f>
        <v/>
      </c>
      <c r="T154" s="48">
        <f>IF(INDEX(Employees!$S$5:$S$29,$A154)="",Q154,MAX(0,MIN(Q154,INDEX(Employees!$S$5:$S$29,$A154)-(S154-R154))))</f>
        <v/>
      </c>
      <c r="U154" s="48">
        <f>Q154-T154</f>
        <v/>
      </c>
      <c r="V154" s="48">
        <f>S154-R154+T154</f>
        <v/>
      </c>
    </row>
    <row r="155">
      <c r="A155" s="47" t="n">
        <v>3</v>
      </c>
      <c r="B155" s="47" t="n">
        <v>45</v>
      </c>
      <c r="C155" s="48">
        <f>INDEX(Employees!$B$5:$B$29,$A155)&amp;""</f>
        <v/>
      </c>
      <c r="D155" s="49">
        <f>INDEX(Periods!$B$5:$B$57,$B155)</f>
        <v/>
      </c>
      <c r="E155" s="49">
        <f>INDEX(Periods!$C$5:$C$57,$B155)</f>
        <v/>
      </c>
      <c r="F155" s="47">
        <f>IF(AND($C155&lt;&gt;"",INDEX(Periods!$D$5:$D$57,$B155)=1),1,0)</f>
        <v/>
      </c>
      <c r="G155" s="47">
        <f>IF($F155=0,0,IF(AND(OR(INDEX(Employees!$D$5:$D$29,$A155)="",$E155&gt;=INDEX(Employees!$D$5:$D$29,$A155)+N(INDEX(Employees!$U$5:$U$29,$A155))),OR(INDEX(Employees!$E$5:$E$29,$A155)="",$D155&lt;=INDEX(Employees!$E$5:$E$29,$A155))),1,0))</f>
        <v/>
      </c>
      <c r="H155" s="47">
        <f>IF($G155=0,0,IF(INDEX(Employees!$D$5:$D$29,$A155)="",0,DATEDIF(INDEX(Employees!$D$5:$D$29,$A155),$E155,"y")))</f>
        <v/>
      </c>
      <c r="I155" s="48">
        <f>IF($G155=0,0,IF(INDEX('Hours Worked'!$D$5:$BD$29,$A155,$B155)="",N(INDEX(Employees!$H$5:$H$29,$A155)),INDEX('Hours Worked'!$D$5:$BD$29,$A155,$B155)))</f>
        <v/>
      </c>
      <c r="J155" s="48">
        <f>IF(OR($G155=0,INDEX(Employees!$O$5:$O$29,$A155)&lt;&gt;"Yes"),0,IF(COUNTIF(Settings!$D$4:$D$9,"&lt;="&amp;$H155)=0,0,INDEX(Settings!$E$4:$E$9,COUNTIF(Settings!$D$4:$D$9,"&lt;="&amp;$H155))))</f>
        <v/>
      </c>
      <c r="K155" s="48">
        <f>IF($G155=0,0,IF(INDEX(Employees!$I$5:$I$29,$A155)="Per pay period",(N(INDEX(Employees!$J$5:$J$29,$A155))+$J155)/Settings!$B$13,IF(INDEX(Employees!$I$5:$I$29,$A155)="Per hour worked",N(INDEX(Employees!$K$5:$K$29,$A155))*$I155,IF(INDEX(Employees!$I$5:$I$29,$A155)="Front-loaded",IF(OR($B155=1,N($G154)=0),N(INDEX(Employees!$J$5:$J$29,$A155))+$J155,0),0))))</f>
        <v/>
      </c>
      <c r="L155" s="48">
        <f>IF($F155=0,0,SUMIFS('Time Off Log'!$H$5:$H$504,'Time Off Log'!$A$5:$A$504,$C155,'Time Off Log'!$B$5:$B$504,"PTO",'Time Off Log'!$E$5:$E$504,"Approved",'Time Off Log'!$C$5:$C$504,"&gt;="&amp;INDEX(Periods!$E$5:$E$57,$B155),'Time Off Log'!$C$5:$C$504,"&lt;="&amp;INDEX(Periods!$F$5:$F$57,$B155)))</f>
        <v/>
      </c>
      <c r="M155" s="48">
        <f>IF($B155=1,N(INDEX(Employees!$N$5:$N$29,$A155)),P154)</f>
        <v/>
      </c>
      <c r="N155" s="48">
        <f>IF(INDEX(Employees!$L$5:$L$29,$A155)="",K155,MAX(0,MIN(K155,INDEX(Employees!$L$5:$L$29,$A155)-(M155-L155))))</f>
        <v/>
      </c>
      <c r="O155" s="48">
        <f>K155-N155</f>
        <v/>
      </c>
      <c r="P155" s="48">
        <f>M155-L155+N155</f>
        <v/>
      </c>
      <c r="Q155" s="48">
        <f>IF($G155=0,0,IF(INDEX(Employees!$P$5:$P$29,$A155)="Per pay period",(N(INDEX(Employees!$Q$5:$Q$29,$A155)))/Settings!$B$13,IF(INDEX(Employees!$P$5:$P$29,$A155)="Per hour worked",N(INDEX(Employees!$R$5:$R$29,$A155))*$I155,IF(INDEX(Employees!$P$5:$P$29,$A155)="Front-loaded",IF(OR($B155=1,N($G154)=0),N(INDEX(Employees!$Q$5:$Q$29,$A155)),0),0))))</f>
        <v/>
      </c>
      <c r="R155" s="48">
        <f>IF($F155=0,0,SUMIFS('Time Off Log'!$H$5:$H$504,'Time Off Log'!$A$5:$A$504,$C155,'Time Off Log'!$B$5:$B$504,"Sick",'Time Off Log'!$E$5:$E$504,"Approved",'Time Off Log'!$C$5:$C$504,"&gt;="&amp;INDEX(Periods!$E$5:$E$57,$B155),'Time Off Log'!$C$5:$C$504,"&lt;="&amp;INDEX(Periods!$F$5:$F$57,$B155)))</f>
        <v/>
      </c>
      <c r="S155" s="48">
        <f>IF($B155=1,N(INDEX(Employees!$T$5:$T$29,$A155)),V154)</f>
        <v/>
      </c>
      <c r="T155" s="48">
        <f>IF(INDEX(Employees!$S$5:$S$29,$A155)="",Q155,MAX(0,MIN(Q155,INDEX(Employees!$S$5:$S$29,$A155)-(S155-R155))))</f>
        <v/>
      </c>
      <c r="U155" s="48">
        <f>Q155-T155</f>
        <v/>
      </c>
      <c r="V155" s="48">
        <f>S155-R155+T155</f>
        <v/>
      </c>
    </row>
    <row r="156">
      <c r="A156" s="47" t="n">
        <v>3</v>
      </c>
      <c r="B156" s="47" t="n">
        <v>46</v>
      </c>
      <c r="C156" s="48">
        <f>INDEX(Employees!$B$5:$B$29,$A156)&amp;""</f>
        <v/>
      </c>
      <c r="D156" s="49">
        <f>INDEX(Periods!$B$5:$B$57,$B156)</f>
        <v/>
      </c>
      <c r="E156" s="49">
        <f>INDEX(Periods!$C$5:$C$57,$B156)</f>
        <v/>
      </c>
      <c r="F156" s="47">
        <f>IF(AND($C156&lt;&gt;"",INDEX(Periods!$D$5:$D$57,$B156)=1),1,0)</f>
        <v/>
      </c>
      <c r="G156" s="47">
        <f>IF($F156=0,0,IF(AND(OR(INDEX(Employees!$D$5:$D$29,$A156)="",$E156&gt;=INDEX(Employees!$D$5:$D$29,$A156)+N(INDEX(Employees!$U$5:$U$29,$A156))),OR(INDEX(Employees!$E$5:$E$29,$A156)="",$D156&lt;=INDEX(Employees!$E$5:$E$29,$A156))),1,0))</f>
        <v/>
      </c>
      <c r="H156" s="47">
        <f>IF($G156=0,0,IF(INDEX(Employees!$D$5:$D$29,$A156)="",0,DATEDIF(INDEX(Employees!$D$5:$D$29,$A156),$E156,"y")))</f>
        <v/>
      </c>
      <c r="I156" s="48">
        <f>IF($G156=0,0,IF(INDEX('Hours Worked'!$D$5:$BD$29,$A156,$B156)="",N(INDEX(Employees!$H$5:$H$29,$A156)),INDEX('Hours Worked'!$D$5:$BD$29,$A156,$B156)))</f>
        <v/>
      </c>
      <c r="J156" s="48">
        <f>IF(OR($G156=0,INDEX(Employees!$O$5:$O$29,$A156)&lt;&gt;"Yes"),0,IF(COUNTIF(Settings!$D$4:$D$9,"&lt;="&amp;$H156)=0,0,INDEX(Settings!$E$4:$E$9,COUNTIF(Settings!$D$4:$D$9,"&lt;="&amp;$H156))))</f>
        <v/>
      </c>
      <c r="K156" s="48">
        <f>IF($G156=0,0,IF(INDEX(Employees!$I$5:$I$29,$A156)="Per pay period",(N(INDEX(Employees!$J$5:$J$29,$A156))+$J156)/Settings!$B$13,IF(INDEX(Employees!$I$5:$I$29,$A156)="Per hour worked",N(INDEX(Employees!$K$5:$K$29,$A156))*$I156,IF(INDEX(Employees!$I$5:$I$29,$A156)="Front-loaded",IF(OR($B156=1,N($G155)=0),N(INDEX(Employees!$J$5:$J$29,$A156))+$J156,0),0))))</f>
        <v/>
      </c>
      <c r="L156" s="48">
        <f>IF($F156=0,0,SUMIFS('Time Off Log'!$H$5:$H$504,'Time Off Log'!$A$5:$A$504,$C156,'Time Off Log'!$B$5:$B$504,"PTO",'Time Off Log'!$E$5:$E$504,"Approved",'Time Off Log'!$C$5:$C$504,"&gt;="&amp;INDEX(Periods!$E$5:$E$57,$B156),'Time Off Log'!$C$5:$C$504,"&lt;="&amp;INDEX(Periods!$F$5:$F$57,$B156)))</f>
        <v/>
      </c>
      <c r="M156" s="48">
        <f>IF($B156=1,N(INDEX(Employees!$N$5:$N$29,$A156)),P155)</f>
        <v/>
      </c>
      <c r="N156" s="48">
        <f>IF(INDEX(Employees!$L$5:$L$29,$A156)="",K156,MAX(0,MIN(K156,INDEX(Employees!$L$5:$L$29,$A156)-(M156-L156))))</f>
        <v/>
      </c>
      <c r="O156" s="48">
        <f>K156-N156</f>
        <v/>
      </c>
      <c r="P156" s="48">
        <f>M156-L156+N156</f>
        <v/>
      </c>
      <c r="Q156" s="48">
        <f>IF($G156=0,0,IF(INDEX(Employees!$P$5:$P$29,$A156)="Per pay period",(N(INDEX(Employees!$Q$5:$Q$29,$A156)))/Settings!$B$13,IF(INDEX(Employees!$P$5:$P$29,$A156)="Per hour worked",N(INDEX(Employees!$R$5:$R$29,$A156))*$I156,IF(INDEX(Employees!$P$5:$P$29,$A156)="Front-loaded",IF(OR($B156=1,N($G155)=0),N(INDEX(Employees!$Q$5:$Q$29,$A156)),0),0))))</f>
        <v/>
      </c>
      <c r="R156" s="48">
        <f>IF($F156=0,0,SUMIFS('Time Off Log'!$H$5:$H$504,'Time Off Log'!$A$5:$A$504,$C156,'Time Off Log'!$B$5:$B$504,"Sick",'Time Off Log'!$E$5:$E$504,"Approved",'Time Off Log'!$C$5:$C$504,"&gt;="&amp;INDEX(Periods!$E$5:$E$57,$B156),'Time Off Log'!$C$5:$C$504,"&lt;="&amp;INDEX(Periods!$F$5:$F$57,$B156)))</f>
        <v/>
      </c>
      <c r="S156" s="48">
        <f>IF($B156=1,N(INDEX(Employees!$T$5:$T$29,$A156)),V155)</f>
        <v/>
      </c>
      <c r="T156" s="48">
        <f>IF(INDEX(Employees!$S$5:$S$29,$A156)="",Q156,MAX(0,MIN(Q156,INDEX(Employees!$S$5:$S$29,$A156)-(S156-R156))))</f>
        <v/>
      </c>
      <c r="U156" s="48">
        <f>Q156-T156</f>
        <v/>
      </c>
      <c r="V156" s="48">
        <f>S156-R156+T156</f>
        <v/>
      </c>
    </row>
    <row r="157">
      <c r="A157" s="47" t="n">
        <v>3</v>
      </c>
      <c r="B157" s="47" t="n">
        <v>47</v>
      </c>
      <c r="C157" s="48">
        <f>INDEX(Employees!$B$5:$B$29,$A157)&amp;""</f>
        <v/>
      </c>
      <c r="D157" s="49">
        <f>INDEX(Periods!$B$5:$B$57,$B157)</f>
        <v/>
      </c>
      <c r="E157" s="49">
        <f>INDEX(Periods!$C$5:$C$57,$B157)</f>
        <v/>
      </c>
      <c r="F157" s="47">
        <f>IF(AND($C157&lt;&gt;"",INDEX(Periods!$D$5:$D$57,$B157)=1),1,0)</f>
        <v/>
      </c>
      <c r="G157" s="47">
        <f>IF($F157=0,0,IF(AND(OR(INDEX(Employees!$D$5:$D$29,$A157)="",$E157&gt;=INDEX(Employees!$D$5:$D$29,$A157)+N(INDEX(Employees!$U$5:$U$29,$A157))),OR(INDEX(Employees!$E$5:$E$29,$A157)="",$D157&lt;=INDEX(Employees!$E$5:$E$29,$A157))),1,0))</f>
        <v/>
      </c>
      <c r="H157" s="47">
        <f>IF($G157=0,0,IF(INDEX(Employees!$D$5:$D$29,$A157)="",0,DATEDIF(INDEX(Employees!$D$5:$D$29,$A157),$E157,"y")))</f>
        <v/>
      </c>
      <c r="I157" s="48">
        <f>IF($G157=0,0,IF(INDEX('Hours Worked'!$D$5:$BD$29,$A157,$B157)="",N(INDEX(Employees!$H$5:$H$29,$A157)),INDEX('Hours Worked'!$D$5:$BD$29,$A157,$B157)))</f>
        <v/>
      </c>
      <c r="J157" s="48">
        <f>IF(OR($G157=0,INDEX(Employees!$O$5:$O$29,$A157)&lt;&gt;"Yes"),0,IF(COUNTIF(Settings!$D$4:$D$9,"&lt;="&amp;$H157)=0,0,INDEX(Settings!$E$4:$E$9,COUNTIF(Settings!$D$4:$D$9,"&lt;="&amp;$H157))))</f>
        <v/>
      </c>
      <c r="K157" s="48">
        <f>IF($G157=0,0,IF(INDEX(Employees!$I$5:$I$29,$A157)="Per pay period",(N(INDEX(Employees!$J$5:$J$29,$A157))+$J157)/Settings!$B$13,IF(INDEX(Employees!$I$5:$I$29,$A157)="Per hour worked",N(INDEX(Employees!$K$5:$K$29,$A157))*$I157,IF(INDEX(Employees!$I$5:$I$29,$A157)="Front-loaded",IF(OR($B157=1,N($G156)=0),N(INDEX(Employees!$J$5:$J$29,$A157))+$J157,0),0))))</f>
        <v/>
      </c>
      <c r="L157" s="48">
        <f>IF($F157=0,0,SUMIFS('Time Off Log'!$H$5:$H$504,'Time Off Log'!$A$5:$A$504,$C157,'Time Off Log'!$B$5:$B$504,"PTO",'Time Off Log'!$E$5:$E$504,"Approved",'Time Off Log'!$C$5:$C$504,"&gt;="&amp;INDEX(Periods!$E$5:$E$57,$B157),'Time Off Log'!$C$5:$C$504,"&lt;="&amp;INDEX(Periods!$F$5:$F$57,$B157)))</f>
        <v/>
      </c>
      <c r="M157" s="48">
        <f>IF($B157=1,N(INDEX(Employees!$N$5:$N$29,$A157)),P156)</f>
        <v/>
      </c>
      <c r="N157" s="48">
        <f>IF(INDEX(Employees!$L$5:$L$29,$A157)="",K157,MAX(0,MIN(K157,INDEX(Employees!$L$5:$L$29,$A157)-(M157-L157))))</f>
        <v/>
      </c>
      <c r="O157" s="48">
        <f>K157-N157</f>
        <v/>
      </c>
      <c r="P157" s="48">
        <f>M157-L157+N157</f>
        <v/>
      </c>
      <c r="Q157" s="48">
        <f>IF($G157=0,0,IF(INDEX(Employees!$P$5:$P$29,$A157)="Per pay period",(N(INDEX(Employees!$Q$5:$Q$29,$A157)))/Settings!$B$13,IF(INDEX(Employees!$P$5:$P$29,$A157)="Per hour worked",N(INDEX(Employees!$R$5:$R$29,$A157))*$I157,IF(INDEX(Employees!$P$5:$P$29,$A157)="Front-loaded",IF(OR($B157=1,N($G156)=0),N(INDEX(Employees!$Q$5:$Q$29,$A157)),0),0))))</f>
        <v/>
      </c>
      <c r="R157" s="48">
        <f>IF($F157=0,0,SUMIFS('Time Off Log'!$H$5:$H$504,'Time Off Log'!$A$5:$A$504,$C157,'Time Off Log'!$B$5:$B$504,"Sick",'Time Off Log'!$E$5:$E$504,"Approved",'Time Off Log'!$C$5:$C$504,"&gt;="&amp;INDEX(Periods!$E$5:$E$57,$B157),'Time Off Log'!$C$5:$C$504,"&lt;="&amp;INDEX(Periods!$F$5:$F$57,$B157)))</f>
        <v/>
      </c>
      <c r="S157" s="48">
        <f>IF($B157=1,N(INDEX(Employees!$T$5:$T$29,$A157)),V156)</f>
        <v/>
      </c>
      <c r="T157" s="48">
        <f>IF(INDEX(Employees!$S$5:$S$29,$A157)="",Q157,MAX(0,MIN(Q157,INDEX(Employees!$S$5:$S$29,$A157)-(S157-R157))))</f>
        <v/>
      </c>
      <c r="U157" s="48">
        <f>Q157-T157</f>
        <v/>
      </c>
      <c r="V157" s="48">
        <f>S157-R157+T157</f>
        <v/>
      </c>
    </row>
    <row r="158">
      <c r="A158" s="47" t="n">
        <v>3</v>
      </c>
      <c r="B158" s="47" t="n">
        <v>48</v>
      </c>
      <c r="C158" s="48">
        <f>INDEX(Employees!$B$5:$B$29,$A158)&amp;""</f>
        <v/>
      </c>
      <c r="D158" s="49">
        <f>INDEX(Periods!$B$5:$B$57,$B158)</f>
        <v/>
      </c>
      <c r="E158" s="49">
        <f>INDEX(Periods!$C$5:$C$57,$B158)</f>
        <v/>
      </c>
      <c r="F158" s="47">
        <f>IF(AND($C158&lt;&gt;"",INDEX(Periods!$D$5:$D$57,$B158)=1),1,0)</f>
        <v/>
      </c>
      <c r="G158" s="47">
        <f>IF($F158=0,0,IF(AND(OR(INDEX(Employees!$D$5:$D$29,$A158)="",$E158&gt;=INDEX(Employees!$D$5:$D$29,$A158)+N(INDEX(Employees!$U$5:$U$29,$A158))),OR(INDEX(Employees!$E$5:$E$29,$A158)="",$D158&lt;=INDEX(Employees!$E$5:$E$29,$A158))),1,0))</f>
        <v/>
      </c>
      <c r="H158" s="47">
        <f>IF($G158=0,0,IF(INDEX(Employees!$D$5:$D$29,$A158)="",0,DATEDIF(INDEX(Employees!$D$5:$D$29,$A158),$E158,"y")))</f>
        <v/>
      </c>
      <c r="I158" s="48">
        <f>IF($G158=0,0,IF(INDEX('Hours Worked'!$D$5:$BD$29,$A158,$B158)="",N(INDEX(Employees!$H$5:$H$29,$A158)),INDEX('Hours Worked'!$D$5:$BD$29,$A158,$B158)))</f>
        <v/>
      </c>
      <c r="J158" s="48">
        <f>IF(OR($G158=0,INDEX(Employees!$O$5:$O$29,$A158)&lt;&gt;"Yes"),0,IF(COUNTIF(Settings!$D$4:$D$9,"&lt;="&amp;$H158)=0,0,INDEX(Settings!$E$4:$E$9,COUNTIF(Settings!$D$4:$D$9,"&lt;="&amp;$H158))))</f>
        <v/>
      </c>
      <c r="K158" s="48">
        <f>IF($G158=0,0,IF(INDEX(Employees!$I$5:$I$29,$A158)="Per pay period",(N(INDEX(Employees!$J$5:$J$29,$A158))+$J158)/Settings!$B$13,IF(INDEX(Employees!$I$5:$I$29,$A158)="Per hour worked",N(INDEX(Employees!$K$5:$K$29,$A158))*$I158,IF(INDEX(Employees!$I$5:$I$29,$A158)="Front-loaded",IF(OR($B158=1,N($G157)=0),N(INDEX(Employees!$J$5:$J$29,$A158))+$J158,0),0))))</f>
        <v/>
      </c>
      <c r="L158" s="48">
        <f>IF($F158=0,0,SUMIFS('Time Off Log'!$H$5:$H$504,'Time Off Log'!$A$5:$A$504,$C158,'Time Off Log'!$B$5:$B$504,"PTO",'Time Off Log'!$E$5:$E$504,"Approved",'Time Off Log'!$C$5:$C$504,"&gt;="&amp;INDEX(Periods!$E$5:$E$57,$B158),'Time Off Log'!$C$5:$C$504,"&lt;="&amp;INDEX(Periods!$F$5:$F$57,$B158)))</f>
        <v/>
      </c>
      <c r="M158" s="48">
        <f>IF($B158=1,N(INDEX(Employees!$N$5:$N$29,$A158)),P157)</f>
        <v/>
      </c>
      <c r="N158" s="48">
        <f>IF(INDEX(Employees!$L$5:$L$29,$A158)="",K158,MAX(0,MIN(K158,INDEX(Employees!$L$5:$L$29,$A158)-(M158-L158))))</f>
        <v/>
      </c>
      <c r="O158" s="48">
        <f>K158-N158</f>
        <v/>
      </c>
      <c r="P158" s="48">
        <f>M158-L158+N158</f>
        <v/>
      </c>
      <c r="Q158" s="48">
        <f>IF($G158=0,0,IF(INDEX(Employees!$P$5:$P$29,$A158)="Per pay period",(N(INDEX(Employees!$Q$5:$Q$29,$A158)))/Settings!$B$13,IF(INDEX(Employees!$P$5:$P$29,$A158)="Per hour worked",N(INDEX(Employees!$R$5:$R$29,$A158))*$I158,IF(INDEX(Employees!$P$5:$P$29,$A158)="Front-loaded",IF(OR($B158=1,N($G157)=0),N(INDEX(Employees!$Q$5:$Q$29,$A158)),0),0))))</f>
        <v/>
      </c>
      <c r="R158" s="48">
        <f>IF($F158=0,0,SUMIFS('Time Off Log'!$H$5:$H$504,'Time Off Log'!$A$5:$A$504,$C158,'Time Off Log'!$B$5:$B$504,"Sick",'Time Off Log'!$E$5:$E$504,"Approved",'Time Off Log'!$C$5:$C$504,"&gt;="&amp;INDEX(Periods!$E$5:$E$57,$B158),'Time Off Log'!$C$5:$C$504,"&lt;="&amp;INDEX(Periods!$F$5:$F$57,$B158)))</f>
        <v/>
      </c>
      <c r="S158" s="48">
        <f>IF($B158=1,N(INDEX(Employees!$T$5:$T$29,$A158)),V157)</f>
        <v/>
      </c>
      <c r="T158" s="48">
        <f>IF(INDEX(Employees!$S$5:$S$29,$A158)="",Q158,MAX(0,MIN(Q158,INDEX(Employees!$S$5:$S$29,$A158)-(S158-R158))))</f>
        <v/>
      </c>
      <c r="U158" s="48">
        <f>Q158-T158</f>
        <v/>
      </c>
      <c r="V158" s="48">
        <f>S158-R158+T158</f>
        <v/>
      </c>
    </row>
    <row r="159">
      <c r="A159" s="47" t="n">
        <v>3</v>
      </c>
      <c r="B159" s="47" t="n">
        <v>49</v>
      </c>
      <c r="C159" s="48">
        <f>INDEX(Employees!$B$5:$B$29,$A159)&amp;""</f>
        <v/>
      </c>
      <c r="D159" s="49">
        <f>INDEX(Periods!$B$5:$B$57,$B159)</f>
        <v/>
      </c>
      <c r="E159" s="49">
        <f>INDEX(Periods!$C$5:$C$57,$B159)</f>
        <v/>
      </c>
      <c r="F159" s="47">
        <f>IF(AND($C159&lt;&gt;"",INDEX(Periods!$D$5:$D$57,$B159)=1),1,0)</f>
        <v/>
      </c>
      <c r="G159" s="47">
        <f>IF($F159=0,0,IF(AND(OR(INDEX(Employees!$D$5:$D$29,$A159)="",$E159&gt;=INDEX(Employees!$D$5:$D$29,$A159)+N(INDEX(Employees!$U$5:$U$29,$A159))),OR(INDEX(Employees!$E$5:$E$29,$A159)="",$D159&lt;=INDEX(Employees!$E$5:$E$29,$A159))),1,0))</f>
        <v/>
      </c>
      <c r="H159" s="47">
        <f>IF($G159=0,0,IF(INDEX(Employees!$D$5:$D$29,$A159)="",0,DATEDIF(INDEX(Employees!$D$5:$D$29,$A159),$E159,"y")))</f>
        <v/>
      </c>
      <c r="I159" s="48">
        <f>IF($G159=0,0,IF(INDEX('Hours Worked'!$D$5:$BD$29,$A159,$B159)="",N(INDEX(Employees!$H$5:$H$29,$A159)),INDEX('Hours Worked'!$D$5:$BD$29,$A159,$B159)))</f>
        <v/>
      </c>
      <c r="J159" s="48">
        <f>IF(OR($G159=0,INDEX(Employees!$O$5:$O$29,$A159)&lt;&gt;"Yes"),0,IF(COUNTIF(Settings!$D$4:$D$9,"&lt;="&amp;$H159)=0,0,INDEX(Settings!$E$4:$E$9,COUNTIF(Settings!$D$4:$D$9,"&lt;="&amp;$H159))))</f>
        <v/>
      </c>
      <c r="K159" s="48">
        <f>IF($G159=0,0,IF(INDEX(Employees!$I$5:$I$29,$A159)="Per pay period",(N(INDEX(Employees!$J$5:$J$29,$A159))+$J159)/Settings!$B$13,IF(INDEX(Employees!$I$5:$I$29,$A159)="Per hour worked",N(INDEX(Employees!$K$5:$K$29,$A159))*$I159,IF(INDEX(Employees!$I$5:$I$29,$A159)="Front-loaded",IF(OR($B159=1,N($G158)=0),N(INDEX(Employees!$J$5:$J$29,$A159))+$J159,0),0))))</f>
        <v/>
      </c>
      <c r="L159" s="48">
        <f>IF($F159=0,0,SUMIFS('Time Off Log'!$H$5:$H$504,'Time Off Log'!$A$5:$A$504,$C159,'Time Off Log'!$B$5:$B$504,"PTO",'Time Off Log'!$E$5:$E$504,"Approved",'Time Off Log'!$C$5:$C$504,"&gt;="&amp;INDEX(Periods!$E$5:$E$57,$B159),'Time Off Log'!$C$5:$C$504,"&lt;="&amp;INDEX(Periods!$F$5:$F$57,$B159)))</f>
        <v/>
      </c>
      <c r="M159" s="48">
        <f>IF($B159=1,N(INDEX(Employees!$N$5:$N$29,$A159)),P158)</f>
        <v/>
      </c>
      <c r="N159" s="48">
        <f>IF(INDEX(Employees!$L$5:$L$29,$A159)="",K159,MAX(0,MIN(K159,INDEX(Employees!$L$5:$L$29,$A159)-(M159-L159))))</f>
        <v/>
      </c>
      <c r="O159" s="48">
        <f>K159-N159</f>
        <v/>
      </c>
      <c r="P159" s="48">
        <f>M159-L159+N159</f>
        <v/>
      </c>
      <c r="Q159" s="48">
        <f>IF($G159=0,0,IF(INDEX(Employees!$P$5:$P$29,$A159)="Per pay period",(N(INDEX(Employees!$Q$5:$Q$29,$A159)))/Settings!$B$13,IF(INDEX(Employees!$P$5:$P$29,$A159)="Per hour worked",N(INDEX(Employees!$R$5:$R$29,$A159))*$I159,IF(INDEX(Employees!$P$5:$P$29,$A159)="Front-loaded",IF(OR($B159=1,N($G158)=0),N(INDEX(Employees!$Q$5:$Q$29,$A159)),0),0))))</f>
        <v/>
      </c>
      <c r="R159" s="48">
        <f>IF($F159=0,0,SUMIFS('Time Off Log'!$H$5:$H$504,'Time Off Log'!$A$5:$A$504,$C159,'Time Off Log'!$B$5:$B$504,"Sick",'Time Off Log'!$E$5:$E$504,"Approved",'Time Off Log'!$C$5:$C$504,"&gt;="&amp;INDEX(Periods!$E$5:$E$57,$B159),'Time Off Log'!$C$5:$C$504,"&lt;="&amp;INDEX(Periods!$F$5:$F$57,$B159)))</f>
        <v/>
      </c>
      <c r="S159" s="48">
        <f>IF($B159=1,N(INDEX(Employees!$T$5:$T$29,$A159)),V158)</f>
        <v/>
      </c>
      <c r="T159" s="48">
        <f>IF(INDEX(Employees!$S$5:$S$29,$A159)="",Q159,MAX(0,MIN(Q159,INDEX(Employees!$S$5:$S$29,$A159)-(S159-R159))))</f>
        <v/>
      </c>
      <c r="U159" s="48">
        <f>Q159-T159</f>
        <v/>
      </c>
      <c r="V159" s="48">
        <f>S159-R159+T159</f>
        <v/>
      </c>
    </row>
    <row r="160">
      <c r="A160" s="47" t="n">
        <v>3</v>
      </c>
      <c r="B160" s="47" t="n">
        <v>50</v>
      </c>
      <c r="C160" s="48">
        <f>INDEX(Employees!$B$5:$B$29,$A160)&amp;""</f>
        <v/>
      </c>
      <c r="D160" s="49">
        <f>INDEX(Periods!$B$5:$B$57,$B160)</f>
        <v/>
      </c>
      <c r="E160" s="49">
        <f>INDEX(Periods!$C$5:$C$57,$B160)</f>
        <v/>
      </c>
      <c r="F160" s="47">
        <f>IF(AND($C160&lt;&gt;"",INDEX(Periods!$D$5:$D$57,$B160)=1),1,0)</f>
        <v/>
      </c>
      <c r="G160" s="47">
        <f>IF($F160=0,0,IF(AND(OR(INDEX(Employees!$D$5:$D$29,$A160)="",$E160&gt;=INDEX(Employees!$D$5:$D$29,$A160)+N(INDEX(Employees!$U$5:$U$29,$A160))),OR(INDEX(Employees!$E$5:$E$29,$A160)="",$D160&lt;=INDEX(Employees!$E$5:$E$29,$A160))),1,0))</f>
        <v/>
      </c>
      <c r="H160" s="47">
        <f>IF($G160=0,0,IF(INDEX(Employees!$D$5:$D$29,$A160)="",0,DATEDIF(INDEX(Employees!$D$5:$D$29,$A160),$E160,"y")))</f>
        <v/>
      </c>
      <c r="I160" s="48">
        <f>IF($G160=0,0,IF(INDEX('Hours Worked'!$D$5:$BD$29,$A160,$B160)="",N(INDEX(Employees!$H$5:$H$29,$A160)),INDEX('Hours Worked'!$D$5:$BD$29,$A160,$B160)))</f>
        <v/>
      </c>
      <c r="J160" s="48">
        <f>IF(OR($G160=0,INDEX(Employees!$O$5:$O$29,$A160)&lt;&gt;"Yes"),0,IF(COUNTIF(Settings!$D$4:$D$9,"&lt;="&amp;$H160)=0,0,INDEX(Settings!$E$4:$E$9,COUNTIF(Settings!$D$4:$D$9,"&lt;="&amp;$H160))))</f>
        <v/>
      </c>
      <c r="K160" s="48">
        <f>IF($G160=0,0,IF(INDEX(Employees!$I$5:$I$29,$A160)="Per pay period",(N(INDEX(Employees!$J$5:$J$29,$A160))+$J160)/Settings!$B$13,IF(INDEX(Employees!$I$5:$I$29,$A160)="Per hour worked",N(INDEX(Employees!$K$5:$K$29,$A160))*$I160,IF(INDEX(Employees!$I$5:$I$29,$A160)="Front-loaded",IF(OR($B160=1,N($G159)=0),N(INDEX(Employees!$J$5:$J$29,$A160))+$J160,0),0))))</f>
        <v/>
      </c>
      <c r="L160" s="48">
        <f>IF($F160=0,0,SUMIFS('Time Off Log'!$H$5:$H$504,'Time Off Log'!$A$5:$A$504,$C160,'Time Off Log'!$B$5:$B$504,"PTO",'Time Off Log'!$E$5:$E$504,"Approved",'Time Off Log'!$C$5:$C$504,"&gt;="&amp;INDEX(Periods!$E$5:$E$57,$B160),'Time Off Log'!$C$5:$C$504,"&lt;="&amp;INDEX(Periods!$F$5:$F$57,$B160)))</f>
        <v/>
      </c>
      <c r="M160" s="48">
        <f>IF($B160=1,N(INDEX(Employees!$N$5:$N$29,$A160)),P159)</f>
        <v/>
      </c>
      <c r="N160" s="48">
        <f>IF(INDEX(Employees!$L$5:$L$29,$A160)="",K160,MAX(0,MIN(K160,INDEX(Employees!$L$5:$L$29,$A160)-(M160-L160))))</f>
        <v/>
      </c>
      <c r="O160" s="48">
        <f>K160-N160</f>
        <v/>
      </c>
      <c r="P160" s="48">
        <f>M160-L160+N160</f>
        <v/>
      </c>
      <c r="Q160" s="48">
        <f>IF($G160=0,0,IF(INDEX(Employees!$P$5:$P$29,$A160)="Per pay period",(N(INDEX(Employees!$Q$5:$Q$29,$A160)))/Settings!$B$13,IF(INDEX(Employees!$P$5:$P$29,$A160)="Per hour worked",N(INDEX(Employees!$R$5:$R$29,$A160))*$I160,IF(INDEX(Employees!$P$5:$P$29,$A160)="Front-loaded",IF(OR($B160=1,N($G159)=0),N(INDEX(Employees!$Q$5:$Q$29,$A160)),0),0))))</f>
        <v/>
      </c>
      <c r="R160" s="48">
        <f>IF($F160=0,0,SUMIFS('Time Off Log'!$H$5:$H$504,'Time Off Log'!$A$5:$A$504,$C160,'Time Off Log'!$B$5:$B$504,"Sick",'Time Off Log'!$E$5:$E$504,"Approved",'Time Off Log'!$C$5:$C$504,"&gt;="&amp;INDEX(Periods!$E$5:$E$57,$B160),'Time Off Log'!$C$5:$C$504,"&lt;="&amp;INDEX(Periods!$F$5:$F$57,$B160)))</f>
        <v/>
      </c>
      <c r="S160" s="48">
        <f>IF($B160=1,N(INDEX(Employees!$T$5:$T$29,$A160)),V159)</f>
        <v/>
      </c>
      <c r="T160" s="48">
        <f>IF(INDEX(Employees!$S$5:$S$29,$A160)="",Q160,MAX(0,MIN(Q160,INDEX(Employees!$S$5:$S$29,$A160)-(S160-R160))))</f>
        <v/>
      </c>
      <c r="U160" s="48">
        <f>Q160-T160</f>
        <v/>
      </c>
      <c r="V160" s="48">
        <f>S160-R160+T160</f>
        <v/>
      </c>
    </row>
    <row r="161">
      <c r="A161" s="47" t="n">
        <v>3</v>
      </c>
      <c r="B161" s="47" t="n">
        <v>51</v>
      </c>
      <c r="C161" s="48">
        <f>INDEX(Employees!$B$5:$B$29,$A161)&amp;""</f>
        <v/>
      </c>
      <c r="D161" s="49">
        <f>INDEX(Periods!$B$5:$B$57,$B161)</f>
        <v/>
      </c>
      <c r="E161" s="49">
        <f>INDEX(Periods!$C$5:$C$57,$B161)</f>
        <v/>
      </c>
      <c r="F161" s="47">
        <f>IF(AND($C161&lt;&gt;"",INDEX(Periods!$D$5:$D$57,$B161)=1),1,0)</f>
        <v/>
      </c>
      <c r="G161" s="47">
        <f>IF($F161=0,0,IF(AND(OR(INDEX(Employees!$D$5:$D$29,$A161)="",$E161&gt;=INDEX(Employees!$D$5:$D$29,$A161)+N(INDEX(Employees!$U$5:$U$29,$A161))),OR(INDEX(Employees!$E$5:$E$29,$A161)="",$D161&lt;=INDEX(Employees!$E$5:$E$29,$A161))),1,0))</f>
        <v/>
      </c>
      <c r="H161" s="47">
        <f>IF($G161=0,0,IF(INDEX(Employees!$D$5:$D$29,$A161)="",0,DATEDIF(INDEX(Employees!$D$5:$D$29,$A161),$E161,"y")))</f>
        <v/>
      </c>
      <c r="I161" s="48">
        <f>IF($G161=0,0,IF(INDEX('Hours Worked'!$D$5:$BD$29,$A161,$B161)="",N(INDEX(Employees!$H$5:$H$29,$A161)),INDEX('Hours Worked'!$D$5:$BD$29,$A161,$B161)))</f>
        <v/>
      </c>
      <c r="J161" s="48">
        <f>IF(OR($G161=0,INDEX(Employees!$O$5:$O$29,$A161)&lt;&gt;"Yes"),0,IF(COUNTIF(Settings!$D$4:$D$9,"&lt;="&amp;$H161)=0,0,INDEX(Settings!$E$4:$E$9,COUNTIF(Settings!$D$4:$D$9,"&lt;="&amp;$H161))))</f>
        <v/>
      </c>
      <c r="K161" s="48">
        <f>IF($G161=0,0,IF(INDEX(Employees!$I$5:$I$29,$A161)="Per pay period",(N(INDEX(Employees!$J$5:$J$29,$A161))+$J161)/Settings!$B$13,IF(INDEX(Employees!$I$5:$I$29,$A161)="Per hour worked",N(INDEX(Employees!$K$5:$K$29,$A161))*$I161,IF(INDEX(Employees!$I$5:$I$29,$A161)="Front-loaded",IF(OR($B161=1,N($G160)=0),N(INDEX(Employees!$J$5:$J$29,$A161))+$J161,0),0))))</f>
        <v/>
      </c>
      <c r="L161" s="48">
        <f>IF($F161=0,0,SUMIFS('Time Off Log'!$H$5:$H$504,'Time Off Log'!$A$5:$A$504,$C161,'Time Off Log'!$B$5:$B$504,"PTO",'Time Off Log'!$E$5:$E$504,"Approved",'Time Off Log'!$C$5:$C$504,"&gt;="&amp;INDEX(Periods!$E$5:$E$57,$B161),'Time Off Log'!$C$5:$C$504,"&lt;="&amp;INDEX(Periods!$F$5:$F$57,$B161)))</f>
        <v/>
      </c>
      <c r="M161" s="48">
        <f>IF($B161=1,N(INDEX(Employees!$N$5:$N$29,$A161)),P160)</f>
        <v/>
      </c>
      <c r="N161" s="48">
        <f>IF(INDEX(Employees!$L$5:$L$29,$A161)="",K161,MAX(0,MIN(K161,INDEX(Employees!$L$5:$L$29,$A161)-(M161-L161))))</f>
        <v/>
      </c>
      <c r="O161" s="48">
        <f>K161-N161</f>
        <v/>
      </c>
      <c r="P161" s="48">
        <f>M161-L161+N161</f>
        <v/>
      </c>
      <c r="Q161" s="48">
        <f>IF($G161=0,0,IF(INDEX(Employees!$P$5:$P$29,$A161)="Per pay period",(N(INDEX(Employees!$Q$5:$Q$29,$A161)))/Settings!$B$13,IF(INDEX(Employees!$P$5:$P$29,$A161)="Per hour worked",N(INDEX(Employees!$R$5:$R$29,$A161))*$I161,IF(INDEX(Employees!$P$5:$P$29,$A161)="Front-loaded",IF(OR($B161=1,N($G160)=0),N(INDEX(Employees!$Q$5:$Q$29,$A161)),0),0))))</f>
        <v/>
      </c>
      <c r="R161" s="48">
        <f>IF($F161=0,0,SUMIFS('Time Off Log'!$H$5:$H$504,'Time Off Log'!$A$5:$A$504,$C161,'Time Off Log'!$B$5:$B$504,"Sick",'Time Off Log'!$E$5:$E$504,"Approved",'Time Off Log'!$C$5:$C$504,"&gt;="&amp;INDEX(Periods!$E$5:$E$57,$B161),'Time Off Log'!$C$5:$C$504,"&lt;="&amp;INDEX(Periods!$F$5:$F$57,$B161)))</f>
        <v/>
      </c>
      <c r="S161" s="48">
        <f>IF($B161=1,N(INDEX(Employees!$T$5:$T$29,$A161)),V160)</f>
        <v/>
      </c>
      <c r="T161" s="48">
        <f>IF(INDEX(Employees!$S$5:$S$29,$A161)="",Q161,MAX(0,MIN(Q161,INDEX(Employees!$S$5:$S$29,$A161)-(S161-R161))))</f>
        <v/>
      </c>
      <c r="U161" s="48">
        <f>Q161-T161</f>
        <v/>
      </c>
      <c r="V161" s="48">
        <f>S161-R161+T161</f>
        <v/>
      </c>
    </row>
    <row r="162">
      <c r="A162" s="47" t="n">
        <v>3</v>
      </c>
      <c r="B162" s="47" t="n">
        <v>52</v>
      </c>
      <c r="C162" s="48">
        <f>INDEX(Employees!$B$5:$B$29,$A162)&amp;""</f>
        <v/>
      </c>
      <c r="D162" s="49">
        <f>INDEX(Periods!$B$5:$B$57,$B162)</f>
        <v/>
      </c>
      <c r="E162" s="49">
        <f>INDEX(Periods!$C$5:$C$57,$B162)</f>
        <v/>
      </c>
      <c r="F162" s="47">
        <f>IF(AND($C162&lt;&gt;"",INDEX(Periods!$D$5:$D$57,$B162)=1),1,0)</f>
        <v/>
      </c>
      <c r="G162" s="47">
        <f>IF($F162=0,0,IF(AND(OR(INDEX(Employees!$D$5:$D$29,$A162)="",$E162&gt;=INDEX(Employees!$D$5:$D$29,$A162)+N(INDEX(Employees!$U$5:$U$29,$A162))),OR(INDEX(Employees!$E$5:$E$29,$A162)="",$D162&lt;=INDEX(Employees!$E$5:$E$29,$A162))),1,0))</f>
        <v/>
      </c>
      <c r="H162" s="47">
        <f>IF($G162=0,0,IF(INDEX(Employees!$D$5:$D$29,$A162)="",0,DATEDIF(INDEX(Employees!$D$5:$D$29,$A162),$E162,"y")))</f>
        <v/>
      </c>
      <c r="I162" s="48">
        <f>IF($G162=0,0,IF(INDEX('Hours Worked'!$D$5:$BD$29,$A162,$B162)="",N(INDEX(Employees!$H$5:$H$29,$A162)),INDEX('Hours Worked'!$D$5:$BD$29,$A162,$B162)))</f>
        <v/>
      </c>
      <c r="J162" s="48">
        <f>IF(OR($G162=0,INDEX(Employees!$O$5:$O$29,$A162)&lt;&gt;"Yes"),0,IF(COUNTIF(Settings!$D$4:$D$9,"&lt;="&amp;$H162)=0,0,INDEX(Settings!$E$4:$E$9,COUNTIF(Settings!$D$4:$D$9,"&lt;="&amp;$H162))))</f>
        <v/>
      </c>
      <c r="K162" s="48">
        <f>IF($G162=0,0,IF(INDEX(Employees!$I$5:$I$29,$A162)="Per pay period",(N(INDEX(Employees!$J$5:$J$29,$A162))+$J162)/Settings!$B$13,IF(INDEX(Employees!$I$5:$I$29,$A162)="Per hour worked",N(INDEX(Employees!$K$5:$K$29,$A162))*$I162,IF(INDEX(Employees!$I$5:$I$29,$A162)="Front-loaded",IF(OR($B162=1,N($G161)=0),N(INDEX(Employees!$J$5:$J$29,$A162))+$J162,0),0))))</f>
        <v/>
      </c>
      <c r="L162" s="48">
        <f>IF($F162=0,0,SUMIFS('Time Off Log'!$H$5:$H$504,'Time Off Log'!$A$5:$A$504,$C162,'Time Off Log'!$B$5:$B$504,"PTO",'Time Off Log'!$E$5:$E$504,"Approved",'Time Off Log'!$C$5:$C$504,"&gt;="&amp;INDEX(Periods!$E$5:$E$57,$B162),'Time Off Log'!$C$5:$C$504,"&lt;="&amp;INDEX(Periods!$F$5:$F$57,$B162)))</f>
        <v/>
      </c>
      <c r="M162" s="48">
        <f>IF($B162=1,N(INDEX(Employees!$N$5:$N$29,$A162)),P161)</f>
        <v/>
      </c>
      <c r="N162" s="48">
        <f>IF(INDEX(Employees!$L$5:$L$29,$A162)="",K162,MAX(0,MIN(K162,INDEX(Employees!$L$5:$L$29,$A162)-(M162-L162))))</f>
        <v/>
      </c>
      <c r="O162" s="48">
        <f>K162-N162</f>
        <v/>
      </c>
      <c r="P162" s="48">
        <f>M162-L162+N162</f>
        <v/>
      </c>
      <c r="Q162" s="48">
        <f>IF($G162=0,0,IF(INDEX(Employees!$P$5:$P$29,$A162)="Per pay period",(N(INDEX(Employees!$Q$5:$Q$29,$A162)))/Settings!$B$13,IF(INDEX(Employees!$P$5:$P$29,$A162)="Per hour worked",N(INDEX(Employees!$R$5:$R$29,$A162))*$I162,IF(INDEX(Employees!$P$5:$P$29,$A162)="Front-loaded",IF(OR($B162=1,N($G161)=0),N(INDEX(Employees!$Q$5:$Q$29,$A162)),0),0))))</f>
        <v/>
      </c>
      <c r="R162" s="48">
        <f>IF($F162=0,0,SUMIFS('Time Off Log'!$H$5:$H$504,'Time Off Log'!$A$5:$A$504,$C162,'Time Off Log'!$B$5:$B$504,"Sick",'Time Off Log'!$E$5:$E$504,"Approved",'Time Off Log'!$C$5:$C$504,"&gt;="&amp;INDEX(Periods!$E$5:$E$57,$B162),'Time Off Log'!$C$5:$C$504,"&lt;="&amp;INDEX(Periods!$F$5:$F$57,$B162)))</f>
        <v/>
      </c>
      <c r="S162" s="48">
        <f>IF($B162=1,N(INDEX(Employees!$T$5:$T$29,$A162)),V161)</f>
        <v/>
      </c>
      <c r="T162" s="48">
        <f>IF(INDEX(Employees!$S$5:$S$29,$A162)="",Q162,MAX(0,MIN(Q162,INDEX(Employees!$S$5:$S$29,$A162)-(S162-R162))))</f>
        <v/>
      </c>
      <c r="U162" s="48">
        <f>Q162-T162</f>
        <v/>
      </c>
      <c r="V162" s="48">
        <f>S162-R162+T162</f>
        <v/>
      </c>
    </row>
    <row r="163">
      <c r="A163" s="47" t="n">
        <v>3</v>
      </c>
      <c r="B163" s="47" t="n">
        <v>53</v>
      </c>
      <c r="C163" s="48">
        <f>INDEX(Employees!$B$5:$B$29,$A163)&amp;""</f>
        <v/>
      </c>
      <c r="D163" s="49">
        <f>INDEX(Periods!$B$5:$B$57,$B163)</f>
        <v/>
      </c>
      <c r="E163" s="49">
        <f>INDEX(Periods!$C$5:$C$57,$B163)</f>
        <v/>
      </c>
      <c r="F163" s="47">
        <f>IF(AND($C163&lt;&gt;"",INDEX(Periods!$D$5:$D$57,$B163)=1),1,0)</f>
        <v/>
      </c>
      <c r="G163" s="47">
        <f>IF($F163=0,0,IF(AND(OR(INDEX(Employees!$D$5:$D$29,$A163)="",$E163&gt;=INDEX(Employees!$D$5:$D$29,$A163)+N(INDEX(Employees!$U$5:$U$29,$A163))),OR(INDEX(Employees!$E$5:$E$29,$A163)="",$D163&lt;=INDEX(Employees!$E$5:$E$29,$A163))),1,0))</f>
        <v/>
      </c>
      <c r="H163" s="47">
        <f>IF($G163=0,0,IF(INDEX(Employees!$D$5:$D$29,$A163)="",0,DATEDIF(INDEX(Employees!$D$5:$D$29,$A163),$E163,"y")))</f>
        <v/>
      </c>
      <c r="I163" s="48">
        <f>IF($G163=0,0,IF(INDEX('Hours Worked'!$D$5:$BD$29,$A163,$B163)="",N(INDEX(Employees!$H$5:$H$29,$A163)),INDEX('Hours Worked'!$D$5:$BD$29,$A163,$B163)))</f>
        <v/>
      </c>
      <c r="J163" s="48">
        <f>IF(OR($G163=0,INDEX(Employees!$O$5:$O$29,$A163)&lt;&gt;"Yes"),0,IF(COUNTIF(Settings!$D$4:$D$9,"&lt;="&amp;$H163)=0,0,INDEX(Settings!$E$4:$E$9,COUNTIF(Settings!$D$4:$D$9,"&lt;="&amp;$H163))))</f>
        <v/>
      </c>
      <c r="K163" s="48">
        <f>IF($G163=0,0,IF(INDEX(Employees!$I$5:$I$29,$A163)="Per pay period",(N(INDEX(Employees!$J$5:$J$29,$A163))+$J163)/Settings!$B$13,IF(INDEX(Employees!$I$5:$I$29,$A163)="Per hour worked",N(INDEX(Employees!$K$5:$K$29,$A163))*$I163,IF(INDEX(Employees!$I$5:$I$29,$A163)="Front-loaded",IF(OR($B163=1,N($G162)=0),N(INDEX(Employees!$J$5:$J$29,$A163))+$J163,0),0))))</f>
        <v/>
      </c>
      <c r="L163" s="48">
        <f>IF($F163=0,0,SUMIFS('Time Off Log'!$H$5:$H$504,'Time Off Log'!$A$5:$A$504,$C163,'Time Off Log'!$B$5:$B$504,"PTO",'Time Off Log'!$E$5:$E$504,"Approved",'Time Off Log'!$C$5:$C$504,"&gt;="&amp;INDEX(Periods!$E$5:$E$57,$B163),'Time Off Log'!$C$5:$C$504,"&lt;="&amp;INDEX(Periods!$F$5:$F$57,$B163)))</f>
        <v/>
      </c>
      <c r="M163" s="48">
        <f>IF($B163=1,N(INDEX(Employees!$N$5:$N$29,$A163)),P162)</f>
        <v/>
      </c>
      <c r="N163" s="48">
        <f>IF(INDEX(Employees!$L$5:$L$29,$A163)="",K163,MAX(0,MIN(K163,INDEX(Employees!$L$5:$L$29,$A163)-(M163-L163))))</f>
        <v/>
      </c>
      <c r="O163" s="48">
        <f>K163-N163</f>
        <v/>
      </c>
      <c r="P163" s="48">
        <f>M163-L163+N163</f>
        <v/>
      </c>
      <c r="Q163" s="48">
        <f>IF($G163=0,0,IF(INDEX(Employees!$P$5:$P$29,$A163)="Per pay period",(N(INDEX(Employees!$Q$5:$Q$29,$A163)))/Settings!$B$13,IF(INDEX(Employees!$P$5:$P$29,$A163)="Per hour worked",N(INDEX(Employees!$R$5:$R$29,$A163))*$I163,IF(INDEX(Employees!$P$5:$P$29,$A163)="Front-loaded",IF(OR($B163=1,N($G162)=0),N(INDEX(Employees!$Q$5:$Q$29,$A163)),0),0))))</f>
        <v/>
      </c>
      <c r="R163" s="48">
        <f>IF($F163=0,0,SUMIFS('Time Off Log'!$H$5:$H$504,'Time Off Log'!$A$5:$A$504,$C163,'Time Off Log'!$B$5:$B$504,"Sick",'Time Off Log'!$E$5:$E$504,"Approved",'Time Off Log'!$C$5:$C$504,"&gt;="&amp;INDEX(Periods!$E$5:$E$57,$B163),'Time Off Log'!$C$5:$C$504,"&lt;="&amp;INDEX(Periods!$F$5:$F$57,$B163)))</f>
        <v/>
      </c>
      <c r="S163" s="48">
        <f>IF($B163=1,N(INDEX(Employees!$T$5:$T$29,$A163)),V162)</f>
        <v/>
      </c>
      <c r="T163" s="48">
        <f>IF(INDEX(Employees!$S$5:$S$29,$A163)="",Q163,MAX(0,MIN(Q163,INDEX(Employees!$S$5:$S$29,$A163)-(S163-R163))))</f>
        <v/>
      </c>
      <c r="U163" s="48">
        <f>Q163-T163</f>
        <v/>
      </c>
      <c r="V163" s="48">
        <f>S163-R163+T163</f>
        <v/>
      </c>
    </row>
    <row r="164">
      <c r="A164" s="50" t="n">
        <v>4</v>
      </c>
      <c r="B164" s="50" t="n">
        <v>1</v>
      </c>
      <c r="C164" s="51">
        <f>INDEX(Employees!$B$5:$B$29,$A164)&amp;""</f>
        <v/>
      </c>
      <c r="D164" s="52">
        <f>INDEX(Periods!$B$5:$B$57,$B164)</f>
        <v/>
      </c>
      <c r="E164" s="52">
        <f>INDEX(Periods!$C$5:$C$57,$B164)</f>
        <v/>
      </c>
      <c r="F164" s="50">
        <f>IF(AND($C164&lt;&gt;"",INDEX(Periods!$D$5:$D$57,$B164)=1),1,0)</f>
        <v/>
      </c>
      <c r="G164" s="50">
        <f>IF($F164=0,0,IF(AND(OR(INDEX(Employees!$D$5:$D$29,$A164)="",$E164&gt;=INDEX(Employees!$D$5:$D$29,$A164)+N(INDEX(Employees!$U$5:$U$29,$A164))),OR(INDEX(Employees!$E$5:$E$29,$A164)="",$D164&lt;=INDEX(Employees!$E$5:$E$29,$A164))),1,0))</f>
        <v/>
      </c>
      <c r="H164" s="50">
        <f>IF($G164=0,0,IF(INDEX(Employees!$D$5:$D$29,$A164)="",0,DATEDIF(INDEX(Employees!$D$5:$D$29,$A164),$E164,"y")))</f>
        <v/>
      </c>
      <c r="I164" s="51">
        <f>IF($G164=0,0,IF(INDEX('Hours Worked'!$D$5:$BD$29,$A164,$B164)="",N(INDEX(Employees!$H$5:$H$29,$A164)),INDEX('Hours Worked'!$D$5:$BD$29,$A164,$B164)))</f>
        <v/>
      </c>
      <c r="J164" s="51">
        <f>IF(OR($G164=0,INDEX(Employees!$O$5:$O$29,$A164)&lt;&gt;"Yes"),0,IF(COUNTIF(Settings!$D$4:$D$9,"&lt;="&amp;$H164)=0,0,INDEX(Settings!$E$4:$E$9,COUNTIF(Settings!$D$4:$D$9,"&lt;="&amp;$H164))))</f>
        <v/>
      </c>
      <c r="K164" s="51">
        <f>IF($G164=0,0,IF(INDEX(Employees!$I$5:$I$29,$A164)="Per pay period",(N(INDEX(Employees!$J$5:$J$29,$A164))+$J164)/Settings!$B$13,IF(INDEX(Employees!$I$5:$I$29,$A164)="Per hour worked",N(INDEX(Employees!$K$5:$K$29,$A164))*$I164,IF(INDEX(Employees!$I$5:$I$29,$A164)="Front-loaded",IF(OR($B164=1,N($G163)=0),N(INDEX(Employees!$J$5:$J$29,$A164))+$J164,0),0))))</f>
        <v/>
      </c>
      <c r="L164" s="51">
        <f>IF($F164=0,0,SUMIFS('Time Off Log'!$H$5:$H$504,'Time Off Log'!$A$5:$A$504,$C164,'Time Off Log'!$B$5:$B$504,"PTO",'Time Off Log'!$E$5:$E$504,"Approved",'Time Off Log'!$C$5:$C$504,"&gt;="&amp;INDEX(Periods!$E$5:$E$57,$B164),'Time Off Log'!$C$5:$C$504,"&lt;="&amp;INDEX(Periods!$F$5:$F$57,$B164)))</f>
        <v/>
      </c>
      <c r="M164" s="51">
        <f>N(INDEX(Employees!$N$5:$N$29,$A164))</f>
        <v/>
      </c>
      <c r="N164" s="51">
        <f>IF(INDEX(Employees!$L$5:$L$29,$A164)="",K164,MAX(0,MIN(K164,INDEX(Employees!$L$5:$L$29,$A164)-(M164-L164))))</f>
        <v/>
      </c>
      <c r="O164" s="51">
        <f>K164-N164</f>
        <v/>
      </c>
      <c r="P164" s="51">
        <f>M164-L164+N164</f>
        <v/>
      </c>
      <c r="Q164" s="51">
        <f>IF($G164=0,0,IF(INDEX(Employees!$P$5:$P$29,$A164)="Per pay period",(N(INDEX(Employees!$Q$5:$Q$29,$A164)))/Settings!$B$13,IF(INDEX(Employees!$P$5:$P$29,$A164)="Per hour worked",N(INDEX(Employees!$R$5:$R$29,$A164))*$I164,IF(INDEX(Employees!$P$5:$P$29,$A164)="Front-loaded",IF(OR($B164=1,N($G163)=0),N(INDEX(Employees!$Q$5:$Q$29,$A164)),0),0))))</f>
        <v/>
      </c>
      <c r="R164" s="51">
        <f>IF($F164=0,0,SUMIFS('Time Off Log'!$H$5:$H$504,'Time Off Log'!$A$5:$A$504,$C164,'Time Off Log'!$B$5:$B$504,"Sick",'Time Off Log'!$E$5:$E$504,"Approved",'Time Off Log'!$C$5:$C$504,"&gt;="&amp;INDEX(Periods!$E$5:$E$57,$B164),'Time Off Log'!$C$5:$C$504,"&lt;="&amp;INDEX(Periods!$F$5:$F$57,$B164)))</f>
        <v/>
      </c>
      <c r="S164" s="51">
        <f>N(INDEX(Employees!$T$5:$T$29,$A164))</f>
        <v/>
      </c>
      <c r="T164" s="51">
        <f>IF(INDEX(Employees!$S$5:$S$29,$A164)="",Q164,MAX(0,MIN(Q164,INDEX(Employees!$S$5:$S$29,$A164)-(S164-R164))))</f>
        <v/>
      </c>
      <c r="U164" s="51">
        <f>Q164-T164</f>
        <v/>
      </c>
      <c r="V164" s="51">
        <f>S164-R164+T164</f>
        <v/>
      </c>
    </row>
    <row r="165">
      <c r="A165" s="50" t="n">
        <v>4</v>
      </c>
      <c r="B165" s="50" t="n">
        <v>2</v>
      </c>
      <c r="C165" s="51">
        <f>INDEX(Employees!$B$5:$B$29,$A165)&amp;""</f>
        <v/>
      </c>
      <c r="D165" s="52">
        <f>INDEX(Periods!$B$5:$B$57,$B165)</f>
        <v/>
      </c>
      <c r="E165" s="52">
        <f>INDEX(Periods!$C$5:$C$57,$B165)</f>
        <v/>
      </c>
      <c r="F165" s="50">
        <f>IF(AND($C165&lt;&gt;"",INDEX(Periods!$D$5:$D$57,$B165)=1),1,0)</f>
        <v/>
      </c>
      <c r="G165" s="50">
        <f>IF($F165=0,0,IF(AND(OR(INDEX(Employees!$D$5:$D$29,$A165)="",$E165&gt;=INDEX(Employees!$D$5:$D$29,$A165)+N(INDEX(Employees!$U$5:$U$29,$A165))),OR(INDEX(Employees!$E$5:$E$29,$A165)="",$D165&lt;=INDEX(Employees!$E$5:$E$29,$A165))),1,0))</f>
        <v/>
      </c>
      <c r="H165" s="50">
        <f>IF($G165=0,0,IF(INDEX(Employees!$D$5:$D$29,$A165)="",0,DATEDIF(INDEX(Employees!$D$5:$D$29,$A165),$E165,"y")))</f>
        <v/>
      </c>
      <c r="I165" s="51">
        <f>IF($G165=0,0,IF(INDEX('Hours Worked'!$D$5:$BD$29,$A165,$B165)="",N(INDEX(Employees!$H$5:$H$29,$A165)),INDEX('Hours Worked'!$D$5:$BD$29,$A165,$B165)))</f>
        <v/>
      </c>
      <c r="J165" s="51">
        <f>IF(OR($G165=0,INDEX(Employees!$O$5:$O$29,$A165)&lt;&gt;"Yes"),0,IF(COUNTIF(Settings!$D$4:$D$9,"&lt;="&amp;$H165)=0,0,INDEX(Settings!$E$4:$E$9,COUNTIF(Settings!$D$4:$D$9,"&lt;="&amp;$H165))))</f>
        <v/>
      </c>
      <c r="K165" s="51">
        <f>IF($G165=0,0,IF(INDEX(Employees!$I$5:$I$29,$A165)="Per pay period",(N(INDEX(Employees!$J$5:$J$29,$A165))+$J165)/Settings!$B$13,IF(INDEX(Employees!$I$5:$I$29,$A165)="Per hour worked",N(INDEX(Employees!$K$5:$K$29,$A165))*$I165,IF(INDEX(Employees!$I$5:$I$29,$A165)="Front-loaded",IF(OR($B165=1,N($G164)=0),N(INDEX(Employees!$J$5:$J$29,$A165))+$J165,0),0))))</f>
        <v/>
      </c>
      <c r="L165" s="51">
        <f>IF($F165=0,0,SUMIFS('Time Off Log'!$H$5:$H$504,'Time Off Log'!$A$5:$A$504,$C165,'Time Off Log'!$B$5:$B$504,"PTO",'Time Off Log'!$E$5:$E$504,"Approved",'Time Off Log'!$C$5:$C$504,"&gt;="&amp;INDEX(Periods!$E$5:$E$57,$B165),'Time Off Log'!$C$5:$C$504,"&lt;="&amp;INDEX(Periods!$F$5:$F$57,$B165)))</f>
        <v/>
      </c>
      <c r="M165" s="51">
        <f>IF($B165=1,N(INDEX(Employees!$N$5:$N$29,$A165)),P164)</f>
        <v/>
      </c>
      <c r="N165" s="51">
        <f>IF(INDEX(Employees!$L$5:$L$29,$A165)="",K165,MAX(0,MIN(K165,INDEX(Employees!$L$5:$L$29,$A165)-(M165-L165))))</f>
        <v/>
      </c>
      <c r="O165" s="51">
        <f>K165-N165</f>
        <v/>
      </c>
      <c r="P165" s="51">
        <f>M165-L165+N165</f>
        <v/>
      </c>
      <c r="Q165" s="51">
        <f>IF($G165=0,0,IF(INDEX(Employees!$P$5:$P$29,$A165)="Per pay period",(N(INDEX(Employees!$Q$5:$Q$29,$A165)))/Settings!$B$13,IF(INDEX(Employees!$P$5:$P$29,$A165)="Per hour worked",N(INDEX(Employees!$R$5:$R$29,$A165))*$I165,IF(INDEX(Employees!$P$5:$P$29,$A165)="Front-loaded",IF(OR($B165=1,N($G164)=0),N(INDEX(Employees!$Q$5:$Q$29,$A165)),0),0))))</f>
        <v/>
      </c>
      <c r="R165" s="51">
        <f>IF($F165=0,0,SUMIFS('Time Off Log'!$H$5:$H$504,'Time Off Log'!$A$5:$A$504,$C165,'Time Off Log'!$B$5:$B$504,"Sick",'Time Off Log'!$E$5:$E$504,"Approved",'Time Off Log'!$C$5:$C$504,"&gt;="&amp;INDEX(Periods!$E$5:$E$57,$B165),'Time Off Log'!$C$5:$C$504,"&lt;="&amp;INDEX(Periods!$F$5:$F$57,$B165)))</f>
        <v/>
      </c>
      <c r="S165" s="51">
        <f>IF($B165=1,N(INDEX(Employees!$T$5:$T$29,$A165)),V164)</f>
        <v/>
      </c>
      <c r="T165" s="51">
        <f>IF(INDEX(Employees!$S$5:$S$29,$A165)="",Q165,MAX(0,MIN(Q165,INDEX(Employees!$S$5:$S$29,$A165)-(S165-R165))))</f>
        <v/>
      </c>
      <c r="U165" s="51">
        <f>Q165-T165</f>
        <v/>
      </c>
      <c r="V165" s="51">
        <f>S165-R165+T165</f>
        <v/>
      </c>
    </row>
    <row r="166">
      <c r="A166" s="50" t="n">
        <v>4</v>
      </c>
      <c r="B166" s="50" t="n">
        <v>3</v>
      </c>
      <c r="C166" s="51">
        <f>INDEX(Employees!$B$5:$B$29,$A166)&amp;""</f>
        <v/>
      </c>
      <c r="D166" s="52">
        <f>INDEX(Periods!$B$5:$B$57,$B166)</f>
        <v/>
      </c>
      <c r="E166" s="52">
        <f>INDEX(Periods!$C$5:$C$57,$B166)</f>
        <v/>
      </c>
      <c r="F166" s="50">
        <f>IF(AND($C166&lt;&gt;"",INDEX(Periods!$D$5:$D$57,$B166)=1),1,0)</f>
        <v/>
      </c>
      <c r="G166" s="50">
        <f>IF($F166=0,0,IF(AND(OR(INDEX(Employees!$D$5:$D$29,$A166)="",$E166&gt;=INDEX(Employees!$D$5:$D$29,$A166)+N(INDEX(Employees!$U$5:$U$29,$A166))),OR(INDEX(Employees!$E$5:$E$29,$A166)="",$D166&lt;=INDEX(Employees!$E$5:$E$29,$A166))),1,0))</f>
        <v/>
      </c>
      <c r="H166" s="50">
        <f>IF($G166=0,0,IF(INDEX(Employees!$D$5:$D$29,$A166)="",0,DATEDIF(INDEX(Employees!$D$5:$D$29,$A166),$E166,"y")))</f>
        <v/>
      </c>
      <c r="I166" s="51">
        <f>IF($G166=0,0,IF(INDEX('Hours Worked'!$D$5:$BD$29,$A166,$B166)="",N(INDEX(Employees!$H$5:$H$29,$A166)),INDEX('Hours Worked'!$D$5:$BD$29,$A166,$B166)))</f>
        <v/>
      </c>
      <c r="J166" s="51">
        <f>IF(OR($G166=0,INDEX(Employees!$O$5:$O$29,$A166)&lt;&gt;"Yes"),0,IF(COUNTIF(Settings!$D$4:$D$9,"&lt;="&amp;$H166)=0,0,INDEX(Settings!$E$4:$E$9,COUNTIF(Settings!$D$4:$D$9,"&lt;="&amp;$H166))))</f>
        <v/>
      </c>
      <c r="K166" s="51">
        <f>IF($G166=0,0,IF(INDEX(Employees!$I$5:$I$29,$A166)="Per pay period",(N(INDEX(Employees!$J$5:$J$29,$A166))+$J166)/Settings!$B$13,IF(INDEX(Employees!$I$5:$I$29,$A166)="Per hour worked",N(INDEX(Employees!$K$5:$K$29,$A166))*$I166,IF(INDEX(Employees!$I$5:$I$29,$A166)="Front-loaded",IF(OR($B166=1,N($G165)=0),N(INDEX(Employees!$J$5:$J$29,$A166))+$J166,0),0))))</f>
        <v/>
      </c>
      <c r="L166" s="51">
        <f>IF($F166=0,0,SUMIFS('Time Off Log'!$H$5:$H$504,'Time Off Log'!$A$5:$A$504,$C166,'Time Off Log'!$B$5:$B$504,"PTO",'Time Off Log'!$E$5:$E$504,"Approved",'Time Off Log'!$C$5:$C$504,"&gt;="&amp;INDEX(Periods!$E$5:$E$57,$B166),'Time Off Log'!$C$5:$C$504,"&lt;="&amp;INDEX(Periods!$F$5:$F$57,$B166)))</f>
        <v/>
      </c>
      <c r="M166" s="51">
        <f>IF($B166=1,N(INDEX(Employees!$N$5:$N$29,$A166)),P165)</f>
        <v/>
      </c>
      <c r="N166" s="51">
        <f>IF(INDEX(Employees!$L$5:$L$29,$A166)="",K166,MAX(0,MIN(K166,INDEX(Employees!$L$5:$L$29,$A166)-(M166-L166))))</f>
        <v/>
      </c>
      <c r="O166" s="51">
        <f>K166-N166</f>
        <v/>
      </c>
      <c r="P166" s="51">
        <f>M166-L166+N166</f>
        <v/>
      </c>
      <c r="Q166" s="51">
        <f>IF($G166=0,0,IF(INDEX(Employees!$P$5:$P$29,$A166)="Per pay period",(N(INDEX(Employees!$Q$5:$Q$29,$A166)))/Settings!$B$13,IF(INDEX(Employees!$P$5:$P$29,$A166)="Per hour worked",N(INDEX(Employees!$R$5:$R$29,$A166))*$I166,IF(INDEX(Employees!$P$5:$P$29,$A166)="Front-loaded",IF(OR($B166=1,N($G165)=0),N(INDEX(Employees!$Q$5:$Q$29,$A166)),0),0))))</f>
        <v/>
      </c>
      <c r="R166" s="51">
        <f>IF($F166=0,0,SUMIFS('Time Off Log'!$H$5:$H$504,'Time Off Log'!$A$5:$A$504,$C166,'Time Off Log'!$B$5:$B$504,"Sick",'Time Off Log'!$E$5:$E$504,"Approved",'Time Off Log'!$C$5:$C$504,"&gt;="&amp;INDEX(Periods!$E$5:$E$57,$B166),'Time Off Log'!$C$5:$C$504,"&lt;="&amp;INDEX(Periods!$F$5:$F$57,$B166)))</f>
        <v/>
      </c>
      <c r="S166" s="51">
        <f>IF($B166=1,N(INDEX(Employees!$T$5:$T$29,$A166)),V165)</f>
        <v/>
      </c>
      <c r="T166" s="51">
        <f>IF(INDEX(Employees!$S$5:$S$29,$A166)="",Q166,MAX(0,MIN(Q166,INDEX(Employees!$S$5:$S$29,$A166)-(S166-R166))))</f>
        <v/>
      </c>
      <c r="U166" s="51">
        <f>Q166-T166</f>
        <v/>
      </c>
      <c r="V166" s="51">
        <f>S166-R166+T166</f>
        <v/>
      </c>
    </row>
    <row r="167">
      <c r="A167" s="50" t="n">
        <v>4</v>
      </c>
      <c r="B167" s="50" t="n">
        <v>4</v>
      </c>
      <c r="C167" s="51">
        <f>INDEX(Employees!$B$5:$B$29,$A167)&amp;""</f>
        <v/>
      </c>
      <c r="D167" s="52">
        <f>INDEX(Periods!$B$5:$B$57,$B167)</f>
        <v/>
      </c>
      <c r="E167" s="52">
        <f>INDEX(Periods!$C$5:$C$57,$B167)</f>
        <v/>
      </c>
      <c r="F167" s="50">
        <f>IF(AND($C167&lt;&gt;"",INDEX(Periods!$D$5:$D$57,$B167)=1),1,0)</f>
        <v/>
      </c>
      <c r="G167" s="50">
        <f>IF($F167=0,0,IF(AND(OR(INDEX(Employees!$D$5:$D$29,$A167)="",$E167&gt;=INDEX(Employees!$D$5:$D$29,$A167)+N(INDEX(Employees!$U$5:$U$29,$A167))),OR(INDEX(Employees!$E$5:$E$29,$A167)="",$D167&lt;=INDEX(Employees!$E$5:$E$29,$A167))),1,0))</f>
        <v/>
      </c>
      <c r="H167" s="50">
        <f>IF($G167=0,0,IF(INDEX(Employees!$D$5:$D$29,$A167)="",0,DATEDIF(INDEX(Employees!$D$5:$D$29,$A167),$E167,"y")))</f>
        <v/>
      </c>
      <c r="I167" s="51">
        <f>IF($G167=0,0,IF(INDEX('Hours Worked'!$D$5:$BD$29,$A167,$B167)="",N(INDEX(Employees!$H$5:$H$29,$A167)),INDEX('Hours Worked'!$D$5:$BD$29,$A167,$B167)))</f>
        <v/>
      </c>
      <c r="J167" s="51">
        <f>IF(OR($G167=0,INDEX(Employees!$O$5:$O$29,$A167)&lt;&gt;"Yes"),0,IF(COUNTIF(Settings!$D$4:$D$9,"&lt;="&amp;$H167)=0,0,INDEX(Settings!$E$4:$E$9,COUNTIF(Settings!$D$4:$D$9,"&lt;="&amp;$H167))))</f>
        <v/>
      </c>
      <c r="K167" s="51">
        <f>IF($G167=0,0,IF(INDEX(Employees!$I$5:$I$29,$A167)="Per pay period",(N(INDEX(Employees!$J$5:$J$29,$A167))+$J167)/Settings!$B$13,IF(INDEX(Employees!$I$5:$I$29,$A167)="Per hour worked",N(INDEX(Employees!$K$5:$K$29,$A167))*$I167,IF(INDEX(Employees!$I$5:$I$29,$A167)="Front-loaded",IF(OR($B167=1,N($G166)=0),N(INDEX(Employees!$J$5:$J$29,$A167))+$J167,0),0))))</f>
        <v/>
      </c>
      <c r="L167" s="51">
        <f>IF($F167=0,0,SUMIFS('Time Off Log'!$H$5:$H$504,'Time Off Log'!$A$5:$A$504,$C167,'Time Off Log'!$B$5:$B$504,"PTO",'Time Off Log'!$E$5:$E$504,"Approved",'Time Off Log'!$C$5:$C$504,"&gt;="&amp;INDEX(Periods!$E$5:$E$57,$B167),'Time Off Log'!$C$5:$C$504,"&lt;="&amp;INDEX(Periods!$F$5:$F$57,$B167)))</f>
        <v/>
      </c>
      <c r="M167" s="51">
        <f>IF($B167=1,N(INDEX(Employees!$N$5:$N$29,$A167)),P166)</f>
        <v/>
      </c>
      <c r="N167" s="51">
        <f>IF(INDEX(Employees!$L$5:$L$29,$A167)="",K167,MAX(0,MIN(K167,INDEX(Employees!$L$5:$L$29,$A167)-(M167-L167))))</f>
        <v/>
      </c>
      <c r="O167" s="51">
        <f>K167-N167</f>
        <v/>
      </c>
      <c r="P167" s="51">
        <f>M167-L167+N167</f>
        <v/>
      </c>
      <c r="Q167" s="51">
        <f>IF($G167=0,0,IF(INDEX(Employees!$P$5:$P$29,$A167)="Per pay period",(N(INDEX(Employees!$Q$5:$Q$29,$A167)))/Settings!$B$13,IF(INDEX(Employees!$P$5:$P$29,$A167)="Per hour worked",N(INDEX(Employees!$R$5:$R$29,$A167))*$I167,IF(INDEX(Employees!$P$5:$P$29,$A167)="Front-loaded",IF(OR($B167=1,N($G166)=0),N(INDEX(Employees!$Q$5:$Q$29,$A167)),0),0))))</f>
        <v/>
      </c>
      <c r="R167" s="51">
        <f>IF($F167=0,0,SUMIFS('Time Off Log'!$H$5:$H$504,'Time Off Log'!$A$5:$A$504,$C167,'Time Off Log'!$B$5:$B$504,"Sick",'Time Off Log'!$E$5:$E$504,"Approved",'Time Off Log'!$C$5:$C$504,"&gt;="&amp;INDEX(Periods!$E$5:$E$57,$B167),'Time Off Log'!$C$5:$C$504,"&lt;="&amp;INDEX(Periods!$F$5:$F$57,$B167)))</f>
        <v/>
      </c>
      <c r="S167" s="51">
        <f>IF($B167=1,N(INDEX(Employees!$T$5:$T$29,$A167)),V166)</f>
        <v/>
      </c>
      <c r="T167" s="51">
        <f>IF(INDEX(Employees!$S$5:$S$29,$A167)="",Q167,MAX(0,MIN(Q167,INDEX(Employees!$S$5:$S$29,$A167)-(S167-R167))))</f>
        <v/>
      </c>
      <c r="U167" s="51">
        <f>Q167-T167</f>
        <v/>
      </c>
      <c r="V167" s="51">
        <f>S167-R167+T167</f>
        <v/>
      </c>
    </row>
    <row r="168">
      <c r="A168" s="50" t="n">
        <v>4</v>
      </c>
      <c r="B168" s="50" t="n">
        <v>5</v>
      </c>
      <c r="C168" s="51">
        <f>INDEX(Employees!$B$5:$B$29,$A168)&amp;""</f>
        <v/>
      </c>
      <c r="D168" s="52">
        <f>INDEX(Periods!$B$5:$B$57,$B168)</f>
        <v/>
      </c>
      <c r="E168" s="52">
        <f>INDEX(Periods!$C$5:$C$57,$B168)</f>
        <v/>
      </c>
      <c r="F168" s="50">
        <f>IF(AND($C168&lt;&gt;"",INDEX(Periods!$D$5:$D$57,$B168)=1),1,0)</f>
        <v/>
      </c>
      <c r="G168" s="50">
        <f>IF($F168=0,0,IF(AND(OR(INDEX(Employees!$D$5:$D$29,$A168)="",$E168&gt;=INDEX(Employees!$D$5:$D$29,$A168)+N(INDEX(Employees!$U$5:$U$29,$A168))),OR(INDEX(Employees!$E$5:$E$29,$A168)="",$D168&lt;=INDEX(Employees!$E$5:$E$29,$A168))),1,0))</f>
        <v/>
      </c>
      <c r="H168" s="50">
        <f>IF($G168=0,0,IF(INDEX(Employees!$D$5:$D$29,$A168)="",0,DATEDIF(INDEX(Employees!$D$5:$D$29,$A168),$E168,"y")))</f>
        <v/>
      </c>
      <c r="I168" s="51">
        <f>IF($G168=0,0,IF(INDEX('Hours Worked'!$D$5:$BD$29,$A168,$B168)="",N(INDEX(Employees!$H$5:$H$29,$A168)),INDEX('Hours Worked'!$D$5:$BD$29,$A168,$B168)))</f>
        <v/>
      </c>
      <c r="J168" s="51">
        <f>IF(OR($G168=0,INDEX(Employees!$O$5:$O$29,$A168)&lt;&gt;"Yes"),0,IF(COUNTIF(Settings!$D$4:$D$9,"&lt;="&amp;$H168)=0,0,INDEX(Settings!$E$4:$E$9,COUNTIF(Settings!$D$4:$D$9,"&lt;="&amp;$H168))))</f>
        <v/>
      </c>
      <c r="K168" s="51">
        <f>IF($G168=0,0,IF(INDEX(Employees!$I$5:$I$29,$A168)="Per pay period",(N(INDEX(Employees!$J$5:$J$29,$A168))+$J168)/Settings!$B$13,IF(INDEX(Employees!$I$5:$I$29,$A168)="Per hour worked",N(INDEX(Employees!$K$5:$K$29,$A168))*$I168,IF(INDEX(Employees!$I$5:$I$29,$A168)="Front-loaded",IF(OR($B168=1,N($G167)=0),N(INDEX(Employees!$J$5:$J$29,$A168))+$J168,0),0))))</f>
        <v/>
      </c>
      <c r="L168" s="51">
        <f>IF($F168=0,0,SUMIFS('Time Off Log'!$H$5:$H$504,'Time Off Log'!$A$5:$A$504,$C168,'Time Off Log'!$B$5:$B$504,"PTO",'Time Off Log'!$E$5:$E$504,"Approved",'Time Off Log'!$C$5:$C$504,"&gt;="&amp;INDEX(Periods!$E$5:$E$57,$B168),'Time Off Log'!$C$5:$C$504,"&lt;="&amp;INDEX(Periods!$F$5:$F$57,$B168)))</f>
        <v/>
      </c>
      <c r="M168" s="51">
        <f>IF($B168=1,N(INDEX(Employees!$N$5:$N$29,$A168)),P167)</f>
        <v/>
      </c>
      <c r="N168" s="51">
        <f>IF(INDEX(Employees!$L$5:$L$29,$A168)="",K168,MAX(0,MIN(K168,INDEX(Employees!$L$5:$L$29,$A168)-(M168-L168))))</f>
        <v/>
      </c>
      <c r="O168" s="51">
        <f>K168-N168</f>
        <v/>
      </c>
      <c r="P168" s="51">
        <f>M168-L168+N168</f>
        <v/>
      </c>
      <c r="Q168" s="51">
        <f>IF($G168=0,0,IF(INDEX(Employees!$P$5:$P$29,$A168)="Per pay period",(N(INDEX(Employees!$Q$5:$Q$29,$A168)))/Settings!$B$13,IF(INDEX(Employees!$P$5:$P$29,$A168)="Per hour worked",N(INDEX(Employees!$R$5:$R$29,$A168))*$I168,IF(INDEX(Employees!$P$5:$P$29,$A168)="Front-loaded",IF(OR($B168=1,N($G167)=0),N(INDEX(Employees!$Q$5:$Q$29,$A168)),0),0))))</f>
        <v/>
      </c>
      <c r="R168" s="51">
        <f>IF($F168=0,0,SUMIFS('Time Off Log'!$H$5:$H$504,'Time Off Log'!$A$5:$A$504,$C168,'Time Off Log'!$B$5:$B$504,"Sick",'Time Off Log'!$E$5:$E$504,"Approved",'Time Off Log'!$C$5:$C$504,"&gt;="&amp;INDEX(Periods!$E$5:$E$57,$B168),'Time Off Log'!$C$5:$C$504,"&lt;="&amp;INDEX(Periods!$F$5:$F$57,$B168)))</f>
        <v/>
      </c>
      <c r="S168" s="51">
        <f>IF($B168=1,N(INDEX(Employees!$T$5:$T$29,$A168)),V167)</f>
        <v/>
      </c>
      <c r="T168" s="51">
        <f>IF(INDEX(Employees!$S$5:$S$29,$A168)="",Q168,MAX(0,MIN(Q168,INDEX(Employees!$S$5:$S$29,$A168)-(S168-R168))))</f>
        <v/>
      </c>
      <c r="U168" s="51">
        <f>Q168-T168</f>
        <v/>
      </c>
      <c r="V168" s="51">
        <f>S168-R168+T168</f>
        <v/>
      </c>
    </row>
    <row r="169">
      <c r="A169" s="50" t="n">
        <v>4</v>
      </c>
      <c r="B169" s="50" t="n">
        <v>6</v>
      </c>
      <c r="C169" s="51">
        <f>INDEX(Employees!$B$5:$B$29,$A169)&amp;""</f>
        <v/>
      </c>
      <c r="D169" s="52">
        <f>INDEX(Periods!$B$5:$B$57,$B169)</f>
        <v/>
      </c>
      <c r="E169" s="52">
        <f>INDEX(Periods!$C$5:$C$57,$B169)</f>
        <v/>
      </c>
      <c r="F169" s="50">
        <f>IF(AND($C169&lt;&gt;"",INDEX(Periods!$D$5:$D$57,$B169)=1),1,0)</f>
        <v/>
      </c>
      <c r="G169" s="50">
        <f>IF($F169=0,0,IF(AND(OR(INDEX(Employees!$D$5:$D$29,$A169)="",$E169&gt;=INDEX(Employees!$D$5:$D$29,$A169)+N(INDEX(Employees!$U$5:$U$29,$A169))),OR(INDEX(Employees!$E$5:$E$29,$A169)="",$D169&lt;=INDEX(Employees!$E$5:$E$29,$A169))),1,0))</f>
        <v/>
      </c>
      <c r="H169" s="50">
        <f>IF($G169=0,0,IF(INDEX(Employees!$D$5:$D$29,$A169)="",0,DATEDIF(INDEX(Employees!$D$5:$D$29,$A169),$E169,"y")))</f>
        <v/>
      </c>
      <c r="I169" s="51">
        <f>IF($G169=0,0,IF(INDEX('Hours Worked'!$D$5:$BD$29,$A169,$B169)="",N(INDEX(Employees!$H$5:$H$29,$A169)),INDEX('Hours Worked'!$D$5:$BD$29,$A169,$B169)))</f>
        <v/>
      </c>
      <c r="J169" s="51">
        <f>IF(OR($G169=0,INDEX(Employees!$O$5:$O$29,$A169)&lt;&gt;"Yes"),0,IF(COUNTIF(Settings!$D$4:$D$9,"&lt;="&amp;$H169)=0,0,INDEX(Settings!$E$4:$E$9,COUNTIF(Settings!$D$4:$D$9,"&lt;="&amp;$H169))))</f>
        <v/>
      </c>
      <c r="K169" s="51">
        <f>IF($G169=0,0,IF(INDEX(Employees!$I$5:$I$29,$A169)="Per pay period",(N(INDEX(Employees!$J$5:$J$29,$A169))+$J169)/Settings!$B$13,IF(INDEX(Employees!$I$5:$I$29,$A169)="Per hour worked",N(INDEX(Employees!$K$5:$K$29,$A169))*$I169,IF(INDEX(Employees!$I$5:$I$29,$A169)="Front-loaded",IF(OR($B169=1,N($G168)=0),N(INDEX(Employees!$J$5:$J$29,$A169))+$J169,0),0))))</f>
        <v/>
      </c>
      <c r="L169" s="51">
        <f>IF($F169=0,0,SUMIFS('Time Off Log'!$H$5:$H$504,'Time Off Log'!$A$5:$A$504,$C169,'Time Off Log'!$B$5:$B$504,"PTO",'Time Off Log'!$E$5:$E$504,"Approved",'Time Off Log'!$C$5:$C$504,"&gt;="&amp;INDEX(Periods!$E$5:$E$57,$B169),'Time Off Log'!$C$5:$C$504,"&lt;="&amp;INDEX(Periods!$F$5:$F$57,$B169)))</f>
        <v/>
      </c>
      <c r="M169" s="51">
        <f>IF($B169=1,N(INDEX(Employees!$N$5:$N$29,$A169)),P168)</f>
        <v/>
      </c>
      <c r="N169" s="51">
        <f>IF(INDEX(Employees!$L$5:$L$29,$A169)="",K169,MAX(0,MIN(K169,INDEX(Employees!$L$5:$L$29,$A169)-(M169-L169))))</f>
        <v/>
      </c>
      <c r="O169" s="51">
        <f>K169-N169</f>
        <v/>
      </c>
      <c r="P169" s="51">
        <f>M169-L169+N169</f>
        <v/>
      </c>
      <c r="Q169" s="51">
        <f>IF($G169=0,0,IF(INDEX(Employees!$P$5:$P$29,$A169)="Per pay period",(N(INDEX(Employees!$Q$5:$Q$29,$A169)))/Settings!$B$13,IF(INDEX(Employees!$P$5:$P$29,$A169)="Per hour worked",N(INDEX(Employees!$R$5:$R$29,$A169))*$I169,IF(INDEX(Employees!$P$5:$P$29,$A169)="Front-loaded",IF(OR($B169=1,N($G168)=0),N(INDEX(Employees!$Q$5:$Q$29,$A169)),0),0))))</f>
        <v/>
      </c>
      <c r="R169" s="51">
        <f>IF($F169=0,0,SUMIFS('Time Off Log'!$H$5:$H$504,'Time Off Log'!$A$5:$A$504,$C169,'Time Off Log'!$B$5:$B$504,"Sick",'Time Off Log'!$E$5:$E$504,"Approved",'Time Off Log'!$C$5:$C$504,"&gt;="&amp;INDEX(Periods!$E$5:$E$57,$B169),'Time Off Log'!$C$5:$C$504,"&lt;="&amp;INDEX(Periods!$F$5:$F$57,$B169)))</f>
        <v/>
      </c>
      <c r="S169" s="51">
        <f>IF($B169=1,N(INDEX(Employees!$T$5:$T$29,$A169)),V168)</f>
        <v/>
      </c>
      <c r="T169" s="51">
        <f>IF(INDEX(Employees!$S$5:$S$29,$A169)="",Q169,MAX(0,MIN(Q169,INDEX(Employees!$S$5:$S$29,$A169)-(S169-R169))))</f>
        <v/>
      </c>
      <c r="U169" s="51">
        <f>Q169-T169</f>
        <v/>
      </c>
      <c r="V169" s="51">
        <f>S169-R169+T169</f>
        <v/>
      </c>
    </row>
    <row r="170">
      <c r="A170" s="50" t="n">
        <v>4</v>
      </c>
      <c r="B170" s="50" t="n">
        <v>7</v>
      </c>
      <c r="C170" s="51">
        <f>INDEX(Employees!$B$5:$B$29,$A170)&amp;""</f>
        <v/>
      </c>
      <c r="D170" s="52">
        <f>INDEX(Periods!$B$5:$B$57,$B170)</f>
        <v/>
      </c>
      <c r="E170" s="52">
        <f>INDEX(Periods!$C$5:$C$57,$B170)</f>
        <v/>
      </c>
      <c r="F170" s="50">
        <f>IF(AND($C170&lt;&gt;"",INDEX(Periods!$D$5:$D$57,$B170)=1),1,0)</f>
        <v/>
      </c>
      <c r="G170" s="50">
        <f>IF($F170=0,0,IF(AND(OR(INDEX(Employees!$D$5:$D$29,$A170)="",$E170&gt;=INDEX(Employees!$D$5:$D$29,$A170)+N(INDEX(Employees!$U$5:$U$29,$A170))),OR(INDEX(Employees!$E$5:$E$29,$A170)="",$D170&lt;=INDEX(Employees!$E$5:$E$29,$A170))),1,0))</f>
        <v/>
      </c>
      <c r="H170" s="50">
        <f>IF($G170=0,0,IF(INDEX(Employees!$D$5:$D$29,$A170)="",0,DATEDIF(INDEX(Employees!$D$5:$D$29,$A170),$E170,"y")))</f>
        <v/>
      </c>
      <c r="I170" s="51">
        <f>IF($G170=0,0,IF(INDEX('Hours Worked'!$D$5:$BD$29,$A170,$B170)="",N(INDEX(Employees!$H$5:$H$29,$A170)),INDEX('Hours Worked'!$D$5:$BD$29,$A170,$B170)))</f>
        <v/>
      </c>
      <c r="J170" s="51">
        <f>IF(OR($G170=0,INDEX(Employees!$O$5:$O$29,$A170)&lt;&gt;"Yes"),0,IF(COUNTIF(Settings!$D$4:$D$9,"&lt;="&amp;$H170)=0,0,INDEX(Settings!$E$4:$E$9,COUNTIF(Settings!$D$4:$D$9,"&lt;="&amp;$H170))))</f>
        <v/>
      </c>
      <c r="K170" s="51">
        <f>IF($G170=0,0,IF(INDEX(Employees!$I$5:$I$29,$A170)="Per pay period",(N(INDEX(Employees!$J$5:$J$29,$A170))+$J170)/Settings!$B$13,IF(INDEX(Employees!$I$5:$I$29,$A170)="Per hour worked",N(INDEX(Employees!$K$5:$K$29,$A170))*$I170,IF(INDEX(Employees!$I$5:$I$29,$A170)="Front-loaded",IF(OR($B170=1,N($G169)=0),N(INDEX(Employees!$J$5:$J$29,$A170))+$J170,0),0))))</f>
        <v/>
      </c>
      <c r="L170" s="51">
        <f>IF($F170=0,0,SUMIFS('Time Off Log'!$H$5:$H$504,'Time Off Log'!$A$5:$A$504,$C170,'Time Off Log'!$B$5:$B$504,"PTO",'Time Off Log'!$E$5:$E$504,"Approved",'Time Off Log'!$C$5:$C$504,"&gt;="&amp;INDEX(Periods!$E$5:$E$57,$B170),'Time Off Log'!$C$5:$C$504,"&lt;="&amp;INDEX(Periods!$F$5:$F$57,$B170)))</f>
        <v/>
      </c>
      <c r="M170" s="51">
        <f>IF($B170=1,N(INDEX(Employees!$N$5:$N$29,$A170)),P169)</f>
        <v/>
      </c>
      <c r="N170" s="51">
        <f>IF(INDEX(Employees!$L$5:$L$29,$A170)="",K170,MAX(0,MIN(K170,INDEX(Employees!$L$5:$L$29,$A170)-(M170-L170))))</f>
        <v/>
      </c>
      <c r="O170" s="51">
        <f>K170-N170</f>
        <v/>
      </c>
      <c r="P170" s="51">
        <f>M170-L170+N170</f>
        <v/>
      </c>
      <c r="Q170" s="51">
        <f>IF($G170=0,0,IF(INDEX(Employees!$P$5:$P$29,$A170)="Per pay period",(N(INDEX(Employees!$Q$5:$Q$29,$A170)))/Settings!$B$13,IF(INDEX(Employees!$P$5:$P$29,$A170)="Per hour worked",N(INDEX(Employees!$R$5:$R$29,$A170))*$I170,IF(INDEX(Employees!$P$5:$P$29,$A170)="Front-loaded",IF(OR($B170=1,N($G169)=0),N(INDEX(Employees!$Q$5:$Q$29,$A170)),0),0))))</f>
        <v/>
      </c>
      <c r="R170" s="51">
        <f>IF($F170=0,0,SUMIFS('Time Off Log'!$H$5:$H$504,'Time Off Log'!$A$5:$A$504,$C170,'Time Off Log'!$B$5:$B$504,"Sick",'Time Off Log'!$E$5:$E$504,"Approved",'Time Off Log'!$C$5:$C$504,"&gt;="&amp;INDEX(Periods!$E$5:$E$57,$B170),'Time Off Log'!$C$5:$C$504,"&lt;="&amp;INDEX(Periods!$F$5:$F$57,$B170)))</f>
        <v/>
      </c>
      <c r="S170" s="51">
        <f>IF($B170=1,N(INDEX(Employees!$T$5:$T$29,$A170)),V169)</f>
        <v/>
      </c>
      <c r="T170" s="51">
        <f>IF(INDEX(Employees!$S$5:$S$29,$A170)="",Q170,MAX(0,MIN(Q170,INDEX(Employees!$S$5:$S$29,$A170)-(S170-R170))))</f>
        <v/>
      </c>
      <c r="U170" s="51">
        <f>Q170-T170</f>
        <v/>
      </c>
      <c r="V170" s="51">
        <f>S170-R170+T170</f>
        <v/>
      </c>
    </row>
    <row r="171">
      <c r="A171" s="50" t="n">
        <v>4</v>
      </c>
      <c r="B171" s="50" t="n">
        <v>8</v>
      </c>
      <c r="C171" s="51">
        <f>INDEX(Employees!$B$5:$B$29,$A171)&amp;""</f>
        <v/>
      </c>
      <c r="D171" s="52">
        <f>INDEX(Periods!$B$5:$B$57,$B171)</f>
        <v/>
      </c>
      <c r="E171" s="52">
        <f>INDEX(Periods!$C$5:$C$57,$B171)</f>
        <v/>
      </c>
      <c r="F171" s="50">
        <f>IF(AND($C171&lt;&gt;"",INDEX(Periods!$D$5:$D$57,$B171)=1),1,0)</f>
        <v/>
      </c>
      <c r="G171" s="50">
        <f>IF($F171=0,0,IF(AND(OR(INDEX(Employees!$D$5:$D$29,$A171)="",$E171&gt;=INDEX(Employees!$D$5:$D$29,$A171)+N(INDEX(Employees!$U$5:$U$29,$A171))),OR(INDEX(Employees!$E$5:$E$29,$A171)="",$D171&lt;=INDEX(Employees!$E$5:$E$29,$A171))),1,0))</f>
        <v/>
      </c>
      <c r="H171" s="50">
        <f>IF($G171=0,0,IF(INDEX(Employees!$D$5:$D$29,$A171)="",0,DATEDIF(INDEX(Employees!$D$5:$D$29,$A171),$E171,"y")))</f>
        <v/>
      </c>
      <c r="I171" s="51">
        <f>IF($G171=0,0,IF(INDEX('Hours Worked'!$D$5:$BD$29,$A171,$B171)="",N(INDEX(Employees!$H$5:$H$29,$A171)),INDEX('Hours Worked'!$D$5:$BD$29,$A171,$B171)))</f>
        <v/>
      </c>
      <c r="J171" s="51">
        <f>IF(OR($G171=0,INDEX(Employees!$O$5:$O$29,$A171)&lt;&gt;"Yes"),0,IF(COUNTIF(Settings!$D$4:$D$9,"&lt;="&amp;$H171)=0,0,INDEX(Settings!$E$4:$E$9,COUNTIF(Settings!$D$4:$D$9,"&lt;="&amp;$H171))))</f>
        <v/>
      </c>
      <c r="K171" s="51">
        <f>IF($G171=0,0,IF(INDEX(Employees!$I$5:$I$29,$A171)="Per pay period",(N(INDEX(Employees!$J$5:$J$29,$A171))+$J171)/Settings!$B$13,IF(INDEX(Employees!$I$5:$I$29,$A171)="Per hour worked",N(INDEX(Employees!$K$5:$K$29,$A171))*$I171,IF(INDEX(Employees!$I$5:$I$29,$A171)="Front-loaded",IF(OR($B171=1,N($G170)=0),N(INDEX(Employees!$J$5:$J$29,$A171))+$J171,0),0))))</f>
        <v/>
      </c>
      <c r="L171" s="51">
        <f>IF($F171=0,0,SUMIFS('Time Off Log'!$H$5:$H$504,'Time Off Log'!$A$5:$A$504,$C171,'Time Off Log'!$B$5:$B$504,"PTO",'Time Off Log'!$E$5:$E$504,"Approved",'Time Off Log'!$C$5:$C$504,"&gt;="&amp;INDEX(Periods!$E$5:$E$57,$B171),'Time Off Log'!$C$5:$C$504,"&lt;="&amp;INDEX(Periods!$F$5:$F$57,$B171)))</f>
        <v/>
      </c>
      <c r="M171" s="51">
        <f>IF($B171=1,N(INDEX(Employees!$N$5:$N$29,$A171)),P170)</f>
        <v/>
      </c>
      <c r="N171" s="51">
        <f>IF(INDEX(Employees!$L$5:$L$29,$A171)="",K171,MAX(0,MIN(K171,INDEX(Employees!$L$5:$L$29,$A171)-(M171-L171))))</f>
        <v/>
      </c>
      <c r="O171" s="51">
        <f>K171-N171</f>
        <v/>
      </c>
      <c r="P171" s="51">
        <f>M171-L171+N171</f>
        <v/>
      </c>
      <c r="Q171" s="51">
        <f>IF($G171=0,0,IF(INDEX(Employees!$P$5:$P$29,$A171)="Per pay period",(N(INDEX(Employees!$Q$5:$Q$29,$A171)))/Settings!$B$13,IF(INDEX(Employees!$P$5:$P$29,$A171)="Per hour worked",N(INDEX(Employees!$R$5:$R$29,$A171))*$I171,IF(INDEX(Employees!$P$5:$P$29,$A171)="Front-loaded",IF(OR($B171=1,N($G170)=0),N(INDEX(Employees!$Q$5:$Q$29,$A171)),0),0))))</f>
        <v/>
      </c>
      <c r="R171" s="51">
        <f>IF($F171=0,0,SUMIFS('Time Off Log'!$H$5:$H$504,'Time Off Log'!$A$5:$A$504,$C171,'Time Off Log'!$B$5:$B$504,"Sick",'Time Off Log'!$E$5:$E$504,"Approved",'Time Off Log'!$C$5:$C$504,"&gt;="&amp;INDEX(Periods!$E$5:$E$57,$B171),'Time Off Log'!$C$5:$C$504,"&lt;="&amp;INDEX(Periods!$F$5:$F$57,$B171)))</f>
        <v/>
      </c>
      <c r="S171" s="51">
        <f>IF($B171=1,N(INDEX(Employees!$T$5:$T$29,$A171)),V170)</f>
        <v/>
      </c>
      <c r="T171" s="51">
        <f>IF(INDEX(Employees!$S$5:$S$29,$A171)="",Q171,MAX(0,MIN(Q171,INDEX(Employees!$S$5:$S$29,$A171)-(S171-R171))))</f>
        <v/>
      </c>
      <c r="U171" s="51">
        <f>Q171-T171</f>
        <v/>
      </c>
      <c r="V171" s="51">
        <f>S171-R171+T171</f>
        <v/>
      </c>
    </row>
    <row r="172">
      <c r="A172" s="50" t="n">
        <v>4</v>
      </c>
      <c r="B172" s="50" t="n">
        <v>9</v>
      </c>
      <c r="C172" s="51">
        <f>INDEX(Employees!$B$5:$B$29,$A172)&amp;""</f>
        <v/>
      </c>
      <c r="D172" s="52">
        <f>INDEX(Periods!$B$5:$B$57,$B172)</f>
        <v/>
      </c>
      <c r="E172" s="52">
        <f>INDEX(Periods!$C$5:$C$57,$B172)</f>
        <v/>
      </c>
      <c r="F172" s="50">
        <f>IF(AND($C172&lt;&gt;"",INDEX(Periods!$D$5:$D$57,$B172)=1),1,0)</f>
        <v/>
      </c>
      <c r="G172" s="50">
        <f>IF($F172=0,0,IF(AND(OR(INDEX(Employees!$D$5:$D$29,$A172)="",$E172&gt;=INDEX(Employees!$D$5:$D$29,$A172)+N(INDEX(Employees!$U$5:$U$29,$A172))),OR(INDEX(Employees!$E$5:$E$29,$A172)="",$D172&lt;=INDEX(Employees!$E$5:$E$29,$A172))),1,0))</f>
        <v/>
      </c>
      <c r="H172" s="50">
        <f>IF($G172=0,0,IF(INDEX(Employees!$D$5:$D$29,$A172)="",0,DATEDIF(INDEX(Employees!$D$5:$D$29,$A172),$E172,"y")))</f>
        <v/>
      </c>
      <c r="I172" s="51">
        <f>IF($G172=0,0,IF(INDEX('Hours Worked'!$D$5:$BD$29,$A172,$B172)="",N(INDEX(Employees!$H$5:$H$29,$A172)),INDEX('Hours Worked'!$D$5:$BD$29,$A172,$B172)))</f>
        <v/>
      </c>
      <c r="J172" s="51">
        <f>IF(OR($G172=0,INDEX(Employees!$O$5:$O$29,$A172)&lt;&gt;"Yes"),0,IF(COUNTIF(Settings!$D$4:$D$9,"&lt;="&amp;$H172)=0,0,INDEX(Settings!$E$4:$E$9,COUNTIF(Settings!$D$4:$D$9,"&lt;="&amp;$H172))))</f>
        <v/>
      </c>
      <c r="K172" s="51">
        <f>IF($G172=0,0,IF(INDEX(Employees!$I$5:$I$29,$A172)="Per pay period",(N(INDEX(Employees!$J$5:$J$29,$A172))+$J172)/Settings!$B$13,IF(INDEX(Employees!$I$5:$I$29,$A172)="Per hour worked",N(INDEX(Employees!$K$5:$K$29,$A172))*$I172,IF(INDEX(Employees!$I$5:$I$29,$A172)="Front-loaded",IF(OR($B172=1,N($G171)=0),N(INDEX(Employees!$J$5:$J$29,$A172))+$J172,0),0))))</f>
        <v/>
      </c>
      <c r="L172" s="51">
        <f>IF($F172=0,0,SUMIFS('Time Off Log'!$H$5:$H$504,'Time Off Log'!$A$5:$A$504,$C172,'Time Off Log'!$B$5:$B$504,"PTO",'Time Off Log'!$E$5:$E$504,"Approved",'Time Off Log'!$C$5:$C$504,"&gt;="&amp;INDEX(Periods!$E$5:$E$57,$B172),'Time Off Log'!$C$5:$C$504,"&lt;="&amp;INDEX(Periods!$F$5:$F$57,$B172)))</f>
        <v/>
      </c>
      <c r="M172" s="51">
        <f>IF($B172=1,N(INDEX(Employees!$N$5:$N$29,$A172)),P171)</f>
        <v/>
      </c>
      <c r="N172" s="51">
        <f>IF(INDEX(Employees!$L$5:$L$29,$A172)="",K172,MAX(0,MIN(K172,INDEX(Employees!$L$5:$L$29,$A172)-(M172-L172))))</f>
        <v/>
      </c>
      <c r="O172" s="51">
        <f>K172-N172</f>
        <v/>
      </c>
      <c r="P172" s="51">
        <f>M172-L172+N172</f>
        <v/>
      </c>
      <c r="Q172" s="51">
        <f>IF($G172=0,0,IF(INDEX(Employees!$P$5:$P$29,$A172)="Per pay period",(N(INDEX(Employees!$Q$5:$Q$29,$A172)))/Settings!$B$13,IF(INDEX(Employees!$P$5:$P$29,$A172)="Per hour worked",N(INDEX(Employees!$R$5:$R$29,$A172))*$I172,IF(INDEX(Employees!$P$5:$P$29,$A172)="Front-loaded",IF(OR($B172=1,N($G171)=0),N(INDEX(Employees!$Q$5:$Q$29,$A172)),0),0))))</f>
        <v/>
      </c>
      <c r="R172" s="51">
        <f>IF($F172=0,0,SUMIFS('Time Off Log'!$H$5:$H$504,'Time Off Log'!$A$5:$A$504,$C172,'Time Off Log'!$B$5:$B$504,"Sick",'Time Off Log'!$E$5:$E$504,"Approved",'Time Off Log'!$C$5:$C$504,"&gt;="&amp;INDEX(Periods!$E$5:$E$57,$B172),'Time Off Log'!$C$5:$C$504,"&lt;="&amp;INDEX(Periods!$F$5:$F$57,$B172)))</f>
        <v/>
      </c>
      <c r="S172" s="51">
        <f>IF($B172=1,N(INDEX(Employees!$T$5:$T$29,$A172)),V171)</f>
        <v/>
      </c>
      <c r="T172" s="51">
        <f>IF(INDEX(Employees!$S$5:$S$29,$A172)="",Q172,MAX(0,MIN(Q172,INDEX(Employees!$S$5:$S$29,$A172)-(S172-R172))))</f>
        <v/>
      </c>
      <c r="U172" s="51">
        <f>Q172-T172</f>
        <v/>
      </c>
      <c r="V172" s="51">
        <f>S172-R172+T172</f>
        <v/>
      </c>
    </row>
    <row r="173">
      <c r="A173" s="50" t="n">
        <v>4</v>
      </c>
      <c r="B173" s="50" t="n">
        <v>10</v>
      </c>
      <c r="C173" s="51">
        <f>INDEX(Employees!$B$5:$B$29,$A173)&amp;""</f>
        <v/>
      </c>
      <c r="D173" s="52">
        <f>INDEX(Periods!$B$5:$B$57,$B173)</f>
        <v/>
      </c>
      <c r="E173" s="52">
        <f>INDEX(Periods!$C$5:$C$57,$B173)</f>
        <v/>
      </c>
      <c r="F173" s="50">
        <f>IF(AND($C173&lt;&gt;"",INDEX(Periods!$D$5:$D$57,$B173)=1),1,0)</f>
        <v/>
      </c>
      <c r="G173" s="50">
        <f>IF($F173=0,0,IF(AND(OR(INDEX(Employees!$D$5:$D$29,$A173)="",$E173&gt;=INDEX(Employees!$D$5:$D$29,$A173)+N(INDEX(Employees!$U$5:$U$29,$A173))),OR(INDEX(Employees!$E$5:$E$29,$A173)="",$D173&lt;=INDEX(Employees!$E$5:$E$29,$A173))),1,0))</f>
        <v/>
      </c>
      <c r="H173" s="50">
        <f>IF($G173=0,0,IF(INDEX(Employees!$D$5:$D$29,$A173)="",0,DATEDIF(INDEX(Employees!$D$5:$D$29,$A173),$E173,"y")))</f>
        <v/>
      </c>
      <c r="I173" s="51">
        <f>IF($G173=0,0,IF(INDEX('Hours Worked'!$D$5:$BD$29,$A173,$B173)="",N(INDEX(Employees!$H$5:$H$29,$A173)),INDEX('Hours Worked'!$D$5:$BD$29,$A173,$B173)))</f>
        <v/>
      </c>
      <c r="J173" s="51">
        <f>IF(OR($G173=0,INDEX(Employees!$O$5:$O$29,$A173)&lt;&gt;"Yes"),0,IF(COUNTIF(Settings!$D$4:$D$9,"&lt;="&amp;$H173)=0,0,INDEX(Settings!$E$4:$E$9,COUNTIF(Settings!$D$4:$D$9,"&lt;="&amp;$H173))))</f>
        <v/>
      </c>
      <c r="K173" s="51">
        <f>IF($G173=0,0,IF(INDEX(Employees!$I$5:$I$29,$A173)="Per pay period",(N(INDEX(Employees!$J$5:$J$29,$A173))+$J173)/Settings!$B$13,IF(INDEX(Employees!$I$5:$I$29,$A173)="Per hour worked",N(INDEX(Employees!$K$5:$K$29,$A173))*$I173,IF(INDEX(Employees!$I$5:$I$29,$A173)="Front-loaded",IF(OR($B173=1,N($G172)=0),N(INDEX(Employees!$J$5:$J$29,$A173))+$J173,0),0))))</f>
        <v/>
      </c>
      <c r="L173" s="51">
        <f>IF($F173=0,0,SUMIFS('Time Off Log'!$H$5:$H$504,'Time Off Log'!$A$5:$A$504,$C173,'Time Off Log'!$B$5:$B$504,"PTO",'Time Off Log'!$E$5:$E$504,"Approved",'Time Off Log'!$C$5:$C$504,"&gt;="&amp;INDEX(Periods!$E$5:$E$57,$B173),'Time Off Log'!$C$5:$C$504,"&lt;="&amp;INDEX(Periods!$F$5:$F$57,$B173)))</f>
        <v/>
      </c>
      <c r="M173" s="51">
        <f>IF($B173=1,N(INDEX(Employees!$N$5:$N$29,$A173)),P172)</f>
        <v/>
      </c>
      <c r="N173" s="51">
        <f>IF(INDEX(Employees!$L$5:$L$29,$A173)="",K173,MAX(0,MIN(K173,INDEX(Employees!$L$5:$L$29,$A173)-(M173-L173))))</f>
        <v/>
      </c>
      <c r="O173" s="51">
        <f>K173-N173</f>
        <v/>
      </c>
      <c r="P173" s="51">
        <f>M173-L173+N173</f>
        <v/>
      </c>
      <c r="Q173" s="51">
        <f>IF($G173=0,0,IF(INDEX(Employees!$P$5:$P$29,$A173)="Per pay period",(N(INDEX(Employees!$Q$5:$Q$29,$A173)))/Settings!$B$13,IF(INDEX(Employees!$P$5:$P$29,$A173)="Per hour worked",N(INDEX(Employees!$R$5:$R$29,$A173))*$I173,IF(INDEX(Employees!$P$5:$P$29,$A173)="Front-loaded",IF(OR($B173=1,N($G172)=0),N(INDEX(Employees!$Q$5:$Q$29,$A173)),0),0))))</f>
        <v/>
      </c>
      <c r="R173" s="51">
        <f>IF($F173=0,0,SUMIFS('Time Off Log'!$H$5:$H$504,'Time Off Log'!$A$5:$A$504,$C173,'Time Off Log'!$B$5:$B$504,"Sick",'Time Off Log'!$E$5:$E$504,"Approved",'Time Off Log'!$C$5:$C$504,"&gt;="&amp;INDEX(Periods!$E$5:$E$57,$B173),'Time Off Log'!$C$5:$C$504,"&lt;="&amp;INDEX(Periods!$F$5:$F$57,$B173)))</f>
        <v/>
      </c>
      <c r="S173" s="51">
        <f>IF($B173=1,N(INDEX(Employees!$T$5:$T$29,$A173)),V172)</f>
        <v/>
      </c>
      <c r="T173" s="51">
        <f>IF(INDEX(Employees!$S$5:$S$29,$A173)="",Q173,MAX(0,MIN(Q173,INDEX(Employees!$S$5:$S$29,$A173)-(S173-R173))))</f>
        <v/>
      </c>
      <c r="U173" s="51">
        <f>Q173-T173</f>
        <v/>
      </c>
      <c r="V173" s="51">
        <f>S173-R173+T173</f>
        <v/>
      </c>
    </row>
    <row r="174">
      <c r="A174" s="50" t="n">
        <v>4</v>
      </c>
      <c r="B174" s="50" t="n">
        <v>11</v>
      </c>
      <c r="C174" s="51">
        <f>INDEX(Employees!$B$5:$B$29,$A174)&amp;""</f>
        <v/>
      </c>
      <c r="D174" s="52">
        <f>INDEX(Periods!$B$5:$B$57,$B174)</f>
        <v/>
      </c>
      <c r="E174" s="52">
        <f>INDEX(Periods!$C$5:$C$57,$B174)</f>
        <v/>
      </c>
      <c r="F174" s="50">
        <f>IF(AND($C174&lt;&gt;"",INDEX(Periods!$D$5:$D$57,$B174)=1),1,0)</f>
        <v/>
      </c>
      <c r="G174" s="50">
        <f>IF($F174=0,0,IF(AND(OR(INDEX(Employees!$D$5:$D$29,$A174)="",$E174&gt;=INDEX(Employees!$D$5:$D$29,$A174)+N(INDEX(Employees!$U$5:$U$29,$A174))),OR(INDEX(Employees!$E$5:$E$29,$A174)="",$D174&lt;=INDEX(Employees!$E$5:$E$29,$A174))),1,0))</f>
        <v/>
      </c>
      <c r="H174" s="50">
        <f>IF($G174=0,0,IF(INDEX(Employees!$D$5:$D$29,$A174)="",0,DATEDIF(INDEX(Employees!$D$5:$D$29,$A174),$E174,"y")))</f>
        <v/>
      </c>
      <c r="I174" s="51">
        <f>IF($G174=0,0,IF(INDEX('Hours Worked'!$D$5:$BD$29,$A174,$B174)="",N(INDEX(Employees!$H$5:$H$29,$A174)),INDEX('Hours Worked'!$D$5:$BD$29,$A174,$B174)))</f>
        <v/>
      </c>
      <c r="J174" s="51">
        <f>IF(OR($G174=0,INDEX(Employees!$O$5:$O$29,$A174)&lt;&gt;"Yes"),0,IF(COUNTIF(Settings!$D$4:$D$9,"&lt;="&amp;$H174)=0,0,INDEX(Settings!$E$4:$E$9,COUNTIF(Settings!$D$4:$D$9,"&lt;="&amp;$H174))))</f>
        <v/>
      </c>
      <c r="K174" s="51">
        <f>IF($G174=0,0,IF(INDEX(Employees!$I$5:$I$29,$A174)="Per pay period",(N(INDEX(Employees!$J$5:$J$29,$A174))+$J174)/Settings!$B$13,IF(INDEX(Employees!$I$5:$I$29,$A174)="Per hour worked",N(INDEX(Employees!$K$5:$K$29,$A174))*$I174,IF(INDEX(Employees!$I$5:$I$29,$A174)="Front-loaded",IF(OR($B174=1,N($G173)=0),N(INDEX(Employees!$J$5:$J$29,$A174))+$J174,0),0))))</f>
        <v/>
      </c>
      <c r="L174" s="51">
        <f>IF($F174=0,0,SUMIFS('Time Off Log'!$H$5:$H$504,'Time Off Log'!$A$5:$A$504,$C174,'Time Off Log'!$B$5:$B$504,"PTO",'Time Off Log'!$E$5:$E$504,"Approved",'Time Off Log'!$C$5:$C$504,"&gt;="&amp;INDEX(Periods!$E$5:$E$57,$B174),'Time Off Log'!$C$5:$C$504,"&lt;="&amp;INDEX(Periods!$F$5:$F$57,$B174)))</f>
        <v/>
      </c>
      <c r="M174" s="51">
        <f>IF($B174=1,N(INDEX(Employees!$N$5:$N$29,$A174)),P173)</f>
        <v/>
      </c>
      <c r="N174" s="51">
        <f>IF(INDEX(Employees!$L$5:$L$29,$A174)="",K174,MAX(0,MIN(K174,INDEX(Employees!$L$5:$L$29,$A174)-(M174-L174))))</f>
        <v/>
      </c>
      <c r="O174" s="51">
        <f>K174-N174</f>
        <v/>
      </c>
      <c r="P174" s="51">
        <f>M174-L174+N174</f>
        <v/>
      </c>
      <c r="Q174" s="51">
        <f>IF($G174=0,0,IF(INDEX(Employees!$P$5:$P$29,$A174)="Per pay period",(N(INDEX(Employees!$Q$5:$Q$29,$A174)))/Settings!$B$13,IF(INDEX(Employees!$P$5:$P$29,$A174)="Per hour worked",N(INDEX(Employees!$R$5:$R$29,$A174))*$I174,IF(INDEX(Employees!$P$5:$P$29,$A174)="Front-loaded",IF(OR($B174=1,N($G173)=0),N(INDEX(Employees!$Q$5:$Q$29,$A174)),0),0))))</f>
        <v/>
      </c>
      <c r="R174" s="51">
        <f>IF($F174=0,0,SUMIFS('Time Off Log'!$H$5:$H$504,'Time Off Log'!$A$5:$A$504,$C174,'Time Off Log'!$B$5:$B$504,"Sick",'Time Off Log'!$E$5:$E$504,"Approved",'Time Off Log'!$C$5:$C$504,"&gt;="&amp;INDEX(Periods!$E$5:$E$57,$B174),'Time Off Log'!$C$5:$C$504,"&lt;="&amp;INDEX(Periods!$F$5:$F$57,$B174)))</f>
        <v/>
      </c>
      <c r="S174" s="51">
        <f>IF($B174=1,N(INDEX(Employees!$T$5:$T$29,$A174)),V173)</f>
        <v/>
      </c>
      <c r="T174" s="51">
        <f>IF(INDEX(Employees!$S$5:$S$29,$A174)="",Q174,MAX(0,MIN(Q174,INDEX(Employees!$S$5:$S$29,$A174)-(S174-R174))))</f>
        <v/>
      </c>
      <c r="U174" s="51">
        <f>Q174-T174</f>
        <v/>
      </c>
      <c r="V174" s="51">
        <f>S174-R174+T174</f>
        <v/>
      </c>
    </row>
    <row r="175">
      <c r="A175" s="50" t="n">
        <v>4</v>
      </c>
      <c r="B175" s="50" t="n">
        <v>12</v>
      </c>
      <c r="C175" s="51">
        <f>INDEX(Employees!$B$5:$B$29,$A175)&amp;""</f>
        <v/>
      </c>
      <c r="D175" s="52">
        <f>INDEX(Periods!$B$5:$B$57,$B175)</f>
        <v/>
      </c>
      <c r="E175" s="52">
        <f>INDEX(Periods!$C$5:$C$57,$B175)</f>
        <v/>
      </c>
      <c r="F175" s="50">
        <f>IF(AND($C175&lt;&gt;"",INDEX(Periods!$D$5:$D$57,$B175)=1),1,0)</f>
        <v/>
      </c>
      <c r="G175" s="50">
        <f>IF($F175=0,0,IF(AND(OR(INDEX(Employees!$D$5:$D$29,$A175)="",$E175&gt;=INDEX(Employees!$D$5:$D$29,$A175)+N(INDEX(Employees!$U$5:$U$29,$A175))),OR(INDEX(Employees!$E$5:$E$29,$A175)="",$D175&lt;=INDEX(Employees!$E$5:$E$29,$A175))),1,0))</f>
        <v/>
      </c>
      <c r="H175" s="50">
        <f>IF($G175=0,0,IF(INDEX(Employees!$D$5:$D$29,$A175)="",0,DATEDIF(INDEX(Employees!$D$5:$D$29,$A175),$E175,"y")))</f>
        <v/>
      </c>
      <c r="I175" s="51">
        <f>IF($G175=0,0,IF(INDEX('Hours Worked'!$D$5:$BD$29,$A175,$B175)="",N(INDEX(Employees!$H$5:$H$29,$A175)),INDEX('Hours Worked'!$D$5:$BD$29,$A175,$B175)))</f>
        <v/>
      </c>
      <c r="J175" s="51">
        <f>IF(OR($G175=0,INDEX(Employees!$O$5:$O$29,$A175)&lt;&gt;"Yes"),0,IF(COUNTIF(Settings!$D$4:$D$9,"&lt;="&amp;$H175)=0,0,INDEX(Settings!$E$4:$E$9,COUNTIF(Settings!$D$4:$D$9,"&lt;="&amp;$H175))))</f>
        <v/>
      </c>
      <c r="K175" s="51">
        <f>IF($G175=0,0,IF(INDEX(Employees!$I$5:$I$29,$A175)="Per pay period",(N(INDEX(Employees!$J$5:$J$29,$A175))+$J175)/Settings!$B$13,IF(INDEX(Employees!$I$5:$I$29,$A175)="Per hour worked",N(INDEX(Employees!$K$5:$K$29,$A175))*$I175,IF(INDEX(Employees!$I$5:$I$29,$A175)="Front-loaded",IF(OR($B175=1,N($G174)=0),N(INDEX(Employees!$J$5:$J$29,$A175))+$J175,0),0))))</f>
        <v/>
      </c>
      <c r="L175" s="51">
        <f>IF($F175=0,0,SUMIFS('Time Off Log'!$H$5:$H$504,'Time Off Log'!$A$5:$A$504,$C175,'Time Off Log'!$B$5:$B$504,"PTO",'Time Off Log'!$E$5:$E$504,"Approved",'Time Off Log'!$C$5:$C$504,"&gt;="&amp;INDEX(Periods!$E$5:$E$57,$B175),'Time Off Log'!$C$5:$C$504,"&lt;="&amp;INDEX(Periods!$F$5:$F$57,$B175)))</f>
        <v/>
      </c>
      <c r="M175" s="51">
        <f>IF($B175=1,N(INDEX(Employees!$N$5:$N$29,$A175)),P174)</f>
        <v/>
      </c>
      <c r="N175" s="51">
        <f>IF(INDEX(Employees!$L$5:$L$29,$A175)="",K175,MAX(0,MIN(K175,INDEX(Employees!$L$5:$L$29,$A175)-(M175-L175))))</f>
        <v/>
      </c>
      <c r="O175" s="51">
        <f>K175-N175</f>
        <v/>
      </c>
      <c r="P175" s="51">
        <f>M175-L175+N175</f>
        <v/>
      </c>
      <c r="Q175" s="51">
        <f>IF($G175=0,0,IF(INDEX(Employees!$P$5:$P$29,$A175)="Per pay period",(N(INDEX(Employees!$Q$5:$Q$29,$A175)))/Settings!$B$13,IF(INDEX(Employees!$P$5:$P$29,$A175)="Per hour worked",N(INDEX(Employees!$R$5:$R$29,$A175))*$I175,IF(INDEX(Employees!$P$5:$P$29,$A175)="Front-loaded",IF(OR($B175=1,N($G174)=0),N(INDEX(Employees!$Q$5:$Q$29,$A175)),0),0))))</f>
        <v/>
      </c>
      <c r="R175" s="51">
        <f>IF($F175=0,0,SUMIFS('Time Off Log'!$H$5:$H$504,'Time Off Log'!$A$5:$A$504,$C175,'Time Off Log'!$B$5:$B$504,"Sick",'Time Off Log'!$E$5:$E$504,"Approved",'Time Off Log'!$C$5:$C$504,"&gt;="&amp;INDEX(Periods!$E$5:$E$57,$B175),'Time Off Log'!$C$5:$C$504,"&lt;="&amp;INDEX(Periods!$F$5:$F$57,$B175)))</f>
        <v/>
      </c>
      <c r="S175" s="51">
        <f>IF($B175=1,N(INDEX(Employees!$T$5:$T$29,$A175)),V174)</f>
        <v/>
      </c>
      <c r="T175" s="51">
        <f>IF(INDEX(Employees!$S$5:$S$29,$A175)="",Q175,MAX(0,MIN(Q175,INDEX(Employees!$S$5:$S$29,$A175)-(S175-R175))))</f>
        <v/>
      </c>
      <c r="U175" s="51">
        <f>Q175-T175</f>
        <v/>
      </c>
      <c r="V175" s="51">
        <f>S175-R175+T175</f>
        <v/>
      </c>
    </row>
    <row r="176">
      <c r="A176" s="50" t="n">
        <v>4</v>
      </c>
      <c r="B176" s="50" t="n">
        <v>13</v>
      </c>
      <c r="C176" s="51">
        <f>INDEX(Employees!$B$5:$B$29,$A176)&amp;""</f>
        <v/>
      </c>
      <c r="D176" s="52">
        <f>INDEX(Periods!$B$5:$B$57,$B176)</f>
        <v/>
      </c>
      <c r="E176" s="52">
        <f>INDEX(Periods!$C$5:$C$57,$B176)</f>
        <v/>
      </c>
      <c r="F176" s="50">
        <f>IF(AND($C176&lt;&gt;"",INDEX(Periods!$D$5:$D$57,$B176)=1),1,0)</f>
        <v/>
      </c>
      <c r="G176" s="50">
        <f>IF($F176=0,0,IF(AND(OR(INDEX(Employees!$D$5:$D$29,$A176)="",$E176&gt;=INDEX(Employees!$D$5:$D$29,$A176)+N(INDEX(Employees!$U$5:$U$29,$A176))),OR(INDEX(Employees!$E$5:$E$29,$A176)="",$D176&lt;=INDEX(Employees!$E$5:$E$29,$A176))),1,0))</f>
        <v/>
      </c>
      <c r="H176" s="50">
        <f>IF($G176=0,0,IF(INDEX(Employees!$D$5:$D$29,$A176)="",0,DATEDIF(INDEX(Employees!$D$5:$D$29,$A176),$E176,"y")))</f>
        <v/>
      </c>
      <c r="I176" s="51">
        <f>IF($G176=0,0,IF(INDEX('Hours Worked'!$D$5:$BD$29,$A176,$B176)="",N(INDEX(Employees!$H$5:$H$29,$A176)),INDEX('Hours Worked'!$D$5:$BD$29,$A176,$B176)))</f>
        <v/>
      </c>
      <c r="J176" s="51">
        <f>IF(OR($G176=0,INDEX(Employees!$O$5:$O$29,$A176)&lt;&gt;"Yes"),0,IF(COUNTIF(Settings!$D$4:$D$9,"&lt;="&amp;$H176)=0,0,INDEX(Settings!$E$4:$E$9,COUNTIF(Settings!$D$4:$D$9,"&lt;="&amp;$H176))))</f>
        <v/>
      </c>
      <c r="K176" s="51">
        <f>IF($G176=0,0,IF(INDEX(Employees!$I$5:$I$29,$A176)="Per pay period",(N(INDEX(Employees!$J$5:$J$29,$A176))+$J176)/Settings!$B$13,IF(INDEX(Employees!$I$5:$I$29,$A176)="Per hour worked",N(INDEX(Employees!$K$5:$K$29,$A176))*$I176,IF(INDEX(Employees!$I$5:$I$29,$A176)="Front-loaded",IF(OR($B176=1,N($G175)=0),N(INDEX(Employees!$J$5:$J$29,$A176))+$J176,0),0))))</f>
        <v/>
      </c>
      <c r="L176" s="51">
        <f>IF($F176=0,0,SUMIFS('Time Off Log'!$H$5:$H$504,'Time Off Log'!$A$5:$A$504,$C176,'Time Off Log'!$B$5:$B$504,"PTO",'Time Off Log'!$E$5:$E$504,"Approved",'Time Off Log'!$C$5:$C$504,"&gt;="&amp;INDEX(Periods!$E$5:$E$57,$B176),'Time Off Log'!$C$5:$C$504,"&lt;="&amp;INDEX(Periods!$F$5:$F$57,$B176)))</f>
        <v/>
      </c>
      <c r="M176" s="51">
        <f>IF($B176=1,N(INDEX(Employees!$N$5:$N$29,$A176)),P175)</f>
        <v/>
      </c>
      <c r="N176" s="51">
        <f>IF(INDEX(Employees!$L$5:$L$29,$A176)="",K176,MAX(0,MIN(K176,INDEX(Employees!$L$5:$L$29,$A176)-(M176-L176))))</f>
        <v/>
      </c>
      <c r="O176" s="51">
        <f>K176-N176</f>
        <v/>
      </c>
      <c r="P176" s="51">
        <f>M176-L176+N176</f>
        <v/>
      </c>
      <c r="Q176" s="51">
        <f>IF($G176=0,0,IF(INDEX(Employees!$P$5:$P$29,$A176)="Per pay period",(N(INDEX(Employees!$Q$5:$Q$29,$A176)))/Settings!$B$13,IF(INDEX(Employees!$P$5:$P$29,$A176)="Per hour worked",N(INDEX(Employees!$R$5:$R$29,$A176))*$I176,IF(INDEX(Employees!$P$5:$P$29,$A176)="Front-loaded",IF(OR($B176=1,N($G175)=0),N(INDEX(Employees!$Q$5:$Q$29,$A176)),0),0))))</f>
        <v/>
      </c>
      <c r="R176" s="51">
        <f>IF($F176=0,0,SUMIFS('Time Off Log'!$H$5:$H$504,'Time Off Log'!$A$5:$A$504,$C176,'Time Off Log'!$B$5:$B$504,"Sick",'Time Off Log'!$E$5:$E$504,"Approved",'Time Off Log'!$C$5:$C$504,"&gt;="&amp;INDEX(Periods!$E$5:$E$57,$B176),'Time Off Log'!$C$5:$C$504,"&lt;="&amp;INDEX(Periods!$F$5:$F$57,$B176)))</f>
        <v/>
      </c>
      <c r="S176" s="51">
        <f>IF($B176=1,N(INDEX(Employees!$T$5:$T$29,$A176)),V175)</f>
        <v/>
      </c>
      <c r="T176" s="51">
        <f>IF(INDEX(Employees!$S$5:$S$29,$A176)="",Q176,MAX(0,MIN(Q176,INDEX(Employees!$S$5:$S$29,$A176)-(S176-R176))))</f>
        <v/>
      </c>
      <c r="U176" s="51">
        <f>Q176-T176</f>
        <v/>
      </c>
      <c r="V176" s="51">
        <f>S176-R176+T176</f>
        <v/>
      </c>
    </row>
    <row r="177">
      <c r="A177" s="50" t="n">
        <v>4</v>
      </c>
      <c r="B177" s="50" t="n">
        <v>14</v>
      </c>
      <c r="C177" s="51">
        <f>INDEX(Employees!$B$5:$B$29,$A177)&amp;""</f>
        <v/>
      </c>
      <c r="D177" s="52">
        <f>INDEX(Periods!$B$5:$B$57,$B177)</f>
        <v/>
      </c>
      <c r="E177" s="52">
        <f>INDEX(Periods!$C$5:$C$57,$B177)</f>
        <v/>
      </c>
      <c r="F177" s="50">
        <f>IF(AND($C177&lt;&gt;"",INDEX(Periods!$D$5:$D$57,$B177)=1),1,0)</f>
        <v/>
      </c>
      <c r="G177" s="50">
        <f>IF($F177=0,0,IF(AND(OR(INDEX(Employees!$D$5:$D$29,$A177)="",$E177&gt;=INDEX(Employees!$D$5:$D$29,$A177)+N(INDEX(Employees!$U$5:$U$29,$A177))),OR(INDEX(Employees!$E$5:$E$29,$A177)="",$D177&lt;=INDEX(Employees!$E$5:$E$29,$A177))),1,0))</f>
        <v/>
      </c>
      <c r="H177" s="50">
        <f>IF($G177=0,0,IF(INDEX(Employees!$D$5:$D$29,$A177)="",0,DATEDIF(INDEX(Employees!$D$5:$D$29,$A177),$E177,"y")))</f>
        <v/>
      </c>
      <c r="I177" s="51">
        <f>IF($G177=0,0,IF(INDEX('Hours Worked'!$D$5:$BD$29,$A177,$B177)="",N(INDEX(Employees!$H$5:$H$29,$A177)),INDEX('Hours Worked'!$D$5:$BD$29,$A177,$B177)))</f>
        <v/>
      </c>
      <c r="J177" s="51">
        <f>IF(OR($G177=0,INDEX(Employees!$O$5:$O$29,$A177)&lt;&gt;"Yes"),0,IF(COUNTIF(Settings!$D$4:$D$9,"&lt;="&amp;$H177)=0,0,INDEX(Settings!$E$4:$E$9,COUNTIF(Settings!$D$4:$D$9,"&lt;="&amp;$H177))))</f>
        <v/>
      </c>
      <c r="K177" s="51">
        <f>IF($G177=0,0,IF(INDEX(Employees!$I$5:$I$29,$A177)="Per pay period",(N(INDEX(Employees!$J$5:$J$29,$A177))+$J177)/Settings!$B$13,IF(INDEX(Employees!$I$5:$I$29,$A177)="Per hour worked",N(INDEX(Employees!$K$5:$K$29,$A177))*$I177,IF(INDEX(Employees!$I$5:$I$29,$A177)="Front-loaded",IF(OR($B177=1,N($G176)=0),N(INDEX(Employees!$J$5:$J$29,$A177))+$J177,0),0))))</f>
        <v/>
      </c>
      <c r="L177" s="51">
        <f>IF($F177=0,0,SUMIFS('Time Off Log'!$H$5:$H$504,'Time Off Log'!$A$5:$A$504,$C177,'Time Off Log'!$B$5:$B$504,"PTO",'Time Off Log'!$E$5:$E$504,"Approved",'Time Off Log'!$C$5:$C$504,"&gt;="&amp;INDEX(Periods!$E$5:$E$57,$B177),'Time Off Log'!$C$5:$C$504,"&lt;="&amp;INDEX(Periods!$F$5:$F$57,$B177)))</f>
        <v/>
      </c>
      <c r="M177" s="51">
        <f>IF($B177=1,N(INDEX(Employees!$N$5:$N$29,$A177)),P176)</f>
        <v/>
      </c>
      <c r="N177" s="51">
        <f>IF(INDEX(Employees!$L$5:$L$29,$A177)="",K177,MAX(0,MIN(K177,INDEX(Employees!$L$5:$L$29,$A177)-(M177-L177))))</f>
        <v/>
      </c>
      <c r="O177" s="51">
        <f>K177-N177</f>
        <v/>
      </c>
      <c r="P177" s="51">
        <f>M177-L177+N177</f>
        <v/>
      </c>
      <c r="Q177" s="51">
        <f>IF($G177=0,0,IF(INDEX(Employees!$P$5:$P$29,$A177)="Per pay period",(N(INDEX(Employees!$Q$5:$Q$29,$A177)))/Settings!$B$13,IF(INDEX(Employees!$P$5:$P$29,$A177)="Per hour worked",N(INDEX(Employees!$R$5:$R$29,$A177))*$I177,IF(INDEX(Employees!$P$5:$P$29,$A177)="Front-loaded",IF(OR($B177=1,N($G176)=0),N(INDEX(Employees!$Q$5:$Q$29,$A177)),0),0))))</f>
        <v/>
      </c>
      <c r="R177" s="51">
        <f>IF($F177=0,0,SUMIFS('Time Off Log'!$H$5:$H$504,'Time Off Log'!$A$5:$A$504,$C177,'Time Off Log'!$B$5:$B$504,"Sick",'Time Off Log'!$E$5:$E$504,"Approved",'Time Off Log'!$C$5:$C$504,"&gt;="&amp;INDEX(Periods!$E$5:$E$57,$B177),'Time Off Log'!$C$5:$C$504,"&lt;="&amp;INDEX(Periods!$F$5:$F$57,$B177)))</f>
        <v/>
      </c>
      <c r="S177" s="51">
        <f>IF($B177=1,N(INDEX(Employees!$T$5:$T$29,$A177)),V176)</f>
        <v/>
      </c>
      <c r="T177" s="51">
        <f>IF(INDEX(Employees!$S$5:$S$29,$A177)="",Q177,MAX(0,MIN(Q177,INDEX(Employees!$S$5:$S$29,$A177)-(S177-R177))))</f>
        <v/>
      </c>
      <c r="U177" s="51">
        <f>Q177-T177</f>
        <v/>
      </c>
      <c r="V177" s="51">
        <f>S177-R177+T177</f>
        <v/>
      </c>
    </row>
    <row r="178">
      <c r="A178" s="50" t="n">
        <v>4</v>
      </c>
      <c r="B178" s="50" t="n">
        <v>15</v>
      </c>
      <c r="C178" s="51">
        <f>INDEX(Employees!$B$5:$B$29,$A178)&amp;""</f>
        <v/>
      </c>
      <c r="D178" s="52">
        <f>INDEX(Periods!$B$5:$B$57,$B178)</f>
        <v/>
      </c>
      <c r="E178" s="52">
        <f>INDEX(Periods!$C$5:$C$57,$B178)</f>
        <v/>
      </c>
      <c r="F178" s="50">
        <f>IF(AND($C178&lt;&gt;"",INDEX(Periods!$D$5:$D$57,$B178)=1),1,0)</f>
        <v/>
      </c>
      <c r="G178" s="50">
        <f>IF($F178=0,0,IF(AND(OR(INDEX(Employees!$D$5:$D$29,$A178)="",$E178&gt;=INDEX(Employees!$D$5:$D$29,$A178)+N(INDEX(Employees!$U$5:$U$29,$A178))),OR(INDEX(Employees!$E$5:$E$29,$A178)="",$D178&lt;=INDEX(Employees!$E$5:$E$29,$A178))),1,0))</f>
        <v/>
      </c>
      <c r="H178" s="50">
        <f>IF($G178=0,0,IF(INDEX(Employees!$D$5:$D$29,$A178)="",0,DATEDIF(INDEX(Employees!$D$5:$D$29,$A178),$E178,"y")))</f>
        <v/>
      </c>
      <c r="I178" s="51">
        <f>IF($G178=0,0,IF(INDEX('Hours Worked'!$D$5:$BD$29,$A178,$B178)="",N(INDEX(Employees!$H$5:$H$29,$A178)),INDEX('Hours Worked'!$D$5:$BD$29,$A178,$B178)))</f>
        <v/>
      </c>
      <c r="J178" s="51">
        <f>IF(OR($G178=0,INDEX(Employees!$O$5:$O$29,$A178)&lt;&gt;"Yes"),0,IF(COUNTIF(Settings!$D$4:$D$9,"&lt;="&amp;$H178)=0,0,INDEX(Settings!$E$4:$E$9,COUNTIF(Settings!$D$4:$D$9,"&lt;="&amp;$H178))))</f>
        <v/>
      </c>
      <c r="K178" s="51">
        <f>IF($G178=0,0,IF(INDEX(Employees!$I$5:$I$29,$A178)="Per pay period",(N(INDEX(Employees!$J$5:$J$29,$A178))+$J178)/Settings!$B$13,IF(INDEX(Employees!$I$5:$I$29,$A178)="Per hour worked",N(INDEX(Employees!$K$5:$K$29,$A178))*$I178,IF(INDEX(Employees!$I$5:$I$29,$A178)="Front-loaded",IF(OR($B178=1,N($G177)=0),N(INDEX(Employees!$J$5:$J$29,$A178))+$J178,0),0))))</f>
        <v/>
      </c>
      <c r="L178" s="51">
        <f>IF($F178=0,0,SUMIFS('Time Off Log'!$H$5:$H$504,'Time Off Log'!$A$5:$A$504,$C178,'Time Off Log'!$B$5:$B$504,"PTO",'Time Off Log'!$E$5:$E$504,"Approved",'Time Off Log'!$C$5:$C$504,"&gt;="&amp;INDEX(Periods!$E$5:$E$57,$B178),'Time Off Log'!$C$5:$C$504,"&lt;="&amp;INDEX(Periods!$F$5:$F$57,$B178)))</f>
        <v/>
      </c>
      <c r="M178" s="51">
        <f>IF($B178=1,N(INDEX(Employees!$N$5:$N$29,$A178)),P177)</f>
        <v/>
      </c>
      <c r="N178" s="51">
        <f>IF(INDEX(Employees!$L$5:$L$29,$A178)="",K178,MAX(0,MIN(K178,INDEX(Employees!$L$5:$L$29,$A178)-(M178-L178))))</f>
        <v/>
      </c>
      <c r="O178" s="51">
        <f>K178-N178</f>
        <v/>
      </c>
      <c r="P178" s="51">
        <f>M178-L178+N178</f>
        <v/>
      </c>
      <c r="Q178" s="51">
        <f>IF($G178=0,0,IF(INDEX(Employees!$P$5:$P$29,$A178)="Per pay period",(N(INDEX(Employees!$Q$5:$Q$29,$A178)))/Settings!$B$13,IF(INDEX(Employees!$P$5:$P$29,$A178)="Per hour worked",N(INDEX(Employees!$R$5:$R$29,$A178))*$I178,IF(INDEX(Employees!$P$5:$P$29,$A178)="Front-loaded",IF(OR($B178=1,N($G177)=0),N(INDEX(Employees!$Q$5:$Q$29,$A178)),0),0))))</f>
        <v/>
      </c>
      <c r="R178" s="51">
        <f>IF($F178=0,0,SUMIFS('Time Off Log'!$H$5:$H$504,'Time Off Log'!$A$5:$A$504,$C178,'Time Off Log'!$B$5:$B$504,"Sick",'Time Off Log'!$E$5:$E$504,"Approved",'Time Off Log'!$C$5:$C$504,"&gt;="&amp;INDEX(Periods!$E$5:$E$57,$B178),'Time Off Log'!$C$5:$C$504,"&lt;="&amp;INDEX(Periods!$F$5:$F$57,$B178)))</f>
        <v/>
      </c>
      <c r="S178" s="51">
        <f>IF($B178=1,N(INDEX(Employees!$T$5:$T$29,$A178)),V177)</f>
        <v/>
      </c>
      <c r="T178" s="51">
        <f>IF(INDEX(Employees!$S$5:$S$29,$A178)="",Q178,MAX(0,MIN(Q178,INDEX(Employees!$S$5:$S$29,$A178)-(S178-R178))))</f>
        <v/>
      </c>
      <c r="U178" s="51">
        <f>Q178-T178</f>
        <v/>
      </c>
      <c r="V178" s="51">
        <f>S178-R178+T178</f>
        <v/>
      </c>
    </row>
    <row r="179">
      <c r="A179" s="50" t="n">
        <v>4</v>
      </c>
      <c r="B179" s="50" t="n">
        <v>16</v>
      </c>
      <c r="C179" s="51">
        <f>INDEX(Employees!$B$5:$B$29,$A179)&amp;""</f>
        <v/>
      </c>
      <c r="D179" s="52">
        <f>INDEX(Periods!$B$5:$B$57,$B179)</f>
        <v/>
      </c>
      <c r="E179" s="52">
        <f>INDEX(Periods!$C$5:$C$57,$B179)</f>
        <v/>
      </c>
      <c r="F179" s="50">
        <f>IF(AND($C179&lt;&gt;"",INDEX(Periods!$D$5:$D$57,$B179)=1),1,0)</f>
        <v/>
      </c>
      <c r="G179" s="50">
        <f>IF($F179=0,0,IF(AND(OR(INDEX(Employees!$D$5:$D$29,$A179)="",$E179&gt;=INDEX(Employees!$D$5:$D$29,$A179)+N(INDEX(Employees!$U$5:$U$29,$A179))),OR(INDEX(Employees!$E$5:$E$29,$A179)="",$D179&lt;=INDEX(Employees!$E$5:$E$29,$A179))),1,0))</f>
        <v/>
      </c>
      <c r="H179" s="50">
        <f>IF($G179=0,0,IF(INDEX(Employees!$D$5:$D$29,$A179)="",0,DATEDIF(INDEX(Employees!$D$5:$D$29,$A179),$E179,"y")))</f>
        <v/>
      </c>
      <c r="I179" s="51">
        <f>IF($G179=0,0,IF(INDEX('Hours Worked'!$D$5:$BD$29,$A179,$B179)="",N(INDEX(Employees!$H$5:$H$29,$A179)),INDEX('Hours Worked'!$D$5:$BD$29,$A179,$B179)))</f>
        <v/>
      </c>
      <c r="J179" s="51">
        <f>IF(OR($G179=0,INDEX(Employees!$O$5:$O$29,$A179)&lt;&gt;"Yes"),0,IF(COUNTIF(Settings!$D$4:$D$9,"&lt;="&amp;$H179)=0,0,INDEX(Settings!$E$4:$E$9,COUNTIF(Settings!$D$4:$D$9,"&lt;="&amp;$H179))))</f>
        <v/>
      </c>
      <c r="K179" s="51">
        <f>IF($G179=0,0,IF(INDEX(Employees!$I$5:$I$29,$A179)="Per pay period",(N(INDEX(Employees!$J$5:$J$29,$A179))+$J179)/Settings!$B$13,IF(INDEX(Employees!$I$5:$I$29,$A179)="Per hour worked",N(INDEX(Employees!$K$5:$K$29,$A179))*$I179,IF(INDEX(Employees!$I$5:$I$29,$A179)="Front-loaded",IF(OR($B179=1,N($G178)=0),N(INDEX(Employees!$J$5:$J$29,$A179))+$J179,0),0))))</f>
        <v/>
      </c>
      <c r="L179" s="51">
        <f>IF($F179=0,0,SUMIFS('Time Off Log'!$H$5:$H$504,'Time Off Log'!$A$5:$A$504,$C179,'Time Off Log'!$B$5:$B$504,"PTO",'Time Off Log'!$E$5:$E$504,"Approved",'Time Off Log'!$C$5:$C$504,"&gt;="&amp;INDEX(Periods!$E$5:$E$57,$B179),'Time Off Log'!$C$5:$C$504,"&lt;="&amp;INDEX(Periods!$F$5:$F$57,$B179)))</f>
        <v/>
      </c>
      <c r="M179" s="51">
        <f>IF($B179=1,N(INDEX(Employees!$N$5:$N$29,$A179)),P178)</f>
        <v/>
      </c>
      <c r="N179" s="51">
        <f>IF(INDEX(Employees!$L$5:$L$29,$A179)="",K179,MAX(0,MIN(K179,INDEX(Employees!$L$5:$L$29,$A179)-(M179-L179))))</f>
        <v/>
      </c>
      <c r="O179" s="51">
        <f>K179-N179</f>
        <v/>
      </c>
      <c r="P179" s="51">
        <f>M179-L179+N179</f>
        <v/>
      </c>
      <c r="Q179" s="51">
        <f>IF($G179=0,0,IF(INDEX(Employees!$P$5:$P$29,$A179)="Per pay period",(N(INDEX(Employees!$Q$5:$Q$29,$A179)))/Settings!$B$13,IF(INDEX(Employees!$P$5:$P$29,$A179)="Per hour worked",N(INDEX(Employees!$R$5:$R$29,$A179))*$I179,IF(INDEX(Employees!$P$5:$P$29,$A179)="Front-loaded",IF(OR($B179=1,N($G178)=0),N(INDEX(Employees!$Q$5:$Q$29,$A179)),0),0))))</f>
        <v/>
      </c>
      <c r="R179" s="51">
        <f>IF($F179=0,0,SUMIFS('Time Off Log'!$H$5:$H$504,'Time Off Log'!$A$5:$A$504,$C179,'Time Off Log'!$B$5:$B$504,"Sick",'Time Off Log'!$E$5:$E$504,"Approved",'Time Off Log'!$C$5:$C$504,"&gt;="&amp;INDEX(Periods!$E$5:$E$57,$B179),'Time Off Log'!$C$5:$C$504,"&lt;="&amp;INDEX(Periods!$F$5:$F$57,$B179)))</f>
        <v/>
      </c>
      <c r="S179" s="51">
        <f>IF($B179=1,N(INDEX(Employees!$T$5:$T$29,$A179)),V178)</f>
        <v/>
      </c>
      <c r="T179" s="51">
        <f>IF(INDEX(Employees!$S$5:$S$29,$A179)="",Q179,MAX(0,MIN(Q179,INDEX(Employees!$S$5:$S$29,$A179)-(S179-R179))))</f>
        <v/>
      </c>
      <c r="U179" s="51">
        <f>Q179-T179</f>
        <v/>
      </c>
      <c r="V179" s="51">
        <f>S179-R179+T179</f>
        <v/>
      </c>
    </row>
    <row r="180">
      <c r="A180" s="50" t="n">
        <v>4</v>
      </c>
      <c r="B180" s="50" t="n">
        <v>17</v>
      </c>
      <c r="C180" s="51">
        <f>INDEX(Employees!$B$5:$B$29,$A180)&amp;""</f>
        <v/>
      </c>
      <c r="D180" s="52">
        <f>INDEX(Periods!$B$5:$B$57,$B180)</f>
        <v/>
      </c>
      <c r="E180" s="52">
        <f>INDEX(Periods!$C$5:$C$57,$B180)</f>
        <v/>
      </c>
      <c r="F180" s="50">
        <f>IF(AND($C180&lt;&gt;"",INDEX(Periods!$D$5:$D$57,$B180)=1),1,0)</f>
        <v/>
      </c>
      <c r="G180" s="50">
        <f>IF($F180=0,0,IF(AND(OR(INDEX(Employees!$D$5:$D$29,$A180)="",$E180&gt;=INDEX(Employees!$D$5:$D$29,$A180)+N(INDEX(Employees!$U$5:$U$29,$A180))),OR(INDEX(Employees!$E$5:$E$29,$A180)="",$D180&lt;=INDEX(Employees!$E$5:$E$29,$A180))),1,0))</f>
        <v/>
      </c>
      <c r="H180" s="50">
        <f>IF($G180=0,0,IF(INDEX(Employees!$D$5:$D$29,$A180)="",0,DATEDIF(INDEX(Employees!$D$5:$D$29,$A180),$E180,"y")))</f>
        <v/>
      </c>
      <c r="I180" s="51">
        <f>IF($G180=0,0,IF(INDEX('Hours Worked'!$D$5:$BD$29,$A180,$B180)="",N(INDEX(Employees!$H$5:$H$29,$A180)),INDEX('Hours Worked'!$D$5:$BD$29,$A180,$B180)))</f>
        <v/>
      </c>
      <c r="J180" s="51">
        <f>IF(OR($G180=0,INDEX(Employees!$O$5:$O$29,$A180)&lt;&gt;"Yes"),0,IF(COUNTIF(Settings!$D$4:$D$9,"&lt;="&amp;$H180)=0,0,INDEX(Settings!$E$4:$E$9,COUNTIF(Settings!$D$4:$D$9,"&lt;="&amp;$H180))))</f>
        <v/>
      </c>
      <c r="K180" s="51">
        <f>IF($G180=0,0,IF(INDEX(Employees!$I$5:$I$29,$A180)="Per pay period",(N(INDEX(Employees!$J$5:$J$29,$A180))+$J180)/Settings!$B$13,IF(INDEX(Employees!$I$5:$I$29,$A180)="Per hour worked",N(INDEX(Employees!$K$5:$K$29,$A180))*$I180,IF(INDEX(Employees!$I$5:$I$29,$A180)="Front-loaded",IF(OR($B180=1,N($G179)=0),N(INDEX(Employees!$J$5:$J$29,$A180))+$J180,0),0))))</f>
        <v/>
      </c>
      <c r="L180" s="51">
        <f>IF($F180=0,0,SUMIFS('Time Off Log'!$H$5:$H$504,'Time Off Log'!$A$5:$A$504,$C180,'Time Off Log'!$B$5:$B$504,"PTO",'Time Off Log'!$E$5:$E$504,"Approved",'Time Off Log'!$C$5:$C$504,"&gt;="&amp;INDEX(Periods!$E$5:$E$57,$B180),'Time Off Log'!$C$5:$C$504,"&lt;="&amp;INDEX(Periods!$F$5:$F$57,$B180)))</f>
        <v/>
      </c>
      <c r="M180" s="51">
        <f>IF($B180=1,N(INDEX(Employees!$N$5:$N$29,$A180)),P179)</f>
        <v/>
      </c>
      <c r="N180" s="51">
        <f>IF(INDEX(Employees!$L$5:$L$29,$A180)="",K180,MAX(0,MIN(K180,INDEX(Employees!$L$5:$L$29,$A180)-(M180-L180))))</f>
        <v/>
      </c>
      <c r="O180" s="51">
        <f>K180-N180</f>
        <v/>
      </c>
      <c r="P180" s="51">
        <f>M180-L180+N180</f>
        <v/>
      </c>
      <c r="Q180" s="51">
        <f>IF($G180=0,0,IF(INDEX(Employees!$P$5:$P$29,$A180)="Per pay period",(N(INDEX(Employees!$Q$5:$Q$29,$A180)))/Settings!$B$13,IF(INDEX(Employees!$P$5:$P$29,$A180)="Per hour worked",N(INDEX(Employees!$R$5:$R$29,$A180))*$I180,IF(INDEX(Employees!$P$5:$P$29,$A180)="Front-loaded",IF(OR($B180=1,N($G179)=0),N(INDEX(Employees!$Q$5:$Q$29,$A180)),0),0))))</f>
        <v/>
      </c>
      <c r="R180" s="51">
        <f>IF($F180=0,0,SUMIFS('Time Off Log'!$H$5:$H$504,'Time Off Log'!$A$5:$A$504,$C180,'Time Off Log'!$B$5:$B$504,"Sick",'Time Off Log'!$E$5:$E$504,"Approved",'Time Off Log'!$C$5:$C$504,"&gt;="&amp;INDEX(Periods!$E$5:$E$57,$B180),'Time Off Log'!$C$5:$C$504,"&lt;="&amp;INDEX(Periods!$F$5:$F$57,$B180)))</f>
        <v/>
      </c>
      <c r="S180" s="51">
        <f>IF($B180=1,N(INDEX(Employees!$T$5:$T$29,$A180)),V179)</f>
        <v/>
      </c>
      <c r="T180" s="51">
        <f>IF(INDEX(Employees!$S$5:$S$29,$A180)="",Q180,MAX(0,MIN(Q180,INDEX(Employees!$S$5:$S$29,$A180)-(S180-R180))))</f>
        <v/>
      </c>
      <c r="U180" s="51">
        <f>Q180-T180</f>
        <v/>
      </c>
      <c r="V180" s="51">
        <f>S180-R180+T180</f>
        <v/>
      </c>
    </row>
    <row r="181">
      <c r="A181" s="50" t="n">
        <v>4</v>
      </c>
      <c r="B181" s="50" t="n">
        <v>18</v>
      </c>
      <c r="C181" s="51">
        <f>INDEX(Employees!$B$5:$B$29,$A181)&amp;""</f>
        <v/>
      </c>
      <c r="D181" s="52">
        <f>INDEX(Periods!$B$5:$B$57,$B181)</f>
        <v/>
      </c>
      <c r="E181" s="52">
        <f>INDEX(Periods!$C$5:$C$57,$B181)</f>
        <v/>
      </c>
      <c r="F181" s="50">
        <f>IF(AND($C181&lt;&gt;"",INDEX(Periods!$D$5:$D$57,$B181)=1),1,0)</f>
        <v/>
      </c>
      <c r="G181" s="50">
        <f>IF($F181=0,0,IF(AND(OR(INDEX(Employees!$D$5:$D$29,$A181)="",$E181&gt;=INDEX(Employees!$D$5:$D$29,$A181)+N(INDEX(Employees!$U$5:$U$29,$A181))),OR(INDEX(Employees!$E$5:$E$29,$A181)="",$D181&lt;=INDEX(Employees!$E$5:$E$29,$A181))),1,0))</f>
        <v/>
      </c>
      <c r="H181" s="50">
        <f>IF($G181=0,0,IF(INDEX(Employees!$D$5:$D$29,$A181)="",0,DATEDIF(INDEX(Employees!$D$5:$D$29,$A181),$E181,"y")))</f>
        <v/>
      </c>
      <c r="I181" s="51">
        <f>IF($G181=0,0,IF(INDEX('Hours Worked'!$D$5:$BD$29,$A181,$B181)="",N(INDEX(Employees!$H$5:$H$29,$A181)),INDEX('Hours Worked'!$D$5:$BD$29,$A181,$B181)))</f>
        <v/>
      </c>
      <c r="J181" s="51">
        <f>IF(OR($G181=0,INDEX(Employees!$O$5:$O$29,$A181)&lt;&gt;"Yes"),0,IF(COUNTIF(Settings!$D$4:$D$9,"&lt;="&amp;$H181)=0,0,INDEX(Settings!$E$4:$E$9,COUNTIF(Settings!$D$4:$D$9,"&lt;="&amp;$H181))))</f>
        <v/>
      </c>
      <c r="K181" s="51">
        <f>IF($G181=0,0,IF(INDEX(Employees!$I$5:$I$29,$A181)="Per pay period",(N(INDEX(Employees!$J$5:$J$29,$A181))+$J181)/Settings!$B$13,IF(INDEX(Employees!$I$5:$I$29,$A181)="Per hour worked",N(INDEX(Employees!$K$5:$K$29,$A181))*$I181,IF(INDEX(Employees!$I$5:$I$29,$A181)="Front-loaded",IF(OR($B181=1,N($G180)=0),N(INDEX(Employees!$J$5:$J$29,$A181))+$J181,0),0))))</f>
        <v/>
      </c>
      <c r="L181" s="51">
        <f>IF($F181=0,0,SUMIFS('Time Off Log'!$H$5:$H$504,'Time Off Log'!$A$5:$A$504,$C181,'Time Off Log'!$B$5:$B$504,"PTO",'Time Off Log'!$E$5:$E$504,"Approved",'Time Off Log'!$C$5:$C$504,"&gt;="&amp;INDEX(Periods!$E$5:$E$57,$B181),'Time Off Log'!$C$5:$C$504,"&lt;="&amp;INDEX(Periods!$F$5:$F$57,$B181)))</f>
        <v/>
      </c>
      <c r="M181" s="51">
        <f>IF($B181=1,N(INDEX(Employees!$N$5:$N$29,$A181)),P180)</f>
        <v/>
      </c>
      <c r="N181" s="51">
        <f>IF(INDEX(Employees!$L$5:$L$29,$A181)="",K181,MAX(0,MIN(K181,INDEX(Employees!$L$5:$L$29,$A181)-(M181-L181))))</f>
        <v/>
      </c>
      <c r="O181" s="51">
        <f>K181-N181</f>
        <v/>
      </c>
      <c r="P181" s="51">
        <f>M181-L181+N181</f>
        <v/>
      </c>
      <c r="Q181" s="51">
        <f>IF($G181=0,0,IF(INDEX(Employees!$P$5:$P$29,$A181)="Per pay period",(N(INDEX(Employees!$Q$5:$Q$29,$A181)))/Settings!$B$13,IF(INDEX(Employees!$P$5:$P$29,$A181)="Per hour worked",N(INDEX(Employees!$R$5:$R$29,$A181))*$I181,IF(INDEX(Employees!$P$5:$P$29,$A181)="Front-loaded",IF(OR($B181=1,N($G180)=0),N(INDEX(Employees!$Q$5:$Q$29,$A181)),0),0))))</f>
        <v/>
      </c>
      <c r="R181" s="51">
        <f>IF($F181=0,0,SUMIFS('Time Off Log'!$H$5:$H$504,'Time Off Log'!$A$5:$A$504,$C181,'Time Off Log'!$B$5:$B$504,"Sick",'Time Off Log'!$E$5:$E$504,"Approved",'Time Off Log'!$C$5:$C$504,"&gt;="&amp;INDEX(Periods!$E$5:$E$57,$B181),'Time Off Log'!$C$5:$C$504,"&lt;="&amp;INDEX(Periods!$F$5:$F$57,$B181)))</f>
        <v/>
      </c>
      <c r="S181" s="51">
        <f>IF($B181=1,N(INDEX(Employees!$T$5:$T$29,$A181)),V180)</f>
        <v/>
      </c>
      <c r="T181" s="51">
        <f>IF(INDEX(Employees!$S$5:$S$29,$A181)="",Q181,MAX(0,MIN(Q181,INDEX(Employees!$S$5:$S$29,$A181)-(S181-R181))))</f>
        <v/>
      </c>
      <c r="U181" s="51">
        <f>Q181-T181</f>
        <v/>
      </c>
      <c r="V181" s="51">
        <f>S181-R181+T181</f>
        <v/>
      </c>
    </row>
    <row r="182">
      <c r="A182" s="50" t="n">
        <v>4</v>
      </c>
      <c r="B182" s="50" t="n">
        <v>19</v>
      </c>
      <c r="C182" s="51">
        <f>INDEX(Employees!$B$5:$B$29,$A182)&amp;""</f>
        <v/>
      </c>
      <c r="D182" s="52">
        <f>INDEX(Periods!$B$5:$B$57,$B182)</f>
        <v/>
      </c>
      <c r="E182" s="52">
        <f>INDEX(Periods!$C$5:$C$57,$B182)</f>
        <v/>
      </c>
      <c r="F182" s="50">
        <f>IF(AND($C182&lt;&gt;"",INDEX(Periods!$D$5:$D$57,$B182)=1),1,0)</f>
        <v/>
      </c>
      <c r="G182" s="50">
        <f>IF($F182=0,0,IF(AND(OR(INDEX(Employees!$D$5:$D$29,$A182)="",$E182&gt;=INDEX(Employees!$D$5:$D$29,$A182)+N(INDEX(Employees!$U$5:$U$29,$A182))),OR(INDEX(Employees!$E$5:$E$29,$A182)="",$D182&lt;=INDEX(Employees!$E$5:$E$29,$A182))),1,0))</f>
        <v/>
      </c>
      <c r="H182" s="50">
        <f>IF($G182=0,0,IF(INDEX(Employees!$D$5:$D$29,$A182)="",0,DATEDIF(INDEX(Employees!$D$5:$D$29,$A182),$E182,"y")))</f>
        <v/>
      </c>
      <c r="I182" s="51">
        <f>IF($G182=0,0,IF(INDEX('Hours Worked'!$D$5:$BD$29,$A182,$B182)="",N(INDEX(Employees!$H$5:$H$29,$A182)),INDEX('Hours Worked'!$D$5:$BD$29,$A182,$B182)))</f>
        <v/>
      </c>
      <c r="J182" s="51">
        <f>IF(OR($G182=0,INDEX(Employees!$O$5:$O$29,$A182)&lt;&gt;"Yes"),0,IF(COUNTIF(Settings!$D$4:$D$9,"&lt;="&amp;$H182)=0,0,INDEX(Settings!$E$4:$E$9,COUNTIF(Settings!$D$4:$D$9,"&lt;="&amp;$H182))))</f>
        <v/>
      </c>
      <c r="K182" s="51">
        <f>IF($G182=0,0,IF(INDEX(Employees!$I$5:$I$29,$A182)="Per pay period",(N(INDEX(Employees!$J$5:$J$29,$A182))+$J182)/Settings!$B$13,IF(INDEX(Employees!$I$5:$I$29,$A182)="Per hour worked",N(INDEX(Employees!$K$5:$K$29,$A182))*$I182,IF(INDEX(Employees!$I$5:$I$29,$A182)="Front-loaded",IF(OR($B182=1,N($G181)=0),N(INDEX(Employees!$J$5:$J$29,$A182))+$J182,0),0))))</f>
        <v/>
      </c>
      <c r="L182" s="51">
        <f>IF($F182=0,0,SUMIFS('Time Off Log'!$H$5:$H$504,'Time Off Log'!$A$5:$A$504,$C182,'Time Off Log'!$B$5:$B$504,"PTO",'Time Off Log'!$E$5:$E$504,"Approved",'Time Off Log'!$C$5:$C$504,"&gt;="&amp;INDEX(Periods!$E$5:$E$57,$B182),'Time Off Log'!$C$5:$C$504,"&lt;="&amp;INDEX(Periods!$F$5:$F$57,$B182)))</f>
        <v/>
      </c>
      <c r="M182" s="51">
        <f>IF($B182=1,N(INDEX(Employees!$N$5:$N$29,$A182)),P181)</f>
        <v/>
      </c>
      <c r="N182" s="51">
        <f>IF(INDEX(Employees!$L$5:$L$29,$A182)="",K182,MAX(0,MIN(K182,INDEX(Employees!$L$5:$L$29,$A182)-(M182-L182))))</f>
        <v/>
      </c>
      <c r="O182" s="51">
        <f>K182-N182</f>
        <v/>
      </c>
      <c r="P182" s="51">
        <f>M182-L182+N182</f>
        <v/>
      </c>
      <c r="Q182" s="51">
        <f>IF($G182=0,0,IF(INDEX(Employees!$P$5:$P$29,$A182)="Per pay period",(N(INDEX(Employees!$Q$5:$Q$29,$A182)))/Settings!$B$13,IF(INDEX(Employees!$P$5:$P$29,$A182)="Per hour worked",N(INDEX(Employees!$R$5:$R$29,$A182))*$I182,IF(INDEX(Employees!$P$5:$P$29,$A182)="Front-loaded",IF(OR($B182=1,N($G181)=0),N(INDEX(Employees!$Q$5:$Q$29,$A182)),0),0))))</f>
        <v/>
      </c>
      <c r="R182" s="51">
        <f>IF($F182=0,0,SUMIFS('Time Off Log'!$H$5:$H$504,'Time Off Log'!$A$5:$A$504,$C182,'Time Off Log'!$B$5:$B$504,"Sick",'Time Off Log'!$E$5:$E$504,"Approved",'Time Off Log'!$C$5:$C$504,"&gt;="&amp;INDEX(Periods!$E$5:$E$57,$B182),'Time Off Log'!$C$5:$C$504,"&lt;="&amp;INDEX(Periods!$F$5:$F$57,$B182)))</f>
        <v/>
      </c>
      <c r="S182" s="51">
        <f>IF($B182=1,N(INDEX(Employees!$T$5:$T$29,$A182)),V181)</f>
        <v/>
      </c>
      <c r="T182" s="51">
        <f>IF(INDEX(Employees!$S$5:$S$29,$A182)="",Q182,MAX(0,MIN(Q182,INDEX(Employees!$S$5:$S$29,$A182)-(S182-R182))))</f>
        <v/>
      </c>
      <c r="U182" s="51">
        <f>Q182-T182</f>
        <v/>
      </c>
      <c r="V182" s="51">
        <f>S182-R182+T182</f>
        <v/>
      </c>
    </row>
    <row r="183">
      <c r="A183" s="50" t="n">
        <v>4</v>
      </c>
      <c r="B183" s="50" t="n">
        <v>20</v>
      </c>
      <c r="C183" s="51">
        <f>INDEX(Employees!$B$5:$B$29,$A183)&amp;""</f>
        <v/>
      </c>
      <c r="D183" s="52">
        <f>INDEX(Periods!$B$5:$B$57,$B183)</f>
        <v/>
      </c>
      <c r="E183" s="52">
        <f>INDEX(Periods!$C$5:$C$57,$B183)</f>
        <v/>
      </c>
      <c r="F183" s="50">
        <f>IF(AND($C183&lt;&gt;"",INDEX(Periods!$D$5:$D$57,$B183)=1),1,0)</f>
        <v/>
      </c>
      <c r="G183" s="50">
        <f>IF($F183=0,0,IF(AND(OR(INDEX(Employees!$D$5:$D$29,$A183)="",$E183&gt;=INDEX(Employees!$D$5:$D$29,$A183)+N(INDEX(Employees!$U$5:$U$29,$A183))),OR(INDEX(Employees!$E$5:$E$29,$A183)="",$D183&lt;=INDEX(Employees!$E$5:$E$29,$A183))),1,0))</f>
        <v/>
      </c>
      <c r="H183" s="50">
        <f>IF($G183=0,0,IF(INDEX(Employees!$D$5:$D$29,$A183)="",0,DATEDIF(INDEX(Employees!$D$5:$D$29,$A183),$E183,"y")))</f>
        <v/>
      </c>
      <c r="I183" s="51">
        <f>IF($G183=0,0,IF(INDEX('Hours Worked'!$D$5:$BD$29,$A183,$B183)="",N(INDEX(Employees!$H$5:$H$29,$A183)),INDEX('Hours Worked'!$D$5:$BD$29,$A183,$B183)))</f>
        <v/>
      </c>
      <c r="J183" s="51">
        <f>IF(OR($G183=0,INDEX(Employees!$O$5:$O$29,$A183)&lt;&gt;"Yes"),0,IF(COUNTIF(Settings!$D$4:$D$9,"&lt;="&amp;$H183)=0,0,INDEX(Settings!$E$4:$E$9,COUNTIF(Settings!$D$4:$D$9,"&lt;="&amp;$H183))))</f>
        <v/>
      </c>
      <c r="K183" s="51">
        <f>IF($G183=0,0,IF(INDEX(Employees!$I$5:$I$29,$A183)="Per pay period",(N(INDEX(Employees!$J$5:$J$29,$A183))+$J183)/Settings!$B$13,IF(INDEX(Employees!$I$5:$I$29,$A183)="Per hour worked",N(INDEX(Employees!$K$5:$K$29,$A183))*$I183,IF(INDEX(Employees!$I$5:$I$29,$A183)="Front-loaded",IF(OR($B183=1,N($G182)=0),N(INDEX(Employees!$J$5:$J$29,$A183))+$J183,0),0))))</f>
        <v/>
      </c>
      <c r="L183" s="51">
        <f>IF($F183=0,0,SUMIFS('Time Off Log'!$H$5:$H$504,'Time Off Log'!$A$5:$A$504,$C183,'Time Off Log'!$B$5:$B$504,"PTO",'Time Off Log'!$E$5:$E$504,"Approved",'Time Off Log'!$C$5:$C$504,"&gt;="&amp;INDEX(Periods!$E$5:$E$57,$B183),'Time Off Log'!$C$5:$C$504,"&lt;="&amp;INDEX(Periods!$F$5:$F$57,$B183)))</f>
        <v/>
      </c>
      <c r="M183" s="51">
        <f>IF($B183=1,N(INDEX(Employees!$N$5:$N$29,$A183)),P182)</f>
        <v/>
      </c>
      <c r="N183" s="51">
        <f>IF(INDEX(Employees!$L$5:$L$29,$A183)="",K183,MAX(0,MIN(K183,INDEX(Employees!$L$5:$L$29,$A183)-(M183-L183))))</f>
        <v/>
      </c>
      <c r="O183" s="51">
        <f>K183-N183</f>
        <v/>
      </c>
      <c r="P183" s="51">
        <f>M183-L183+N183</f>
        <v/>
      </c>
      <c r="Q183" s="51">
        <f>IF($G183=0,0,IF(INDEX(Employees!$P$5:$P$29,$A183)="Per pay period",(N(INDEX(Employees!$Q$5:$Q$29,$A183)))/Settings!$B$13,IF(INDEX(Employees!$P$5:$P$29,$A183)="Per hour worked",N(INDEX(Employees!$R$5:$R$29,$A183))*$I183,IF(INDEX(Employees!$P$5:$P$29,$A183)="Front-loaded",IF(OR($B183=1,N($G182)=0),N(INDEX(Employees!$Q$5:$Q$29,$A183)),0),0))))</f>
        <v/>
      </c>
      <c r="R183" s="51">
        <f>IF($F183=0,0,SUMIFS('Time Off Log'!$H$5:$H$504,'Time Off Log'!$A$5:$A$504,$C183,'Time Off Log'!$B$5:$B$504,"Sick",'Time Off Log'!$E$5:$E$504,"Approved",'Time Off Log'!$C$5:$C$504,"&gt;="&amp;INDEX(Periods!$E$5:$E$57,$B183),'Time Off Log'!$C$5:$C$504,"&lt;="&amp;INDEX(Periods!$F$5:$F$57,$B183)))</f>
        <v/>
      </c>
      <c r="S183" s="51">
        <f>IF($B183=1,N(INDEX(Employees!$T$5:$T$29,$A183)),V182)</f>
        <v/>
      </c>
      <c r="T183" s="51">
        <f>IF(INDEX(Employees!$S$5:$S$29,$A183)="",Q183,MAX(0,MIN(Q183,INDEX(Employees!$S$5:$S$29,$A183)-(S183-R183))))</f>
        <v/>
      </c>
      <c r="U183" s="51">
        <f>Q183-T183</f>
        <v/>
      </c>
      <c r="V183" s="51">
        <f>S183-R183+T183</f>
        <v/>
      </c>
    </row>
    <row r="184">
      <c r="A184" s="50" t="n">
        <v>4</v>
      </c>
      <c r="B184" s="50" t="n">
        <v>21</v>
      </c>
      <c r="C184" s="51">
        <f>INDEX(Employees!$B$5:$B$29,$A184)&amp;""</f>
        <v/>
      </c>
      <c r="D184" s="52">
        <f>INDEX(Periods!$B$5:$B$57,$B184)</f>
        <v/>
      </c>
      <c r="E184" s="52">
        <f>INDEX(Periods!$C$5:$C$57,$B184)</f>
        <v/>
      </c>
      <c r="F184" s="50">
        <f>IF(AND($C184&lt;&gt;"",INDEX(Periods!$D$5:$D$57,$B184)=1),1,0)</f>
        <v/>
      </c>
      <c r="G184" s="50">
        <f>IF($F184=0,0,IF(AND(OR(INDEX(Employees!$D$5:$D$29,$A184)="",$E184&gt;=INDEX(Employees!$D$5:$D$29,$A184)+N(INDEX(Employees!$U$5:$U$29,$A184))),OR(INDEX(Employees!$E$5:$E$29,$A184)="",$D184&lt;=INDEX(Employees!$E$5:$E$29,$A184))),1,0))</f>
        <v/>
      </c>
      <c r="H184" s="50">
        <f>IF($G184=0,0,IF(INDEX(Employees!$D$5:$D$29,$A184)="",0,DATEDIF(INDEX(Employees!$D$5:$D$29,$A184),$E184,"y")))</f>
        <v/>
      </c>
      <c r="I184" s="51">
        <f>IF($G184=0,0,IF(INDEX('Hours Worked'!$D$5:$BD$29,$A184,$B184)="",N(INDEX(Employees!$H$5:$H$29,$A184)),INDEX('Hours Worked'!$D$5:$BD$29,$A184,$B184)))</f>
        <v/>
      </c>
      <c r="J184" s="51">
        <f>IF(OR($G184=0,INDEX(Employees!$O$5:$O$29,$A184)&lt;&gt;"Yes"),0,IF(COUNTIF(Settings!$D$4:$D$9,"&lt;="&amp;$H184)=0,0,INDEX(Settings!$E$4:$E$9,COUNTIF(Settings!$D$4:$D$9,"&lt;="&amp;$H184))))</f>
        <v/>
      </c>
      <c r="K184" s="51">
        <f>IF($G184=0,0,IF(INDEX(Employees!$I$5:$I$29,$A184)="Per pay period",(N(INDEX(Employees!$J$5:$J$29,$A184))+$J184)/Settings!$B$13,IF(INDEX(Employees!$I$5:$I$29,$A184)="Per hour worked",N(INDEX(Employees!$K$5:$K$29,$A184))*$I184,IF(INDEX(Employees!$I$5:$I$29,$A184)="Front-loaded",IF(OR($B184=1,N($G183)=0),N(INDEX(Employees!$J$5:$J$29,$A184))+$J184,0),0))))</f>
        <v/>
      </c>
      <c r="L184" s="51">
        <f>IF($F184=0,0,SUMIFS('Time Off Log'!$H$5:$H$504,'Time Off Log'!$A$5:$A$504,$C184,'Time Off Log'!$B$5:$B$504,"PTO",'Time Off Log'!$E$5:$E$504,"Approved",'Time Off Log'!$C$5:$C$504,"&gt;="&amp;INDEX(Periods!$E$5:$E$57,$B184),'Time Off Log'!$C$5:$C$504,"&lt;="&amp;INDEX(Periods!$F$5:$F$57,$B184)))</f>
        <v/>
      </c>
      <c r="M184" s="51">
        <f>IF($B184=1,N(INDEX(Employees!$N$5:$N$29,$A184)),P183)</f>
        <v/>
      </c>
      <c r="N184" s="51">
        <f>IF(INDEX(Employees!$L$5:$L$29,$A184)="",K184,MAX(0,MIN(K184,INDEX(Employees!$L$5:$L$29,$A184)-(M184-L184))))</f>
        <v/>
      </c>
      <c r="O184" s="51">
        <f>K184-N184</f>
        <v/>
      </c>
      <c r="P184" s="51">
        <f>M184-L184+N184</f>
        <v/>
      </c>
      <c r="Q184" s="51">
        <f>IF($G184=0,0,IF(INDEX(Employees!$P$5:$P$29,$A184)="Per pay period",(N(INDEX(Employees!$Q$5:$Q$29,$A184)))/Settings!$B$13,IF(INDEX(Employees!$P$5:$P$29,$A184)="Per hour worked",N(INDEX(Employees!$R$5:$R$29,$A184))*$I184,IF(INDEX(Employees!$P$5:$P$29,$A184)="Front-loaded",IF(OR($B184=1,N($G183)=0),N(INDEX(Employees!$Q$5:$Q$29,$A184)),0),0))))</f>
        <v/>
      </c>
      <c r="R184" s="51">
        <f>IF($F184=0,0,SUMIFS('Time Off Log'!$H$5:$H$504,'Time Off Log'!$A$5:$A$504,$C184,'Time Off Log'!$B$5:$B$504,"Sick",'Time Off Log'!$E$5:$E$504,"Approved",'Time Off Log'!$C$5:$C$504,"&gt;="&amp;INDEX(Periods!$E$5:$E$57,$B184),'Time Off Log'!$C$5:$C$504,"&lt;="&amp;INDEX(Periods!$F$5:$F$57,$B184)))</f>
        <v/>
      </c>
      <c r="S184" s="51">
        <f>IF($B184=1,N(INDEX(Employees!$T$5:$T$29,$A184)),V183)</f>
        <v/>
      </c>
      <c r="T184" s="51">
        <f>IF(INDEX(Employees!$S$5:$S$29,$A184)="",Q184,MAX(0,MIN(Q184,INDEX(Employees!$S$5:$S$29,$A184)-(S184-R184))))</f>
        <v/>
      </c>
      <c r="U184" s="51">
        <f>Q184-T184</f>
        <v/>
      </c>
      <c r="V184" s="51">
        <f>S184-R184+T184</f>
        <v/>
      </c>
    </row>
    <row r="185">
      <c r="A185" s="50" t="n">
        <v>4</v>
      </c>
      <c r="B185" s="50" t="n">
        <v>22</v>
      </c>
      <c r="C185" s="51">
        <f>INDEX(Employees!$B$5:$B$29,$A185)&amp;""</f>
        <v/>
      </c>
      <c r="D185" s="52">
        <f>INDEX(Periods!$B$5:$B$57,$B185)</f>
        <v/>
      </c>
      <c r="E185" s="52">
        <f>INDEX(Periods!$C$5:$C$57,$B185)</f>
        <v/>
      </c>
      <c r="F185" s="50">
        <f>IF(AND($C185&lt;&gt;"",INDEX(Periods!$D$5:$D$57,$B185)=1),1,0)</f>
        <v/>
      </c>
      <c r="G185" s="50">
        <f>IF($F185=0,0,IF(AND(OR(INDEX(Employees!$D$5:$D$29,$A185)="",$E185&gt;=INDEX(Employees!$D$5:$D$29,$A185)+N(INDEX(Employees!$U$5:$U$29,$A185))),OR(INDEX(Employees!$E$5:$E$29,$A185)="",$D185&lt;=INDEX(Employees!$E$5:$E$29,$A185))),1,0))</f>
        <v/>
      </c>
      <c r="H185" s="50">
        <f>IF($G185=0,0,IF(INDEX(Employees!$D$5:$D$29,$A185)="",0,DATEDIF(INDEX(Employees!$D$5:$D$29,$A185),$E185,"y")))</f>
        <v/>
      </c>
      <c r="I185" s="51">
        <f>IF($G185=0,0,IF(INDEX('Hours Worked'!$D$5:$BD$29,$A185,$B185)="",N(INDEX(Employees!$H$5:$H$29,$A185)),INDEX('Hours Worked'!$D$5:$BD$29,$A185,$B185)))</f>
        <v/>
      </c>
      <c r="J185" s="51">
        <f>IF(OR($G185=0,INDEX(Employees!$O$5:$O$29,$A185)&lt;&gt;"Yes"),0,IF(COUNTIF(Settings!$D$4:$D$9,"&lt;="&amp;$H185)=0,0,INDEX(Settings!$E$4:$E$9,COUNTIF(Settings!$D$4:$D$9,"&lt;="&amp;$H185))))</f>
        <v/>
      </c>
      <c r="K185" s="51">
        <f>IF($G185=0,0,IF(INDEX(Employees!$I$5:$I$29,$A185)="Per pay period",(N(INDEX(Employees!$J$5:$J$29,$A185))+$J185)/Settings!$B$13,IF(INDEX(Employees!$I$5:$I$29,$A185)="Per hour worked",N(INDEX(Employees!$K$5:$K$29,$A185))*$I185,IF(INDEX(Employees!$I$5:$I$29,$A185)="Front-loaded",IF(OR($B185=1,N($G184)=0),N(INDEX(Employees!$J$5:$J$29,$A185))+$J185,0),0))))</f>
        <v/>
      </c>
      <c r="L185" s="51">
        <f>IF($F185=0,0,SUMIFS('Time Off Log'!$H$5:$H$504,'Time Off Log'!$A$5:$A$504,$C185,'Time Off Log'!$B$5:$B$504,"PTO",'Time Off Log'!$E$5:$E$504,"Approved",'Time Off Log'!$C$5:$C$504,"&gt;="&amp;INDEX(Periods!$E$5:$E$57,$B185),'Time Off Log'!$C$5:$C$504,"&lt;="&amp;INDEX(Periods!$F$5:$F$57,$B185)))</f>
        <v/>
      </c>
      <c r="M185" s="51">
        <f>IF($B185=1,N(INDEX(Employees!$N$5:$N$29,$A185)),P184)</f>
        <v/>
      </c>
      <c r="N185" s="51">
        <f>IF(INDEX(Employees!$L$5:$L$29,$A185)="",K185,MAX(0,MIN(K185,INDEX(Employees!$L$5:$L$29,$A185)-(M185-L185))))</f>
        <v/>
      </c>
      <c r="O185" s="51">
        <f>K185-N185</f>
        <v/>
      </c>
      <c r="P185" s="51">
        <f>M185-L185+N185</f>
        <v/>
      </c>
      <c r="Q185" s="51">
        <f>IF($G185=0,0,IF(INDEX(Employees!$P$5:$P$29,$A185)="Per pay period",(N(INDEX(Employees!$Q$5:$Q$29,$A185)))/Settings!$B$13,IF(INDEX(Employees!$P$5:$P$29,$A185)="Per hour worked",N(INDEX(Employees!$R$5:$R$29,$A185))*$I185,IF(INDEX(Employees!$P$5:$P$29,$A185)="Front-loaded",IF(OR($B185=1,N($G184)=0),N(INDEX(Employees!$Q$5:$Q$29,$A185)),0),0))))</f>
        <v/>
      </c>
      <c r="R185" s="51">
        <f>IF($F185=0,0,SUMIFS('Time Off Log'!$H$5:$H$504,'Time Off Log'!$A$5:$A$504,$C185,'Time Off Log'!$B$5:$B$504,"Sick",'Time Off Log'!$E$5:$E$504,"Approved",'Time Off Log'!$C$5:$C$504,"&gt;="&amp;INDEX(Periods!$E$5:$E$57,$B185),'Time Off Log'!$C$5:$C$504,"&lt;="&amp;INDEX(Periods!$F$5:$F$57,$B185)))</f>
        <v/>
      </c>
      <c r="S185" s="51">
        <f>IF($B185=1,N(INDEX(Employees!$T$5:$T$29,$A185)),V184)</f>
        <v/>
      </c>
      <c r="T185" s="51">
        <f>IF(INDEX(Employees!$S$5:$S$29,$A185)="",Q185,MAX(0,MIN(Q185,INDEX(Employees!$S$5:$S$29,$A185)-(S185-R185))))</f>
        <v/>
      </c>
      <c r="U185" s="51">
        <f>Q185-T185</f>
        <v/>
      </c>
      <c r="V185" s="51">
        <f>S185-R185+T185</f>
        <v/>
      </c>
    </row>
    <row r="186">
      <c r="A186" s="50" t="n">
        <v>4</v>
      </c>
      <c r="B186" s="50" t="n">
        <v>23</v>
      </c>
      <c r="C186" s="51">
        <f>INDEX(Employees!$B$5:$B$29,$A186)&amp;""</f>
        <v/>
      </c>
      <c r="D186" s="52">
        <f>INDEX(Periods!$B$5:$B$57,$B186)</f>
        <v/>
      </c>
      <c r="E186" s="52">
        <f>INDEX(Periods!$C$5:$C$57,$B186)</f>
        <v/>
      </c>
      <c r="F186" s="50">
        <f>IF(AND($C186&lt;&gt;"",INDEX(Periods!$D$5:$D$57,$B186)=1),1,0)</f>
        <v/>
      </c>
      <c r="G186" s="50">
        <f>IF($F186=0,0,IF(AND(OR(INDEX(Employees!$D$5:$D$29,$A186)="",$E186&gt;=INDEX(Employees!$D$5:$D$29,$A186)+N(INDEX(Employees!$U$5:$U$29,$A186))),OR(INDEX(Employees!$E$5:$E$29,$A186)="",$D186&lt;=INDEX(Employees!$E$5:$E$29,$A186))),1,0))</f>
        <v/>
      </c>
      <c r="H186" s="50">
        <f>IF($G186=0,0,IF(INDEX(Employees!$D$5:$D$29,$A186)="",0,DATEDIF(INDEX(Employees!$D$5:$D$29,$A186),$E186,"y")))</f>
        <v/>
      </c>
      <c r="I186" s="51">
        <f>IF($G186=0,0,IF(INDEX('Hours Worked'!$D$5:$BD$29,$A186,$B186)="",N(INDEX(Employees!$H$5:$H$29,$A186)),INDEX('Hours Worked'!$D$5:$BD$29,$A186,$B186)))</f>
        <v/>
      </c>
      <c r="J186" s="51">
        <f>IF(OR($G186=0,INDEX(Employees!$O$5:$O$29,$A186)&lt;&gt;"Yes"),0,IF(COUNTIF(Settings!$D$4:$D$9,"&lt;="&amp;$H186)=0,0,INDEX(Settings!$E$4:$E$9,COUNTIF(Settings!$D$4:$D$9,"&lt;="&amp;$H186))))</f>
        <v/>
      </c>
      <c r="K186" s="51">
        <f>IF($G186=0,0,IF(INDEX(Employees!$I$5:$I$29,$A186)="Per pay period",(N(INDEX(Employees!$J$5:$J$29,$A186))+$J186)/Settings!$B$13,IF(INDEX(Employees!$I$5:$I$29,$A186)="Per hour worked",N(INDEX(Employees!$K$5:$K$29,$A186))*$I186,IF(INDEX(Employees!$I$5:$I$29,$A186)="Front-loaded",IF(OR($B186=1,N($G185)=0),N(INDEX(Employees!$J$5:$J$29,$A186))+$J186,0),0))))</f>
        <v/>
      </c>
      <c r="L186" s="51">
        <f>IF($F186=0,0,SUMIFS('Time Off Log'!$H$5:$H$504,'Time Off Log'!$A$5:$A$504,$C186,'Time Off Log'!$B$5:$B$504,"PTO",'Time Off Log'!$E$5:$E$504,"Approved",'Time Off Log'!$C$5:$C$504,"&gt;="&amp;INDEX(Periods!$E$5:$E$57,$B186),'Time Off Log'!$C$5:$C$504,"&lt;="&amp;INDEX(Periods!$F$5:$F$57,$B186)))</f>
        <v/>
      </c>
      <c r="M186" s="51">
        <f>IF($B186=1,N(INDEX(Employees!$N$5:$N$29,$A186)),P185)</f>
        <v/>
      </c>
      <c r="N186" s="51">
        <f>IF(INDEX(Employees!$L$5:$L$29,$A186)="",K186,MAX(0,MIN(K186,INDEX(Employees!$L$5:$L$29,$A186)-(M186-L186))))</f>
        <v/>
      </c>
      <c r="O186" s="51">
        <f>K186-N186</f>
        <v/>
      </c>
      <c r="P186" s="51">
        <f>M186-L186+N186</f>
        <v/>
      </c>
      <c r="Q186" s="51">
        <f>IF($G186=0,0,IF(INDEX(Employees!$P$5:$P$29,$A186)="Per pay period",(N(INDEX(Employees!$Q$5:$Q$29,$A186)))/Settings!$B$13,IF(INDEX(Employees!$P$5:$P$29,$A186)="Per hour worked",N(INDEX(Employees!$R$5:$R$29,$A186))*$I186,IF(INDEX(Employees!$P$5:$P$29,$A186)="Front-loaded",IF(OR($B186=1,N($G185)=0),N(INDEX(Employees!$Q$5:$Q$29,$A186)),0),0))))</f>
        <v/>
      </c>
      <c r="R186" s="51">
        <f>IF($F186=0,0,SUMIFS('Time Off Log'!$H$5:$H$504,'Time Off Log'!$A$5:$A$504,$C186,'Time Off Log'!$B$5:$B$504,"Sick",'Time Off Log'!$E$5:$E$504,"Approved",'Time Off Log'!$C$5:$C$504,"&gt;="&amp;INDEX(Periods!$E$5:$E$57,$B186),'Time Off Log'!$C$5:$C$504,"&lt;="&amp;INDEX(Periods!$F$5:$F$57,$B186)))</f>
        <v/>
      </c>
      <c r="S186" s="51">
        <f>IF($B186=1,N(INDEX(Employees!$T$5:$T$29,$A186)),V185)</f>
        <v/>
      </c>
      <c r="T186" s="51">
        <f>IF(INDEX(Employees!$S$5:$S$29,$A186)="",Q186,MAX(0,MIN(Q186,INDEX(Employees!$S$5:$S$29,$A186)-(S186-R186))))</f>
        <v/>
      </c>
      <c r="U186" s="51">
        <f>Q186-T186</f>
        <v/>
      </c>
      <c r="V186" s="51">
        <f>S186-R186+T186</f>
        <v/>
      </c>
    </row>
    <row r="187">
      <c r="A187" s="50" t="n">
        <v>4</v>
      </c>
      <c r="B187" s="50" t="n">
        <v>24</v>
      </c>
      <c r="C187" s="51">
        <f>INDEX(Employees!$B$5:$B$29,$A187)&amp;""</f>
        <v/>
      </c>
      <c r="D187" s="52">
        <f>INDEX(Periods!$B$5:$B$57,$B187)</f>
        <v/>
      </c>
      <c r="E187" s="52">
        <f>INDEX(Periods!$C$5:$C$57,$B187)</f>
        <v/>
      </c>
      <c r="F187" s="50">
        <f>IF(AND($C187&lt;&gt;"",INDEX(Periods!$D$5:$D$57,$B187)=1),1,0)</f>
        <v/>
      </c>
      <c r="G187" s="50">
        <f>IF($F187=0,0,IF(AND(OR(INDEX(Employees!$D$5:$D$29,$A187)="",$E187&gt;=INDEX(Employees!$D$5:$D$29,$A187)+N(INDEX(Employees!$U$5:$U$29,$A187))),OR(INDEX(Employees!$E$5:$E$29,$A187)="",$D187&lt;=INDEX(Employees!$E$5:$E$29,$A187))),1,0))</f>
        <v/>
      </c>
      <c r="H187" s="50">
        <f>IF($G187=0,0,IF(INDEX(Employees!$D$5:$D$29,$A187)="",0,DATEDIF(INDEX(Employees!$D$5:$D$29,$A187),$E187,"y")))</f>
        <v/>
      </c>
      <c r="I187" s="51">
        <f>IF($G187=0,0,IF(INDEX('Hours Worked'!$D$5:$BD$29,$A187,$B187)="",N(INDEX(Employees!$H$5:$H$29,$A187)),INDEX('Hours Worked'!$D$5:$BD$29,$A187,$B187)))</f>
        <v/>
      </c>
      <c r="J187" s="51">
        <f>IF(OR($G187=0,INDEX(Employees!$O$5:$O$29,$A187)&lt;&gt;"Yes"),0,IF(COUNTIF(Settings!$D$4:$D$9,"&lt;="&amp;$H187)=0,0,INDEX(Settings!$E$4:$E$9,COUNTIF(Settings!$D$4:$D$9,"&lt;="&amp;$H187))))</f>
        <v/>
      </c>
      <c r="K187" s="51">
        <f>IF($G187=0,0,IF(INDEX(Employees!$I$5:$I$29,$A187)="Per pay period",(N(INDEX(Employees!$J$5:$J$29,$A187))+$J187)/Settings!$B$13,IF(INDEX(Employees!$I$5:$I$29,$A187)="Per hour worked",N(INDEX(Employees!$K$5:$K$29,$A187))*$I187,IF(INDEX(Employees!$I$5:$I$29,$A187)="Front-loaded",IF(OR($B187=1,N($G186)=0),N(INDEX(Employees!$J$5:$J$29,$A187))+$J187,0),0))))</f>
        <v/>
      </c>
      <c r="L187" s="51">
        <f>IF($F187=0,0,SUMIFS('Time Off Log'!$H$5:$H$504,'Time Off Log'!$A$5:$A$504,$C187,'Time Off Log'!$B$5:$B$504,"PTO",'Time Off Log'!$E$5:$E$504,"Approved",'Time Off Log'!$C$5:$C$504,"&gt;="&amp;INDEX(Periods!$E$5:$E$57,$B187),'Time Off Log'!$C$5:$C$504,"&lt;="&amp;INDEX(Periods!$F$5:$F$57,$B187)))</f>
        <v/>
      </c>
      <c r="M187" s="51">
        <f>IF($B187=1,N(INDEX(Employees!$N$5:$N$29,$A187)),P186)</f>
        <v/>
      </c>
      <c r="N187" s="51">
        <f>IF(INDEX(Employees!$L$5:$L$29,$A187)="",K187,MAX(0,MIN(K187,INDEX(Employees!$L$5:$L$29,$A187)-(M187-L187))))</f>
        <v/>
      </c>
      <c r="O187" s="51">
        <f>K187-N187</f>
        <v/>
      </c>
      <c r="P187" s="51">
        <f>M187-L187+N187</f>
        <v/>
      </c>
      <c r="Q187" s="51">
        <f>IF($G187=0,0,IF(INDEX(Employees!$P$5:$P$29,$A187)="Per pay period",(N(INDEX(Employees!$Q$5:$Q$29,$A187)))/Settings!$B$13,IF(INDEX(Employees!$P$5:$P$29,$A187)="Per hour worked",N(INDEX(Employees!$R$5:$R$29,$A187))*$I187,IF(INDEX(Employees!$P$5:$P$29,$A187)="Front-loaded",IF(OR($B187=1,N($G186)=0),N(INDEX(Employees!$Q$5:$Q$29,$A187)),0),0))))</f>
        <v/>
      </c>
      <c r="R187" s="51">
        <f>IF($F187=0,0,SUMIFS('Time Off Log'!$H$5:$H$504,'Time Off Log'!$A$5:$A$504,$C187,'Time Off Log'!$B$5:$B$504,"Sick",'Time Off Log'!$E$5:$E$504,"Approved",'Time Off Log'!$C$5:$C$504,"&gt;="&amp;INDEX(Periods!$E$5:$E$57,$B187),'Time Off Log'!$C$5:$C$504,"&lt;="&amp;INDEX(Periods!$F$5:$F$57,$B187)))</f>
        <v/>
      </c>
      <c r="S187" s="51">
        <f>IF($B187=1,N(INDEX(Employees!$T$5:$T$29,$A187)),V186)</f>
        <v/>
      </c>
      <c r="T187" s="51">
        <f>IF(INDEX(Employees!$S$5:$S$29,$A187)="",Q187,MAX(0,MIN(Q187,INDEX(Employees!$S$5:$S$29,$A187)-(S187-R187))))</f>
        <v/>
      </c>
      <c r="U187" s="51">
        <f>Q187-T187</f>
        <v/>
      </c>
      <c r="V187" s="51">
        <f>S187-R187+T187</f>
        <v/>
      </c>
    </row>
    <row r="188">
      <c r="A188" s="50" t="n">
        <v>4</v>
      </c>
      <c r="B188" s="50" t="n">
        <v>25</v>
      </c>
      <c r="C188" s="51">
        <f>INDEX(Employees!$B$5:$B$29,$A188)&amp;""</f>
        <v/>
      </c>
      <c r="D188" s="52">
        <f>INDEX(Periods!$B$5:$B$57,$B188)</f>
        <v/>
      </c>
      <c r="E188" s="52">
        <f>INDEX(Periods!$C$5:$C$57,$B188)</f>
        <v/>
      </c>
      <c r="F188" s="50">
        <f>IF(AND($C188&lt;&gt;"",INDEX(Periods!$D$5:$D$57,$B188)=1),1,0)</f>
        <v/>
      </c>
      <c r="G188" s="50">
        <f>IF($F188=0,0,IF(AND(OR(INDEX(Employees!$D$5:$D$29,$A188)="",$E188&gt;=INDEX(Employees!$D$5:$D$29,$A188)+N(INDEX(Employees!$U$5:$U$29,$A188))),OR(INDEX(Employees!$E$5:$E$29,$A188)="",$D188&lt;=INDEX(Employees!$E$5:$E$29,$A188))),1,0))</f>
        <v/>
      </c>
      <c r="H188" s="50">
        <f>IF($G188=0,0,IF(INDEX(Employees!$D$5:$D$29,$A188)="",0,DATEDIF(INDEX(Employees!$D$5:$D$29,$A188),$E188,"y")))</f>
        <v/>
      </c>
      <c r="I188" s="51">
        <f>IF($G188=0,0,IF(INDEX('Hours Worked'!$D$5:$BD$29,$A188,$B188)="",N(INDEX(Employees!$H$5:$H$29,$A188)),INDEX('Hours Worked'!$D$5:$BD$29,$A188,$B188)))</f>
        <v/>
      </c>
      <c r="J188" s="51">
        <f>IF(OR($G188=0,INDEX(Employees!$O$5:$O$29,$A188)&lt;&gt;"Yes"),0,IF(COUNTIF(Settings!$D$4:$D$9,"&lt;="&amp;$H188)=0,0,INDEX(Settings!$E$4:$E$9,COUNTIF(Settings!$D$4:$D$9,"&lt;="&amp;$H188))))</f>
        <v/>
      </c>
      <c r="K188" s="51">
        <f>IF($G188=0,0,IF(INDEX(Employees!$I$5:$I$29,$A188)="Per pay period",(N(INDEX(Employees!$J$5:$J$29,$A188))+$J188)/Settings!$B$13,IF(INDEX(Employees!$I$5:$I$29,$A188)="Per hour worked",N(INDEX(Employees!$K$5:$K$29,$A188))*$I188,IF(INDEX(Employees!$I$5:$I$29,$A188)="Front-loaded",IF(OR($B188=1,N($G187)=0),N(INDEX(Employees!$J$5:$J$29,$A188))+$J188,0),0))))</f>
        <v/>
      </c>
      <c r="L188" s="51">
        <f>IF($F188=0,0,SUMIFS('Time Off Log'!$H$5:$H$504,'Time Off Log'!$A$5:$A$504,$C188,'Time Off Log'!$B$5:$B$504,"PTO",'Time Off Log'!$E$5:$E$504,"Approved",'Time Off Log'!$C$5:$C$504,"&gt;="&amp;INDEX(Periods!$E$5:$E$57,$B188),'Time Off Log'!$C$5:$C$504,"&lt;="&amp;INDEX(Periods!$F$5:$F$57,$B188)))</f>
        <v/>
      </c>
      <c r="M188" s="51">
        <f>IF($B188=1,N(INDEX(Employees!$N$5:$N$29,$A188)),P187)</f>
        <v/>
      </c>
      <c r="N188" s="51">
        <f>IF(INDEX(Employees!$L$5:$L$29,$A188)="",K188,MAX(0,MIN(K188,INDEX(Employees!$L$5:$L$29,$A188)-(M188-L188))))</f>
        <v/>
      </c>
      <c r="O188" s="51">
        <f>K188-N188</f>
        <v/>
      </c>
      <c r="P188" s="51">
        <f>M188-L188+N188</f>
        <v/>
      </c>
      <c r="Q188" s="51">
        <f>IF($G188=0,0,IF(INDEX(Employees!$P$5:$P$29,$A188)="Per pay period",(N(INDEX(Employees!$Q$5:$Q$29,$A188)))/Settings!$B$13,IF(INDEX(Employees!$P$5:$P$29,$A188)="Per hour worked",N(INDEX(Employees!$R$5:$R$29,$A188))*$I188,IF(INDEX(Employees!$P$5:$P$29,$A188)="Front-loaded",IF(OR($B188=1,N($G187)=0),N(INDEX(Employees!$Q$5:$Q$29,$A188)),0),0))))</f>
        <v/>
      </c>
      <c r="R188" s="51">
        <f>IF($F188=0,0,SUMIFS('Time Off Log'!$H$5:$H$504,'Time Off Log'!$A$5:$A$504,$C188,'Time Off Log'!$B$5:$B$504,"Sick",'Time Off Log'!$E$5:$E$504,"Approved",'Time Off Log'!$C$5:$C$504,"&gt;="&amp;INDEX(Periods!$E$5:$E$57,$B188),'Time Off Log'!$C$5:$C$504,"&lt;="&amp;INDEX(Periods!$F$5:$F$57,$B188)))</f>
        <v/>
      </c>
      <c r="S188" s="51">
        <f>IF($B188=1,N(INDEX(Employees!$T$5:$T$29,$A188)),V187)</f>
        <v/>
      </c>
      <c r="T188" s="51">
        <f>IF(INDEX(Employees!$S$5:$S$29,$A188)="",Q188,MAX(0,MIN(Q188,INDEX(Employees!$S$5:$S$29,$A188)-(S188-R188))))</f>
        <v/>
      </c>
      <c r="U188" s="51">
        <f>Q188-T188</f>
        <v/>
      </c>
      <c r="V188" s="51">
        <f>S188-R188+T188</f>
        <v/>
      </c>
    </row>
    <row r="189">
      <c r="A189" s="50" t="n">
        <v>4</v>
      </c>
      <c r="B189" s="50" t="n">
        <v>26</v>
      </c>
      <c r="C189" s="51">
        <f>INDEX(Employees!$B$5:$B$29,$A189)&amp;""</f>
        <v/>
      </c>
      <c r="D189" s="52">
        <f>INDEX(Periods!$B$5:$B$57,$B189)</f>
        <v/>
      </c>
      <c r="E189" s="52">
        <f>INDEX(Periods!$C$5:$C$57,$B189)</f>
        <v/>
      </c>
      <c r="F189" s="50">
        <f>IF(AND($C189&lt;&gt;"",INDEX(Periods!$D$5:$D$57,$B189)=1),1,0)</f>
        <v/>
      </c>
      <c r="G189" s="50">
        <f>IF($F189=0,0,IF(AND(OR(INDEX(Employees!$D$5:$D$29,$A189)="",$E189&gt;=INDEX(Employees!$D$5:$D$29,$A189)+N(INDEX(Employees!$U$5:$U$29,$A189))),OR(INDEX(Employees!$E$5:$E$29,$A189)="",$D189&lt;=INDEX(Employees!$E$5:$E$29,$A189))),1,0))</f>
        <v/>
      </c>
      <c r="H189" s="50">
        <f>IF($G189=0,0,IF(INDEX(Employees!$D$5:$D$29,$A189)="",0,DATEDIF(INDEX(Employees!$D$5:$D$29,$A189),$E189,"y")))</f>
        <v/>
      </c>
      <c r="I189" s="51">
        <f>IF($G189=0,0,IF(INDEX('Hours Worked'!$D$5:$BD$29,$A189,$B189)="",N(INDEX(Employees!$H$5:$H$29,$A189)),INDEX('Hours Worked'!$D$5:$BD$29,$A189,$B189)))</f>
        <v/>
      </c>
      <c r="J189" s="51">
        <f>IF(OR($G189=0,INDEX(Employees!$O$5:$O$29,$A189)&lt;&gt;"Yes"),0,IF(COUNTIF(Settings!$D$4:$D$9,"&lt;="&amp;$H189)=0,0,INDEX(Settings!$E$4:$E$9,COUNTIF(Settings!$D$4:$D$9,"&lt;="&amp;$H189))))</f>
        <v/>
      </c>
      <c r="K189" s="51">
        <f>IF($G189=0,0,IF(INDEX(Employees!$I$5:$I$29,$A189)="Per pay period",(N(INDEX(Employees!$J$5:$J$29,$A189))+$J189)/Settings!$B$13,IF(INDEX(Employees!$I$5:$I$29,$A189)="Per hour worked",N(INDEX(Employees!$K$5:$K$29,$A189))*$I189,IF(INDEX(Employees!$I$5:$I$29,$A189)="Front-loaded",IF(OR($B189=1,N($G188)=0),N(INDEX(Employees!$J$5:$J$29,$A189))+$J189,0),0))))</f>
        <v/>
      </c>
      <c r="L189" s="51">
        <f>IF($F189=0,0,SUMIFS('Time Off Log'!$H$5:$H$504,'Time Off Log'!$A$5:$A$504,$C189,'Time Off Log'!$B$5:$B$504,"PTO",'Time Off Log'!$E$5:$E$504,"Approved",'Time Off Log'!$C$5:$C$504,"&gt;="&amp;INDEX(Periods!$E$5:$E$57,$B189),'Time Off Log'!$C$5:$C$504,"&lt;="&amp;INDEX(Periods!$F$5:$F$57,$B189)))</f>
        <v/>
      </c>
      <c r="M189" s="51">
        <f>IF($B189=1,N(INDEX(Employees!$N$5:$N$29,$A189)),P188)</f>
        <v/>
      </c>
      <c r="N189" s="51">
        <f>IF(INDEX(Employees!$L$5:$L$29,$A189)="",K189,MAX(0,MIN(K189,INDEX(Employees!$L$5:$L$29,$A189)-(M189-L189))))</f>
        <v/>
      </c>
      <c r="O189" s="51">
        <f>K189-N189</f>
        <v/>
      </c>
      <c r="P189" s="51">
        <f>M189-L189+N189</f>
        <v/>
      </c>
      <c r="Q189" s="51">
        <f>IF($G189=0,0,IF(INDEX(Employees!$P$5:$P$29,$A189)="Per pay period",(N(INDEX(Employees!$Q$5:$Q$29,$A189)))/Settings!$B$13,IF(INDEX(Employees!$P$5:$P$29,$A189)="Per hour worked",N(INDEX(Employees!$R$5:$R$29,$A189))*$I189,IF(INDEX(Employees!$P$5:$P$29,$A189)="Front-loaded",IF(OR($B189=1,N($G188)=0),N(INDEX(Employees!$Q$5:$Q$29,$A189)),0),0))))</f>
        <v/>
      </c>
      <c r="R189" s="51">
        <f>IF($F189=0,0,SUMIFS('Time Off Log'!$H$5:$H$504,'Time Off Log'!$A$5:$A$504,$C189,'Time Off Log'!$B$5:$B$504,"Sick",'Time Off Log'!$E$5:$E$504,"Approved",'Time Off Log'!$C$5:$C$504,"&gt;="&amp;INDEX(Periods!$E$5:$E$57,$B189),'Time Off Log'!$C$5:$C$504,"&lt;="&amp;INDEX(Periods!$F$5:$F$57,$B189)))</f>
        <v/>
      </c>
      <c r="S189" s="51">
        <f>IF($B189=1,N(INDEX(Employees!$T$5:$T$29,$A189)),V188)</f>
        <v/>
      </c>
      <c r="T189" s="51">
        <f>IF(INDEX(Employees!$S$5:$S$29,$A189)="",Q189,MAX(0,MIN(Q189,INDEX(Employees!$S$5:$S$29,$A189)-(S189-R189))))</f>
        <v/>
      </c>
      <c r="U189" s="51">
        <f>Q189-T189</f>
        <v/>
      </c>
      <c r="V189" s="51">
        <f>S189-R189+T189</f>
        <v/>
      </c>
    </row>
    <row r="190">
      <c r="A190" s="50" t="n">
        <v>4</v>
      </c>
      <c r="B190" s="50" t="n">
        <v>27</v>
      </c>
      <c r="C190" s="51">
        <f>INDEX(Employees!$B$5:$B$29,$A190)&amp;""</f>
        <v/>
      </c>
      <c r="D190" s="52">
        <f>INDEX(Periods!$B$5:$B$57,$B190)</f>
        <v/>
      </c>
      <c r="E190" s="52">
        <f>INDEX(Periods!$C$5:$C$57,$B190)</f>
        <v/>
      </c>
      <c r="F190" s="50">
        <f>IF(AND($C190&lt;&gt;"",INDEX(Periods!$D$5:$D$57,$B190)=1),1,0)</f>
        <v/>
      </c>
      <c r="G190" s="50">
        <f>IF($F190=0,0,IF(AND(OR(INDEX(Employees!$D$5:$D$29,$A190)="",$E190&gt;=INDEX(Employees!$D$5:$D$29,$A190)+N(INDEX(Employees!$U$5:$U$29,$A190))),OR(INDEX(Employees!$E$5:$E$29,$A190)="",$D190&lt;=INDEX(Employees!$E$5:$E$29,$A190))),1,0))</f>
        <v/>
      </c>
      <c r="H190" s="50">
        <f>IF($G190=0,0,IF(INDEX(Employees!$D$5:$D$29,$A190)="",0,DATEDIF(INDEX(Employees!$D$5:$D$29,$A190),$E190,"y")))</f>
        <v/>
      </c>
      <c r="I190" s="51">
        <f>IF($G190=0,0,IF(INDEX('Hours Worked'!$D$5:$BD$29,$A190,$B190)="",N(INDEX(Employees!$H$5:$H$29,$A190)),INDEX('Hours Worked'!$D$5:$BD$29,$A190,$B190)))</f>
        <v/>
      </c>
      <c r="J190" s="51">
        <f>IF(OR($G190=0,INDEX(Employees!$O$5:$O$29,$A190)&lt;&gt;"Yes"),0,IF(COUNTIF(Settings!$D$4:$D$9,"&lt;="&amp;$H190)=0,0,INDEX(Settings!$E$4:$E$9,COUNTIF(Settings!$D$4:$D$9,"&lt;="&amp;$H190))))</f>
        <v/>
      </c>
      <c r="K190" s="51">
        <f>IF($G190=0,0,IF(INDEX(Employees!$I$5:$I$29,$A190)="Per pay period",(N(INDEX(Employees!$J$5:$J$29,$A190))+$J190)/Settings!$B$13,IF(INDEX(Employees!$I$5:$I$29,$A190)="Per hour worked",N(INDEX(Employees!$K$5:$K$29,$A190))*$I190,IF(INDEX(Employees!$I$5:$I$29,$A190)="Front-loaded",IF(OR($B190=1,N($G189)=0),N(INDEX(Employees!$J$5:$J$29,$A190))+$J190,0),0))))</f>
        <v/>
      </c>
      <c r="L190" s="51">
        <f>IF($F190=0,0,SUMIFS('Time Off Log'!$H$5:$H$504,'Time Off Log'!$A$5:$A$504,$C190,'Time Off Log'!$B$5:$B$504,"PTO",'Time Off Log'!$E$5:$E$504,"Approved",'Time Off Log'!$C$5:$C$504,"&gt;="&amp;INDEX(Periods!$E$5:$E$57,$B190),'Time Off Log'!$C$5:$C$504,"&lt;="&amp;INDEX(Periods!$F$5:$F$57,$B190)))</f>
        <v/>
      </c>
      <c r="M190" s="51">
        <f>IF($B190=1,N(INDEX(Employees!$N$5:$N$29,$A190)),P189)</f>
        <v/>
      </c>
      <c r="N190" s="51">
        <f>IF(INDEX(Employees!$L$5:$L$29,$A190)="",K190,MAX(0,MIN(K190,INDEX(Employees!$L$5:$L$29,$A190)-(M190-L190))))</f>
        <v/>
      </c>
      <c r="O190" s="51">
        <f>K190-N190</f>
        <v/>
      </c>
      <c r="P190" s="51">
        <f>M190-L190+N190</f>
        <v/>
      </c>
      <c r="Q190" s="51">
        <f>IF($G190=0,0,IF(INDEX(Employees!$P$5:$P$29,$A190)="Per pay period",(N(INDEX(Employees!$Q$5:$Q$29,$A190)))/Settings!$B$13,IF(INDEX(Employees!$P$5:$P$29,$A190)="Per hour worked",N(INDEX(Employees!$R$5:$R$29,$A190))*$I190,IF(INDEX(Employees!$P$5:$P$29,$A190)="Front-loaded",IF(OR($B190=1,N($G189)=0),N(INDEX(Employees!$Q$5:$Q$29,$A190)),0),0))))</f>
        <v/>
      </c>
      <c r="R190" s="51">
        <f>IF($F190=0,0,SUMIFS('Time Off Log'!$H$5:$H$504,'Time Off Log'!$A$5:$A$504,$C190,'Time Off Log'!$B$5:$B$504,"Sick",'Time Off Log'!$E$5:$E$504,"Approved",'Time Off Log'!$C$5:$C$504,"&gt;="&amp;INDEX(Periods!$E$5:$E$57,$B190),'Time Off Log'!$C$5:$C$504,"&lt;="&amp;INDEX(Periods!$F$5:$F$57,$B190)))</f>
        <v/>
      </c>
      <c r="S190" s="51">
        <f>IF($B190=1,N(INDEX(Employees!$T$5:$T$29,$A190)),V189)</f>
        <v/>
      </c>
      <c r="T190" s="51">
        <f>IF(INDEX(Employees!$S$5:$S$29,$A190)="",Q190,MAX(0,MIN(Q190,INDEX(Employees!$S$5:$S$29,$A190)-(S190-R190))))</f>
        <v/>
      </c>
      <c r="U190" s="51">
        <f>Q190-T190</f>
        <v/>
      </c>
      <c r="V190" s="51">
        <f>S190-R190+T190</f>
        <v/>
      </c>
    </row>
    <row r="191">
      <c r="A191" s="50" t="n">
        <v>4</v>
      </c>
      <c r="B191" s="50" t="n">
        <v>28</v>
      </c>
      <c r="C191" s="51">
        <f>INDEX(Employees!$B$5:$B$29,$A191)&amp;""</f>
        <v/>
      </c>
      <c r="D191" s="52">
        <f>INDEX(Periods!$B$5:$B$57,$B191)</f>
        <v/>
      </c>
      <c r="E191" s="52">
        <f>INDEX(Periods!$C$5:$C$57,$B191)</f>
        <v/>
      </c>
      <c r="F191" s="50">
        <f>IF(AND($C191&lt;&gt;"",INDEX(Periods!$D$5:$D$57,$B191)=1),1,0)</f>
        <v/>
      </c>
      <c r="G191" s="50">
        <f>IF($F191=0,0,IF(AND(OR(INDEX(Employees!$D$5:$D$29,$A191)="",$E191&gt;=INDEX(Employees!$D$5:$D$29,$A191)+N(INDEX(Employees!$U$5:$U$29,$A191))),OR(INDEX(Employees!$E$5:$E$29,$A191)="",$D191&lt;=INDEX(Employees!$E$5:$E$29,$A191))),1,0))</f>
        <v/>
      </c>
      <c r="H191" s="50">
        <f>IF($G191=0,0,IF(INDEX(Employees!$D$5:$D$29,$A191)="",0,DATEDIF(INDEX(Employees!$D$5:$D$29,$A191),$E191,"y")))</f>
        <v/>
      </c>
      <c r="I191" s="51">
        <f>IF($G191=0,0,IF(INDEX('Hours Worked'!$D$5:$BD$29,$A191,$B191)="",N(INDEX(Employees!$H$5:$H$29,$A191)),INDEX('Hours Worked'!$D$5:$BD$29,$A191,$B191)))</f>
        <v/>
      </c>
      <c r="J191" s="51">
        <f>IF(OR($G191=0,INDEX(Employees!$O$5:$O$29,$A191)&lt;&gt;"Yes"),0,IF(COUNTIF(Settings!$D$4:$D$9,"&lt;="&amp;$H191)=0,0,INDEX(Settings!$E$4:$E$9,COUNTIF(Settings!$D$4:$D$9,"&lt;="&amp;$H191))))</f>
        <v/>
      </c>
      <c r="K191" s="51">
        <f>IF($G191=0,0,IF(INDEX(Employees!$I$5:$I$29,$A191)="Per pay period",(N(INDEX(Employees!$J$5:$J$29,$A191))+$J191)/Settings!$B$13,IF(INDEX(Employees!$I$5:$I$29,$A191)="Per hour worked",N(INDEX(Employees!$K$5:$K$29,$A191))*$I191,IF(INDEX(Employees!$I$5:$I$29,$A191)="Front-loaded",IF(OR($B191=1,N($G190)=0),N(INDEX(Employees!$J$5:$J$29,$A191))+$J191,0),0))))</f>
        <v/>
      </c>
      <c r="L191" s="51">
        <f>IF($F191=0,0,SUMIFS('Time Off Log'!$H$5:$H$504,'Time Off Log'!$A$5:$A$504,$C191,'Time Off Log'!$B$5:$B$504,"PTO",'Time Off Log'!$E$5:$E$504,"Approved",'Time Off Log'!$C$5:$C$504,"&gt;="&amp;INDEX(Periods!$E$5:$E$57,$B191),'Time Off Log'!$C$5:$C$504,"&lt;="&amp;INDEX(Periods!$F$5:$F$57,$B191)))</f>
        <v/>
      </c>
      <c r="M191" s="51">
        <f>IF($B191=1,N(INDEX(Employees!$N$5:$N$29,$A191)),P190)</f>
        <v/>
      </c>
      <c r="N191" s="51">
        <f>IF(INDEX(Employees!$L$5:$L$29,$A191)="",K191,MAX(0,MIN(K191,INDEX(Employees!$L$5:$L$29,$A191)-(M191-L191))))</f>
        <v/>
      </c>
      <c r="O191" s="51">
        <f>K191-N191</f>
        <v/>
      </c>
      <c r="P191" s="51">
        <f>M191-L191+N191</f>
        <v/>
      </c>
      <c r="Q191" s="51">
        <f>IF($G191=0,0,IF(INDEX(Employees!$P$5:$P$29,$A191)="Per pay period",(N(INDEX(Employees!$Q$5:$Q$29,$A191)))/Settings!$B$13,IF(INDEX(Employees!$P$5:$P$29,$A191)="Per hour worked",N(INDEX(Employees!$R$5:$R$29,$A191))*$I191,IF(INDEX(Employees!$P$5:$P$29,$A191)="Front-loaded",IF(OR($B191=1,N($G190)=0),N(INDEX(Employees!$Q$5:$Q$29,$A191)),0),0))))</f>
        <v/>
      </c>
      <c r="R191" s="51">
        <f>IF($F191=0,0,SUMIFS('Time Off Log'!$H$5:$H$504,'Time Off Log'!$A$5:$A$504,$C191,'Time Off Log'!$B$5:$B$504,"Sick",'Time Off Log'!$E$5:$E$504,"Approved",'Time Off Log'!$C$5:$C$504,"&gt;="&amp;INDEX(Periods!$E$5:$E$57,$B191),'Time Off Log'!$C$5:$C$504,"&lt;="&amp;INDEX(Periods!$F$5:$F$57,$B191)))</f>
        <v/>
      </c>
      <c r="S191" s="51">
        <f>IF($B191=1,N(INDEX(Employees!$T$5:$T$29,$A191)),V190)</f>
        <v/>
      </c>
      <c r="T191" s="51">
        <f>IF(INDEX(Employees!$S$5:$S$29,$A191)="",Q191,MAX(0,MIN(Q191,INDEX(Employees!$S$5:$S$29,$A191)-(S191-R191))))</f>
        <v/>
      </c>
      <c r="U191" s="51">
        <f>Q191-T191</f>
        <v/>
      </c>
      <c r="V191" s="51">
        <f>S191-R191+T191</f>
        <v/>
      </c>
    </row>
    <row r="192">
      <c r="A192" s="50" t="n">
        <v>4</v>
      </c>
      <c r="B192" s="50" t="n">
        <v>29</v>
      </c>
      <c r="C192" s="51">
        <f>INDEX(Employees!$B$5:$B$29,$A192)&amp;""</f>
        <v/>
      </c>
      <c r="D192" s="52">
        <f>INDEX(Periods!$B$5:$B$57,$B192)</f>
        <v/>
      </c>
      <c r="E192" s="52">
        <f>INDEX(Periods!$C$5:$C$57,$B192)</f>
        <v/>
      </c>
      <c r="F192" s="50">
        <f>IF(AND($C192&lt;&gt;"",INDEX(Periods!$D$5:$D$57,$B192)=1),1,0)</f>
        <v/>
      </c>
      <c r="G192" s="50">
        <f>IF($F192=0,0,IF(AND(OR(INDEX(Employees!$D$5:$D$29,$A192)="",$E192&gt;=INDEX(Employees!$D$5:$D$29,$A192)+N(INDEX(Employees!$U$5:$U$29,$A192))),OR(INDEX(Employees!$E$5:$E$29,$A192)="",$D192&lt;=INDEX(Employees!$E$5:$E$29,$A192))),1,0))</f>
        <v/>
      </c>
      <c r="H192" s="50">
        <f>IF($G192=0,0,IF(INDEX(Employees!$D$5:$D$29,$A192)="",0,DATEDIF(INDEX(Employees!$D$5:$D$29,$A192),$E192,"y")))</f>
        <v/>
      </c>
      <c r="I192" s="51">
        <f>IF($G192=0,0,IF(INDEX('Hours Worked'!$D$5:$BD$29,$A192,$B192)="",N(INDEX(Employees!$H$5:$H$29,$A192)),INDEX('Hours Worked'!$D$5:$BD$29,$A192,$B192)))</f>
        <v/>
      </c>
      <c r="J192" s="51">
        <f>IF(OR($G192=0,INDEX(Employees!$O$5:$O$29,$A192)&lt;&gt;"Yes"),0,IF(COUNTIF(Settings!$D$4:$D$9,"&lt;="&amp;$H192)=0,0,INDEX(Settings!$E$4:$E$9,COUNTIF(Settings!$D$4:$D$9,"&lt;="&amp;$H192))))</f>
        <v/>
      </c>
      <c r="K192" s="51">
        <f>IF($G192=0,0,IF(INDEX(Employees!$I$5:$I$29,$A192)="Per pay period",(N(INDEX(Employees!$J$5:$J$29,$A192))+$J192)/Settings!$B$13,IF(INDEX(Employees!$I$5:$I$29,$A192)="Per hour worked",N(INDEX(Employees!$K$5:$K$29,$A192))*$I192,IF(INDEX(Employees!$I$5:$I$29,$A192)="Front-loaded",IF(OR($B192=1,N($G191)=0),N(INDEX(Employees!$J$5:$J$29,$A192))+$J192,0),0))))</f>
        <v/>
      </c>
      <c r="L192" s="51">
        <f>IF($F192=0,0,SUMIFS('Time Off Log'!$H$5:$H$504,'Time Off Log'!$A$5:$A$504,$C192,'Time Off Log'!$B$5:$B$504,"PTO",'Time Off Log'!$E$5:$E$504,"Approved",'Time Off Log'!$C$5:$C$504,"&gt;="&amp;INDEX(Periods!$E$5:$E$57,$B192),'Time Off Log'!$C$5:$C$504,"&lt;="&amp;INDEX(Periods!$F$5:$F$57,$B192)))</f>
        <v/>
      </c>
      <c r="M192" s="51">
        <f>IF($B192=1,N(INDEX(Employees!$N$5:$N$29,$A192)),P191)</f>
        <v/>
      </c>
      <c r="N192" s="51">
        <f>IF(INDEX(Employees!$L$5:$L$29,$A192)="",K192,MAX(0,MIN(K192,INDEX(Employees!$L$5:$L$29,$A192)-(M192-L192))))</f>
        <v/>
      </c>
      <c r="O192" s="51">
        <f>K192-N192</f>
        <v/>
      </c>
      <c r="P192" s="51">
        <f>M192-L192+N192</f>
        <v/>
      </c>
      <c r="Q192" s="51">
        <f>IF($G192=0,0,IF(INDEX(Employees!$P$5:$P$29,$A192)="Per pay period",(N(INDEX(Employees!$Q$5:$Q$29,$A192)))/Settings!$B$13,IF(INDEX(Employees!$P$5:$P$29,$A192)="Per hour worked",N(INDEX(Employees!$R$5:$R$29,$A192))*$I192,IF(INDEX(Employees!$P$5:$P$29,$A192)="Front-loaded",IF(OR($B192=1,N($G191)=0),N(INDEX(Employees!$Q$5:$Q$29,$A192)),0),0))))</f>
        <v/>
      </c>
      <c r="R192" s="51">
        <f>IF($F192=0,0,SUMIFS('Time Off Log'!$H$5:$H$504,'Time Off Log'!$A$5:$A$504,$C192,'Time Off Log'!$B$5:$B$504,"Sick",'Time Off Log'!$E$5:$E$504,"Approved",'Time Off Log'!$C$5:$C$504,"&gt;="&amp;INDEX(Periods!$E$5:$E$57,$B192),'Time Off Log'!$C$5:$C$504,"&lt;="&amp;INDEX(Periods!$F$5:$F$57,$B192)))</f>
        <v/>
      </c>
      <c r="S192" s="51">
        <f>IF($B192=1,N(INDEX(Employees!$T$5:$T$29,$A192)),V191)</f>
        <v/>
      </c>
      <c r="T192" s="51">
        <f>IF(INDEX(Employees!$S$5:$S$29,$A192)="",Q192,MAX(0,MIN(Q192,INDEX(Employees!$S$5:$S$29,$A192)-(S192-R192))))</f>
        <v/>
      </c>
      <c r="U192" s="51">
        <f>Q192-T192</f>
        <v/>
      </c>
      <c r="V192" s="51">
        <f>S192-R192+T192</f>
        <v/>
      </c>
    </row>
    <row r="193">
      <c r="A193" s="50" t="n">
        <v>4</v>
      </c>
      <c r="B193" s="50" t="n">
        <v>30</v>
      </c>
      <c r="C193" s="51">
        <f>INDEX(Employees!$B$5:$B$29,$A193)&amp;""</f>
        <v/>
      </c>
      <c r="D193" s="52">
        <f>INDEX(Periods!$B$5:$B$57,$B193)</f>
        <v/>
      </c>
      <c r="E193" s="52">
        <f>INDEX(Periods!$C$5:$C$57,$B193)</f>
        <v/>
      </c>
      <c r="F193" s="50">
        <f>IF(AND($C193&lt;&gt;"",INDEX(Periods!$D$5:$D$57,$B193)=1),1,0)</f>
        <v/>
      </c>
      <c r="G193" s="50">
        <f>IF($F193=0,0,IF(AND(OR(INDEX(Employees!$D$5:$D$29,$A193)="",$E193&gt;=INDEX(Employees!$D$5:$D$29,$A193)+N(INDEX(Employees!$U$5:$U$29,$A193))),OR(INDEX(Employees!$E$5:$E$29,$A193)="",$D193&lt;=INDEX(Employees!$E$5:$E$29,$A193))),1,0))</f>
        <v/>
      </c>
      <c r="H193" s="50">
        <f>IF($G193=0,0,IF(INDEX(Employees!$D$5:$D$29,$A193)="",0,DATEDIF(INDEX(Employees!$D$5:$D$29,$A193),$E193,"y")))</f>
        <v/>
      </c>
      <c r="I193" s="51">
        <f>IF($G193=0,0,IF(INDEX('Hours Worked'!$D$5:$BD$29,$A193,$B193)="",N(INDEX(Employees!$H$5:$H$29,$A193)),INDEX('Hours Worked'!$D$5:$BD$29,$A193,$B193)))</f>
        <v/>
      </c>
      <c r="J193" s="51">
        <f>IF(OR($G193=0,INDEX(Employees!$O$5:$O$29,$A193)&lt;&gt;"Yes"),0,IF(COUNTIF(Settings!$D$4:$D$9,"&lt;="&amp;$H193)=0,0,INDEX(Settings!$E$4:$E$9,COUNTIF(Settings!$D$4:$D$9,"&lt;="&amp;$H193))))</f>
        <v/>
      </c>
      <c r="K193" s="51">
        <f>IF($G193=0,0,IF(INDEX(Employees!$I$5:$I$29,$A193)="Per pay period",(N(INDEX(Employees!$J$5:$J$29,$A193))+$J193)/Settings!$B$13,IF(INDEX(Employees!$I$5:$I$29,$A193)="Per hour worked",N(INDEX(Employees!$K$5:$K$29,$A193))*$I193,IF(INDEX(Employees!$I$5:$I$29,$A193)="Front-loaded",IF(OR($B193=1,N($G192)=0),N(INDEX(Employees!$J$5:$J$29,$A193))+$J193,0),0))))</f>
        <v/>
      </c>
      <c r="L193" s="51">
        <f>IF($F193=0,0,SUMIFS('Time Off Log'!$H$5:$H$504,'Time Off Log'!$A$5:$A$504,$C193,'Time Off Log'!$B$5:$B$504,"PTO",'Time Off Log'!$E$5:$E$504,"Approved",'Time Off Log'!$C$5:$C$504,"&gt;="&amp;INDEX(Periods!$E$5:$E$57,$B193),'Time Off Log'!$C$5:$C$504,"&lt;="&amp;INDEX(Periods!$F$5:$F$57,$B193)))</f>
        <v/>
      </c>
      <c r="M193" s="51">
        <f>IF($B193=1,N(INDEX(Employees!$N$5:$N$29,$A193)),P192)</f>
        <v/>
      </c>
      <c r="N193" s="51">
        <f>IF(INDEX(Employees!$L$5:$L$29,$A193)="",K193,MAX(0,MIN(K193,INDEX(Employees!$L$5:$L$29,$A193)-(M193-L193))))</f>
        <v/>
      </c>
      <c r="O193" s="51">
        <f>K193-N193</f>
        <v/>
      </c>
      <c r="P193" s="51">
        <f>M193-L193+N193</f>
        <v/>
      </c>
      <c r="Q193" s="51">
        <f>IF($G193=0,0,IF(INDEX(Employees!$P$5:$P$29,$A193)="Per pay period",(N(INDEX(Employees!$Q$5:$Q$29,$A193)))/Settings!$B$13,IF(INDEX(Employees!$P$5:$P$29,$A193)="Per hour worked",N(INDEX(Employees!$R$5:$R$29,$A193))*$I193,IF(INDEX(Employees!$P$5:$P$29,$A193)="Front-loaded",IF(OR($B193=1,N($G192)=0),N(INDEX(Employees!$Q$5:$Q$29,$A193)),0),0))))</f>
        <v/>
      </c>
      <c r="R193" s="51">
        <f>IF($F193=0,0,SUMIFS('Time Off Log'!$H$5:$H$504,'Time Off Log'!$A$5:$A$504,$C193,'Time Off Log'!$B$5:$B$504,"Sick",'Time Off Log'!$E$5:$E$504,"Approved",'Time Off Log'!$C$5:$C$504,"&gt;="&amp;INDEX(Periods!$E$5:$E$57,$B193),'Time Off Log'!$C$5:$C$504,"&lt;="&amp;INDEX(Periods!$F$5:$F$57,$B193)))</f>
        <v/>
      </c>
      <c r="S193" s="51">
        <f>IF($B193=1,N(INDEX(Employees!$T$5:$T$29,$A193)),V192)</f>
        <v/>
      </c>
      <c r="T193" s="51">
        <f>IF(INDEX(Employees!$S$5:$S$29,$A193)="",Q193,MAX(0,MIN(Q193,INDEX(Employees!$S$5:$S$29,$A193)-(S193-R193))))</f>
        <v/>
      </c>
      <c r="U193" s="51">
        <f>Q193-T193</f>
        <v/>
      </c>
      <c r="V193" s="51">
        <f>S193-R193+T193</f>
        <v/>
      </c>
    </row>
    <row r="194">
      <c r="A194" s="50" t="n">
        <v>4</v>
      </c>
      <c r="B194" s="50" t="n">
        <v>31</v>
      </c>
      <c r="C194" s="51">
        <f>INDEX(Employees!$B$5:$B$29,$A194)&amp;""</f>
        <v/>
      </c>
      <c r="D194" s="52">
        <f>INDEX(Periods!$B$5:$B$57,$B194)</f>
        <v/>
      </c>
      <c r="E194" s="52">
        <f>INDEX(Periods!$C$5:$C$57,$B194)</f>
        <v/>
      </c>
      <c r="F194" s="50">
        <f>IF(AND($C194&lt;&gt;"",INDEX(Periods!$D$5:$D$57,$B194)=1),1,0)</f>
        <v/>
      </c>
      <c r="G194" s="50">
        <f>IF($F194=0,0,IF(AND(OR(INDEX(Employees!$D$5:$D$29,$A194)="",$E194&gt;=INDEX(Employees!$D$5:$D$29,$A194)+N(INDEX(Employees!$U$5:$U$29,$A194))),OR(INDEX(Employees!$E$5:$E$29,$A194)="",$D194&lt;=INDEX(Employees!$E$5:$E$29,$A194))),1,0))</f>
        <v/>
      </c>
      <c r="H194" s="50">
        <f>IF($G194=0,0,IF(INDEX(Employees!$D$5:$D$29,$A194)="",0,DATEDIF(INDEX(Employees!$D$5:$D$29,$A194),$E194,"y")))</f>
        <v/>
      </c>
      <c r="I194" s="51">
        <f>IF($G194=0,0,IF(INDEX('Hours Worked'!$D$5:$BD$29,$A194,$B194)="",N(INDEX(Employees!$H$5:$H$29,$A194)),INDEX('Hours Worked'!$D$5:$BD$29,$A194,$B194)))</f>
        <v/>
      </c>
      <c r="J194" s="51">
        <f>IF(OR($G194=0,INDEX(Employees!$O$5:$O$29,$A194)&lt;&gt;"Yes"),0,IF(COUNTIF(Settings!$D$4:$D$9,"&lt;="&amp;$H194)=0,0,INDEX(Settings!$E$4:$E$9,COUNTIF(Settings!$D$4:$D$9,"&lt;="&amp;$H194))))</f>
        <v/>
      </c>
      <c r="K194" s="51">
        <f>IF($G194=0,0,IF(INDEX(Employees!$I$5:$I$29,$A194)="Per pay period",(N(INDEX(Employees!$J$5:$J$29,$A194))+$J194)/Settings!$B$13,IF(INDEX(Employees!$I$5:$I$29,$A194)="Per hour worked",N(INDEX(Employees!$K$5:$K$29,$A194))*$I194,IF(INDEX(Employees!$I$5:$I$29,$A194)="Front-loaded",IF(OR($B194=1,N($G193)=0),N(INDEX(Employees!$J$5:$J$29,$A194))+$J194,0),0))))</f>
        <v/>
      </c>
      <c r="L194" s="51">
        <f>IF($F194=0,0,SUMIFS('Time Off Log'!$H$5:$H$504,'Time Off Log'!$A$5:$A$504,$C194,'Time Off Log'!$B$5:$B$504,"PTO",'Time Off Log'!$E$5:$E$504,"Approved",'Time Off Log'!$C$5:$C$504,"&gt;="&amp;INDEX(Periods!$E$5:$E$57,$B194),'Time Off Log'!$C$5:$C$504,"&lt;="&amp;INDEX(Periods!$F$5:$F$57,$B194)))</f>
        <v/>
      </c>
      <c r="M194" s="51">
        <f>IF($B194=1,N(INDEX(Employees!$N$5:$N$29,$A194)),P193)</f>
        <v/>
      </c>
      <c r="N194" s="51">
        <f>IF(INDEX(Employees!$L$5:$L$29,$A194)="",K194,MAX(0,MIN(K194,INDEX(Employees!$L$5:$L$29,$A194)-(M194-L194))))</f>
        <v/>
      </c>
      <c r="O194" s="51">
        <f>K194-N194</f>
        <v/>
      </c>
      <c r="P194" s="51">
        <f>M194-L194+N194</f>
        <v/>
      </c>
      <c r="Q194" s="51">
        <f>IF($G194=0,0,IF(INDEX(Employees!$P$5:$P$29,$A194)="Per pay period",(N(INDEX(Employees!$Q$5:$Q$29,$A194)))/Settings!$B$13,IF(INDEX(Employees!$P$5:$P$29,$A194)="Per hour worked",N(INDEX(Employees!$R$5:$R$29,$A194))*$I194,IF(INDEX(Employees!$P$5:$P$29,$A194)="Front-loaded",IF(OR($B194=1,N($G193)=0),N(INDEX(Employees!$Q$5:$Q$29,$A194)),0),0))))</f>
        <v/>
      </c>
      <c r="R194" s="51">
        <f>IF($F194=0,0,SUMIFS('Time Off Log'!$H$5:$H$504,'Time Off Log'!$A$5:$A$504,$C194,'Time Off Log'!$B$5:$B$504,"Sick",'Time Off Log'!$E$5:$E$504,"Approved",'Time Off Log'!$C$5:$C$504,"&gt;="&amp;INDEX(Periods!$E$5:$E$57,$B194),'Time Off Log'!$C$5:$C$504,"&lt;="&amp;INDEX(Periods!$F$5:$F$57,$B194)))</f>
        <v/>
      </c>
      <c r="S194" s="51">
        <f>IF($B194=1,N(INDEX(Employees!$T$5:$T$29,$A194)),V193)</f>
        <v/>
      </c>
      <c r="T194" s="51">
        <f>IF(INDEX(Employees!$S$5:$S$29,$A194)="",Q194,MAX(0,MIN(Q194,INDEX(Employees!$S$5:$S$29,$A194)-(S194-R194))))</f>
        <v/>
      </c>
      <c r="U194" s="51">
        <f>Q194-T194</f>
        <v/>
      </c>
      <c r="V194" s="51">
        <f>S194-R194+T194</f>
        <v/>
      </c>
    </row>
    <row r="195">
      <c r="A195" s="50" t="n">
        <v>4</v>
      </c>
      <c r="B195" s="50" t="n">
        <v>32</v>
      </c>
      <c r="C195" s="51">
        <f>INDEX(Employees!$B$5:$B$29,$A195)&amp;""</f>
        <v/>
      </c>
      <c r="D195" s="52">
        <f>INDEX(Periods!$B$5:$B$57,$B195)</f>
        <v/>
      </c>
      <c r="E195" s="52">
        <f>INDEX(Periods!$C$5:$C$57,$B195)</f>
        <v/>
      </c>
      <c r="F195" s="50">
        <f>IF(AND($C195&lt;&gt;"",INDEX(Periods!$D$5:$D$57,$B195)=1),1,0)</f>
        <v/>
      </c>
      <c r="G195" s="50">
        <f>IF($F195=0,0,IF(AND(OR(INDEX(Employees!$D$5:$D$29,$A195)="",$E195&gt;=INDEX(Employees!$D$5:$D$29,$A195)+N(INDEX(Employees!$U$5:$U$29,$A195))),OR(INDEX(Employees!$E$5:$E$29,$A195)="",$D195&lt;=INDEX(Employees!$E$5:$E$29,$A195))),1,0))</f>
        <v/>
      </c>
      <c r="H195" s="50">
        <f>IF($G195=0,0,IF(INDEX(Employees!$D$5:$D$29,$A195)="",0,DATEDIF(INDEX(Employees!$D$5:$D$29,$A195),$E195,"y")))</f>
        <v/>
      </c>
      <c r="I195" s="51">
        <f>IF($G195=0,0,IF(INDEX('Hours Worked'!$D$5:$BD$29,$A195,$B195)="",N(INDEX(Employees!$H$5:$H$29,$A195)),INDEX('Hours Worked'!$D$5:$BD$29,$A195,$B195)))</f>
        <v/>
      </c>
      <c r="J195" s="51">
        <f>IF(OR($G195=0,INDEX(Employees!$O$5:$O$29,$A195)&lt;&gt;"Yes"),0,IF(COUNTIF(Settings!$D$4:$D$9,"&lt;="&amp;$H195)=0,0,INDEX(Settings!$E$4:$E$9,COUNTIF(Settings!$D$4:$D$9,"&lt;="&amp;$H195))))</f>
        <v/>
      </c>
      <c r="K195" s="51">
        <f>IF($G195=0,0,IF(INDEX(Employees!$I$5:$I$29,$A195)="Per pay period",(N(INDEX(Employees!$J$5:$J$29,$A195))+$J195)/Settings!$B$13,IF(INDEX(Employees!$I$5:$I$29,$A195)="Per hour worked",N(INDEX(Employees!$K$5:$K$29,$A195))*$I195,IF(INDEX(Employees!$I$5:$I$29,$A195)="Front-loaded",IF(OR($B195=1,N($G194)=0),N(INDEX(Employees!$J$5:$J$29,$A195))+$J195,0),0))))</f>
        <v/>
      </c>
      <c r="L195" s="51">
        <f>IF($F195=0,0,SUMIFS('Time Off Log'!$H$5:$H$504,'Time Off Log'!$A$5:$A$504,$C195,'Time Off Log'!$B$5:$B$504,"PTO",'Time Off Log'!$E$5:$E$504,"Approved",'Time Off Log'!$C$5:$C$504,"&gt;="&amp;INDEX(Periods!$E$5:$E$57,$B195),'Time Off Log'!$C$5:$C$504,"&lt;="&amp;INDEX(Periods!$F$5:$F$57,$B195)))</f>
        <v/>
      </c>
      <c r="M195" s="51">
        <f>IF($B195=1,N(INDEX(Employees!$N$5:$N$29,$A195)),P194)</f>
        <v/>
      </c>
      <c r="N195" s="51">
        <f>IF(INDEX(Employees!$L$5:$L$29,$A195)="",K195,MAX(0,MIN(K195,INDEX(Employees!$L$5:$L$29,$A195)-(M195-L195))))</f>
        <v/>
      </c>
      <c r="O195" s="51">
        <f>K195-N195</f>
        <v/>
      </c>
      <c r="P195" s="51">
        <f>M195-L195+N195</f>
        <v/>
      </c>
      <c r="Q195" s="51">
        <f>IF($G195=0,0,IF(INDEX(Employees!$P$5:$P$29,$A195)="Per pay period",(N(INDEX(Employees!$Q$5:$Q$29,$A195)))/Settings!$B$13,IF(INDEX(Employees!$P$5:$P$29,$A195)="Per hour worked",N(INDEX(Employees!$R$5:$R$29,$A195))*$I195,IF(INDEX(Employees!$P$5:$P$29,$A195)="Front-loaded",IF(OR($B195=1,N($G194)=0),N(INDEX(Employees!$Q$5:$Q$29,$A195)),0),0))))</f>
        <v/>
      </c>
      <c r="R195" s="51">
        <f>IF($F195=0,0,SUMIFS('Time Off Log'!$H$5:$H$504,'Time Off Log'!$A$5:$A$504,$C195,'Time Off Log'!$B$5:$B$504,"Sick",'Time Off Log'!$E$5:$E$504,"Approved",'Time Off Log'!$C$5:$C$504,"&gt;="&amp;INDEX(Periods!$E$5:$E$57,$B195),'Time Off Log'!$C$5:$C$504,"&lt;="&amp;INDEX(Periods!$F$5:$F$57,$B195)))</f>
        <v/>
      </c>
      <c r="S195" s="51">
        <f>IF($B195=1,N(INDEX(Employees!$T$5:$T$29,$A195)),V194)</f>
        <v/>
      </c>
      <c r="T195" s="51">
        <f>IF(INDEX(Employees!$S$5:$S$29,$A195)="",Q195,MAX(0,MIN(Q195,INDEX(Employees!$S$5:$S$29,$A195)-(S195-R195))))</f>
        <v/>
      </c>
      <c r="U195" s="51">
        <f>Q195-T195</f>
        <v/>
      </c>
      <c r="V195" s="51">
        <f>S195-R195+T195</f>
        <v/>
      </c>
    </row>
    <row r="196">
      <c r="A196" s="50" t="n">
        <v>4</v>
      </c>
      <c r="B196" s="50" t="n">
        <v>33</v>
      </c>
      <c r="C196" s="51">
        <f>INDEX(Employees!$B$5:$B$29,$A196)&amp;""</f>
        <v/>
      </c>
      <c r="D196" s="52">
        <f>INDEX(Periods!$B$5:$B$57,$B196)</f>
        <v/>
      </c>
      <c r="E196" s="52">
        <f>INDEX(Periods!$C$5:$C$57,$B196)</f>
        <v/>
      </c>
      <c r="F196" s="50">
        <f>IF(AND($C196&lt;&gt;"",INDEX(Periods!$D$5:$D$57,$B196)=1),1,0)</f>
        <v/>
      </c>
      <c r="G196" s="50">
        <f>IF($F196=0,0,IF(AND(OR(INDEX(Employees!$D$5:$D$29,$A196)="",$E196&gt;=INDEX(Employees!$D$5:$D$29,$A196)+N(INDEX(Employees!$U$5:$U$29,$A196))),OR(INDEX(Employees!$E$5:$E$29,$A196)="",$D196&lt;=INDEX(Employees!$E$5:$E$29,$A196))),1,0))</f>
        <v/>
      </c>
      <c r="H196" s="50">
        <f>IF($G196=0,0,IF(INDEX(Employees!$D$5:$D$29,$A196)="",0,DATEDIF(INDEX(Employees!$D$5:$D$29,$A196),$E196,"y")))</f>
        <v/>
      </c>
      <c r="I196" s="51">
        <f>IF($G196=0,0,IF(INDEX('Hours Worked'!$D$5:$BD$29,$A196,$B196)="",N(INDEX(Employees!$H$5:$H$29,$A196)),INDEX('Hours Worked'!$D$5:$BD$29,$A196,$B196)))</f>
        <v/>
      </c>
      <c r="J196" s="51">
        <f>IF(OR($G196=0,INDEX(Employees!$O$5:$O$29,$A196)&lt;&gt;"Yes"),0,IF(COUNTIF(Settings!$D$4:$D$9,"&lt;="&amp;$H196)=0,0,INDEX(Settings!$E$4:$E$9,COUNTIF(Settings!$D$4:$D$9,"&lt;="&amp;$H196))))</f>
        <v/>
      </c>
      <c r="K196" s="51">
        <f>IF($G196=0,0,IF(INDEX(Employees!$I$5:$I$29,$A196)="Per pay period",(N(INDEX(Employees!$J$5:$J$29,$A196))+$J196)/Settings!$B$13,IF(INDEX(Employees!$I$5:$I$29,$A196)="Per hour worked",N(INDEX(Employees!$K$5:$K$29,$A196))*$I196,IF(INDEX(Employees!$I$5:$I$29,$A196)="Front-loaded",IF(OR($B196=1,N($G195)=0),N(INDEX(Employees!$J$5:$J$29,$A196))+$J196,0),0))))</f>
        <v/>
      </c>
      <c r="L196" s="51">
        <f>IF($F196=0,0,SUMIFS('Time Off Log'!$H$5:$H$504,'Time Off Log'!$A$5:$A$504,$C196,'Time Off Log'!$B$5:$B$504,"PTO",'Time Off Log'!$E$5:$E$504,"Approved",'Time Off Log'!$C$5:$C$504,"&gt;="&amp;INDEX(Periods!$E$5:$E$57,$B196),'Time Off Log'!$C$5:$C$504,"&lt;="&amp;INDEX(Periods!$F$5:$F$57,$B196)))</f>
        <v/>
      </c>
      <c r="M196" s="51">
        <f>IF($B196=1,N(INDEX(Employees!$N$5:$N$29,$A196)),P195)</f>
        <v/>
      </c>
      <c r="N196" s="51">
        <f>IF(INDEX(Employees!$L$5:$L$29,$A196)="",K196,MAX(0,MIN(K196,INDEX(Employees!$L$5:$L$29,$A196)-(M196-L196))))</f>
        <v/>
      </c>
      <c r="O196" s="51">
        <f>K196-N196</f>
        <v/>
      </c>
      <c r="P196" s="51">
        <f>M196-L196+N196</f>
        <v/>
      </c>
      <c r="Q196" s="51">
        <f>IF($G196=0,0,IF(INDEX(Employees!$P$5:$P$29,$A196)="Per pay period",(N(INDEX(Employees!$Q$5:$Q$29,$A196)))/Settings!$B$13,IF(INDEX(Employees!$P$5:$P$29,$A196)="Per hour worked",N(INDEX(Employees!$R$5:$R$29,$A196))*$I196,IF(INDEX(Employees!$P$5:$P$29,$A196)="Front-loaded",IF(OR($B196=1,N($G195)=0),N(INDEX(Employees!$Q$5:$Q$29,$A196)),0),0))))</f>
        <v/>
      </c>
      <c r="R196" s="51">
        <f>IF($F196=0,0,SUMIFS('Time Off Log'!$H$5:$H$504,'Time Off Log'!$A$5:$A$504,$C196,'Time Off Log'!$B$5:$B$504,"Sick",'Time Off Log'!$E$5:$E$504,"Approved",'Time Off Log'!$C$5:$C$504,"&gt;="&amp;INDEX(Periods!$E$5:$E$57,$B196),'Time Off Log'!$C$5:$C$504,"&lt;="&amp;INDEX(Periods!$F$5:$F$57,$B196)))</f>
        <v/>
      </c>
      <c r="S196" s="51">
        <f>IF($B196=1,N(INDEX(Employees!$T$5:$T$29,$A196)),V195)</f>
        <v/>
      </c>
      <c r="T196" s="51">
        <f>IF(INDEX(Employees!$S$5:$S$29,$A196)="",Q196,MAX(0,MIN(Q196,INDEX(Employees!$S$5:$S$29,$A196)-(S196-R196))))</f>
        <v/>
      </c>
      <c r="U196" s="51">
        <f>Q196-T196</f>
        <v/>
      </c>
      <c r="V196" s="51">
        <f>S196-R196+T196</f>
        <v/>
      </c>
    </row>
    <row r="197">
      <c r="A197" s="50" t="n">
        <v>4</v>
      </c>
      <c r="B197" s="50" t="n">
        <v>34</v>
      </c>
      <c r="C197" s="51">
        <f>INDEX(Employees!$B$5:$B$29,$A197)&amp;""</f>
        <v/>
      </c>
      <c r="D197" s="52">
        <f>INDEX(Periods!$B$5:$B$57,$B197)</f>
        <v/>
      </c>
      <c r="E197" s="52">
        <f>INDEX(Periods!$C$5:$C$57,$B197)</f>
        <v/>
      </c>
      <c r="F197" s="50">
        <f>IF(AND($C197&lt;&gt;"",INDEX(Periods!$D$5:$D$57,$B197)=1),1,0)</f>
        <v/>
      </c>
      <c r="G197" s="50">
        <f>IF($F197=0,0,IF(AND(OR(INDEX(Employees!$D$5:$D$29,$A197)="",$E197&gt;=INDEX(Employees!$D$5:$D$29,$A197)+N(INDEX(Employees!$U$5:$U$29,$A197))),OR(INDEX(Employees!$E$5:$E$29,$A197)="",$D197&lt;=INDEX(Employees!$E$5:$E$29,$A197))),1,0))</f>
        <v/>
      </c>
      <c r="H197" s="50">
        <f>IF($G197=0,0,IF(INDEX(Employees!$D$5:$D$29,$A197)="",0,DATEDIF(INDEX(Employees!$D$5:$D$29,$A197),$E197,"y")))</f>
        <v/>
      </c>
      <c r="I197" s="51">
        <f>IF($G197=0,0,IF(INDEX('Hours Worked'!$D$5:$BD$29,$A197,$B197)="",N(INDEX(Employees!$H$5:$H$29,$A197)),INDEX('Hours Worked'!$D$5:$BD$29,$A197,$B197)))</f>
        <v/>
      </c>
      <c r="J197" s="51">
        <f>IF(OR($G197=0,INDEX(Employees!$O$5:$O$29,$A197)&lt;&gt;"Yes"),0,IF(COUNTIF(Settings!$D$4:$D$9,"&lt;="&amp;$H197)=0,0,INDEX(Settings!$E$4:$E$9,COUNTIF(Settings!$D$4:$D$9,"&lt;="&amp;$H197))))</f>
        <v/>
      </c>
      <c r="K197" s="51">
        <f>IF($G197=0,0,IF(INDEX(Employees!$I$5:$I$29,$A197)="Per pay period",(N(INDEX(Employees!$J$5:$J$29,$A197))+$J197)/Settings!$B$13,IF(INDEX(Employees!$I$5:$I$29,$A197)="Per hour worked",N(INDEX(Employees!$K$5:$K$29,$A197))*$I197,IF(INDEX(Employees!$I$5:$I$29,$A197)="Front-loaded",IF(OR($B197=1,N($G196)=0),N(INDEX(Employees!$J$5:$J$29,$A197))+$J197,0),0))))</f>
        <v/>
      </c>
      <c r="L197" s="51">
        <f>IF($F197=0,0,SUMIFS('Time Off Log'!$H$5:$H$504,'Time Off Log'!$A$5:$A$504,$C197,'Time Off Log'!$B$5:$B$504,"PTO",'Time Off Log'!$E$5:$E$504,"Approved",'Time Off Log'!$C$5:$C$504,"&gt;="&amp;INDEX(Periods!$E$5:$E$57,$B197),'Time Off Log'!$C$5:$C$504,"&lt;="&amp;INDEX(Periods!$F$5:$F$57,$B197)))</f>
        <v/>
      </c>
      <c r="M197" s="51">
        <f>IF($B197=1,N(INDEX(Employees!$N$5:$N$29,$A197)),P196)</f>
        <v/>
      </c>
      <c r="N197" s="51">
        <f>IF(INDEX(Employees!$L$5:$L$29,$A197)="",K197,MAX(0,MIN(K197,INDEX(Employees!$L$5:$L$29,$A197)-(M197-L197))))</f>
        <v/>
      </c>
      <c r="O197" s="51">
        <f>K197-N197</f>
        <v/>
      </c>
      <c r="P197" s="51">
        <f>M197-L197+N197</f>
        <v/>
      </c>
      <c r="Q197" s="51">
        <f>IF($G197=0,0,IF(INDEX(Employees!$P$5:$P$29,$A197)="Per pay period",(N(INDEX(Employees!$Q$5:$Q$29,$A197)))/Settings!$B$13,IF(INDEX(Employees!$P$5:$P$29,$A197)="Per hour worked",N(INDEX(Employees!$R$5:$R$29,$A197))*$I197,IF(INDEX(Employees!$P$5:$P$29,$A197)="Front-loaded",IF(OR($B197=1,N($G196)=0),N(INDEX(Employees!$Q$5:$Q$29,$A197)),0),0))))</f>
        <v/>
      </c>
      <c r="R197" s="51">
        <f>IF($F197=0,0,SUMIFS('Time Off Log'!$H$5:$H$504,'Time Off Log'!$A$5:$A$504,$C197,'Time Off Log'!$B$5:$B$504,"Sick",'Time Off Log'!$E$5:$E$504,"Approved",'Time Off Log'!$C$5:$C$504,"&gt;="&amp;INDEX(Periods!$E$5:$E$57,$B197),'Time Off Log'!$C$5:$C$504,"&lt;="&amp;INDEX(Periods!$F$5:$F$57,$B197)))</f>
        <v/>
      </c>
      <c r="S197" s="51">
        <f>IF($B197=1,N(INDEX(Employees!$T$5:$T$29,$A197)),V196)</f>
        <v/>
      </c>
      <c r="T197" s="51">
        <f>IF(INDEX(Employees!$S$5:$S$29,$A197)="",Q197,MAX(0,MIN(Q197,INDEX(Employees!$S$5:$S$29,$A197)-(S197-R197))))</f>
        <v/>
      </c>
      <c r="U197" s="51">
        <f>Q197-T197</f>
        <v/>
      </c>
      <c r="V197" s="51">
        <f>S197-R197+T197</f>
        <v/>
      </c>
    </row>
    <row r="198">
      <c r="A198" s="50" t="n">
        <v>4</v>
      </c>
      <c r="B198" s="50" t="n">
        <v>35</v>
      </c>
      <c r="C198" s="51">
        <f>INDEX(Employees!$B$5:$B$29,$A198)&amp;""</f>
        <v/>
      </c>
      <c r="D198" s="52">
        <f>INDEX(Periods!$B$5:$B$57,$B198)</f>
        <v/>
      </c>
      <c r="E198" s="52">
        <f>INDEX(Periods!$C$5:$C$57,$B198)</f>
        <v/>
      </c>
      <c r="F198" s="50">
        <f>IF(AND($C198&lt;&gt;"",INDEX(Periods!$D$5:$D$57,$B198)=1),1,0)</f>
        <v/>
      </c>
      <c r="G198" s="50">
        <f>IF($F198=0,0,IF(AND(OR(INDEX(Employees!$D$5:$D$29,$A198)="",$E198&gt;=INDEX(Employees!$D$5:$D$29,$A198)+N(INDEX(Employees!$U$5:$U$29,$A198))),OR(INDEX(Employees!$E$5:$E$29,$A198)="",$D198&lt;=INDEX(Employees!$E$5:$E$29,$A198))),1,0))</f>
        <v/>
      </c>
      <c r="H198" s="50">
        <f>IF($G198=0,0,IF(INDEX(Employees!$D$5:$D$29,$A198)="",0,DATEDIF(INDEX(Employees!$D$5:$D$29,$A198),$E198,"y")))</f>
        <v/>
      </c>
      <c r="I198" s="51">
        <f>IF($G198=0,0,IF(INDEX('Hours Worked'!$D$5:$BD$29,$A198,$B198)="",N(INDEX(Employees!$H$5:$H$29,$A198)),INDEX('Hours Worked'!$D$5:$BD$29,$A198,$B198)))</f>
        <v/>
      </c>
      <c r="J198" s="51">
        <f>IF(OR($G198=0,INDEX(Employees!$O$5:$O$29,$A198)&lt;&gt;"Yes"),0,IF(COUNTIF(Settings!$D$4:$D$9,"&lt;="&amp;$H198)=0,0,INDEX(Settings!$E$4:$E$9,COUNTIF(Settings!$D$4:$D$9,"&lt;="&amp;$H198))))</f>
        <v/>
      </c>
      <c r="K198" s="51">
        <f>IF($G198=0,0,IF(INDEX(Employees!$I$5:$I$29,$A198)="Per pay period",(N(INDEX(Employees!$J$5:$J$29,$A198))+$J198)/Settings!$B$13,IF(INDEX(Employees!$I$5:$I$29,$A198)="Per hour worked",N(INDEX(Employees!$K$5:$K$29,$A198))*$I198,IF(INDEX(Employees!$I$5:$I$29,$A198)="Front-loaded",IF(OR($B198=1,N($G197)=0),N(INDEX(Employees!$J$5:$J$29,$A198))+$J198,0),0))))</f>
        <v/>
      </c>
      <c r="L198" s="51">
        <f>IF($F198=0,0,SUMIFS('Time Off Log'!$H$5:$H$504,'Time Off Log'!$A$5:$A$504,$C198,'Time Off Log'!$B$5:$B$504,"PTO",'Time Off Log'!$E$5:$E$504,"Approved",'Time Off Log'!$C$5:$C$504,"&gt;="&amp;INDEX(Periods!$E$5:$E$57,$B198),'Time Off Log'!$C$5:$C$504,"&lt;="&amp;INDEX(Periods!$F$5:$F$57,$B198)))</f>
        <v/>
      </c>
      <c r="M198" s="51">
        <f>IF($B198=1,N(INDEX(Employees!$N$5:$N$29,$A198)),P197)</f>
        <v/>
      </c>
      <c r="N198" s="51">
        <f>IF(INDEX(Employees!$L$5:$L$29,$A198)="",K198,MAX(0,MIN(K198,INDEX(Employees!$L$5:$L$29,$A198)-(M198-L198))))</f>
        <v/>
      </c>
      <c r="O198" s="51">
        <f>K198-N198</f>
        <v/>
      </c>
      <c r="P198" s="51">
        <f>M198-L198+N198</f>
        <v/>
      </c>
      <c r="Q198" s="51">
        <f>IF($G198=0,0,IF(INDEX(Employees!$P$5:$P$29,$A198)="Per pay period",(N(INDEX(Employees!$Q$5:$Q$29,$A198)))/Settings!$B$13,IF(INDEX(Employees!$P$5:$P$29,$A198)="Per hour worked",N(INDEX(Employees!$R$5:$R$29,$A198))*$I198,IF(INDEX(Employees!$P$5:$P$29,$A198)="Front-loaded",IF(OR($B198=1,N($G197)=0),N(INDEX(Employees!$Q$5:$Q$29,$A198)),0),0))))</f>
        <v/>
      </c>
      <c r="R198" s="51">
        <f>IF($F198=0,0,SUMIFS('Time Off Log'!$H$5:$H$504,'Time Off Log'!$A$5:$A$504,$C198,'Time Off Log'!$B$5:$B$504,"Sick",'Time Off Log'!$E$5:$E$504,"Approved",'Time Off Log'!$C$5:$C$504,"&gt;="&amp;INDEX(Periods!$E$5:$E$57,$B198),'Time Off Log'!$C$5:$C$504,"&lt;="&amp;INDEX(Periods!$F$5:$F$57,$B198)))</f>
        <v/>
      </c>
      <c r="S198" s="51">
        <f>IF($B198=1,N(INDEX(Employees!$T$5:$T$29,$A198)),V197)</f>
        <v/>
      </c>
      <c r="T198" s="51">
        <f>IF(INDEX(Employees!$S$5:$S$29,$A198)="",Q198,MAX(0,MIN(Q198,INDEX(Employees!$S$5:$S$29,$A198)-(S198-R198))))</f>
        <v/>
      </c>
      <c r="U198" s="51">
        <f>Q198-T198</f>
        <v/>
      </c>
      <c r="V198" s="51">
        <f>S198-R198+T198</f>
        <v/>
      </c>
    </row>
    <row r="199">
      <c r="A199" s="50" t="n">
        <v>4</v>
      </c>
      <c r="B199" s="50" t="n">
        <v>36</v>
      </c>
      <c r="C199" s="51">
        <f>INDEX(Employees!$B$5:$B$29,$A199)&amp;""</f>
        <v/>
      </c>
      <c r="D199" s="52">
        <f>INDEX(Periods!$B$5:$B$57,$B199)</f>
        <v/>
      </c>
      <c r="E199" s="52">
        <f>INDEX(Periods!$C$5:$C$57,$B199)</f>
        <v/>
      </c>
      <c r="F199" s="50">
        <f>IF(AND($C199&lt;&gt;"",INDEX(Periods!$D$5:$D$57,$B199)=1),1,0)</f>
        <v/>
      </c>
      <c r="G199" s="50">
        <f>IF($F199=0,0,IF(AND(OR(INDEX(Employees!$D$5:$D$29,$A199)="",$E199&gt;=INDEX(Employees!$D$5:$D$29,$A199)+N(INDEX(Employees!$U$5:$U$29,$A199))),OR(INDEX(Employees!$E$5:$E$29,$A199)="",$D199&lt;=INDEX(Employees!$E$5:$E$29,$A199))),1,0))</f>
        <v/>
      </c>
      <c r="H199" s="50">
        <f>IF($G199=0,0,IF(INDEX(Employees!$D$5:$D$29,$A199)="",0,DATEDIF(INDEX(Employees!$D$5:$D$29,$A199),$E199,"y")))</f>
        <v/>
      </c>
      <c r="I199" s="51">
        <f>IF($G199=0,0,IF(INDEX('Hours Worked'!$D$5:$BD$29,$A199,$B199)="",N(INDEX(Employees!$H$5:$H$29,$A199)),INDEX('Hours Worked'!$D$5:$BD$29,$A199,$B199)))</f>
        <v/>
      </c>
      <c r="J199" s="51">
        <f>IF(OR($G199=0,INDEX(Employees!$O$5:$O$29,$A199)&lt;&gt;"Yes"),0,IF(COUNTIF(Settings!$D$4:$D$9,"&lt;="&amp;$H199)=0,0,INDEX(Settings!$E$4:$E$9,COUNTIF(Settings!$D$4:$D$9,"&lt;="&amp;$H199))))</f>
        <v/>
      </c>
      <c r="K199" s="51">
        <f>IF($G199=0,0,IF(INDEX(Employees!$I$5:$I$29,$A199)="Per pay period",(N(INDEX(Employees!$J$5:$J$29,$A199))+$J199)/Settings!$B$13,IF(INDEX(Employees!$I$5:$I$29,$A199)="Per hour worked",N(INDEX(Employees!$K$5:$K$29,$A199))*$I199,IF(INDEX(Employees!$I$5:$I$29,$A199)="Front-loaded",IF(OR($B199=1,N($G198)=0),N(INDEX(Employees!$J$5:$J$29,$A199))+$J199,0),0))))</f>
        <v/>
      </c>
      <c r="L199" s="51">
        <f>IF($F199=0,0,SUMIFS('Time Off Log'!$H$5:$H$504,'Time Off Log'!$A$5:$A$504,$C199,'Time Off Log'!$B$5:$B$504,"PTO",'Time Off Log'!$E$5:$E$504,"Approved",'Time Off Log'!$C$5:$C$504,"&gt;="&amp;INDEX(Periods!$E$5:$E$57,$B199),'Time Off Log'!$C$5:$C$504,"&lt;="&amp;INDEX(Periods!$F$5:$F$57,$B199)))</f>
        <v/>
      </c>
      <c r="M199" s="51">
        <f>IF($B199=1,N(INDEX(Employees!$N$5:$N$29,$A199)),P198)</f>
        <v/>
      </c>
      <c r="N199" s="51">
        <f>IF(INDEX(Employees!$L$5:$L$29,$A199)="",K199,MAX(0,MIN(K199,INDEX(Employees!$L$5:$L$29,$A199)-(M199-L199))))</f>
        <v/>
      </c>
      <c r="O199" s="51">
        <f>K199-N199</f>
        <v/>
      </c>
      <c r="P199" s="51">
        <f>M199-L199+N199</f>
        <v/>
      </c>
      <c r="Q199" s="51">
        <f>IF($G199=0,0,IF(INDEX(Employees!$P$5:$P$29,$A199)="Per pay period",(N(INDEX(Employees!$Q$5:$Q$29,$A199)))/Settings!$B$13,IF(INDEX(Employees!$P$5:$P$29,$A199)="Per hour worked",N(INDEX(Employees!$R$5:$R$29,$A199))*$I199,IF(INDEX(Employees!$P$5:$P$29,$A199)="Front-loaded",IF(OR($B199=1,N($G198)=0),N(INDEX(Employees!$Q$5:$Q$29,$A199)),0),0))))</f>
        <v/>
      </c>
      <c r="R199" s="51">
        <f>IF($F199=0,0,SUMIFS('Time Off Log'!$H$5:$H$504,'Time Off Log'!$A$5:$A$504,$C199,'Time Off Log'!$B$5:$B$504,"Sick",'Time Off Log'!$E$5:$E$504,"Approved",'Time Off Log'!$C$5:$C$504,"&gt;="&amp;INDEX(Periods!$E$5:$E$57,$B199),'Time Off Log'!$C$5:$C$504,"&lt;="&amp;INDEX(Periods!$F$5:$F$57,$B199)))</f>
        <v/>
      </c>
      <c r="S199" s="51">
        <f>IF($B199=1,N(INDEX(Employees!$T$5:$T$29,$A199)),V198)</f>
        <v/>
      </c>
      <c r="T199" s="51">
        <f>IF(INDEX(Employees!$S$5:$S$29,$A199)="",Q199,MAX(0,MIN(Q199,INDEX(Employees!$S$5:$S$29,$A199)-(S199-R199))))</f>
        <v/>
      </c>
      <c r="U199" s="51">
        <f>Q199-T199</f>
        <v/>
      </c>
      <c r="V199" s="51">
        <f>S199-R199+T199</f>
        <v/>
      </c>
    </row>
    <row r="200">
      <c r="A200" s="50" t="n">
        <v>4</v>
      </c>
      <c r="B200" s="50" t="n">
        <v>37</v>
      </c>
      <c r="C200" s="51">
        <f>INDEX(Employees!$B$5:$B$29,$A200)&amp;""</f>
        <v/>
      </c>
      <c r="D200" s="52">
        <f>INDEX(Periods!$B$5:$B$57,$B200)</f>
        <v/>
      </c>
      <c r="E200" s="52">
        <f>INDEX(Periods!$C$5:$C$57,$B200)</f>
        <v/>
      </c>
      <c r="F200" s="50">
        <f>IF(AND($C200&lt;&gt;"",INDEX(Periods!$D$5:$D$57,$B200)=1),1,0)</f>
        <v/>
      </c>
      <c r="G200" s="50">
        <f>IF($F200=0,0,IF(AND(OR(INDEX(Employees!$D$5:$D$29,$A200)="",$E200&gt;=INDEX(Employees!$D$5:$D$29,$A200)+N(INDEX(Employees!$U$5:$U$29,$A200))),OR(INDEX(Employees!$E$5:$E$29,$A200)="",$D200&lt;=INDEX(Employees!$E$5:$E$29,$A200))),1,0))</f>
        <v/>
      </c>
      <c r="H200" s="50">
        <f>IF($G200=0,0,IF(INDEX(Employees!$D$5:$D$29,$A200)="",0,DATEDIF(INDEX(Employees!$D$5:$D$29,$A200),$E200,"y")))</f>
        <v/>
      </c>
      <c r="I200" s="51">
        <f>IF($G200=0,0,IF(INDEX('Hours Worked'!$D$5:$BD$29,$A200,$B200)="",N(INDEX(Employees!$H$5:$H$29,$A200)),INDEX('Hours Worked'!$D$5:$BD$29,$A200,$B200)))</f>
        <v/>
      </c>
      <c r="J200" s="51">
        <f>IF(OR($G200=0,INDEX(Employees!$O$5:$O$29,$A200)&lt;&gt;"Yes"),0,IF(COUNTIF(Settings!$D$4:$D$9,"&lt;="&amp;$H200)=0,0,INDEX(Settings!$E$4:$E$9,COUNTIF(Settings!$D$4:$D$9,"&lt;="&amp;$H200))))</f>
        <v/>
      </c>
      <c r="K200" s="51">
        <f>IF($G200=0,0,IF(INDEX(Employees!$I$5:$I$29,$A200)="Per pay period",(N(INDEX(Employees!$J$5:$J$29,$A200))+$J200)/Settings!$B$13,IF(INDEX(Employees!$I$5:$I$29,$A200)="Per hour worked",N(INDEX(Employees!$K$5:$K$29,$A200))*$I200,IF(INDEX(Employees!$I$5:$I$29,$A200)="Front-loaded",IF(OR($B200=1,N($G199)=0),N(INDEX(Employees!$J$5:$J$29,$A200))+$J200,0),0))))</f>
        <v/>
      </c>
      <c r="L200" s="51">
        <f>IF($F200=0,0,SUMIFS('Time Off Log'!$H$5:$H$504,'Time Off Log'!$A$5:$A$504,$C200,'Time Off Log'!$B$5:$B$504,"PTO",'Time Off Log'!$E$5:$E$504,"Approved",'Time Off Log'!$C$5:$C$504,"&gt;="&amp;INDEX(Periods!$E$5:$E$57,$B200),'Time Off Log'!$C$5:$C$504,"&lt;="&amp;INDEX(Periods!$F$5:$F$57,$B200)))</f>
        <v/>
      </c>
      <c r="M200" s="51">
        <f>IF($B200=1,N(INDEX(Employees!$N$5:$N$29,$A200)),P199)</f>
        <v/>
      </c>
      <c r="N200" s="51">
        <f>IF(INDEX(Employees!$L$5:$L$29,$A200)="",K200,MAX(0,MIN(K200,INDEX(Employees!$L$5:$L$29,$A200)-(M200-L200))))</f>
        <v/>
      </c>
      <c r="O200" s="51">
        <f>K200-N200</f>
        <v/>
      </c>
      <c r="P200" s="51">
        <f>M200-L200+N200</f>
        <v/>
      </c>
      <c r="Q200" s="51">
        <f>IF($G200=0,0,IF(INDEX(Employees!$P$5:$P$29,$A200)="Per pay period",(N(INDEX(Employees!$Q$5:$Q$29,$A200)))/Settings!$B$13,IF(INDEX(Employees!$P$5:$P$29,$A200)="Per hour worked",N(INDEX(Employees!$R$5:$R$29,$A200))*$I200,IF(INDEX(Employees!$P$5:$P$29,$A200)="Front-loaded",IF(OR($B200=1,N($G199)=0),N(INDEX(Employees!$Q$5:$Q$29,$A200)),0),0))))</f>
        <v/>
      </c>
      <c r="R200" s="51">
        <f>IF($F200=0,0,SUMIFS('Time Off Log'!$H$5:$H$504,'Time Off Log'!$A$5:$A$504,$C200,'Time Off Log'!$B$5:$B$504,"Sick",'Time Off Log'!$E$5:$E$504,"Approved",'Time Off Log'!$C$5:$C$504,"&gt;="&amp;INDEX(Periods!$E$5:$E$57,$B200),'Time Off Log'!$C$5:$C$504,"&lt;="&amp;INDEX(Periods!$F$5:$F$57,$B200)))</f>
        <v/>
      </c>
      <c r="S200" s="51">
        <f>IF($B200=1,N(INDEX(Employees!$T$5:$T$29,$A200)),V199)</f>
        <v/>
      </c>
      <c r="T200" s="51">
        <f>IF(INDEX(Employees!$S$5:$S$29,$A200)="",Q200,MAX(0,MIN(Q200,INDEX(Employees!$S$5:$S$29,$A200)-(S200-R200))))</f>
        <v/>
      </c>
      <c r="U200" s="51">
        <f>Q200-T200</f>
        <v/>
      </c>
      <c r="V200" s="51">
        <f>S200-R200+T200</f>
        <v/>
      </c>
    </row>
    <row r="201">
      <c r="A201" s="50" t="n">
        <v>4</v>
      </c>
      <c r="B201" s="50" t="n">
        <v>38</v>
      </c>
      <c r="C201" s="51">
        <f>INDEX(Employees!$B$5:$B$29,$A201)&amp;""</f>
        <v/>
      </c>
      <c r="D201" s="52">
        <f>INDEX(Periods!$B$5:$B$57,$B201)</f>
        <v/>
      </c>
      <c r="E201" s="52">
        <f>INDEX(Periods!$C$5:$C$57,$B201)</f>
        <v/>
      </c>
      <c r="F201" s="50">
        <f>IF(AND($C201&lt;&gt;"",INDEX(Periods!$D$5:$D$57,$B201)=1),1,0)</f>
        <v/>
      </c>
      <c r="G201" s="50">
        <f>IF($F201=0,0,IF(AND(OR(INDEX(Employees!$D$5:$D$29,$A201)="",$E201&gt;=INDEX(Employees!$D$5:$D$29,$A201)+N(INDEX(Employees!$U$5:$U$29,$A201))),OR(INDEX(Employees!$E$5:$E$29,$A201)="",$D201&lt;=INDEX(Employees!$E$5:$E$29,$A201))),1,0))</f>
        <v/>
      </c>
      <c r="H201" s="50">
        <f>IF($G201=0,0,IF(INDEX(Employees!$D$5:$D$29,$A201)="",0,DATEDIF(INDEX(Employees!$D$5:$D$29,$A201),$E201,"y")))</f>
        <v/>
      </c>
      <c r="I201" s="51">
        <f>IF($G201=0,0,IF(INDEX('Hours Worked'!$D$5:$BD$29,$A201,$B201)="",N(INDEX(Employees!$H$5:$H$29,$A201)),INDEX('Hours Worked'!$D$5:$BD$29,$A201,$B201)))</f>
        <v/>
      </c>
      <c r="J201" s="51">
        <f>IF(OR($G201=0,INDEX(Employees!$O$5:$O$29,$A201)&lt;&gt;"Yes"),0,IF(COUNTIF(Settings!$D$4:$D$9,"&lt;="&amp;$H201)=0,0,INDEX(Settings!$E$4:$E$9,COUNTIF(Settings!$D$4:$D$9,"&lt;="&amp;$H201))))</f>
        <v/>
      </c>
      <c r="K201" s="51">
        <f>IF($G201=0,0,IF(INDEX(Employees!$I$5:$I$29,$A201)="Per pay period",(N(INDEX(Employees!$J$5:$J$29,$A201))+$J201)/Settings!$B$13,IF(INDEX(Employees!$I$5:$I$29,$A201)="Per hour worked",N(INDEX(Employees!$K$5:$K$29,$A201))*$I201,IF(INDEX(Employees!$I$5:$I$29,$A201)="Front-loaded",IF(OR($B201=1,N($G200)=0),N(INDEX(Employees!$J$5:$J$29,$A201))+$J201,0),0))))</f>
        <v/>
      </c>
      <c r="L201" s="51">
        <f>IF($F201=0,0,SUMIFS('Time Off Log'!$H$5:$H$504,'Time Off Log'!$A$5:$A$504,$C201,'Time Off Log'!$B$5:$B$504,"PTO",'Time Off Log'!$E$5:$E$504,"Approved",'Time Off Log'!$C$5:$C$504,"&gt;="&amp;INDEX(Periods!$E$5:$E$57,$B201),'Time Off Log'!$C$5:$C$504,"&lt;="&amp;INDEX(Periods!$F$5:$F$57,$B201)))</f>
        <v/>
      </c>
      <c r="M201" s="51">
        <f>IF($B201=1,N(INDEX(Employees!$N$5:$N$29,$A201)),P200)</f>
        <v/>
      </c>
      <c r="N201" s="51">
        <f>IF(INDEX(Employees!$L$5:$L$29,$A201)="",K201,MAX(0,MIN(K201,INDEX(Employees!$L$5:$L$29,$A201)-(M201-L201))))</f>
        <v/>
      </c>
      <c r="O201" s="51">
        <f>K201-N201</f>
        <v/>
      </c>
      <c r="P201" s="51">
        <f>M201-L201+N201</f>
        <v/>
      </c>
      <c r="Q201" s="51">
        <f>IF($G201=0,0,IF(INDEX(Employees!$P$5:$P$29,$A201)="Per pay period",(N(INDEX(Employees!$Q$5:$Q$29,$A201)))/Settings!$B$13,IF(INDEX(Employees!$P$5:$P$29,$A201)="Per hour worked",N(INDEX(Employees!$R$5:$R$29,$A201))*$I201,IF(INDEX(Employees!$P$5:$P$29,$A201)="Front-loaded",IF(OR($B201=1,N($G200)=0),N(INDEX(Employees!$Q$5:$Q$29,$A201)),0),0))))</f>
        <v/>
      </c>
      <c r="R201" s="51">
        <f>IF($F201=0,0,SUMIFS('Time Off Log'!$H$5:$H$504,'Time Off Log'!$A$5:$A$504,$C201,'Time Off Log'!$B$5:$B$504,"Sick",'Time Off Log'!$E$5:$E$504,"Approved",'Time Off Log'!$C$5:$C$504,"&gt;="&amp;INDEX(Periods!$E$5:$E$57,$B201),'Time Off Log'!$C$5:$C$504,"&lt;="&amp;INDEX(Periods!$F$5:$F$57,$B201)))</f>
        <v/>
      </c>
      <c r="S201" s="51">
        <f>IF($B201=1,N(INDEX(Employees!$T$5:$T$29,$A201)),V200)</f>
        <v/>
      </c>
      <c r="T201" s="51">
        <f>IF(INDEX(Employees!$S$5:$S$29,$A201)="",Q201,MAX(0,MIN(Q201,INDEX(Employees!$S$5:$S$29,$A201)-(S201-R201))))</f>
        <v/>
      </c>
      <c r="U201" s="51">
        <f>Q201-T201</f>
        <v/>
      </c>
      <c r="V201" s="51">
        <f>S201-R201+T201</f>
        <v/>
      </c>
    </row>
    <row r="202">
      <c r="A202" s="50" t="n">
        <v>4</v>
      </c>
      <c r="B202" s="50" t="n">
        <v>39</v>
      </c>
      <c r="C202" s="51">
        <f>INDEX(Employees!$B$5:$B$29,$A202)&amp;""</f>
        <v/>
      </c>
      <c r="D202" s="52">
        <f>INDEX(Periods!$B$5:$B$57,$B202)</f>
        <v/>
      </c>
      <c r="E202" s="52">
        <f>INDEX(Periods!$C$5:$C$57,$B202)</f>
        <v/>
      </c>
      <c r="F202" s="50">
        <f>IF(AND($C202&lt;&gt;"",INDEX(Periods!$D$5:$D$57,$B202)=1),1,0)</f>
        <v/>
      </c>
      <c r="G202" s="50">
        <f>IF($F202=0,0,IF(AND(OR(INDEX(Employees!$D$5:$D$29,$A202)="",$E202&gt;=INDEX(Employees!$D$5:$D$29,$A202)+N(INDEX(Employees!$U$5:$U$29,$A202))),OR(INDEX(Employees!$E$5:$E$29,$A202)="",$D202&lt;=INDEX(Employees!$E$5:$E$29,$A202))),1,0))</f>
        <v/>
      </c>
      <c r="H202" s="50">
        <f>IF($G202=0,0,IF(INDEX(Employees!$D$5:$D$29,$A202)="",0,DATEDIF(INDEX(Employees!$D$5:$D$29,$A202),$E202,"y")))</f>
        <v/>
      </c>
      <c r="I202" s="51">
        <f>IF($G202=0,0,IF(INDEX('Hours Worked'!$D$5:$BD$29,$A202,$B202)="",N(INDEX(Employees!$H$5:$H$29,$A202)),INDEX('Hours Worked'!$D$5:$BD$29,$A202,$B202)))</f>
        <v/>
      </c>
      <c r="J202" s="51">
        <f>IF(OR($G202=0,INDEX(Employees!$O$5:$O$29,$A202)&lt;&gt;"Yes"),0,IF(COUNTIF(Settings!$D$4:$D$9,"&lt;="&amp;$H202)=0,0,INDEX(Settings!$E$4:$E$9,COUNTIF(Settings!$D$4:$D$9,"&lt;="&amp;$H202))))</f>
        <v/>
      </c>
      <c r="K202" s="51">
        <f>IF($G202=0,0,IF(INDEX(Employees!$I$5:$I$29,$A202)="Per pay period",(N(INDEX(Employees!$J$5:$J$29,$A202))+$J202)/Settings!$B$13,IF(INDEX(Employees!$I$5:$I$29,$A202)="Per hour worked",N(INDEX(Employees!$K$5:$K$29,$A202))*$I202,IF(INDEX(Employees!$I$5:$I$29,$A202)="Front-loaded",IF(OR($B202=1,N($G201)=0),N(INDEX(Employees!$J$5:$J$29,$A202))+$J202,0),0))))</f>
        <v/>
      </c>
      <c r="L202" s="51">
        <f>IF($F202=0,0,SUMIFS('Time Off Log'!$H$5:$H$504,'Time Off Log'!$A$5:$A$504,$C202,'Time Off Log'!$B$5:$B$504,"PTO",'Time Off Log'!$E$5:$E$504,"Approved",'Time Off Log'!$C$5:$C$504,"&gt;="&amp;INDEX(Periods!$E$5:$E$57,$B202),'Time Off Log'!$C$5:$C$504,"&lt;="&amp;INDEX(Periods!$F$5:$F$57,$B202)))</f>
        <v/>
      </c>
      <c r="M202" s="51">
        <f>IF($B202=1,N(INDEX(Employees!$N$5:$N$29,$A202)),P201)</f>
        <v/>
      </c>
      <c r="N202" s="51">
        <f>IF(INDEX(Employees!$L$5:$L$29,$A202)="",K202,MAX(0,MIN(K202,INDEX(Employees!$L$5:$L$29,$A202)-(M202-L202))))</f>
        <v/>
      </c>
      <c r="O202" s="51">
        <f>K202-N202</f>
        <v/>
      </c>
      <c r="P202" s="51">
        <f>M202-L202+N202</f>
        <v/>
      </c>
      <c r="Q202" s="51">
        <f>IF($G202=0,0,IF(INDEX(Employees!$P$5:$P$29,$A202)="Per pay period",(N(INDEX(Employees!$Q$5:$Q$29,$A202)))/Settings!$B$13,IF(INDEX(Employees!$P$5:$P$29,$A202)="Per hour worked",N(INDEX(Employees!$R$5:$R$29,$A202))*$I202,IF(INDEX(Employees!$P$5:$P$29,$A202)="Front-loaded",IF(OR($B202=1,N($G201)=0),N(INDEX(Employees!$Q$5:$Q$29,$A202)),0),0))))</f>
        <v/>
      </c>
      <c r="R202" s="51">
        <f>IF($F202=0,0,SUMIFS('Time Off Log'!$H$5:$H$504,'Time Off Log'!$A$5:$A$504,$C202,'Time Off Log'!$B$5:$B$504,"Sick",'Time Off Log'!$E$5:$E$504,"Approved",'Time Off Log'!$C$5:$C$504,"&gt;="&amp;INDEX(Periods!$E$5:$E$57,$B202),'Time Off Log'!$C$5:$C$504,"&lt;="&amp;INDEX(Periods!$F$5:$F$57,$B202)))</f>
        <v/>
      </c>
      <c r="S202" s="51">
        <f>IF($B202=1,N(INDEX(Employees!$T$5:$T$29,$A202)),V201)</f>
        <v/>
      </c>
      <c r="T202" s="51">
        <f>IF(INDEX(Employees!$S$5:$S$29,$A202)="",Q202,MAX(0,MIN(Q202,INDEX(Employees!$S$5:$S$29,$A202)-(S202-R202))))</f>
        <v/>
      </c>
      <c r="U202" s="51">
        <f>Q202-T202</f>
        <v/>
      </c>
      <c r="V202" s="51">
        <f>S202-R202+T202</f>
        <v/>
      </c>
    </row>
    <row r="203">
      <c r="A203" s="50" t="n">
        <v>4</v>
      </c>
      <c r="B203" s="50" t="n">
        <v>40</v>
      </c>
      <c r="C203" s="51">
        <f>INDEX(Employees!$B$5:$B$29,$A203)&amp;""</f>
        <v/>
      </c>
      <c r="D203" s="52">
        <f>INDEX(Periods!$B$5:$B$57,$B203)</f>
        <v/>
      </c>
      <c r="E203" s="52">
        <f>INDEX(Periods!$C$5:$C$57,$B203)</f>
        <v/>
      </c>
      <c r="F203" s="50">
        <f>IF(AND($C203&lt;&gt;"",INDEX(Periods!$D$5:$D$57,$B203)=1),1,0)</f>
        <v/>
      </c>
      <c r="G203" s="50">
        <f>IF($F203=0,0,IF(AND(OR(INDEX(Employees!$D$5:$D$29,$A203)="",$E203&gt;=INDEX(Employees!$D$5:$D$29,$A203)+N(INDEX(Employees!$U$5:$U$29,$A203))),OR(INDEX(Employees!$E$5:$E$29,$A203)="",$D203&lt;=INDEX(Employees!$E$5:$E$29,$A203))),1,0))</f>
        <v/>
      </c>
      <c r="H203" s="50">
        <f>IF($G203=0,0,IF(INDEX(Employees!$D$5:$D$29,$A203)="",0,DATEDIF(INDEX(Employees!$D$5:$D$29,$A203),$E203,"y")))</f>
        <v/>
      </c>
      <c r="I203" s="51">
        <f>IF($G203=0,0,IF(INDEX('Hours Worked'!$D$5:$BD$29,$A203,$B203)="",N(INDEX(Employees!$H$5:$H$29,$A203)),INDEX('Hours Worked'!$D$5:$BD$29,$A203,$B203)))</f>
        <v/>
      </c>
      <c r="J203" s="51">
        <f>IF(OR($G203=0,INDEX(Employees!$O$5:$O$29,$A203)&lt;&gt;"Yes"),0,IF(COUNTIF(Settings!$D$4:$D$9,"&lt;="&amp;$H203)=0,0,INDEX(Settings!$E$4:$E$9,COUNTIF(Settings!$D$4:$D$9,"&lt;="&amp;$H203))))</f>
        <v/>
      </c>
      <c r="K203" s="51">
        <f>IF($G203=0,0,IF(INDEX(Employees!$I$5:$I$29,$A203)="Per pay period",(N(INDEX(Employees!$J$5:$J$29,$A203))+$J203)/Settings!$B$13,IF(INDEX(Employees!$I$5:$I$29,$A203)="Per hour worked",N(INDEX(Employees!$K$5:$K$29,$A203))*$I203,IF(INDEX(Employees!$I$5:$I$29,$A203)="Front-loaded",IF(OR($B203=1,N($G202)=0),N(INDEX(Employees!$J$5:$J$29,$A203))+$J203,0),0))))</f>
        <v/>
      </c>
      <c r="L203" s="51">
        <f>IF($F203=0,0,SUMIFS('Time Off Log'!$H$5:$H$504,'Time Off Log'!$A$5:$A$504,$C203,'Time Off Log'!$B$5:$B$504,"PTO",'Time Off Log'!$E$5:$E$504,"Approved",'Time Off Log'!$C$5:$C$504,"&gt;="&amp;INDEX(Periods!$E$5:$E$57,$B203),'Time Off Log'!$C$5:$C$504,"&lt;="&amp;INDEX(Periods!$F$5:$F$57,$B203)))</f>
        <v/>
      </c>
      <c r="M203" s="51">
        <f>IF($B203=1,N(INDEX(Employees!$N$5:$N$29,$A203)),P202)</f>
        <v/>
      </c>
      <c r="N203" s="51">
        <f>IF(INDEX(Employees!$L$5:$L$29,$A203)="",K203,MAX(0,MIN(K203,INDEX(Employees!$L$5:$L$29,$A203)-(M203-L203))))</f>
        <v/>
      </c>
      <c r="O203" s="51">
        <f>K203-N203</f>
        <v/>
      </c>
      <c r="P203" s="51">
        <f>M203-L203+N203</f>
        <v/>
      </c>
      <c r="Q203" s="51">
        <f>IF($G203=0,0,IF(INDEX(Employees!$P$5:$P$29,$A203)="Per pay period",(N(INDEX(Employees!$Q$5:$Q$29,$A203)))/Settings!$B$13,IF(INDEX(Employees!$P$5:$P$29,$A203)="Per hour worked",N(INDEX(Employees!$R$5:$R$29,$A203))*$I203,IF(INDEX(Employees!$P$5:$P$29,$A203)="Front-loaded",IF(OR($B203=1,N($G202)=0),N(INDEX(Employees!$Q$5:$Q$29,$A203)),0),0))))</f>
        <v/>
      </c>
      <c r="R203" s="51">
        <f>IF($F203=0,0,SUMIFS('Time Off Log'!$H$5:$H$504,'Time Off Log'!$A$5:$A$504,$C203,'Time Off Log'!$B$5:$B$504,"Sick",'Time Off Log'!$E$5:$E$504,"Approved",'Time Off Log'!$C$5:$C$504,"&gt;="&amp;INDEX(Periods!$E$5:$E$57,$B203),'Time Off Log'!$C$5:$C$504,"&lt;="&amp;INDEX(Periods!$F$5:$F$57,$B203)))</f>
        <v/>
      </c>
      <c r="S203" s="51">
        <f>IF($B203=1,N(INDEX(Employees!$T$5:$T$29,$A203)),V202)</f>
        <v/>
      </c>
      <c r="T203" s="51">
        <f>IF(INDEX(Employees!$S$5:$S$29,$A203)="",Q203,MAX(0,MIN(Q203,INDEX(Employees!$S$5:$S$29,$A203)-(S203-R203))))</f>
        <v/>
      </c>
      <c r="U203" s="51">
        <f>Q203-T203</f>
        <v/>
      </c>
      <c r="V203" s="51">
        <f>S203-R203+T203</f>
        <v/>
      </c>
    </row>
    <row r="204">
      <c r="A204" s="50" t="n">
        <v>4</v>
      </c>
      <c r="B204" s="50" t="n">
        <v>41</v>
      </c>
      <c r="C204" s="51">
        <f>INDEX(Employees!$B$5:$B$29,$A204)&amp;""</f>
        <v/>
      </c>
      <c r="D204" s="52">
        <f>INDEX(Periods!$B$5:$B$57,$B204)</f>
        <v/>
      </c>
      <c r="E204" s="52">
        <f>INDEX(Periods!$C$5:$C$57,$B204)</f>
        <v/>
      </c>
      <c r="F204" s="50">
        <f>IF(AND($C204&lt;&gt;"",INDEX(Periods!$D$5:$D$57,$B204)=1),1,0)</f>
        <v/>
      </c>
      <c r="G204" s="50">
        <f>IF($F204=0,0,IF(AND(OR(INDEX(Employees!$D$5:$D$29,$A204)="",$E204&gt;=INDEX(Employees!$D$5:$D$29,$A204)+N(INDEX(Employees!$U$5:$U$29,$A204))),OR(INDEX(Employees!$E$5:$E$29,$A204)="",$D204&lt;=INDEX(Employees!$E$5:$E$29,$A204))),1,0))</f>
        <v/>
      </c>
      <c r="H204" s="50">
        <f>IF($G204=0,0,IF(INDEX(Employees!$D$5:$D$29,$A204)="",0,DATEDIF(INDEX(Employees!$D$5:$D$29,$A204),$E204,"y")))</f>
        <v/>
      </c>
      <c r="I204" s="51">
        <f>IF($G204=0,0,IF(INDEX('Hours Worked'!$D$5:$BD$29,$A204,$B204)="",N(INDEX(Employees!$H$5:$H$29,$A204)),INDEX('Hours Worked'!$D$5:$BD$29,$A204,$B204)))</f>
        <v/>
      </c>
      <c r="J204" s="51">
        <f>IF(OR($G204=0,INDEX(Employees!$O$5:$O$29,$A204)&lt;&gt;"Yes"),0,IF(COUNTIF(Settings!$D$4:$D$9,"&lt;="&amp;$H204)=0,0,INDEX(Settings!$E$4:$E$9,COUNTIF(Settings!$D$4:$D$9,"&lt;="&amp;$H204))))</f>
        <v/>
      </c>
      <c r="K204" s="51">
        <f>IF($G204=0,0,IF(INDEX(Employees!$I$5:$I$29,$A204)="Per pay period",(N(INDEX(Employees!$J$5:$J$29,$A204))+$J204)/Settings!$B$13,IF(INDEX(Employees!$I$5:$I$29,$A204)="Per hour worked",N(INDEX(Employees!$K$5:$K$29,$A204))*$I204,IF(INDEX(Employees!$I$5:$I$29,$A204)="Front-loaded",IF(OR($B204=1,N($G203)=0),N(INDEX(Employees!$J$5:$J$29,$A204))+$J204,0),0))))</f>
        <v/>
      </c>
      <c r="L204" s="51">
        <f>IF($F204=0,0,SUMIFS('Time Off Log'!$H$5:$H$504,'Time Off Log'!$A$5:$A$504,$C204,'Time Off Log'!$B$5:$B$504,"PTO",'Time Off Log'!$E$5:$E$504,"Approved",'Time Off Log'!$C$5:$C$504,"&gt;="&amp;INDEX(Periods!$E$5:$E$57,$B204),'Time Off Log'!$C$5:$C$504,"&lt;="&amp;INDEX(Periods!$F$5:$F$57,$B204)))</f>
        <v/>
      </c>
      <c r="M204" s="51">
        <f>IF($B204=1,N(INDEX(Employees!$N$5:$N$29,$A204)),P203)</f>
        <v/>
      </c>
      <c r="N204" s="51">
        <f>IF(INDEX(Employees!$L$5:$L$29,$A204)="",K204,MAX(0,MIN(K204,INDEX(Employees!$L$5:$L$29,$A204)-(M204-L204))))</f>
        <v/>
      </c>
      <c r="O204" s="51">
        <f>K204-N204</f>
        <v/>
      </c>
      <c r="P204" s="51">
        <f>M204-L204+N204</f>
        <v/>
      </c>
      <c r="Q204" s="51">
        <f>IF($G204=0,0,IF(INDEX(Employees!$P$5:$P$29,$A204)="Per pay period",(N(INDEX(Employees!$Q$5:$Q$29,$A204)))/Settings!$B$13,IF(INDEX(Employees!$P$5:$P$29,$A204)="Per hour worked",N(INDEX(Employees!$R$5:$R$29,$A204))*$I204,IF(INDEX(Employees!$P$5:$P$29,$A204)="Front-loaded",IF(OR($B204=1,N($G203)=0),N(INDEX(Employees!$Q$5:$Q$29,$A204)),0),0))))</f>
        <v/>
      </c>
      <c r="R204" s="51">
        <f>IF($F204=0,0,SUMIFS('Time Off Log'!$H$5:$H$504,'Time Off Log'!$A$5:$A$504,$C204,'Time Off Log'!$B$5:$B$504,"Sick",'Time Off Log'!$E$5:$E$504,"Approved",'Time Off Log'!$C$5:$C$504,"&gt;="&amp;INDEX(Periods!$E$5:$E$57,$B204),'Time Off Log'!$C$5:$C$504,"&lt;="&amp;INDEX(Periods!$F$5:$F$57,$B204)))</f>
        <v/>
      </c>
      <c r="S204" s="51">
        <f>IF($B204=1,N(INDEX(Employees!$T$5:$T$29,$A204)),V203)</f>
        <v/>
      </c>
      <c r="T204" s="51">
        <f>IF(INDEX(Employees!$S$5:$S$29,$A204)="",Q204,MAX(0,MIN(Q204,INDEX(Employees!$S$5:$S$29,$A204)-(S204-R204))))</f>
        <v/>
      </c>
      <c r="U204" s="51">
        <f>Q204-T204</f>
        <v/>
      </c>
      <c r="V204" s="51">
        <f>S204-R204+T204</f>
        <v/>
      </c>
    </row>
    <row r="205">
      <c r="A205" s="50" t="n">
        <v>4</v>
      </c>
      <c r="B205" s="50" t="n">
        <v>42</v>
      </c>
      <c r="C205" s="51">
        <f>INDEX(Employees!$B$5:$B$29,$A205)&amp;""</f>
        <v/>
      </c>
      <c r="D205" s="52">
        <f>INDEX(Periods!$B$5:$B$57,$B205)</f>
        <v/>
      </c>
      <c r="E205" s="52">
        <f>INDEX(Periods!$C$5:$C$57,$B205)</f>
        <v/>
      </c>
      <c r="F205" s="50">
        <f>IF(AND($C205&lt;&gt;"",INDEX(Periods!$D$5:$D$57,$B205)=1),1,0)</f>
        <v/>
      </c>
      <c r="G205" s="50">
        <f>IF($F205=0,0,IF(AND(OR(INDEX(Employees!$D$5:$D$29,$A205)="",$E205&gt;=INDEX(Employees!$D$5:$D$29,$A205)+N(INDEX(Employees!$U$5:$U$29,$A205))),OR(INDEX(Employees!$E$5:$E$29,$A205)="",$D205&lt;=INDEX(Employees!$E$5:$E$29,$A205))),1,0))</f>
        <v/>
      </c>
      <c r="H205" s="50">
        <f>IF($G205=0,0,IF(INDEX(Employees!$D$5:$D$29,$A205)="",0,DATEDIF(INDEX(Employees!$D$5:$D$29,$A205),$E205,"y")))</f>
        <v/>
      </c>
      <c r="I205" s="51">
        <f>IF($G205=0,0,IF(INDEX('Hours Worked'!$D$5:$BD$29,$A205,$B205)="",N(INDEX(Employees!$H$5:$H$29,$A205)),INDEX('Hours Worked'!$D$5:$BD$29,$A205,$B205)))</f>
        <v/>
      </c>
      <c r="J205" s="51">
        <f>IF(OR($G205=0,INDEX(Employees!$O$5:$O$29,$A205)&lt;&gt;"Yes"),0,IF(COUNTIF(Settings!$D$4:$D$9,"&lt;="&amp;$H205)=0,0,INDEX(Settings!$E$4:$E$9,COUNTIF(Settings!$D$4:$D$9,"&lt;="&amp;$H205))))</f>
        <v/>
      </c>
      <c r="K205" s="51">
        <f>IF($G205=0,0,IF(INDEX(Employees!$I$5:$I$29,$A205)="Per pay period",(N(INDEX(Employees!$J$5:$J$29,$A205))+$J205)/Settings!$B$13,IF(INDEX(Employees!$I$5:$I$29,$A205)="Per hour worked",N(INDEX(Employees!$K$5:$K$29,$A205))*$I205,IF(INDEX(Employees!$I$5:$I$29,$A205)="Front-loaded",IF(OR($B205=1,N($G204)=0),N(INDEX(Employees!$J$5:$J$29,$A205))+$J205,0),0))))</f>
        <v/>
      </c>
      <c r="L205" s="51">
        <f>IF($F205=0,0,SUMIFS('Time Off Log'!$H$5:$H$504,'Time Off Log'!$A$5:$A$504,$C205,'Time Off Log'!$B$5:$B$504,"PTO",'Time Off Log'!$E$5:$E$504,"Approved",'Time Off Log'!$C$5:$C$504,"&gt;="&amp;INDEX(Periods!$E$5:$E$57,$B205),'Time Off Log'!$C$5:$C$504,"&lt;="&amp;INDEX(Periods!$F$5:$F$57,$B205)))</f>
        <v/>
      </c>
      <c r="M205" s="51">
        <f>IF($B205=1,N(INDEX(Employees!$N$5:$N$29,$A205)),P204)</f>
        <v/>
      </c>
      <c r="N205" s="51">
        <f>IF(INDEX(Employees!$L$5:$L$29,$A205)="",K205,MAX(0,MIN(K205,INDEX(Employees!$L$5:$L$29,$A205)-(M205-L205))))</f>
        <v/>
      </c>
      <c r="O205" s="51">
        <f>K205-N205</f>
        <v/>
      </c>
      <c r="P205" s="51">
        <f>M205-L205+N205</f>
        <v/>
      </c>
      <c r="Q205" s="51">
        <f>IF($G205=0,0,IF(INDEX(Employees!$P$5:$P$29,$A205)="Per pay period",(N(INDEX(Employees!$Q$5:$Q$29,$A205)))/Settings!$B$13,IF(INDEX(Employees!$P$5:$P$29,$A205)="Per hour worked",N(INDEX(Employees!$R$5:$R$29,$A205))*$I205,IF(INDEX(Employees!$P$5:$P$29,$A205)="Front-loaded",IF(OR($B205=1,N($G204)=0),N(INDEX(Employees!$Q$5:$Q$29,$A205)),0),0))))</f>
        <v/>
      </c>
      <c r="R205" s="51">
        <f>IF($F205=0,0,SUMIFS('Time Off Log'!$H$5:$H$504,'Time Off Log'!$A$5:$A$504,$C205,'Time Off Log'!$B$5:$B$504,"Sick",'Time Off Log'!$E$5:$E$504,"Approved",'Time Off Log'!$C$5:$C$504,"&gt;="&amp;INDEX(Periods!$E$5:$E$57,$B205),'Time Off Log'!$C$5:$C$504,"&lt;="&amp;INDEX(Periods!$F$5:$F$57,$B205)))</f>
        <v/>
      </c>
      <c r="S205" s="51">
        <f>IF($B205=1,N(INDEX(Employees!$T$5:$T$29,$A205)),V204)</f>
        <v/>
      </c>
      <c r="T205" s="51">
        <f>IF(INDEX(Employees!$S$5:$S$29,$A205)="",Q205,MAX(0,MIN(Q205,INDEX(Employees!$S$5:$S$29,$A205)-(S205-R205))))</f>
        <v/>
      </c>
      <c r="U205" s="51">
        <f>Q205-T205</f>
        <v/>
      </c>
      <c r="V205" s="51">
        <f>S205-R205+T205</f>
        <v/>
      </c>
    </row>
    <row r="206">
      <c r="A206" s="50" t="n">
        <v>4</v>
      </c>
      <c r="B206" s="50" t="n">
        <v>43</v>
      </c>
      <c r="C206" s="51">
        <f>INDEX(Employees!$B$5:$B$29,$A206)&amp;""</f>
        <v/>
      </c>
      <c r="D206" s="52">
        <f>INDEX(Periods!$B$5:$B$57,$B206)</f>
        <v/>
      </c>
      <c r="E206" s="52">
        <f>INDEX(Periods!$C$5:$C$57,$B206)</f>
        <v/>
      </c>
      <c r="F206" s="50">
        <f>IF(AND($C206&lt;&gt;"",INDEX(Periods!$D$5:$D$57,$B206)=1),1,0)</f>
        <v/>
      </c>
      <c r="G206" s="50">
        <f>IF($F206=0,0,IF(AND(OR(INDEX(Employees!$D$5:$D$29,$A206)="",$E206&gt;=INDEX(Employees!$D$5:$D$29,$A206)+N(INDEX(Employees!$U$5:$U$29,$A206))),OR(INDEX(Employees!$E$5:$E$29,$A206)="",$D206&lt;=INDEX(Employees!$E$5:$E$29,$A206))),1,0))</f>
        <v/>
      </c>
      <c r="H206" s="50">
        <f>IF($G206=0,0,IF(INDEX(Employees!$D$5:$D$29,$A206)="",0,DATEDIF(INDEX(Employees!$D$5:$D$29,$A206),$E206,"y")))</f>
        <v/>
      </c>
      <c r="I206" s="51">
        <f>IF($G206=0,0,IF(INDEX('Hours Worked'!$D$5:$BD$29,$A206,$B206)="",N(INDEX(Employees!$H$5:$H$29,$A206)),INDEX('Hours Worked'!$D$5:$BD$29,$A206,$B206)))</f>
        <v/>
      </c>
      <c r="J206" s="51">
        <f>IF(OR($G206=0,INDEX(Employees!$O$5:$O$29,$A206)&lt;&gt;"Yes"),0,IF(COUNTIF(Settings!$D$4:$D$9,"&lt;="&amp;$H206)=0,0,INDEX(Settings!$E$4:$E$9,COUNTIF(Settings!$D$4:$D$9,"&lt;="&amp;$H206))))</f>
        <v/>
      </c>
      <c r="K206" s="51">
        <f>IF($G206=0,0,IF(INDEX(Employees!$I$5:$I$29,$A206)="Per pay period",(N(INDEX(Employees!$J$5:$J$29,$A206))+$J206)/Settings!$B$13,IF(INDEX(Employees!$I$5:$I$29,$A206)="Per hour worked",N(INDEX(Employees!$K$5:$K$29,$A206))*$I206,IF(INDEX(Employees!$I$5:$I$29,$A206)="Front-loaded",IF(OR($B206=1,N($G205)=0),N(INDEX(Employees!$J$5:$J$29,$A206))+$J206,0),0))))</f>
        <v/>
      </c>
      <c r="L206" s="51">
        <f>IF($F206=0,0,SUMIFS('Time Off Log'!$H$5:$H$504,'Time Off Log'!$A$5:$A$504,$C206,'Time Off Log'!$B$5:$B$504,"PTO",'Time Off Log'!$E$5:$E$504,"Approved",'Time Off Log'!$C$5:$C$504,"&gt;="&amp;INDEX(Periods!$E$5:$E$57,$B206),'Time Off Log'!$C$5:$C$504,"&lt;="&amp;INDEX(Periods!$F$5:$F$57,$B206)))</f>
        <v/>
      </c>
      <c r="M206" s="51">
        <f>IF($B206=1,N(INDEX(Employees!$N$5:$N$29,$A206)),P205)</f>
        <v/>
      </c>
      <c r="N206" s="51">
        <f>IF(INDEX(Employees!$L$5:$L$29,$A206)="",K206,MAX(0,MIN(K206,INDEX(Employees!$L$5:$L$29,$A206)-(M206-L206))))</f>
        <v/>
      </c>
      <c r="O206" s="51">
        <f>K206-N206</f>
        <v/>
      </c>
      <c r="P206" s="51">
        <f>M206-L206+N206</f>
        <v/>
      </c>
      <c r="Q206" s="51">
        <f>IF($G206=0,0,IF(INDEX(Employees!$P$5:$P$29,$A206)="Per pay period",(N(INDEX(Employees!$Q$5:$Q$29,$A206)))/Settings!$B$13,IF(INDEX(Employees!$P$5:$P$29,$A206)="Per hour worked",N(INDEX(Employees!$R$5:$R$29,$A206))*$I206,IF(INDEX(Employees!$P$5:$P$29,$A206)="Front-loaded",IF(OR($B206=1,N($G205)=0),N(INDEX(Employees!$Q$5:$Q$29,$A206)),0),0))))</f>
        <v/>
      </c>
      <c r="R206" s="51">
        <f>IF($F206=0,0,SUMIFS('Time Off Log'!$H$5:$H$504,'Time Off Log'!$A$5:$A$504,$C206,'Time Off Log'!$B$5:$B$504,"Sick",'Time Off Log'!$E$5:$E$504,"Approved",'Time Off Log'!$C$5:$C$504,"&gt;="&amp;INDEX(Periods!$E$5:$E$57,$B206),'Time Off Log'!$C$5:$C$504,"&lt;="&amp;INDEX(Periods!$F$5:$F$57,$B206)))</f>
        <v/>
      </c>
      <c r="S206" s="51">
        <f>IF($B206=1,N(INDEX(Employees!$T$5:$T$29,$A206)),V205)</f>
        <v/>
      </c>
      <c r="T206" s="51">
        <f>IF(INDEX(Employees!$S$5:$S$29,$A206)="",Q206,MAX(0,MIN(Q206,INDEX(Employees!$S$5:$S$29,$A206)-(S206-R206))))</f>
        <v/>
      </c>
      <c r="U206" s="51">
        <f>Q206-T206</f>
        <v/>
      </c>
      <c r="V206" s="51">
        <f>S206-R206+T206</f>
        <v/>
      </c>
    </row>
    <row r="207">
      <c r="A207" s="50" t="n">
        <v>4</v>
      </c>
      <c r="B207" s="50" t="n">
        <v>44</v>
      </c>
      <c r="C207" s="51">
        <f>INDEX(Employees!$B$5:$B$29,$A207)&amp;""</f>
        <v/>
      </c>
      <c r="D207" s="52">
        <f>INDEX(Periods!$B$5:$B$57,$B207)</f>
        <v/>
      </c>
      <c r="E207" s="52">
        <f>INDEX(Periods!$C$5:$C$57,$B207)</f>
        <v/>
      </c>
      <c r="F207" s="50">
        <f>IF(AND($C207&lt;&gt;"",INDEX(Periods!$D$5:$D$57,$B207)=1),1,0)</f>
        <v/>
      </c>
      <c r="G207" s="50">
        <f>IF($F207=0,0,IF(AND(OR(INDEX(Employees!$D$5:$D$29,$A207)="",$E207&gt;=INDEX(Employees!$D$5:$D$29,$A207)+N(INDEX(Employees!$U$5:$U$29,$A207))),OR(INDEX(Employees!$E$5:$E$29,$A207)="",$D207&lt;=INDEX(Employees!$E$5:$E$29,$A207))),1,0))</f>
        <v/>
      </c>
      <c r="H207" s="50">
        <f>IF($G207=0,0,IF(INDEX(Employees!$D$5:$D$29,$A207)="",0,DATEDIF(INDEX(Employees!$D$5:$D$29,$A207),$E207,"y")))</f>
        <v/>
      </c>
      <c r="I207" s="51">
        <f>IF($G207=0,0,IF(INDEX('Hours Worked'!$D$5:$BD$29,$A207,$B207)="",N(INDEX(Employees!$H$5:$H$29,$A207)),INDEX('Hours Worked'!$D$5:$BD$29,$A207,$B207)))</f>
        <v/>
      </c>
      <c r="J207" s="51">
        <f>IF(OR($G207=0,INDEX(Employees!$O$5:$O$29,$A207)&lt;&gt;"Yes"),0,IF(COUNTIF(Settings!$D$4:$D$9,"&lt;="&amp;$H207)=0,0,INDEX(Settings!$E$4:$E$9,COUNTIF(Settings!$D$4:$D$9,"&lt;="&amp;$H207))))</f>
        <v/>
      </c>
      <c r="K207" s="51">
        <f>IF($G207=0,0,IF(INDEX(Employees!$I$5:$I$29,$A207)="Per pay period",(N(INDEX(Employees!$J$5:$J$29,$A207))+$J207)/Settings!$B$13,IF(INDEX(Employees!$I$5:$I$29,$A207)="Per hour worked",N(INDEX(Employees!$K$5:$K$29,$A207))*$I207,IF(INDEX(Employees!$I$5:$I$29,$A207)="Front-loaded",IF(OR($B207=1,N($G206)=0),N(INDEX(Employees!$J$5:$J$29,$A207))+$J207,0),0))))</f>
        <v/>
      </c>
      <c r="L207" s="51">
        <f>IF($F207=0,0,SUMIFS('Time Off Log'!$H$5:$H$504,'Time Off Log'!$A$5:$A$504,$C207,'Time Off Log'!$B$5:$B$504,"PTO",'Time Off Log'!$E$5:$E$504,"Approved",'Time Off Log'!$C$5:$C$504,"&gt;="&amp;INDEX(Periods!$E$5:$E$57,$B207),'Time Off Log'!$C$5:$C$504,"&lt;="&amp;INDEX(Periods!$F$5:$F$57,$B207)))</f>
        <v/>
      </c>
      <c r="M207" s="51">
        <f>IF($B207=1,N(INDEX(Employees!$N$5:$N$29,$A207)),P206)</f>
        <v/>
      </c>
      <c r="N207" s="51">
        <f>IF(INDEX(Employees!$L$5:$L$29,$A207)="",K207,MAX(0,MIN(K207,INDEX(Employees!$L$5:$L$29,$A207)-(M207-L207))))</f>
        <v/>
      </c>
      <c r="O207" s="51">
        <f>K207-N207</f>
        <v/>
      </c>
      <c r="P207" s="51">
        <f>M207-L207+N207</f>
        <v/>
      </c>
      <c r="Q207" s="51">
        <f>IF($G207=0,0,IF(INDEX(Employees!$P$5:$P$29,$A207)="Per pay period",(N(INDEX(Employees!$Q$5:$Q$29,$A207)))/Settings!$B$13,IF(INDEX(Employees!$P$5:$P$29,$A207)="Per hour worked",N(INDEX(Employees!$R$5:$R$29,$A207))*$I207,IF(INDEX(Employees!$P$5:$P$29,$A207)="Front-loaded",IF(OR($B207=1,N($G206)=0),N(INDEX(Employees!$Q$5:$Q$29,$A207)),0),0))))</f>
        <v/>
      </c>
      <c r="R207" s="51">
        <f>IF($F207=0,0,SUMIFS('Time Off Log'!$H$5:$H$504,'Time Off Log'!$A$5:$A$504,$C207,'Time Off Log'!$B$5:$B$504,"Sick",'Time Off Log'!$E$5:$E$504,"Approved",'Time Off Log'!$C$5:$C$504,"&gt;="&amp;INDEX(Periods!$E$5:$E$57,$B207),'Time Off Log'!$C$5:$C$504,"&lt;="&amp;INDEX(Periods!$F$5:$F$57,$B207)))</f>
        <v/>
      </c>
      <c r="S207" s="51">
        <f>IF($B207=1,N(INDEX(Employees!$T$5:$T$29,$A207)),V206)</f>
        <v/>
      </c>
      <c r="T207" s="51">
        <f>IF(INDEX(Employees!$S$5:$S$29,$A207)="",Q207,MAX(0,MIN(Q207,INDEX(Employees!$S$5:$S$29,$A207)-(S207-R207))))</f>
        <v/>
      </c>
      <c r="U207" s="51">
        <f>Q207-T207</f>
        <v/>
      </c>
      <c r="V207" s="51">
        <f>S207-R207+T207</f>
        <v/>
      </c>
    </row>
    <row r="208">
      <c r="A208" s="50" t="n">
        <v>4</v>
      </c>
      <c r="B208" s="50" t="n">
        <v>45</v>
      </c>
      <c r="C208" s="51">
        <f>INDEX(Employees!$B$5:$B$29,$A208)&amp;""</f>
        <v/>
      </c>
      <c r="D208" s="52">
        <f>INDEX(Periods!$B$5:$B$57,$B208)</f>
        <v/>
      </c>
      <c r="E208" s="52">
        <f>INDEX(Periods!$C$5:$C$57,$B208)</f>
        <v/>
      </c>
      <c r="F208" s="50">
        <f>IF(AND($C208&lt;&gt;"",INDEX(Periods!$D$5:$D$57,$B208)=1),1,0)</f>
        <v/>
      </c>
      <c r="G208" s="50">
        <f>IF($F208=0,0,IF(AND(OR(INDEX(Employees!$D$5:$D$29,$A208)="",$E208&gt;=INDEX(Employees!$D$5:$D$29,$A208)+N(INDEX(Employees!$U$5:$U$29,$A208))),OR(INDEX(Employees!$E$5:$E$29,$A208)="",$D208&lt;=INDEX(Employees!$E$5:$E$29,$A208))),1,0))</f>
        <v/>
      </c>
      <c r="H208" s="50">
        <f>IF($G208=0,0,IF(INDEX(Employees!$D$5:$D$29,$A208)="",0,DATEDIF(INDEX(Employees!$D$5:$D$29,$A208),$E208,"y")))</f>
        <v/>
      </c>
      <c r="I208" s="51">
        <f>IF($G208=0,0,IF(INDEX('Hours Worked'!$D$5:$BD$29,$A208,$B208)="",N(INDEX(Employees!$H$5:$H$29,$A208)),INDEX('Hours Worked'!$D$5:$BD$29,$A208,$B208)))</f>
        <v/>
      </c>
      <c r="J208" s="51">
        <f>IF(OR($G208=0,INDEX(Employees!$O$5:$O$29,$A208)&lt;&gt;"Yes"),0,IF(COUNTIF(Settings!$D$4:$D$9,"&lt;="&amp;$H208)=0,0,INDEX(Settings!$E$4:$E$9,COUNTIF(Settings!$D$4:$D$9,"&lt;="&amp;$H208))))</f>
        <v/>
      </c>
      <c r="K208" s="51">
        <f>IF($G208=0,0,IF(INDEX(Employees!$I$5:$I$29,$A208)="Per pay period",(N(INDEX(Employees!$J$5:$J$29,$A208))+$J208)/Settings!$B$13,IF(INDEX(Employees!$I$5:$I$29,$A208)="Per hour worked",N(INDEX(Employees!$K$5:$K$29,$A208))*$I208,IF(INDEX(Employees!$I$5:$I$29,$A208)="Front-loaded",IF(OR($B208=1,N($G207)=0),N(INDEX(Employees!$J$5:$J$29,$A208))+$J208,0),0))))</f>
        <v/>
      </c>
      <c r="L208" s="51">
        <f>IF($F208=0,0,SUMIFS('Time Off Log'!$H$5:$H$504,'Time Off Log'!$A$5:$A$504,$C208,'Time Off Log'!$B$5:$B$504,"PTO",'Time Off Log'!$E$5:$E$504,"Approved",'Time Off Log'!$C$5:$C$504,"&gt;="&amp;INDEX(Periods!$E$5:$E$57,$B208),'Time Off Log'!$C$5:$C$504,"&lt;="&amp;INDEX(Periods!$F$5:$F$57,$B208)))</f>
        <v/>
      </c>
      <c r="M208" s="51">
        <f>IF($B208=1,N(INDEX(Employees!$N$5:$N$29,$A208)),P207)</f>
        <v/>
      </c>
      <c r="N208" s="51">
        <f>IF(INDEX(Employees!$L$5:$L$29,$A208)="",K208,MAX(0,MIN(K208,INDEX(Employees!$L$5:$L$29,$A208)-(M208-L208))))</f>
        <v/>
      </c>
      <c r="O208" s="51">
        <f>K208-N208</f>
        <v/>
      </c>
      <c r="P208" s="51">
        <f>M208-L208+N208</f>
        <v/>
      </c>
      <c r="Q208" s="51">
        <f>IF($G208=0,0,IF(INDEX(Employees!$P$5:$P$29,$A208)="Per pay period",(N(INDEX(Employees!$Q$5:$Q$29,$A208)))/Settings!$B$13,IF(INDEX(Employees!$P$5:$P$29,$A208)="Per hour worked",N(INDEX(Employees!$R$5:$R$29,$A208))*$I208,IF(INDEX(Employees!$P$5:$P$29,$A208)="Front-loaded",IF(OR($B208=1,N($G207)=0),N(INDEX(Employees!$Q$5:$Q$29,$A208)),0),0))))</f>
        <v/>
      </c>
      <c r="R208" s="51">
        <f>IF($F208=0,0,SUMIFS('Time Off Log'!$H$5:$H$504,'Time Off Log'!$A$5:$A$504,$C208,'Time Off Log'!$B$5:$B$504,"Sick",'Time Off Log'!$E$5:$E$504,"Approved",'Time Off Log'!$C$5:$C$504,"&gt;="&amp;INDEX(Periods!$E$5:$E$57,$B208),'Time Off Log'!$C$5:$C$504,"&lt;="&amp;INDEX(Periods!$F$5:$F$57,$B208)))</f>
        <v/>
      </c>
      <c r="S208" s="51">
        <f>IF($B208=1,N(INDEX(Employees!$T$5:$T$29,$A208)),V207)</f>
        <v/>
      </c>
      <c r="T208" s="51">
        <f>IF(INDEX(Employees!$S$5:$S$29,$A208)="",Q208,MAX(0,MIN(Q208,INDEX(Employees!$S$5:$S$29,$A208)-(S208-R208))))</f>
        <v/>
      </c>
      <c r="U208" s="51">
        <f>Q208-T208</f>
        <v/>
      </c>
      <c r="V208" s="51">
        <f>S208-R208+T208</f>
        <v/>
      </c>
    </row>
    <row r="209">
      <c r="A209" s="50" t="n">
        <v>4</v>
      </c>
      <c r="B209" s="50" t="n">
        <v>46</v>
      </c>
      <c r="C209" s="51">
        <f>INDEX(Employees!$B$5:$B$29,$A209)&amp;""</f>
        <v/>
      </c>
      <c r="D209" s="52">
        <f>INDEX(Periods!$B$5:$B$57,$B209)</f>
        <v/>
      </c>
      <c r="E209" s="52">
        <f>INDEX(Periods!$C$5:$C$57,$B209)</f>
        <v/>
      </c>
      <c r="F209" s="50">
        <f>IF(AND($C209&lt;&gt;"",INDEX(Periods!$D$5:$D$57,$B209)=1),1,0)</f>
        <v/>
      </c>
      <c r="G209" s="50">
        <f>IF($F209=0,0,IF(AND(OR(INDEX(Employees!$D$5:$D$29,$A209)="",$E209&gt;=INDEX(Employees!$D$5:$D$29,$A209)+N(INDEX(Employees!$U$5:$U$29,$A209))),OR(INDEX(Employees!$E$5:$E$29,$A209)="",$D209&lt;=INDEX(Employees!$E$5:$E$29,$A209))),1,0))</f>
        <v/>
      </c>
      <c r="H209" s="50">
        <f>IF($G209=0,0,IF(INDEX(Employees!$D$5:$D$29,$A209)="",0,DATEDIF(INDEX(Employees!$D$5:$D$29,$A209),$E209,"y")))</f>
        <v/>
      </c>
      <c r="I209" s="51">
        <f>IF($G209=0,0,IF(INDEX('Hours Worked'!$D$5:$BD$29,$A209,$B209)="",N(INDEX(Employees!$H$5:$H$29,$A209)),INDEX('Hours Worked'!$D$5:$BD$29,$A209,$B209)))</f>
        <v/>
      </c>
      <c r="J209" s="51">
        <f>IF(OR($G209=0,INDEX(Employees!$O$5:$O$29,$A209)&lt;&gt;"Yes"),0,IF(COUNTIF(Settings!$D$4:$D$9,"&lt;="&amp;$H209)=0,0,INDEX(Settings!$E$4:$E$9,COUNTIF(Settings!$D$4:$D$9,"&lt;="&amp;$H209))))</f>
        <v/>
      </c>
      <c r="K209" s="51">
        <f>IF($G209=0,0,IF(INDEX(Employees!$I$5:$I$29,$A209)="Per pay period",(N(INDEX(Employees!$J$5:$J$29,$A209))+$J209)/Settings!$B$13,IF(INDEX(Employees!$I$5:$I$29,$A209)="Per hour worked",N(INDEX(Employees!$K$5:$K$29,$A209))*$I209,IF(INDEX(Employees!$I$5:$I$29,$A209)="Front-loaded",IF(OR($B209=1,N($G208)=0),N(INDEX(Employees!$J$5:$J$29,$A209))+$J209,0),0))))</f>
        <v/>
      </c>
      <c r="L209" s="51">
        <f>IF($F209=0,0,SUMIFS('Time Off Log'!$H$5:$H$504,'Time Off Log'!$A$5:$A$504,$C209,'Time Off Log'!$B$5:$B$504,"PTO",'Time Off Log'!$E$5:$E$504,"Approved",'Time Off Log'!$C$5:$C$504,"&gt;="&amp;INDEX(Periods!$E$5:$E$57,$B209),'Time Off Log'!$C$5:$C$504,"&lt;="&amp;INDEX(Periods!$F$5:$F$57,$B209)))</f>
        <v/>
      </c>
      <c r="M209" s="51">
        <f>IF($B209=1,N(INDEX(Employees!$N$5:$N$29,$A209)),P208)</f>
        <v/>
      </c>
      <c r="N209" s="51">
        <f>IF(INDEX(Employees!$L$5:$L$29,$A209)="",K209,MAX(0,MIN(K209,INDEX(Employees!$L$5:$L$29,$A209)-(M209-L209))))</f>
        <v/>
      </c>
      <c r="O209" s="51">
        <f>K209-N209</f>
        <v/>
      </c>
      <c r="P209" s="51">
        <f>M209-L209+N209</f>
        <v/>
      </c>
      <c r="Q209" s="51">
        <f>IF($G209=0,0,IF(INDEX(Employees!$P$5:$P$29,$A209)="Per pay period",(N(INDEX(Employees!$Q$5:$Q$29,$A209)))/Settings!$B$13,IF(INDEX(Employees!$P$5:$P$29,$A209)="Per hour worked",N(INDEX(Employees!$R$5:$R$29,$A209))*$I209,IF(INDEX(Employees!$P$5:$P$29,$A209)="Front-loaded",IF(OR($B209=1,N($G208)=0),N(INDEX(Employees!$Q$5:$Q$29,$A209)),0),0))))</f>
        <v/>
      </c>
      <c r="R209" s="51">
        <f>IF($F209=0,0,SUMIFS('Time Off Log'!$H$5:$H$504,'Time Off Log'!$A$5:$A$504,$C209,'Time Off Log'!$B$5:$B$504,"Sick",'Time Off Log'!$E$5:$E$504,"Approved",'Time Off Log'!$C$5:$C$504,"&gt;="&amp;INDEX(Periods!$E$5:$E$57,$B209),'Time Off Log'!$C$5:$C$504,"&lt;="&amp;INDEX(Periods!$F$5:$F$57,$B209)))</f>
        <v/>
      </c>
      <c r="S209" s="51">
        <f>IF($B209=1,N(INDEX(Employees!$T$5:$T$29,$A209)),V208)</f>
        <v/>
      </c>
      <c r="T209" s="51">
        <f>IF(INDEX(Employees!$S$5:$S$29,$A209)="",Q209,MAX(0,MIN(Q209,INDEX(Employees!$S$5:$S$29,$A209)-(S209-R209))))</f>
        <v/>
      </c>
      <c r="U209" s="51">
        <f>Q209-T209</f>
        <v/>
      </c>
      <c r="V209" s="51">
        <f>S209-R209+T209</f>
        <v/>
      </c>
    </row>
    <row r="210">
      <c r="A210" s="50" t="n">
        <v>4</v>
      </c>
      <c r="B210" s="50" t="n">
        <v>47</v>
      </c>
      <c r="C210" s="51">
        <f>INDEX(Employees!$B$5:$B$29,$A210)&amp;""</f>
        <v/>
      </c>
      <c r="D210" s="52">
        <f>INDEX(Periods!$B$5:$B$57,$B210)</f>
        <v/>
      </c>
      <c r="E210" s="52">
        <f>INDEX(Periods!$C$5:$C$57,$B210)</f>
        <v/>
      </c>
      <c r="F210" s="50">
        <f>IF(AND($C210&lt;&gt;"",INDEX(Periods!$D$5:$D$57,$B210)=1),1,0)</f>
        <v/>
      </c>
      <c r="G210" s="50">
        <f>IF($F210=0,0,IF(AND(OR(INDEX(Employees!$D$5:$D$29,$A210)="",$E210&gt;=INDEX(Employees!$D$5:$D$29,$A210)+N(INDEX(Employees!$U$5:$U$29,$A210))),OR(INDEX(Employees!$E$5:$E$29,$A210)="",$D210&lt;=INDEX(Employees!$E$5:$E$29,$A210))),1,0))</f>
        <v/>
      </c>
      <c r="H210" s="50">
        <f>IF($G210=0,0,IF(INDEX(Employees!$D$5:$D$29,$A210)="",0,DATEDIF(INDEX(Employees!$D$5:$D$29,$A210),$E210,"y")))</f>
        <v/>
      </c>
      <c r="I210" s="51">
        <f>IF($G210=0,0,IF(INDEX('Hours Worked'!$D$5:$BD$29,$A210,$B210)="",N(INDEX(Employees!$H$5:$H$29,$A210)),INDEX('Hours Worked'!$D$5:$BD$29,$A210,$B210)))</f>
        <v/>
      </c>
      <c r="J210" s="51">
        <f>IF(OR($G210=0,INDEX(Employees!$O$5:$O$29,$A210)&lt;&gt;"Yes"),0,IF(COUNTIF(Settings!$D$4:$D$9,"&lt;="&amp;$H210)=0,0,INDEX(Settings!$E$4:$E$9,COUNTIF(Settings!$D$4:$D$9,"&lt;="&amp;$H210))))</f>
        <v/>
      </c>
      <c r="K210" s="51">
        <f>IF($G210=0,0,IF(INDEX(Employees!$I$5:$I$29,$A210)="Per pay period",(N(INDEX(Employees!$J$5:$J$29,$A210))+$J210)/Settings!$B$13,IF(INDEX(Employees!$I$5:$I$29,$A210)="Per hour worked",N(INDEX(Employees!$K$5:$K$29,$A210))*$I210,IF(INDEX(Employees!$I$5:$I$29,$A210)="Front-loaded",IF(OR($B210=1,N($G209)=0),N(INDEX(Employees!$J$5:$J$29,$A210))+$J210,0),0))))</f>
        <v/>
      </c>
      <c r="L210" s="51">
        <f>IF($F210=0,0,SUMIFS('Time Off Log'!$H$5:$H$504,'Time Off Log'!$A$5:$A$504,$C210,'Time Off Log'!$B$5:$B$504,"PTO",'Time Off Log'!$E$5:$E$504,"Approved",'Time Off Log'!$C$5:$C$504,"&gt;="&amp;INDEX(Periods!$E$5:$E$57,$B210),'Time Off Log'!$C$5:$C$504,"&lt;="&amp;INDEX(Periods!$F$5:$F$57,$B210)))</f>
        <v/>
      </c>
      <c r="M210" s="51">
        <f>IF($B210=1,N(INDEX(Employees!$N$5:$N$29,$A210)),P209)</f>
        <v/>
      </c>
      <c r="N210" s="51">
        <f>IF(INDEX(Employees!$L$5:$L$29,$A210)="",K210,MAX(0,MIN(K210,INDEX(Employees!$L$5:$L$29,$A210)-(M210-L210))))</f>
        <v/>
      </c>
      <c r="O210" s="51">
        <f>K210-N210</f>
        <v/>
      </c>
      <c r="P210" s="51">
        <f>M210-L210+N210</f>
        <v/>
      </c>
      <c r="Q210" s="51">
        <f>IF($G210=0,0,IF(INDEX(Employees!$P$5:$P$29,$A210)="Per pay period",(N(INDEX(Employees!$Q$5:$Q$29,$A210)))/Settings!$B$13,IF(INDEX(Employees!$P$5:$P$29,$A210)="Per hour worked",N(INDEX(Employees!$R$5:$R$29,$A210))*$I210,IF(INDEX(Employees!$P$5:$P$29,$A210)="Front-loaded",IF(OR($B210=1,N($G209)=0),N(INDEX(Employees!$Q$5:$Q$29,$A210)),0),0))))</f>
        <v/>
      </c>
      <c r="R210" s="51">
        <f>IF($F210=0,0,SUMIFS('Time Off Log'!$H$5:$H$504,'Time Off Log'!$A$5:$A$504,$C210,'Time Off Log'!$B$5:$B$504,"Sick",'Time Off Log'!$E$5:$E$504,"Approved",'Time Off Log'!$C$5:$C$504,"&gt;="&amp;INDEX(Periods!$E$5:$E$57,$B210),'Time Off Log'!$C$5:$C$504,"&lt;="&amp;INDEX(Periods!$F$5:$F$57,$B210)))</f>
        <v/>
      </c>
      <c r="S210" s="51">
        <f>IF($B210=1,N(INDEX(Employees!$T$5:$T$29,$A210)),V209)</f>
        <v/>
      </c>
      <c r="T210" s="51">
        <f>IF(INDEX(Employees!$S$5:$S$29,$A210)="",Q210,MAX(0,MIN(Q210,INDEX(Employees!$S$5:$S$29,$A210)-(S210-R210))))</f>
        <v/>
      </c>
      <c r="U210" s="51">
        <f>Q210-T210</f>
        <v/>
      </c>
      <c r="V210" s="51">
        <f>S210-R210+T210</f>
        <v/>
      </c>
    </row>
    <row r="211">
      <c r="A211" s="50" t="n">
        <v>4</v>
      </c>
      <c r="B211" s="50" t="n">
        <v>48</v>
      </c>
      <c r="C211" s="51">
        <f>INDEX(Employees!$B$5:$B$29,$A211)&amp;""</f>
        <v/>
      </c>
      <c r="D211" s="52">
        <f>INDEX(Periods!$B$5:$B$57,$B211)</f>
        <v/>
      </c>
      <c r="E211" s="52">
        <f>INDEX(Periods!$C$5:$C$57,$B211)</f>
        <v/>
      </c>
      <c r="F211" s="50">
        <f>IF(AND($C211&lt;&gt;"",INDEX(Periods!$D$5:$D$57,$B211)=1),1,0)</f>
        <v/>
      </c>
      <c r="G211" s="50">
        <f>IF($F211=0,0,IF(AND(OR(INDEX(Employees!$D$5:$D$29,$A211)="",$E211&gt;=INDEX(Employees!$D$5:$D$29,$A211)+N(INDEX(Employees!$U$5:$U$29,$A211))),OR(INDEX(Employees!$E$5:$E$29,$A211)="",$D211&lt;=INDEX(Employees!$E$5:$E$29,$A211))),1,0))</f>
        <v/>
      </c>
      <c r="H211" s="50">
        <f>IF($G211=0,0,IF(INDEX(Employees!$D$5:$D$29,$A211)="",0,DATEDIF(INDEX(Employees!$D$5:$D$29,$A211),$E211,"y")))</f>
        <v/>
      </c>
      <c r="I211" s="51">
        <f>IF($G211=0,0,IF(INDEX('Hours Worked'!$D$5:$BD$29,$A211,$B211)="",N(INDEX(Employees!$H$5:$H$29,$A211)),INDEX('Hours Worked'!$D$5:$BD$29,$A211,$B211)))</f>
        <v/>
      </c>
      <c r="J211" s="51">
        <f>IF(OR($G211=0,INDEX(Employees!$O$5:$O$29,$A211)&lt;&gt;"Yes"),0,IF(COUNTIF(Settings!$D$4:$D$9,"&lt;="&amp;$H211)=0,0,INDEX(Settings!$E$4:$E$9,COUNTIF(Settings!$D$4:$D$9,"&lt;="&amp;$H211))))</f>
        <v/>
      </c>
      <c r="K211" s="51">
        <f>IF($G211=0,0,IF(INDEX(Employees!$I$5:$I$29,$A211)="Per pay period",(N(INDEX(Employees!$J$5:$J$29,$A211))+$J211)/Settings!$B$13,IF(INDEX(Employees!$I$5:$I$29,$A211)="Per hour worked",N(INDEX(Employees!$K$5:$K$29,$A211))*$I211,IF(INDEX(Employees!$I$5:$I$29,$A211)="Front-loaded",IF(OR($B211=1,N($G210)=0),N(INDEX(Employees!$J$5:$J$29,$A211))+$J211,0),0))))</f>
        <v/>
      </c>
      <c r="L211" s="51">
        <f>IF($F211=0,0,SUMIFS('Time Off Log'!$H$5:$H$504,'Time Off Log'!$A$5:$A$504,$C211,'Time Off Log'!$B$5:$B$504,"PTO",'Time Off Log'!$E$5:$E$504,"Approved",'Time Off Log'!$C$5:$C$504,"&gt;="&amp;INDEX(Periods!$E$5:$E$57,$B211),'Time Off Log'!$C$5:$C$504,"&lt;="&amp;INDEX(Periods!$F$5:$F$57,$B211)))</f>
        <v/>
      </c>
      <c r="M211" s="51">
        <f>IF($B211=1,N(INDEX(Employees!$N$5:$N$29,$A211)),P210)</f>
        <v/>
      </c>
      <c r="N211" s="51">
        <f>IF(INDEX(Employees!$L$5:$L$29,$A211)="",K211,MAX(0,MIN(K211,INDEX(Employees!$L$5:$L$29,$A211)-(M211-L211))))</f>
        <v/>
      </c>
      <c r="O211" s="51">
        <f>K211-N211</f>
        <v/>
      </c>
      <c r="P211" s="51">
        <f>M211-L211+N211</f>
        <v/>
      </c>
      <c r="Q211" s="51">
        <f>IF($G211=0,0,IF(INDEX(Employees!$P$5:$P$29,$A211)="Per pay period",(N(INDEX(Employees!$Q$5:$Q$29,$A211)))/Settings!$B$13,IF(INDEX(Employees!$P$5:$P$29,$A211)="Per hour worked",N(INDEX(Employees!$R$5:$R$29,$A211))*$I211,IF(INDEX(Employees!$P$5:$P$29,$A211)="Front-loaded",IF(OR($B211=1,N($G210)=0),N(INDEX(Employees!$Q$5:$Q$29,$A211)),0),0))))</f>
        <v/>
      </c>
      <c r="R211" s="51">
        <f>IF($F211=0,0,SUMIFS('Time Off Log'!$H$5:$H$504,'Time Off Log'!$A$5:$A$504,$C211,'Time Off Log'!$B$5:$B$504,"Sick",'Time Off Log'!$E$5:$E$504,"Approved",'Time Off Log'!$C$5:$C$504,"&gt;="&amp;INDEX(Periods!$E$5:$E$57,$B211),'Time Off Log'!$C$5:$C$504,"&lt;="&amp;INDEX(Periods!$F$5:$F$57,$B211)))</f>
        <v/>
      </c>
      <c r="S211" s="51">
        <f>IF($B211=1,N(INDEX(Employees!$T$5:$T$29,$A211)),V210)</f>
        <v/>
      </c>
      <c r="T211" s="51">
        <f>IF(INDEX(Employees!$S$5:$S$29,$A211)="",Q211,MAX(0,MIN(Q211,INDEX(Employees!$S$5:$S$29,$A211)-(S211-R211))))</f>
        <v/>
      </c>
      <c r="U211" s="51">
        <f>Q211-T211</f>
        <v/>
      </c>
      <c r="V211" s="51">
        <f>S211-R211+T211</f>
        <v/>
      </c>
    </row>
    <row r="212">
      <c r="A212" s="50" t="n">
        <v>4</v>
      </c>
      <c r="B212" s="50" t="n">
        <v>49</v>
      </c>
      <c r="C212" s="51">
        <f>INDEX(Employees!$B$5:$B$29,$A212)&amp;""</f>
        <v/>
      </c>
      <c r="D212" s="52">
        <f>INDEX(Periods!$B$5:$B$57,$B212)</f>
        <v/>
      </c>
      <c r="E212" s="52">
        <f>INDEX(Periods!$C$5:$C$57,$B212)</f>
        <v/>
      </c>
      <c r="F212" s="50">
        <f>IF(AND($C212&lt;&gt;"",INDEX(Periods!$D$5:$D$57,$B212)=1),1,0)</f>
        <v/>
      </c>
      <c r="G212" s="50">
        <f>IF($F212=0,0,IF(AND(OR(INDEX(Employees!$D$5:$D$29,$A212)="",$E212&gt;=INDEX(Employees!$D$5:$D$29,$A212)+N(INDEX(Employees!$U$5:$U$29,$A212))),OR(INDEX(Employees!$E$5:$E$29,$A212)="",$D212&lt;=INDEX(Employees!$E$5:$E$29,$A212))),1,0))</f>
        <v/>
      </c>
      <c r="H212" s="50">
        <f>IF($G212=0,0,IF(INDEX(Employees!$D$5:$D$29,$A212)="",0,DATEDIF(INDEX(Employees!$D$5:$D$29,$A212),$E212,"y")))</f>
        <v/>
      </c>
      <c r="I212" s="51">
        <f>IF($G212=0,0,IF(INDEX('Hours Worked'!$D$5:$BD$29,$A212,$B212)="",N(INDEX(Employees!$H$5:$H$29,$A212)),INDEX('Hours Worked'!$D$5:$BD$29,$A212,$B212)))</f>
        <v/>
      </c>
      <c r="J212" s="51">
        <f>IF(OR($G212=0,INDEX(Employees!$O$5:$O$29,$A212)&lt;&gt;"Yes"),0,IF(COUNTIF(Settings!$D$4:$D$9,"&lt;="&amp;$H212)=0,0,INDEX(Settings!$E$4:$E$9,COUNTIF(Settings!$D$4:$D$9,"&lt;="&amp;$H212))))</f>
        <v/>
      </c>
      <c r="K212" s="51">
        <f>IF($G212=0,0,IF(INDEX(Employees!$I$5:$I$29,$A212)="Per pay period",(N(INDEX(Employees!$J$5:$J$29,$A212))+$J212)/Settings!$B$13,IF(INDEX(Employees!$I$5:$I$29,$A212)="Per hour worked",N(INDEX(Employees!$K$5:$K$29,$A212))*$I212,IF(INDEX(Employees!$I$5:$I$29,$A212)="Front-loaded",IF(OR($B212=1,N($G211)=0),N(INDEX(Employees!$J$5:$J$29,$A212))+$J212,0),0))))</f>
        <v/>
      </c>
      <c r="L212" s="51">
        <f>IF($F212=0,0,SUMIFS('Time Off Log'!$H$5:$H$504,'Time Off Log'!$A$5:$A$504,$C212,'Time Off Log'!$B$5:$B$504,"PTO",'Time Off Log'!$E$5:$E$504,"Approved",'Time Off Log'!$C$5:$C$504,"&gt;="&amp;INDEX(Periods!$E$5:$E$57,$B212),'Time Off Log'!$C$5:$C$504,"&lt;="&amp;INDEX(Periods!$F$5:$F$57,$B212)))</f>
        <v/>
      </c>
      <c r="M212" s="51">
        <f>IF($B212=1,N(INDEX(Employees!$N$5:$N$29,$A212)),P211)</f>
        <v/>
      </c>
      <c r="N212" s="51">
        <f>IF(INDEX(Employees!$L$5:$L$29,$A212)="",K212,MAX(0,MIN(K212,INDEX(Employees!$L$5:$L$29,$A212)-(M212-L212))))</f>
        <v/>
      </c>
      <c r="O212" s="51">
        <f>K212-N212</f>
        <v/>
      </c>
      <c r="P212" s="51">
        <f>M212-L212+N212</f>
        <v/>
      </c>
      <c r="Q212" s="51">
        <f>IF($G212=0,0,IF(INDEX(Employees!$P$5:$P$29,$A212)="Per pay period",(N(INDEX(Employees!$Q$5:$Q$29,$A212)))/Settings!$B$13,IF(INDEX(Employees!$P$5:$P$29,$A212)="Per hour worked",N(INDEX(Employees!$R$5:$R$29,$A212))*$I212,IF(INDEX(Employees!$P$5:$P$29,$A212)="Front-loaded",IF(OR($B212=1,N($G211)=0),N(INDEX(Employees!$Q$5:$Q$29,$A212)),0),0))))</f>
        <v/>
      </c>
      <c r="R212" s="51">
        <f>IF($F212=0,0,SUMIFS('Time Off Log'!$H$5:$H$504,'Time Off Log'!$A$5:$A$504,$C212,'Time Off Log'!$B$5:$B$504,"Sick",'Time Off Log'!$E$5:$E$504,"Approved",'Time Off Log'!$C$5:$C$504,"&gt;="&amp;INDEX(Periods!$E$5:$E$57,$B212),'Time Off Log'!$C$5:$C$504,"&lt;="&amp;INDEX(Periods!$F$5:$F$57,$B212)))</f>
        <v/>
      </c>
      <c r="S212" s="51">
        <f>IF($B212=1,N(INDEX(Employees!$T$5:$T$29,$A212)),V211)</f>
        <v/>
      </c>
      <c r="T212" s="51">
        <f>IF(INDEX(Employees!$S$5:$S$29,$A212)="",Q212,MAX(0,MIN(Q212,INDEX(Employees!$S$5:$S$29,$A212)-(S212-R212))))</f>
        <v/>
      </c>
      <c r="U212" s="51">
        <f>Q212-T212</f>
        <v/>
      </c>
      <c r="V212" s="51">
        <f>S212-R212+T212</f>
        <v/>
      </c>
    </row>
    <row r="213">
      <c r="A213" s="50" t="n">
        <v>4</v>
      </c>
      <c r="B213" s="50" t="n">
        <v>50</v>
      </c>
      <c r="C213" s="51">
        <f>INDEX(Employees!$B$5:$B$29,$A213)&amp;""</f>
        <v/>
      </c>
      <c r="D213" s="52">
        <f>INDEX(Periods!$B$5:$B$57,$B213)</f>
        <v/>
      </c>
      <c r="E213" s="52">
        <f>INDEX(Periods!$C$5:$C$57,$B213)</f>
        <v/>
      </c>
      <c r="F213" s="50">
        <f>IF(AND($C213&lt;&gt;"",INDEX(Periods!$D$5:$D$57,$B213)=1),1,0)</f>
        <v/>
      </c>
      <c r="G213" s="50">
        <f>IF($F213=0,0,IF(AND(OR(INDEX(Employees!$D$5:$D$29,$A213)="",$E213&gt;=INDEX(Employees!$D$5:$D$29,$A213)+N(INDEX(Employees!$U$5:$U$29,$A213))),OR(INDEX(Employees!$E$5:$E$29,$A213)="",$D213&lt;=INDEX(Employees!$E$5:$E$29,$A213))),1,0))</f>
        <v/>
      </c>
      <c r="H213" s="50">
        <f>IF($G213=0,0,IF(INDEX(Employees!$D$5:$D$29,$A213)="",0,DATEDIF(INDEX(Employees!$D$5:$D$29,$A213),$E213,"y")))</f>
        <v/>
      </c>
      <c r="I213" s="51">
        <f>IF($G213=0,0,IF(INDEX('Hours Worked'!$D$5:$BD$29,$A213,$B213)="",N(INDEX(Employees!$H$5:$H$29,$A213)),INDEX('Hours Worked'!$D$5:$BD$29,$A213,$B213)))</f>
        <v/>
      </c>
      <c r="J213" s="51">
        <f>IF(OR($G213=0,INDEX(Employees!$O$5:$O$29,$A213)&lt;&gt;"Yes"),0,IF(COUNTIF(Settings!$D$4:$D$9,"&lt;="&amp;$H213)=0,0,INDEX(Settings!$E$4:$E$9,COUNTIF(Settings!$D$4:$D$9,"&lt;="&amp;$H213))))</f>
        <v/>
      </c>
      <c r="K213" s="51">
        <f>IF($G213=0,0,IF(INDEX(Employees!$I$5:$I$29,$A213)="Per pay period",(N(INDEX(Employees!$J$5:$J$29,$A213))+$J213)/Settings!$B$13,IF(INDEX(Employees!$I$5:$I$29,$A213)="Per hour worked",N(INDEX(Employees!$K$5:$K$29,$A213))*$I213,IF(INDEX(Employees!$I$5:$I$29,$A213)="Front-loaded",IF(OR($B213=1,N($G212)=0),N(INDEX(Employees!$J$5:$J$29,$A213))+$J213,0),0))))</f>
        <v/>
      </c>
      <c r="L213" s="51">
        <f>IF($F213=0,0,SUMIFS('Time Off Log'!$H$5:$H$504,'Time Off Log'!$A$5:$A$504,$C213,'Time Off Log'!$B$5:$B$504,"PTO",'Time Off Log'!$E$5:$E$504,"Approved",'Time Off Log'!$C$5:$C$504,"&gt;="&amp;INDEX(Periods!$E$5:$E$57,$B213),'Time Off Log'!$C$5:$C$504,"&lt;="&amp;INDEX(Periods!$F$5:$F$57,$B213)))</f>
        <v/>
      </c>
      <c r="M213" s="51">
        <f>IF($B213=1,N(INDEX(Employees!$N$5:$N$29,$A213)),P212)</f>
        <v/>
      </c>
      <c r="N213" s="51">
        <f>IF(INDEX(Employees!$L$5:$L$29,$A213)="",K213,MAX(0,MIN(K213,INDEX(Employees!$L$5:$L$29,$A213)-(M213-L213))))</f>
        <v/>
      </c>
      <c r="O213" s="51">
        <f>K213-N213</f>
        <v/>
      </c>
      <c r="P213" s="51">
        <f>M213-L213+N213</f>
        <v/>
      </c>
      <c r="Q213" s="51">
        <f>IF($G213=0,0,IF(INDEX(Employees!$P$5:$P$29,$A213)="Per pay period",(N(INDEX(Employees!$Q$5:$Q$29,$A213)))/Settings!$B$13,IF(INDEX(Employees!$P$5:$P$29,$A213)="Per hour worked",N(INDEX(Employees!$R$5:$R$29,$A213))*$I213,IF(INDEX(Employees!$P$5:$P$29,$A213)="Front-loaded",IF(OR($B213=1,N($G212)=0),N(INDEX(Employees!$Q$5:$Q$29,$A213)),0),0))))</f>
        <v/>
      </c>
      <c r="R213" s="51">
        <f>IF($F213=0,0,SUMIFS('Time Off Log'!$H$5:$H$504,'Time Off Log'!$A$5:$A$504,$C213,'Time Off Log'!$B$5:$B$504,"Sick",'Time Off Log'!$E$5:$E$504,"Approved",'Time Off Log'!$C$5:$C$504,"&gt;="&amp;INDEX(Periods!$E$5:$E$57,$B213),'Time Off Log'!$C$5:$C$504,"&lt;="&amp;INDEX(Periods!$F$5:$F$57,$B213)))</f>
        <v/>
      </c>
      <c r="S213" s="51">
        <f>IF($B213=1,N(INDEX(Employees!$T$5:$T$29,$A213)),V212)</f>
        <v/>
      </c>
      <c r="T213" s="51">
        <f>IF(INDEX(Employees!$S$5:$S$29,$A213)="",Q213,MAX(0,MIN(Q213,INDEX(Employees!$S$5:$S$29,$A213)-(S213-R213))))</f>
        <v/>
      </c>
      <c r="U213" s="51">
        <f>Q213-T213</f>
        <v/>
      </c>
      <c r="V213" s="51">
        <f>S213-R213+T213</f>
        <v/>
      </c>
    </row>
    <row r="214">
      <c r="A214" s="50" t="n">
        <v>4</v>
      </c>
      <c r="B214" s="50" t="n">
        <v>51</v>
      </c>
      <c r="C214" s="51">
        <f>INDEX(Employees!$B$5:$B$29,$A214)&amp;""</f>
        <v/>
      </c>
      <c r="D214" s="52">
        <f>INDEX(Periods!$B$5:$B$57,$B214)</f>
        <v/>
      </c>
      <c r="E214" s="52">
        <f>INDEX(Periods!$C$5:$C$57,$B214)</f>
        <v/>
      </c>
      <c r="F214" s="50">
        <f>IF(AND($C214&lt;&gt;"",INDEX(Periods!$D$5:$D$57,$B214)=1),1,0)</f>
        <v/>
      </c>
      <c r="G214" s="50">
        <f>IF($F214=0,0,IF(AND(OR(INDEX(Employees!$D$5:$D$29,$A214)="",$E214&gt;=INDEX(Employees!$D$5:$D$29,$A214)+N(INDEX(Employees!$U$5:$U$29,$A214))),OR(INDEX(Employees!$E$5:$E$29,$A214)="",$D214&lt;=INDEX(Employees!$E$5:$E$29,$A214))),1,0))</f>
        <v/>
      </c>
      <c r="H214" s="50">
        <f>IF($G214=0,0,IF(INDEX(Employees!$D$5:$D$29,$A214)="",0,DATEDIF(INDEX(Employees!$D$5:$D$29,$A214),$E214,"y")))</f>
        <v/>
      </c>
      <c r="I214" s="51">
        <f>IF($G214=0,0,IF(INDEX('Hours Worked'!$D$5:$BD$29,$A214,$B214)="",N(INDEX(Employees!$H$5:$H$29,$A214)),INDEX('Hours Worked'!$D$5:$BD$29,$A214,$B214)))</f>
        <v/>
      </c>
      <c r="J214" s="51">
        <f>IF(OR($G214=0,INDEX(Employees!$O$5:$O$29,$A214)&lt;&gt;"Yes"),0,IF(COUNTIF(Settings!$D$4:$D$9,"&lt;="&amp;$H214)=0,0,INDEX(Settings!$E$4:$E$9,COUNTIF(Settings!$D$4:$D$9,"&lt;="&amp;$H214))))</f>
        <v/>
      </c>
      <c r="K214" s="51">
        <f>IF($G214=0,0,IF(INDEX(Employees!$I$5:$I$29,$A214)="Per pay period",(N(INDEX(Employees!$J$5:$J$29,$A214))+$J214)/Settings!$B$13,IF(INDEX(Employees!$I$5:$I$29,$A214)="Per hour worked",N(INDEX(Employees!$K$5:$K$29,$A214))*$I214,IF(INDEX(Employees!$I$5:$I$29,$A214)="Front-loaded",IF(OR($B214=1,N($G213)=0),N(INDEX(Employees!$J$5:$J$29,$A214))+$J214,0),0))))</f>
        <v/>
      </c>
      <c r="L214" s="51">
        <f>IF($F214=0,0,SUMIFS('Time Off Log'!$H$5:$H$504,'Time Off Log'!$A$5:$A$504,$C214,'Time Off Log'!$B$5:$B$504,"PTO",'Time Off Log'!$E$5:$E$504,"Approved",'Time Off Log'!$C$5:$C$504,"&gt;="&amp;INDEX(Periods!$E$5:$E$57,$B214),'Time Off Log'!$C$5:$C$504,"&lt;="&amp;INDEX(Periods!$F$5:$F$57,$B214)))</f>
        <v/>
      </c>
      <c r="M214" s="51">
        <f>IF($B214=1,N(INDEX(Employees!$N$5:$N$29,$A214)),P213)</f>
        <v/>
      </c>
      <c r="N214" s="51">
        <f>IF(INDEX(Employees!$L$5:$L$29,$A214)="",K214,MAX(0,MIN(K214,INDEX(Employees!$L$5:$L$29,$A214)-(M214-L214))))</f>
        <v/>
      </c>
      <c r="O214" s="51">
        <f>K214-N214</f>
        <v/>
      </c>
      <c r="P214" s="51">
        <f>M214-L214+N214</f>
        <v/>
      </c>
      <c r="Q214" s="51">
        <f>IF($G214=0,0,IF(INDEX(Employees!$P$5:$P$29,$A214)="Per pay period",(N(INDEX(Employees!$Q$5:$Q$29,$A214)))/Settings!$B$13,IF(INDEX(Employees!$P$5:$P$29,$A214)="Per hour worked",N(INDEX(Employees!$R$5:$R$29,$A214))*$I214,IF(INDEX(Employees!$P$5:$P$29,$A214)="Front-loaded",IF(OR($B214=1,N($G213)=0),N(INDEX(Employees!$Q$5:$Q$29,$A214)),0),0))))</f>
        <v/>
      </c>
      <c r="R214" s="51">
        <f>IF($F214=0,0,SUMIFS('Time Off Log'!$H$5:$H$504,'Time Off Log'!$A$5:$A$504,$C214,'Time Off Log'!$B$5:$B$504,"Sick",'Time Off Log'!$E$5:$E$504,"Approved",'Time Off Log'!$C$5:$C$504,"&gt;="&amp;INDEX(Periods!$E$5:$E$57,$B214),'Time Off Log'!$C$5:$C$504,"&lt;="&amp;INDEX(Periods!$F$5:$F$57,$B214)))</f>
        <v/>
      </c>
      <c r="S214" s="51">
        <f>IF($B214=1,N(INDEX(Employees!$T$5:$T$29,$A214)),V213)</f>
        <v/>
      </c>
      <c r="T214" s="51">
        <f>IF(INDEX(Employees!$S$5:$S$29,$A214)="",Q214,MAX(0,MIN(Q214,INDEX(Employees!$S$5:$S$29,$A214)-(S214-R214))))</f>
        <v/>
      </c>
      <c r="U214" s="51">
        <f>Q214-T214</f>
        <v/>
      </c>
      <c r="V214" s="51">
        <f>S214-R214+T214</f>
        <v/>
      </c>
    </row>
    <row r="215">
      <c r="A215" s="50" t="n">
        <v>4</v>
      </c>
      <c r="B215" s="50" t="n">
        <v>52</v>
      </c>
      <c r="C215" s="51">
        <f>INDEX(Employees!$B$5:$B$29,$A215)&amp;""</f>
        <v/>
      </c>
      <c r="D215" s="52">
        <f>INDEX(Periods!$B$5:$B$57,$B215)</f>
        <v/>
      </c>
      <c r="E215" s="52">
        <f>INDEX(Periods!$C$5:$C$57,$B215)</f>
        <v/>
      </c>
      <c r="F215" s="50">
        <f>IF(AND($C215&lt;&gt;"",INDEX(Periods!$D$5:$D$57,$B215)=1),1,0)</f>
        <v/>
      </c>
      <c r="G215" s="50">
        <f>IF($F215=0,0,IF(AND(OR(INDEX(Employees!$D$5:$D$29,$A215)="",$E215&gt;=INDEX(Employees!$D$5:$D$29,$A215)+N(INDEX(Employees!$U$5:$U$29,$A215))),OR(INDEX(Employees!$E$5:$E$29,$A215)="",$D215&lt;=INDEX(Employees!$E$5:$E$29,$A215))),1,0))</f>
        <v/>
      </c>
      <c r="H215" s="50">
        <f>IF($G215=0,0,IF(INDEX(Employees!$D$5:$D$29,$A215)="",0,DATEDIF(INDEX(Employees!$D$5:$D$29,$A215),$E215,"y")))</f>
        <v/>
      </c>
      <c r="I215" s="51">
        <f>IF($G215=0,0,IF(INDEX('Hours Worked'!$D$5:$BD$29,$A215,$B215)="",N(INDEX(Employees!$H$5:$H$29,$A215)),INDEX('Hours Worked'!$D$5:$BD$29,$A215,$B215)))</f>
        <v/>
      </c>
      <c r="J215" s="51">
        <f>IF(OR($G215=0,INDEX(Employees!$O$5:$O$29,$A215)&lt;&gt;"Yes"),0,IF(COUNTIF(Settings!$D$4:$D$9,"&lt;="&amp;$H215)=0,0,INDEX(Settings!$E$4:$E$9,COUNTIF(Settings!$D$4:$D$9,"&lt;="&amp;$H215))))</f>
        <v/>
      </c>
      <c r="K215" s="51">
        <f>IF($G215=0,0,IF(INDEX(Employees!$I$5:$I$29,$A215)="Per pay period",(N(INDEX(Employees!$J$5:$J$29,$A215))+$J215)/Settings!$B$13,IF(INDEX(Employees!$I$5:$I$29,$A215)="Per hour worked",N(INDEX(Employees!$K$5:$K$29,$A215))*$I215,IF(INDEX(Employees!$I$5:$I$29,$A215)="Front-loaded",IF(OR($B215=1,N($G214)=0),N(INDEX(Employees!$J$5:$J$29,$A215))+$J215,0),0))))</f>
        <v/>
      </c>
      <c r="L215" s="51">
        <f>IF($F215=0,0,SUMIFS('Time Off Log'!$H$5:$H$504,'Time Off Log'!$A$5:$A$504,$C215,'Time Off Log'!$B$5:$B$504,"PTO",'Time Off Log'!$E$5:$E$504,"Approved",'Time Off Log'!$C$5:$C$504,"&gt;="&amp;INDEX(Periods!$E$5:$E$57,$B215),'Time Off Log'!$C$5:$C$504,"&lt;="&amp;INDEX(Periods!$F$5:$F$57,$B215)))</f>
        <v/>
      </c>
      <c r="M215" s="51">
        <f>IF($B215=1,N(INDEX(Employees!$N$5:$N$29,$A215)),P214)</f>
        <v/>
      </c>
      <c r="N215" s="51">
        <f>IF(INDEX(Employees!$L$5:$L$29,$A215)="",K215,MAX(0,MIN(K215,INDEX(Employees!$L$5:$L$29,$A215)-(M215-L215))))</f>
        <v/>
      </c>
      <c r="O215" s="51">
        <f>K215-N215</f>
        <v/>
      </c>
      <c r="P215" s="51">
        <f>M215-L215+N215</f>
        <v/>
      </c>
      <c r="Q215" s="51">
        <f>IF($G215=0,0,IF(INDEX(Employees!$P$5:$P$29,$A215)="Per pay period",(N(INDEX(Employees!$Q$5:$Q$29,$A215)))/Settings!$B$13,IF(INDEX(Employees!$P$5:$P$29,$A215)="Per hour worked",N(INDEX(Employees!$R$5:$R$29,$A215))*$I215,IF(INDEX(Employees!$P$5:$P$29,$A215)="Front-loaded",IF(OR($B215=1,N($G214)=0),N(INDEX(Employees!$Q$5:$Q$29,$A215)),0),0))))</f>
        <v/>
      </c>
      <c r="R215" s="51">
        <f>IF($F215=0,0,SUMIFS('Time Off Log'!$H$5:$H$504,'Time Off Log'!$A$5:$A$504,$C215,'Time Off Log'!$B$5:$B$504,"Sick",'Time Off Log'!$E$5:$E$504,"Approved",'Time Off Log'!$C$5:$C$504,"&gt;="&amp;INDEX(Periods!$E$5:$E$57,$B215),'Time Off Log'!$C$5:$C$504,"&lt;="&amp;INDEX(Periods!$F$5:$F$57,$B215)))</f>
        <v/>
      </c>
      <c r="S215" s="51">
        <f>IF($B215=1,N(INDEX(Employees!$T$5:$T$29,$A215)),V214)</f>
        <v/>
      </c>
      <c r="T215" s="51">
        <f>IF(INDEX(Employees!$S$5:$S$29,$A215)="",Q215,MAX(0,MIN(Q215,INDEX(Employees!$S$5:$S$29,$A215)-(S215-R215))))</f>
        <v/>
      </c>
      <c r="U215" s="51">
        <f>Q215-T215</f>
        <v/>
      </c>
      <c r="V215" s="51">
        <f>S215-R215+T215</f>
        <v/>
      </c>
    </row>
    <row r="216">
      <c r="A216" s="50" t="n">
        <v>4</v>
      </c>
      <c r="B216" s="50" t="n">
        <v>53</v>
      </c>
      <c r="C216" s="51">
        <f>INDEX(Employees!$B$5:$B$29,$A216)&amp;""</f>
        <v/>
      </c>
      <c r="D216" s="52">
        <f>INDEX(Periods!$B$5:$B$57,$B216)</f>
        <v/>
      </c>
      <c r="E216" s="52">
        <f>INDEX(Periods!$C$5:$C$57,$B216)</f>
        <v/>
      </c>
      <c r="F216" s="50">
        <f>IF(AND($C216&lt;&gt;"",INDEX(Periods!$D$5:$D$57,$B216)=1),1,0)</f>
        <v/>
      </c>
      <c r="G216" s="50">
        <f>IF($F216=0,0,IF(AND(OR(INDEX(Employees!$D$5:$D$29,$A216)="",$E216&gt;=INDEX(Employees!$D$5:$D$29,$A216)+N(INDEX(Employees!$U$5:$U$29,$A216))),OR(INDEX(Employees!$E$5:$E$29,$A216)="",$D216&lt;=INDEX(Employees!$E$5:$E$29,$A216))),1,0))</f>
        <v/>
      </c>
      <c r="H216" s="50">
        <f>IF($G216=0,0,IF(INDEX(Employees!$D$5:$D$29,$A216)="",0,DATEDIF(INDEX(Employees!$D$5:$D$29,$A216),$E216,"y")))</f>
        <v/>
      </c>
      <c r="I216" s="51">
        <f>IF($G216=0,0,IF(INDEX('Hours Worked'!$D$5:$BD$29,$A216,$B216)="",N(INDEX(Employees!$H$5:$H$29,$A216)),INDEX('Hours Worked'!$D$5:$BD$29,$A216,$B216)))</f>
        <v/>
      </c>
      <c r="J216" s="51">
        <f>IF(OR($G216=0,INDEX(Employees!$O$5:$O$29,$A216)&lt;&gt;"Yes"),0,IF(COUNTIF(Settings!$D$4:$D$9,"&lt;="&amp;$H216)=0,0,INDEX(Settings!$E$4:$E$9,COUNTIF(Settings!$D$4:$D$9,"&lt;="&amp;$H216))))</f>
        <v/>
      </c>
      <c r="K216" s="51">
        <f>IF($G216=0,0,IF(INDEX(Employees!$I$5:$I$29,$A216)="Per pay period",(N(INDEX(Employees!$J$5:$J$29,$A216))+$J216)/Settings!$B$13,IF(INDEX(Employees!$I$5:$I$29,$A216)="Per hour worked",N(INDEX(Employees!$K$5:$K$29,$A216))*$I216,IF(INDEX(Employees!$I$5:$I$29,$A216)="Front-loaded",IF(OR($B216=1,N($G215)=0),N(INDEX(Employees!$J$5:$J$29,$A216))+$J216,0),0))))</f>
        <v/>
      </c>
      <c r="L216" s="51">
        <f>IF($F216=0,0,SUMIFS('Time Off Log'!$H$5:$H$504,'Time Off Log'!$A$5:$A$504,$C216,'Time Off Log'!$B$5:$B$504,"PTO",'Time Off Log'!$E$5:$E$504,"Approved",'Time Off Log'!$C$5:$C$504,"&gt;="&amp;INDEX(Periods!$E$5:$E$57,$B216),'Time Off Log'!$C$5:$C$504,"&lt;="&amp;INDEX(Periods!$F$5:$F$57,$B216)))</f>
        <v/>
      </c>
      <c r="M216" s="51">
        <f>IF($B216=1,N(INDEX(Employees!$N$5:$N$29,$A216)),P215)</f>
        <v/>
      </c>
      <c r="N216" s="51">
        <f>IF(INDEX(Employees!$L$5:$L$29,$A216)="",K216,MAX(0,MIN(K216,INDEX(Employees!$L$5:$L$29,$A216)-(M216-L216))))</f>
        <v/>
      </c>
      <c r="O216" s="51">
        <f>K216-N216</f>
        <v/>
      </c>
      <c r="P216" s="51">
        <f>M216-L216+N216</f>
        <v/>
      </c>
      <c r="Q216" s="51">
        <f>IF($G216=0,0,IF(INDEX(Employees!$P$5:$P$29,$A216)="Per pay period",(N(INDEX(Employees!$Q$5:$Q$29,$A216)))/Settings!$B$13,IF(INDEX(Employees!$P$5:$P$29,$A216)="Per hour worked",N(INDEX(Employees!$R$5:$R$29,$A216))*$I216,IF(INDEX(Employees!$P$5:$P$29,$A216)="Front-loaded",IF(OR($B216=1,N($G215)=0),N(INDEX(Employees!$Q$5:$Q$29,$A216)),0),0))))</f>
        <v/>
      </c>
      <c r="R216" s="51">
        <f>IF($F216=0,0,SUMIFS('Time Off Log'!$H$5:$H$504,'Time Off Log'!$A$5:$A$504,$C216,'Time Off Log'!$B$5:$B$504,"Sick",'Time Off Log'!$E$5:$E$504,"Approved",'Time Off Log'!$C$5:$C$504,"&gt;="&amp;INDEX(Periods!$E$5:$E$57,$B216),'Time Off Log'!$C$5:$C$504,"&lt;="&amp;INDEX(Periods!$F$5:$F$57,$B216)))</f>
        <v/>
      </c>
      <c r="S216" s="51">
        <f>IF($B216=1,N(INDEX(Employees!$T$5:$T$29,$A216)),V215)</f>
        <v/>
      </c>
      <c r="T216" s="51">
        <f>IF(INDEX(Employees!$S$5:$S$29,$A216)="",Q216,MAX(0,MIN(Q216,INDEX(Employees!$S$5:$S$29,$A216)-(S216-R216))))</f>
        <v/>
      </c>
      <c r="U216" s="51">
        <f>Q216-T216</f>
        <v/>
      </c>
      <c r="V216" s="51">
        <f>S216-R216+T216</f>
        <v/>
      </c>
    </row>
    <row r="217">
      <c r="A217" s="47" t="n">
        <v>5</v>
      </c>
      <c r="B217" s="47" t="n">
        <v>1</v>
      </c>
      <c r="C217" s="48">
        <f>INDEX(Employees!$B$5:$B$29,$A217)&amp;""</f>
        <v/>
      </c>
      <c r="D217" s="49">
        <f>INDEX(Periods!$B$5:$B$57,$B217)</f>
        <v/>
      </c>
      <c r="E217" s="49">
        <f>INDEX(Periods!$C$5:$C$57,$B217)</f>
        <v/>
      </c>
      <c r="F217" s="47">
        <f>IF(AND($C217&lt;&gt;"",INDEX(Periods!$D$5:$D$57,$B217)=1),1,0)</f>
        <v/>
      </c>
      <c r="G217" s="47">
        <f>IF($F217=0,0,IF(AND(OR(INDEX(Employees!$D$5:$D$29,$A217)="",$E217&gt;=INDEX(Employees!$D$5:$D$29,$A217)+N(INDEX(Employees!$U$5:$U$29,$A217))),OR(INDEX(Employees!$E$5:$E$29,$A217)="",$D217&lt;=INDEX(Employees!$E$5:$E$29,$A217))),1,0))</f>
        <v/>
      </c>
      <c r="H217" s="47">
        <f>IF($G217=0,0,IF(INDEX(Employees!$D$5:$D$29,$A217)="",0,DATEDIF(INDEX(Employees!$D$5:$D$29,$A217),$E217,"y")))</f>
        <v/>
      </c>
      <c r="I217" s="48">
        <f>IF($G217=0,0,IF(INDEX('Hours Worked'!$D$5:$BD$29,$A217,$B217)="",N(INDEX(Employees!$H$5:$H$29,$A217)),INDEX('Hours Worked'!$D$5:$BD$29,$A217,$B217)))</f>
        <v/>
      </c>
      <c r="J217" s="48">
        <f>IF(OR($G217=0,INDEX(Employees!$O$5:$O$29,$A217)&lt;&gt;"Yes"),0,IF(COUNTIF(Settings!$D$4:$D$9,"&lt;="&amp;$H217)=0,0,INDEX(Settings!$E$4:$E$9,COUNTIF(Settings!$D$4:$D$9,"&lt;="&amp;$H217))))</f>
        <v/>
      </c>
      <c r="K217" s="48">
        <f>IF($G217=0,0,IF(INDEX(Employees!$I$5:$I$29,$A217)="Per pay period",(N(INDEX(Employees!$J$5:$J$29,$A217))+$J217)/Settings!$B$13,IF(INDEX(Employees!$I$5:$I$29,$A217)="Per hour worked",N(INDEX(Employees!$K$5:$K$29,$A217))*$I217,IF(INDEX(Employees!$I$5:$I$29,$A217)="Front-loaded",IF(OR($B217=1,N($G216)=0),N(INDEX(Employees!$J$5:$J$29,$A217))+$J217,0),0))))</f>
        <v/>
      </c>
      <c r="L217" s="48">
        <f>IF($F217=0,0,SUMIFS('Time Off Log'!$H$5:$H$504,'Time Off Log'!$A$5:$A$504,$C217,'Time Off Log'!$B$5:$B$504,"PTO",'Time Off Log'!$E$5:$E$504,"Approved",'Time Off Log'!$C$5:$C$504,"&gt;="&amp;INDEX(Periods!$E$5:$E$57,$B217),'Time Off Log'!$C$5:$C$504,"&lt;="&amp;INDEX(Periods!$F$5:$F$57,$B217)))</f>
        <v/>
      </c>
      <c r="M217" s="48">
        <f>N(INDEX(Employees!$N$5:$N$29,$A217))</f>
        <v/>
      </c>
      <c r="N217" s="48">
        <f>IF(INDEX(Employees!$L$5:$L$29,$A217)="",K217,MAX(0,MIN(K217,INDEX(Employees!$L$5:$L$29,$A217)-(M217-L217))))</f>
        <v/>
      </c>
      <c r="O217" s="48">
        <f>K217-N217</f>
        <v/>
      </c>
      <c r="P217" s="48">
        <f>M217-L217+N217</f>
        <v/>
      </c>
      <c r="Q217" s="48">
        <f>IF($G217=0,0,IF(INDEX(Employees!$P$5:$P$29,$A217)="Per pay period",(N(INDEX(Employees!$Q$5:$Q$29,$A217)))/Settings!$B$13,IF(INDEX(Employees!$P$5:$P$29,$A217)="Per hour worked",N(INDEX(Employees!$R$5:$R$29,$A217))*$I217,IF(INDEX(Employees!$P$5:$P$29,$A217)="Front-loaded",IF(OR($B217=1,N($G216)=0),N(INDEX(Employees!$Q$5:$Q$29,$A217)),0),0))))</f>
        <v/>
      </c>
      <c r="R217" s="48">
        <f>IF($F217=0,0,SUMIFS('Time Off Log'!$H$5:$H$504,'Time Off Log'!$A$5:$A$504,$C217,'Time Off Log'!$B$5:$B$504,"Sick",'Time Off Log'!$E$5:$E$504,"Approved",'Time Off Log'!$C$5:$C$504,"&gt;="&amp;INDEX(Periods!$E$5:$E$57,$B217),'Time Off Log'!$C$5:$C$504,"&lt;="&amp;INDEX(Periods!$F$5:$F$57,$B217)))</f>
        <v/>
      </c>
      <c r="S217" s="48">
        <f>N(INDEX(Employees!$T$5:$T$29,$A217))</f>
        <v/>
      </c>
      <c r="T217" s="48">
        <f>IF(INDEX(Employees!$S$5:$S$29,$A217)="",Q217,MAX(0,MIN(Q217,INDEX(Employees!$S$5:$S$29,$A217)-(S217-R217))))</f>
        <v/>
      </c>
      <c r="U217" s="48">
        <f>Q217-T217</f>
        <v/>
      </c>
      <c r="V217" s="48">
        <f>S217-R217+T217</f>
        <v/>
      </c>
    </row>
    <row r="218">
      <c r="A218" s="47" t="n">
        <v>5</v>
      </c>
      <c r="B218" s="47" t="n">
        <v>2</v>
      </c>
      <c r="C218" s="48">
        <f>INDEX(Employees!$B$5:$B$29,$A218)&amp;""</f>
        <v/>
      </c>
      <c r="D218" s="49">
        <f>INDEX(Periods!$B$5:$B$57,$B218)</f>
        <v/>
      </c>
      <c r="E218" s="49">
        <f>INDEX(Periods!$C$5:$C$57,$B218)</f>
        <v/>
      </c>
      <c r="F218" s="47">
        <f>IF(AND($C218&lt;&gt;"",INDEX(Periods!$D$5:$D$57,$B218)=1),1,0)</f>
        <v/>
      </c>
      <c r="G218" s="47">
        <f>IF($F218=0,0,IF(AND(OR(INDEX(Employees!$D$5:$D$29,$A218)="",$E218&gt;=INDEX(Employees!$D$5:$D$29,$A218)+N(INDEX(Employees!$U$5:$U$29,$A218))),OR(INDEX(Employees!$E$5:$E$29,$A218)="",$D218&lt;=INDEX(Employees!$E$5:$E$29,$A218))),1,0))</f>
        <v/>
      </c>
      <c r="H218" s="47">
        <f>IF($G218=0,0,IF(INDEX(Employees!$D$5:$D$29,$A218)="",0,DATEDIF(INDEX(Employees!$D$5:$D$29,$A218),$E218,"y")))</f>
        <v/>
      </c>
      <c r="I218" s="48">
        <f>IF($G218=0,0,IF(INDEX('Hours Worked'!$D$5:$BD$29,$A218,$B218)="",N(INDEX(Employees!$H$5:$H$29,$A218)),INDEX('Hours Worked'!$D$5:$BD$29,$A218,$B218)))</f>
        <v/>
      </c>
      <c r="J218" s="48">
        <f>IF(OR($G218=0,INDEX(Employees!$O$5:$O$29,$A218)&lt;&gt;"Yes"),0,IF(COUNTIF(Settings!$D$4:$D$9,"&lt;="&amp;$H218)=0,0,INDEX(Settings!$E$4:$E$9,COUNTIF(Settings!$D$4:$D$9,"&lt;="&amp;$H218))))</f>
        <v/>
      </c>
      <c r="K218" s="48">
        <f>IF($G218=0,0,IF(INDEX(Employees!$I$5:$I$29,$A218)="Per pay period",(N(INDEX(Employees!$J$5:$J$29,$A218))+$J218)/Settings!$B$13,IF(INDEX(Employees!$I$5:$I$29,$A218)="Per hour worked",N(INDEX(Employees!$K$5:$K$29,$A218))*$I218,IF(INDEX(Employees!$I$5:$I$29,$A218)="Front-loaded",IF(OR($B218=1,N($G217)=0),N(INDEX(Employees!$J$5:$J$29,$A218))+$J218,0),0))))</f>
        <v/>
      </c>
      <c r="L218" s="48">
        <f>IF($F218=0,0,SUMIFS('Time Off Log'!$H$5:$H$504,'Time Off Log'!$A$5:$A$504,$C218,'Time Off Log'!$B$5:$B$504,"PTO",'Time Off Log'!$E$5:$E$504,"Approved",'Time Off Log'!$C$5:$C$504,"&gt;="&amp;INDEX(Periods!$E$5:$E$57,$B218),'Time Off Log'!$C$5:$C$504,"&lt;="&amp;INDEX(Periods!$F$5:$F$57,$B218)))</f>
        <v/>
      </c>
      <c r="M218" s="48">
        <f>IF($B218=1,N(INDEX(Employees!$N$5:$N$29,$A218)),P217)</f>
        <v/>
      </c>
      <c r="N218" s="48">
        <f>IF(INDEX(Employees!$L$5:$L$29,$A218)="",K218,MAX(0,MIN(K218,INDEX(Employees!$L$5:$L$29,$A218)-(M218-L218))))</f>
        <v/>
      </c>
      <c r="O218" s="48">
        <f>K218-N218</f>
        <v/>
      </c>
      <c r="P218" s="48">
        <f>M218-L218+N218</f>
        <v/>
      </c>
      <c r="Q218" s="48">
        <f>IF($G218=0,0,IF(INDEX(Employees!$P$5:$P$29,$A218)="Per pay period",(N(INDEX(Employees!$Q$5:$Q$29,$A218)))/Settings!$B$13,IF(INDEX(Employees!$P$5:$P$29,$A218)="Per hour worked",N(INDEX(Employees!$R$5:$R$29,$A218))*$I218,IF(INDEX(Employees!$P$5:$P$29,$A218)="Front-loaded",IF(OR($B218=1,N($G217)=0),N(INDEX(Employees!$Q$5:$Q$29,$A218)),0),0))))</f>
        <v/>
      </c>
      <c r="R218" s="48">
        <f>IF($F218=0,0,SUMIFS('Time Off Log'!$H$5:$H$504,'Time Off Log'!$A$5:$A$504,$C218,'Time Off Log'!$B$5:$B$504,"Sick",'Time Off Log'!$E$5:$E$504,"Approved",'Time Off Log'!$C$5:$C$504,"&gt;="&amp;INDEX(Periods!$E$5:$E$57,$B218),'Time Off Log'!$C$5:$C$504,"&lt;="&amp;INDEX(Periods!$F$5:$F$57,$B218)))</f>
        <v/>
      </c>
      <c r="S218" s="48">
        <f>IF($B218=1,N(INDEX(Employees!$T$5:$T$29,$A218)),V217)</f>
        <v/>
      </c>
      <c r="T218" s="48">
        <f>IF(INDEX(Employees!$S$5:$S$29,$A218)="",Q218,MAX(0,MIN(Q218,INDEX(Employees!$S$5:$S$29,$A218)-(S218-R218))))</f>
        <v/>
      </c>
      <c r="U218" s="48">
        <f>Q218-T218</f>
        <v/>
      </c>
      <c r="V218" s="48">
        <f>S218-R218+T218</f>
        <v/>
      </c>
    </row>
    <row r="219">
      <c r="A219" s="47" t="n">
        <v>5</v>
      </c>
      <c r="B219" s="47" t="n">
        <v>3</v>
      </c>
      <c r="C219" s="48">
        <f>INDEX(Employees!$B$5:$B$29,$A219)&amp;""</f>
        <v/>
      </c>
      <c r="D219" s="49">
        <f>INDEX(Periods!$B$5:$B$57,$B219)</f>
        <v/>
      </c>
      <c r="E219" s="49">
        <f>INDEX(Periods!$C$5:$C$57,$B219)</f>
        <v/>
      </c>
      <c r="F219" s="47">
        <f>IF(AND($C219&lt;&gt;"",INDEX(Periods!$D$5:$D$57,$B219)=1),1,0)</f>
        <v/>
      </c>
      <c r="G219" s="47">
        <f>IF($F219=0,0,IF(AND(OR(INDEX(Employees!$D$5:$D$29,$A219)="",$E219&gt;=INDEX(Employees!$D$5:$D$29,$A219)+N(INDEX(Employees!$U$5:$U$29,$A219))),OR(INDEX(Employees!$E$5:$E$29,$A219)="",$D219&lt;=INDEX(Employees!$E$5:$E$29,$A219))),1,0))</f>
        <v/>
      </c>
      <c r="H219" s="47">
        <f>IF($G219=0,0,IF(INDEX(Employees!$D$5:$D$29,$A219)="",0,DATEDIF(INDEX(Employees!$D$5:$D$29,$A219),$E219,"y")))</f>
        <v/>
      </c>
      <c r="I219" s="48">
        <f>IF($G219=0,0,IF(INDEX('Hours Worked'!$D$5:$BD$29,$A219,$B219)="",N(INDEX(Employees!$H$5:$H$29,$A219)),INDEX('Hours Worked'!$D$5:$BD$29,$A219,$B219)))</f>
        <v/>
      </c>
      <c r="J219" s="48">
        <f>IF(OR($G219=0,INDEX(Employees!$O$5:$O$29,$A219)&lt;&gt;"Yes"),0,IF(COUNTIF(Settings!$D$4:$D$9,"&lt;="&amp;$H219)=0,0,INDEX(Settings!$E$4:$E$9,COUNTIF(Settings!$D$4:$D$9,"&lt;="&amp;$H219))))</f>
        <v/>
      </c>
      <c r="K219" s="48">
        <f>IF($G219=0,0,IF(INDEX(Employees!$I$5:$I$29,$A219)="Per pay period",(N(INDEX(Employees!$J$5:$J$29,$A219))+$J219)/Settings!$B$13,IF(INDEX(Employees!$I$5:$I$29,$A219)="Per hour worked",N(INDEX(Employees!$K$5:$K$29,$A219))*$I219,IF(INDEX(Employees!$I$5:$I$29,$A219)="Front-loaded",IF(OR($B219=1,N($G218)=0),N(INDEX(Employees!$J$5:$J$29,$A219))+$J219,0),0))))</f>
        <v/>
      </c>
      <c r="L219" s="48">
        <f>IF($F219=0,0,SUMIFS('Time Off Log'!$H$5:$H$504,'Time Off Log'!$A$5:$A$504,$C219,'Time Off Log'!$B$5:$B$504,"PTO",'Time Off Log'!$E$5:$E$504,"Approved",'Time Off Log'!$C$5:$C$504,"&gt;="&amp;INDEX(Periods!$E$5:$E$57,$B219),'Time Off Log'!$C$5:$C$504,"&lt;="&amp;INDEX(Periods!$F$5:$F$57,$B219)))</f>
        <v/>
      </c>
      <c r="M219" s="48">
        <f>IF($B219=1,N(INDEX(Employees!$N$5:$N$29,$A219)),P218)</f>
        <v/>
      </c>
      <c r="N219" s="48">
        <f>IF(INDEX(Employees!$L$5:$L$29,$A219)="",K219,MAX(0,MIN(K219,INDEX(Employees!$L$5:$L$29,$A219)-(M219-L219))))</f>
        <v/>
      </c>
      <c r="O219" s="48">
        <f>K219-N219</f>
        <v/>
      </c>
      <c r="P219" s="48">
        <f>M219-L219+N219</f>
        <v/>
      </c>
      <c r="Q219" s="48">
        <f>IF($G219=0,0,IF(INDEX(Employees!$P$5:$P$29,$A219)="Per pay period",(N(INDEX(Employees!$Q$5:$Q$29,$A219)))/Settings!$B$13,IF(INDEX(Employees!$P$5:$P$29,$A219)="Per hour worked",N(INDEX(Employees!$R$5:$R$29,$A219))*$I219,IF(INDEX(Employees!$P$5:$P$29,$A219)="Front-loaded",IF(OR($B219=1,N($G218)=0),N(INDEX(Employees!$Q$5:$Q$29,$A219)),0),0))))</f>
        <v/>
      </c>
      <c r="R219" s="48">
        <f>IF($F219=0,0,SUMIFS('Time Off Log'!$H$5:$H$504,'Time Off Log'!$A$5:$A$504,$C219,'Time Off Log'!$B$5:$B$504,"Sick",'Time Off Log'!$E$5:$E$504,"Approved",'Time Off Log'!$C$5:$C$504,"&gt;="&amp;INDEX(Periods!$E$5:$E$57,$B219),'Time Off Log'!$C$5:$C$504,"&lt;="&amp;INDEX(Periods!$F$5:$F$57,$B219)))</f>
        <v/>
      </c>
      <c r="S219" s="48">
        <f>IF($B219=1,N(INDEX(Employees!$T$5:$T$29,$A219)),V218)</f>
        <v/>
      </c>
      <c r="T219" s="48">
        <f>IF(INDEX(Employees!$S$5:$S$29,$A219)="",Q219,MAX(0,MIN(Q219,INDEX(Employees!$S$5:$S$29,$A219)-(S219-R219))))</f>
        <v/>
      </c>
      <c r="U219" s="48">
        <f>Q219-T219</f>
        <v/>
      </c>
      <c r="V219" s="48">
        <f>S219-R219+T219</f>
        <v/>
      </c>
    </row>
    <row r="220">
      <c r="A220" s="47" t="n">
        <v>5</v>
      </c>
      <c r="B220" s="47" t="n">
        <v>4</v>
      </c>
      <c r="C220" s="48">
        <f>INDEX(Employees!$B$5:$B$29,$A220)&amp;""</f>
        <v/>
      </c>
      <c r="D220" s="49">
        <f>INDEX(Periods!$B$5:$B$57,$B220)</f>
        <v/>
      </c>
      <c r="E220" s="49">
        <f>INDEX(Periods!$C$5:$C$57,$B220)</f>
        <v/>
      </c>
      <c r="F220" s="47">
        <f>IF(AND($C220&lt;&gt;"",INDEX(Periods!$D$5:$D$57,$B220)=1),1,0)</f>
        <v/>
      </c>
      <c r="G220" s="47">
        <f>IF($F220=0,0,IF(AND(OR(INDEX(Employees!$D$5:$D$29,$A220)="",$E220&gt;=INDEX(Employees!$D$5:$D$29,$A220)+N(INDEX(Employees!$U$5:$U$29,$A220))),OR(INDEX(Employees!$E$5:$E$29,$A220)="",$D220&lt;=INDEX(Employees!$E$5:$E$29,$A220))),1,0))</f>
        <v/>
      </c>
      <c r="H220" s="47">
        <f>IF($G220=0,0,IF(INDEX(Employees!$D$5:$D$29,$A220)="",0,DATEDIF(INDEX(Employees!$D$5:$D$29,$A220),$E220,"y")))</f>
        <v/>
      </c>
      <c r="I220" s="48">
        <f>IF($G220=0,0,IF(INDEX('Hours Worked'!$D$5:$BD$29,$A220,$B220)="",N(INDEX(Employees!$H$5:$H$29,$A220)),INDEX('Hours Worked'!$D$5:$BD$29,$A220,$B220)))</f>
        <v/>
      </c>
      <c r="J220" s="48">
        <f>IF(OR($G220=0,INDEX(Employees!$O$5:$O$29,$A220)&lt;&gt;"Yes"),0,IF(COUNTIF(Settings!$D$4:$D$9,"&lt;="&amp;$H220)=0,0,INDEX(Settings!$E$4:$E$9,COUNTIF(Settings!$D$4:$D$9,"&lt;="&amp;$H220))))</f>
        <v/>
      </c>
      <c r="K220" s="48">
        <f>IF($G220=0,0,IF(INDEX(Employees!$I$5:$I$29,$A220)="Per pay period",(N(INDEX(Employees!$J$5:$J$29,$A220))+$J220)/Settings!$B$13,IF(INDEX(Employees!$I$5:$I$29,$A220)="Per hour worked",N(INDEX(Employees!$K$5:$K$29,$A220))*$I220,IF(INDEX(Employees!$I$5:$I$29,$A220)="Front-loaded",IF(OR($B220=1,N($G219)=0),N(INDEX(Employees!$J$5:$J$29,$A220))+$J220,0),0))))</f>
        <v/>
      </c>
      <c r="L220" s="48">
        <f>IF($F220=0,0,SUMIFS('Time Off Log'!$H$5:$H$504,'Time Off Log'!$A$5:$A$504,$C220,'Time Off Log'!$B$5:$B$504,"PTO",'Time Off Log'!$E$5:$E$504,"Approved",'Time Off Log'!$C$5:$C$504,"&gt;="&amp;INDEX(Periods!$E$5:$E$57,$B220),'Time Off Log'!$C$5:$C$504,"&lt;="&amp;INDEX(Periods!$F$5:$F$57,$B220)))</f>
        <v/>
      </c>
      <c r="M220" s="48">
        <f>IF($B220=1,N(INDEX(Employees!$N$5:$N$29,$A220)),P219)</f>
        <v/>
      </c>
      <c r="N220" s="48">
        <f>IF(INDEX(Employees!$L$5:$L$29,$A220)="",K220,MAX(0,MIN(K220,INDEX(Employees!$L$5:$L$29,$A220)-(M220-L220))))</f>
        <v/>
      </c>
      <c r="O220" s="48">
        <f>K220-N220</f>
        <v/>
      </c>
      <c r="P220" s="48">
        <f>M220-L220+N220</f>
        <v/>
      </c>
      <c r="Q220" s="48">
        <f>IF($G220=0,0,IF(INDEX(Employees!$P$5:$P$29,$A220)="Per pay period",(N(INDEX(Employees!$Q$5:$Q$29,$A220)))/Settings!$B$13,IF(INDEX(Employees!$P$5:$P$29,$A220)="Per hour worked",N(INDEX(Employees!$R$5:$R$29,$A220))*$I220,IF(INDEX(Employees!$P$5:$P$29,$A220)="Front-loaded",IF(OR($B220=1,N($G219)=0),N(INDEX(Employees!$Q$5:$Q$29,$A220)),0),0))))</f>
        <v/>
      </c>
      <c r="R220" s="48">
        <f>IF($F220=0,0,SUMIFS('Time Off Log'!$H$5:$H$504,'Time Off Log'!$A$5:$A$504,$C220,'Time Off Log'!$B$5:$B$504,"Sick",'Time Off Log'!$E$5:$E$504,"Approved",'Time Off Log'!$C$5:$C$504,"&gt;="&amp;INDEX(Periods!$E$5:$E$57,$B220),'Time Off Log'!$C$5:$C$504,"&lt;="&amp;INDEX(Periods!$F$5:$F$57,$B220)))</f>
        <v/>
      </c>
      <c r="S220" s="48">
        <f>IF($B220=1,N(INDEX(Employees!$T$5:$T$29,$A220)),V219)</f>
        <v/>
      </c>
      <c r="T220" s="48">
        <f>IF(INDEX(Employees!$S$5:$S$29,$A220)="",Q220,MAX(0,MIN(Q220,INDEX(Employees!$S$5:$S$29,$A220)-(S220-R220))))</f>
        <v/>
      </c>
      <c r="U220" s="48">
        <f>Q220-T220</f>
        <v/>
      </c>
      <c r="V220" s="48">
        <f>S220-R220+T220</f>
        <v/>
      </c>
    </row>
    <row r="221">
      <c r="A221" s="47" t="n">
        <v>5</v>
      </c>
      <c r="B221" s="47" t="n">
        <v>5</v>
      </c>
      <c r="C221" s="48">
        <f>INDEX(Employees!$B$5:$B$29,$A221)&amp;""</f>
        <v/>
      </c>
      <c r="D221" s="49">
        <f>INDEX(Periods!$B$5:$B$57,$B221)</f>
        <v/>
      </c>
      <c r="E221" s="49">
        <f>INDEX(Periods!$C$5:$C$57,$B221)</f>
        <v/>
      </c>
      <c r="F221" s="47">
        <f>IF(AND($C221&lt;&gt;"",INDEX(Periods!$D$5:$D$57,$B221)=1),1,0)</f>
        <v/>
      </c>
      <c r="G221" s="47">
        <f>IF($F221=0,0,IF(AND(OR(INDEX(Employees!$D$5:$D$29,$A221)="",$E221&gt;=INDEX(Employees!$D$5:$D$29,$A221)+N(INDEX(Employees!$U$5:$U$29,$A221))),OR(INDEX(Employees!$E$5:$E$29,$A221)="",$D221&lt;=INDEX(Employees!$E$5:$E$29,$A221))),1,0))</f>
        <v/>
      </c>
      <c r="H221" s="47">
        <f>IF($G221=0,0,IF(INDEX(Employees!$D$5:$D$29,$A221)="",0,DATEDIF(INDEX(Employees!$D$5:$D$29,$A221),$E221,"y")))</f>
        <v/>
      </c>
      <c r="I221" s="48">
        <f>IF($G221=0,0,IF(INDEX('Hours Worked'!$D$5:$BD$29,$A221,$B221)="",N(INDEX(Employees!$H$5:$H$29,$A221)),INDEX('Hours Worked'!$D$5:$BD$29,$A221,$B221)))</f>
        <v/>
      </c>
      <c r="J221" s="48">
        <f>IF(OR($G221=0,INDEX(Employees!$O$5:$O$29,$A221)&lt;&gt;"Yes"),0,IF(COUNTIF(Settings!$D$4:$D$9,"&lt;="&amp;$H221)=0,0,INDEX(Settings!$E$4:$E$9,COUNTIF(Settings!$D$4:$D$9,"&lt;="&amp;$H221))))</f>
        <v/>
      </c>
      <c r="K221" s="48">
        <f>IF($G221=0,0,IF(INDEX(Employees!$I$5:$I$29,$A221)="Per pay period",(N(INDEX(Employees!$J$5:$J$29,$A221))+$J221)/Settings!$B$13,IF(INDEX(Employees!$I$5:$I$29,$A221)="Per hour worked",N(INDEX(Employees!$K$5:$K$29,$A221))*$I221,IF(INDEX(Employees!$I$5:$I$29,$A221)="Front-loaded",IF(OR($B221=1,N($G220)=0),N(INDEX(Employees!$J$5:$J$29,$A221))+$J221,0),0))))</f>
        <v/>
      </c>
      <c r="L221" s="48">
        <f>IF($F221=0,0,SUMIFS('Time Off Log'!$H$5:$H$504,'Time Off Log'!$A$5:$A$504,$C221,'Time Off Log'!$B$5:$B$504,"PTO",'Time Off Log'!$E$5:$E$504,"Approved",'Time Off Log'!$C$5:$C$504,"&gt;="&amp;INDEX(Periods!$E$5:$E$57,$B221),'Time Off Log'!$C$5:$C$504,"&lt;="&amp;INDEX(Periods!$F$5:$F$57,$B221)))</f>
        <v/>
      </c>
      <c r="M221" s="48">
        <f>IF($B221=1,N(INDEX(Employees!$N$5:$N$29,$A221)),P220)</f>
        <v/>
      </c>
      <c r="N221" s="48">
        <f>IF(INDEX(Employees!$L$5:$L$29,$A221)="",K221,MAX(0,MIN(K221,INDEX(Employees!$L$5:$L$29,$A221)-(M221-L221))))</f>
        <v/>
      </c>
      <c r="O221" s="48">
        <f>K221-N221</f>
        <v/>
      </c>
      <c r="P221" s="48">
        <f>M221-L221+N221</f>
        <v/>
      </c>
      <c r="Q221" s="48">
        <f>IF($G221=0,0,IF(INDEX(Employees!$P$5:$P$29,$A221)="Per pay period",(N(INDEX(Employees!$Q$5:$Q$29,$A221)))/Settings!$B$13,IF(INDEX(Employees!$P$5:$P$29,$A221)="Per hour worked",N(INDEX(Employees!$R$5:$R$29,$A221))*$I221,IF(INDEX(Employees!$P$5:$P$29,$A221)="Front-loaded",IF(OR($B221=1,N($G220)=0),N(INDEX(Employees!$Q$5:$Q$29,$A221)),0),0))))</f>
        <v/>
      </c>
      <c r="R221" s="48">
        <f>IF($F221=0,0,SUMIFS('Time Off Log'!$H$5:$H$504,'Time Off Log'!$A$5:$A$504,$C221,'Time Off Log'!$B$5:$B$504,"Sick",'Time Off Log'!$E$5:$E$504,"Approved",'Time Off Log'!$C$5:$C$504,"&gt;="&amp;INDEX(Periods!$E$5:$E$57,$B221),'Time Off Log'!$C$5:$C$504,"&lt;="&amp;INDEX(Periods!$F$5:$F$57,$B221)))</f>
        <v/>
      </c>
      <c r="S221" s="48">
        <f>IF($B221=1,N(INDEX(Employees!$T$5:$T$29,$A221)),V220)</f>
        <v/>
      </c>
      <c r="T221" s="48">
        <f>IF(INDEX(Employees!$S$5:$S$29,$A221)="",Q221,MAX(0,MIN(Q221,INDEX(Employees!$S$5:$S$29,$A221)-(S221-R221))))</f>
        <v/>
      </c>
      <c r="U221" s="48">
        <f>Q221-T221</f>
        <v/>
      </c>
      <c r="V221" s="48">
        <f>S221-R221+T221</f>
        <v/>
      </c>
    </row>
    <row r="222">
      <c r="A222" s="47" t="n">
        <v>5</v>
      </c>
      <c r="B222" s="47" t="n">
        <v>6</v>
      </c>
      <c r="C222" s="48">
        <f>INDEX(Employees!$B$5:$B$29,$A222)&amp;""</f>
        <v/>
      </c>
      <c r="D222" s="49">
        <f>INDEX(Periods!$B$5:$B$57,$B222)</f>
        <v/>
      </c>
      <c r="E222" s="49">
        <f>INDEX(Periods!$C$5:$C$57,$B222)</f>
        <v/>
      </c>
      <c r="F222" s="47">
        <f>IF(AND($C222&lt;&gt;"",INDEX(Periods!$D$5:$D$57,$B222)=1),1,0)</f>
        <v/>
      </c>
      <c r="G222" s="47">
        <f>IF($F222=0,0,IF(AND(OR(INDEX(Employees!$D$5:$D$29,$A222)="",$E222&gt;=INDEX(Employees!$D$5:$D$29,$A222)+N(INDEX(Employees!$U$5:$U$29,$A222))),OR(INDEX(Employees!$E$5:$E$29,$A222)="",$D222&lt;=INDEX(Employees!$E$5:$E$29,$A222))),1,0))</f>
        <v/>
      </c>
      <c r="H222" s="47">
        <f>IF($G222=0,0,IF(INDEX(Employees!$D$5:$D$29,$A222)="",0,DATEDIF(INDEX(Employees!$D$5:$D$29,$A222),$E222,"y")))</f>
        <v/>
      </c>
      <c r="I222" s="48">
        <f>IF($G222=0,0,IF(INDEX('Hours Worked'!$D$5:$BD$29,$A222,$B222)="",N(INDEX(Employees!$H$5:$H$29,$A222)),INDEX('Hours Worked'!$D$5:$BD$29,$A222,$B222)))</f>
        <v/>
      </c>
      <c r="J222" s="48">
        <f>IF(OR($G222=0,INDEX(Employees!$O$5:$O$29,$A222)&lt;&gt;"Yes"),0,IF(COUNTIF(Settings!$D$4:$D$9,"&lt;="&amp;$H222)=0,0,INDEX(Settings!$E$4:$E$9,COUNTIF(Settings!$D$4:$D$9,"&lt;="&amp;$H222))))</f>
        <v/>
      </c>
      <c r="K222" s="48">
        <f>IF($G222=0,0,IF(INDEX(Employees!$I$5:$I$29,$A222)="Per pay period",(N(INDEX(Employees!$J$5:$J$29,$A222))+$J222)/Settings!$B$13,IF(INDEX(Employees!$I$5:$I$29,$A222)="Per hour worked",N(INDEX(Employees!$K$5:$K$29,$A222))*$I222,IF(INDEX(Employees!$I$5:$I$29,$A222)="Front-loaded",IF(OR($B222=1,N($G221)=0),N(INDEX(Employees!$J$5:$J$29,$A222))+$J222,0),0))))</f>
        <v/>
      </c>
      <c r="L222" s="48">
        <f>IF($F222=0,0,SUMIFS('Time Off Log'!$H$5:$H$504,'Time Off Log'!$A$5:$A$504,$C222,'Time Off Log'!$B$5:$B$504,"PTO",'Time Off Log'!$E$5:$E$504,"Approved",'Time Off Log'!$C$5:$C$504,"&gt;="&amp;INDEX(Periods!$E$5:$E$57,$B222),'Time Off Log'!$C$5:$C$504,"&lt;="&amp;INDEX(Periods!$F$5:$F$57,$B222)))</f>
        <v/>
      </c>
      <c r="M222" s="48">
        <f>IF($B222=1,N(INDEX(Employees!$N$5:$N$29,$A222)),P221)</f>
        <v/>
      </c>
      <c r="N222" s="48">
        <f>IF(INDEX(Employees!$L$5:$L$29,$A222)="",K222,MAX(0,MIN(K222,INDEX(Employees!$L$5:$L$29,$A222)-(M222-L222))))</f>
        <v/>
      </c>
      <c r="O222" s="48">
        <f>K222-N222</f>
        <v/>
      </c>
      <c r="P222" s="48">
        <f>M222-L222+N222</f>
        <v/>
      </c>
      <c r="Q222" s="48">
        <f>IF($G222=0,0,IF(INDEX(Employees!$P$5:$P$29,$A222)="Per pay period",(N(INDEX(Employees!$Q$5:$Q$29,$A222)))/Settings!$B$13,IF(INDEX(Employees!$P$5:$P$29,$A222)="Per hour worked",N(INDEX(Employees!$R$5:$R$29,$A222))*$I222,IF(INDEX(Employees!$P$5:$P$29,$A222)="Front-loaded",IF(OR($B222=1,N($G221)=0),N(INDEX(Employees!$Q$5:$Q$29,$A222)),0),0))))</f>
        <v/>
      </c>
      <c r="R222" s="48">
        <f>IF($F222=0,0,SUMIFS('Time Off Log'!$H$5:$H$504,'Time Off Log'!$A$5:$A$504,$C222,'Time Off Log'!$B$5:$B$504,"Sick",'Time Off Log'!$E$5:$E$504,"Approved",'Time Off Log'!$C$5:$C$504,"&gt;="&amp;INDEX(Periods!$E$5:$E$57,$B222),'Time Off Log'!$C$5:$C$504,"&lt;="&amp;INDEX(Periods!$F$5:$F$57,$B222)))</f>
        <v/>
      </c>
      <c r="S222" s="48">
        <f>IF($B222=1,N(INDEX(Employees!$T$5:$T$29,$A222)),V221)</f>
        <v/>
      </c>
      <c r="T222" s="48">
        <f>IF(INDEX(Employees!$S$5:$S$29,$A222)="",Q222,MAX(0,MIN(Q222,INDEX(Employees!$S$5:$S$29,$A222)-(S222-R222))))</f>
        <v/>
      </c>
      <c r="U222" s="48">
        <f>Q222-T222</f>
        <v/>
      </c>
      <c r="V222" s="48">
        <f>S222-R222+T222</f>
        <v/>
      </c>
    </row>
    <row r="223">
      <c r="A223" s="47" t="n">
        <v>5</v>
      </c>
      <c r="B223" s="47" t="n">
        <v>7</v>
      </c>
      <c r="C223" s="48">
        <f>INDEX(Employees!$B$5:$B$29,$A223)&amp;""</f>
        <v/>
      </c>
      <c r="D223" s="49">
        <f>INDEX(Periods!$B$5:$B$57,$B223)</f>
        <v/>
      </c>
      <c r="E223" s="49">
        <f>INDEX(Periods!$C$5:$C$57,$B223)</f>
        <v/>
      </c>
      <c r="F223" s="47">
        <f>IF(AND($C223&lt;&gt;"",INDEX(Periods!$D$5:$D$57,$B223)=1),1,0)</f>
        <v/>
      </c>
      <c r="G223" s="47">
        <f>IF($F223=0,0,IF(AND(OR(INDEX(Employees!$D$5:$D$29,$A223)="",$E223&gt;=INDEX(Employees!$D$5:$D$29,$A223)+N(INDEX(Employees!$U$5:$U$29,$A223))),OR(INDEX(Employees!$E$5:$E$29,$A223)="",$D223&lt;=INDEX(Employees!$E$5:$E$29,$A223))),1,0))</f>
        <v/>
      </c>
      <c r="H223" s="47">
        <f>IF($G223=0,0,IF(INDEX(Employees!$D$5:$D$29,$A223)="",0,DATEDIF(INDEX(Employees!$D$5:$D$29,$A223),$E223,"y")))</f>
        <v/>
      </c>
      <c r="I223" s="48">
        <f>IF($G223=0,0,IF(INDEX('Hours Worked'!$D$5:$BD$29,$A223,$B223)="",N(INDEX(Employees!$H$5:$H$29,$A223)),INDEX('Hours Worked'!$D$5:$BD$29,$A223,$B223)))</f>
        <v/>
      </c>
      <c r="J223" s="48">
        <f>IF(OR($G223=0,INDEX(Employees!$O$5:$O$29,$A223)&lt;&gt;"Yes"),0,IF(COUNTIF(Settings!$D$4:$D$9,"&lt;="&amp;$H223)=0,0,INDEX(Settings!$E$4:$E$9,COUNTIF(Settings!$D$4:$D$9,"&lt;="&amp;$H223))))</f>
        <v/>
      </c>
      <c r="K223" s="48">
        <f>IF($G223=0,0,IF(INDEX(Employees!$I$5:$I$29,$A223)="Per pay period",(N(INDEX(Employees!$J$5:$J$29,$A223))+$J223)/Settings!$B$13,IF(INDEX(Employees!$I$5:$I$29,$A223)="Per hour worked",N(INDEX(Employees!$K$5:$K$29,$A223))*$I223,IF(INDEX(Employees!$I$5:$I$29,$A223)="Front-loaded",IF(OR($B223=1,N($G222)=0),N(INDEX(Employees!$J$5:$J$29,$A223))+$J223,0),0))))</f>
        <v/>
      </c>
      <c r="L223" s="48">
        <f>IF($F223=0,0,SUMIFS('Time Off Log'!$H$5:$H$504,'Time Off Log'!$A$5:$A$504,$C223,'Time Off Log'!$B$5:$B$504,"PTO",'Time Off Log'!$E$5:$E$504,"Approved",'Time Off Log'!$C$5:$C$504,"&gt;="&amp;INDEX(Periods!$E$5:$E$57,$B223),'Time Off Log'!$C$5:$C$504,"&lt;="&amp;INDEX(Periods!$F$5:$F$57,$B223)))</f>
        <v/>
      </c>
      <c r="M223" s="48">
        <f>IF($B223=1,N(INDEX(Employees!$N$5:$N$29,$A223)),P222)</f>
        <v/>
      </c>
      <c r="N223" s="48">
        <f>IF(INDEX(Employees!$L$5:$L$29,$A223)="",K223,MAX(0,MIN(K223,INDEX(Employees!$L$5:$L$29,$A223)-(M223-L223))))</f>
        <v/>
      </c>
      <c r="O223" s="48">
        <f>K223-N223</f>
        <v/>
      </c>
      <c r="P223" s="48">
        <f>M223-L223+N223</f>
        <v/>
      </c>
      <c r="Q223" s="48">
        <f>IF($G223=0,0,IF(INDEX(Employees!$P$5:$P$29,$A223)="Per pay period",(N(INDEX(Employees!$Q$5:$Q$29,$A223)))/Settings!$B$13,IF(INDEX(Employees!$P$5:$P$29,$A223)="Per hour worked",N(INDEX(Employees!$R$5:$R$29,$A223))*$I223,IF(INDEX(Employees!$P$5:$P$29,$A223)="Front-loaded",IF(OR($B223=1,N($G222)=0),N(INDEX(Employees!$Q$5:$Q$29,$A223)),0),0))))</f>
        <v/>
      </c>
      <c r="R223" s="48">
        <f>IF($F223=0,0,SUMIFS('Time Off Log'!$H$5:$H$504,'Time Off Log'!$A$5:$A$504,$C223,'Time Off Log'!$B$5:$B$504,"Sick",'Time Off Log'!$E$5:$E$504,"Approved",'Time Off Log'!$C$5:$C$504,"&gt;="&amp;INDEX(Periods!$E$5:$E$57,$B223),'Time Off Log'!$C$5:$C$504,"&lt;="&amp;INDEX(Periods!$F$5:$F$57,$B223)))</f>
        <v/>
      </c>
      <c r="S223" s="48">
        <f>IF($B223=1,N(INDEX(Employees!$T$5:$T$29,$A223)),V222)</f>
        <v/>
      </c>
      <c r="T223" s="48">
        <f>IF(INDEX(Employees!$S$5:$S$29,$A223)="",Q223,MAX(0,MIN(Q223,INDEX(Employees!$S$5:$S$29,$A223)-(S223-R223))))</f>
        <v/>
      </c>
      <c r="U223" s="48">
        <f>Q223-T223</f>
        <v/>
      </c>
      <c r="V223" s="48">
        <f>S223-R223+T223</f>
        <v/>
      </c>
    </row>
    <row r="224">
      <c r="A224" s="47" t="n">
        <v>5</v>
      </c>
      <c r="B224" s="47" t="n">
        <v>8</v>
      </c>
      <c r="C224" s="48">
        <f>INDEX(Employees!$B$5:$B$29,$A224)&amp;""</f>
        <v/>
      </c>
      <c r="D224" s="49">
        <f>INDEX(Periods!$B$5:$B$57,$B224)</f>
        <v/>
      </c>
      <c r="E224" s="49">
        <f>INDEX(Periods!$C$5:$C$57,$B224)</f>
        <v/>
      </c>
      <c r="F224" s="47">
        <f>IF(AND($C224&lt;&gt;"",INDEX(Periods!$D$5:$D$57,$B224)=1),1,0)</f>
        <v/>
      </c>
      <c r="G224" s="47">
        <f>IF($F224=0,0,IF(AND(OR(INDEX(Employees!$D$5:$D$29,$A224)="",$E224&gt;=INDEX(Employees!$D$5:$D$29,$A224)+N(INDEX(Employees!$U$5:$U$29,$A224))),OR(INDEX(Employees!$E$5:$E$29,$A224)="",$D224&lt;=INDEX(Employees!$E$5:$E$29,$A224))),1,0))</f>
        <v/>
      </c>
      <c r="H224" s="47">
        <f>IF($G224=0,0,IF(INDEX(Employees!$D$5:$D$29,$A224)="",0,DATEDIF(INDEX(Employees!$D$5:$D$29,$A224),$E224,"y")))</f>
        <v/>
      </c>
      <c r="I224" s="48">
        <f>IF($G224=0,0,IF(INDEX('Hours Worked'!$D$5:$BD$29,$A224,$B224)="",N(INDEX(Employees!$H$5:$H$29,$A224)),INDEX('Hours Worked'!$D$5:$BD$29,$A224,$B224)))</f>
        <v/>
      </c>
      <c r="J224" s="48">
        <f>IF(OR($G224=0,INDEX(Employees!$O$5:$O$29,$A224)&lt;&gt;"Yes"),0,IF(COUNTIF(Settings!$D$4:$D$9,"&lt;="&amp;$H224)=0,0,INDEX(Settings!$E$4:$E$9,COUNTIF(Settings!$D$4:$D$9,"&lt;="&amp;$H224))))</f>
        <v/>
      </c>
      <c r="K224" s="48">
        <f>IF($G224=0,0,IF(INDEX(Employees!$I$5:$I$29,$A224)="Per pay period",(N(INDEX(Employees!$J$5:$J$29,$A224))+$J224)/Settings!$B$13,IF(INDEX(Employees!$I$5:$I$29,$A224)="Per hour worked",N(INDEX(Employees!$K$5:$K$29,$A224))*$I224,IF(INDEX(Employees!$I$5:$I$29,$A224)="Front-loaded",IF(OR($B224=1,N($G223)=0),N(INDEX(Employees!$J$5:$J$29,$A224))+$J224,0),0))))</f>
        <v/>
      </c>
      <c r="L224" s="48">
        <f>IF($F224=0,0,SUMIFS('Time Off Log'!$H$5:$H$504,'Time Off Log'!$A$5:$A$504,$C224,'Time Off Log'!$B$5:$B$504,"PTO",'Time Off Log'!$E$5:$E$504,"Approved",'Time Off Log'!$C$5:$C$504,"&gt;="&amp;INDEX(Periods!$E$5:$E$57,$B224),'Time Off Log'!$C$5:$C$504,"&lt;="&amp;INDEX(Periods!$F$5:$F$57,$B224)))</f>
        <v/>
      </c>
      <c r="M224" s="48">
        <f>IF($B224=1,N(INDEX(Employees!$N$5:$N$29,$A224)),P223)</f>
        <v/>
      </c>
      <c r="N224" s="48">
        <f>IF(INDEX(Employees!$L$5:$L$29,$A224)="",K224,MAX(0,MIN(K224,INDEX(Employees!$L$5:$L$29,$A224)-(M224-L224))))</f>
        <v/>
      </c>
      <c r="O224" s="48">
        <f>K224-N224</f>
        <v/>
      </c>
      <c r="P224" s="48">
        <f>M224-L224+N224</f>
        <v/>
      </c>
      <c r="Q224" s="48">
        <f>IF($G224=0,0,IF(INDEX(Employees!$P$5:$P$29,$A224)="Per pay period",(N(INDEX(Employees!$Q$5:$Q$29,$A224)))/Settings!$B$13,IF(INDEX(Employees!$P$5:$P$29,$A224)="Per hour worked",N(INDEX(Employees!$R$5:$R$29,$A224))*$I224,IF(INDEX(Employees!$P$5:$P$29,$A224)="Front-loaded",IF(OR($B224=1,N($G223)=0),N(INDEX(Employees!$Q$5:$Q$29,$A224)),0),0))))</f>
        <v/>
      </c>
      <c r="R224" s="48">
        <f>IF($F224=0,0,SUMIFS('Time Off Log'!$H$5:$H$504,'Time Off Log'!$A$5:$A$504,$C224,'Time Off Log'!$B$5:$B$504,"Sick",'Time Off Log'!$E$5:$E$504,"Approved",'Time Off Log'!$C$5:$C$504,"&gt;="&amp;INDEX(Periods!$E$5:$E$57,$B224),'Time Off Log'!$C$5:$C$504,"&lt;="&amp;INDEX(Periods!$F$5:$F$57,$B224)))</f>
        <v/>
      </c>
      <c r="S224" s="48">
        <f>IF($B224=1,N(INDEX(Employees!$T$5:$T$29,$A224)),V223)</f>
        <v/>
      </c>
      <c r="T224" s="48">
        <f>IF(INDEX(Employees!$S$5:$S$29,$A224)="",Q224,MAX(0,MIN(Q224,INDEX(Employees!$S$5:$S$29,$A224)-(S224-R224))))</f>
        <v/>
      </c>
      <c r="U224" s="48">
        <f>Q224-T224</f>
        <v/>
      </c>
      <c r="V224" s="48">
        <f>S224-R224+T224</f>
        <v/>
      </c>
    </row>
    <row r="225">
      <c r="A225" s="47" t="n">
        <v>5</v>
      </c>
      <c r="B225" s="47" t="n">
        <v>9</v>
      </c>
      <c r="C225" s="48">
        <f>INDEX(Employees!$B$5:$B$29,$A225)&amp;""</f>
        <v/>
      </c>
      <c r="D225" s="49">
        <f>INDEX(Periods!$B$5:$B$57,$B225)</f>
        <v/>
      </c>
      <c r="E225" s="49">
        <f>INDEX(Periods!$C$5:$C$57,$B225)</f>
        <v/>
      </c>
      <c r="F225" s="47">
        <f>IF(AND($C225&lt;&gt;"",INDEX(Periods!$D$5:$D$57,$B225)=1),1,0)</f>
        <v/>
      </c>
      <c r="G225" s="47">
        <f>IF($F225=0,0,IF(AND(OR(INDEX(Employees!$D$5:$D$29,$A225)="",$E225&gt;=INDEX(Employees!$D$5:$D$29,$A225)+N(INDEX(Employees!$U$5:$U$29,$A225))),OR(INDEX(Employees!$E$5:$E$29,$A225)="",$D225&lt;=INDEX(Employees!$E$5:$E$29,$A225))),1,0))</f>
        <v/>
      </c>
      <c r="H225" s="47">
        <f>IF($G225=0,0,IF(INDEX(Employees!$D$5:$D$29,$A225)="",0,DATEDIF(INDEX(Employees!$D$5:$D$29,$A225),$E225,"y")))</f>
        <v/>
      </c>
      <c r="I225" s="48">
        <f>IF($G225=0,0,IF(INDEX('Hours Worked'!$D$5:$BD$29,$A225,$B225)="",N(INDEX(Employees!$H$5:$H$29,$A225)),INDEX('Hours Worked'!$D$5:$BD$29,$A225,$B225)))</f>
        <v/>
      </c>
      <c r="J225" s="48">
        <f>IF(OR($G225=0,INDEX(Employees!$O$5:$O$29,$A225)&lt;&gt;"Yes"),0,IF(COUNTIF(Settings!$D$4:$D$9,"&lt;="&amp;$H225)=0,0,INDEX(Settings!$E$4:$E$9,COUNTIF(Settings!$D$4:$D$9,"&lt;="&amp;$H225))))</f>
        <v/>
      </c>
      <c r="K225" s="48">
        <f>IF($G225=0,0,IF(INDEX(Employees!$I$5:$I$29,$A225)="Per pay period",(N(INDEX(Employees!$J$5:$J$29,$A225))+$J225)/Settings!$B$13,IF(INDEX(Employees!$I$5:$I$29,$A225)="Per hour worked",N(INDEX(Employees!$K$5:$K$29,$A225))*$I225,IF(INDEX(Employees!$I$5:$I$29,$A225)="Front-loaded",IF(OR($B225=1,N($G224)=0),N(INDEX(Employees!$J$5:$J$29,$A225))+$J225,0),0))))</f>
        <v/>
      </c>
      <c r="L225" s="48">
        <f>IF($F225=0,0,SUMIFS('Time Off Log'!$H$5:$H$504,'Time Off Log'!$A$5:$A$504,$C225,'Time Off Log'!$B$5:$B$504,"PTO",'Time Off Log'!$E$5:$E$504,"Approved",'Time Off Log'!$C$5:$C$504,"&gt;="&amp;INDEX(Periods!$E$5:$E$57,$B225),'Time Off Log'!$C$5:$C$504,"&lt;="&amp;INDEX(Periods!$F$5:$F$57,$B225)))</f>
        <v/>
      </c>
      <c r="M225" s="48">
        <f>IF($B225=1,N(INDEX(Employees!$N$5:$N$29,$A225)),P224)</f>
        <v/>
      </c>
      <c r="N225" s="48">
        <f>IF(INDEX(Employees!$L$5:$L$29,$A225)="",K225,MAX(0,MIN(K225,INDEX(Employees!$L$5:$L$29,$A225)-(M225-L225))))</f>
        <v/>
      </c>
      <c r="O225" s="48">
        <f>K225-N225</f>
        <v/>
      </c>
      <c r="P225" s="48">
        <f>M225-L225+N225</f>
        <v/>
      </c>
      <c r="Q225" s="48">
        <f>IF($G225=0,0,IF(INDEX(Employees!$P$5:$P$29,$A225)="Per pay period",(N(INDEX(Employees!$Q$5:$Q$29,$A225)))/Settings!$B$13,IF(INDEX(Employees!$P$5:$P$29,$A225)="Per hour worked",N(INDEX(Employees!$R$5:$R$29,$A225))*$I225,IF(INDEX(Employees!$P$5:$P$29,$A225)="Front-loaded",IF(OR($B225=1,N($G224)=0),N(INDEX(Employees!$Q$5:$Q$29,$A225)),0),0))))</f>
        <v/>
      </c>
      <c r="R225" s="48">
        <f>IF($F225=0,0,SUMIFS('Time Off Log'!$H$5:$H$504,'Time Off Log'!$A$5:$A$504,$C225,'Time Off Log'!$B$5:$B$504,"Sick",'Time Off Log'!$E$5:$E$504,"Approved",'Time Off Log'!$C$5:$C$504,"&gt;="&amp;INDEX(Periods!$E$5:$E$57,$B225),'Time Off Log'!$C$5:$C$504,"&lt;="&amp;INDEX(Periods!$F$5:$F$57,$B225)))</f>
        <v/>
      </c>
      <c r="S225" s="48">
        <f>IF($B225=1,N(INDEX(Employees!$T$5:$T$29,$A225)),V224)</f>
        <v/>
      </c>
      <c r="T225" s="48">
        <f>IF(INDEX(Employees!$S$5:$S$29,$A225)="",Q225,MAX(0,MIN(Q225,INDEX(Employees!$S$5:$S$29,$A225)-(S225-R225))))</f>
        <v/>
      </c>
      <c r="U225" s="48">
        <f>Q225-T225</f>
        <v/>
      </c>
      <c r="V225" s="48">
        <f>S225-R225+T225</f>
        <v/>
      </c>
    </row>
    <row r="226">
      <c r="A226" s="47" t="n">
        <v>5</v>
      </c>
      <c r="B226" s="47" t="n">
        <v>10</v>
      </c>
      <c r="C226" s="48">
        <f>INDEX(Employees!$B$5:$B$29,$A226)&amp;""</f>
        <v/>
      </c>
      <c r="D226" s="49">
        <f>INDEX(Periods!$B$5:$B$57,$B226)</f>
        <v/>
      </c>
      <c r="E226" s="49">
        <f>INDEX(Periods!$C$5:$C$57,$B226)</f>
        <v/>
      </c>
      <c r="F226" s="47">
        <f>IF(AND($C226&lt;&gt;"",INDEX(Periods!$D$5:$D$57,$B226)=1),1,0)</f>
        <v/>
      </c>
      <c r="G226" s="47">
        <f>IF($F226=0,0,IF(AND(OR(INDEX(Employees!$D$5:$D$29,$A226)="",$E226&gt;=INDEX(Employees!$D$5:$D$29,$A226)+N(INDEX(Employees!$U$5:$U$29,$A226))),OR(INDEX(Employees!$E$5:$E$29,$A226)="",$D226&lt;=INDEX(Employees!$E$5:$E$29,$A226))),1,0))</f>
        <v/>
      </c>
      <c r="H226" s="47">
        <f>IF($G226=0,0,IF(INDEX(Employees!$D$5:$D$29,$A226)="",0,DATEDIF(INDEX(Employees!$D$5:$D$29,$A226),$E226,"y")))</f>
        <v/>
      </c>
      <c r="I226" s="48">
        <f>IF($G226=0,0,IF(INDEX('Hours Worked'!$D$5:$BD$29,$A226,$B226)="",N(INDEX(Employees!$H$5:$H$29,$A226)),INDEX('Hours Worked'!$D$5:$BD$29,$A226,$B226)))</f>
        <v/>
      </c>
      <c r="J226" s="48">
        <f>IF(OR($G226=0,INDEX(Employees!$O$5:$O$29,$A226)&lt;&gt;"Yes"),0,IF(COUNTIF(Settings!$D$4:$D$9,"&lt;="&amp;$H226)=0,0,INDEX(Settings!$E$4:$E$9,COUNTIF(Settings!$D$4:$D$9,"&lt;="&amp;$H226))))</f>
        <v/>
      </c>
      <c r="K226" s="48">
        <f>IF($G226=0,0,IF(INDEX(Employees!$I$5:$I$29,$A226)="Per pay period",(N(INDEX(Employees!$J$5:$J$29,$A226))+$J226)/Settings!$B$13,IF(INDEX(Employees!$I$5:$I$29,$A226)="Per hour worked",N(INDEX(Employees!$K$5:$K$29,$A226))*$I226,IF(INDEX(Employees!$I$5:$I$29,$A226)="Front-loaded",IF(OR($B226=1,N($G225)=0),N(INDEX(Employees!$J$5:$J$29,$A226))+$J226,0),0))))</f>
        <v/>
      </c>
      <c r="L226" s="48">
        <f>IF($F226=0,0,SUMIFS('Time Off Log'!$H$5:$H$504,'Time Off Log'!$A$5:$A$504,$C226,'Time Off Log'!$B$5:$B$504,"PTO",'Time Off Log'!$E$5:$E$504,"Approved",'Time Off Log'!$C$5:$C$504,"&gt;="&amp;INDEX(Periods!$E$5:$E$57,$B226),'Time Off Log'!$C$5:$C$504,"&lt;="&amp;INDEX(Periods!$F$5:$F$57,$B226)))</f>
        <v/>
      </c>
      <c r="M226" s="48">
        <f>IF($B226=1,N(INDEX(Employees!$N$5:$N$29,$A226)),P225)</f>
        <v/>
      </c>
      <c r="N226" s="48">
        <f>IF(INDEX(Employees!$L$5:$L$29,$A226)="",K226,MAX(0,MIN(K226,INDEX(Employees!$L$5:$L$29,$A226)-(M226-L226))))</f>
        <v/>
      </c>
      <c r="O226" s="48">
        <f>K226-N226</f>
        <v/>
      </c>
      <c r="P226" s="48">
        <f>M226-L226+N226</f>
        <v/>
      </c>
      <c r="Q226" s="48">
        <f>IF($G226=0,0,IF(INDEX(Employees!$P$5:$P$29,$A226)="Per pay period",(N(INDEX(Employees!$Q$5:$Q$29,$A226)))/Settings!$B$13,IF(INDEX(Employees!$P$5:$P$29,$A226)="Per hour worked",N(INDEX(Employees!$R$5:$R$29,$A226))*$I226,IF(INDEX(Employees!$P$5:$P$29,$A226)="Front-loaded",IF(OR($B226=1,N($G225)=0),N(INDEX(Employees!$Q$5:$Q$29,$A226)),0),0))))</f>
        <v/>
      </c>
      <c r="R226" s="48">
        <f>IF($F226=0,0,SUMIFS('Time Off Log'!$H$5:$H$504,'Time Off Log'!$A$5:$A$504,$C226,'Time Off Log'!$B$5:$B$504,"Sick",'Time Off Log'!$E$5:$E$504,"Approved",'Time Off Log'!$C$5:$C$504,"&gt;="&amp;INDEX(Periods!$E$5:$E$57,$B226),'Time Off Log'!$C$5:$C$504,"&lt;="&amp;INDEX(Periods!$F$5:$F$57,$B226)))</f>
        <v/>
      </c>
      <c r="S226" s="48">
        <f>IF($B226=1,N(INDEX(Employees!$T$5:$T$29,$A226)),V225)</f>
        <v/>
      </c>
      <c r="T226" s="48">
        <f>IF(INDEX(Employees!$S$5:$S$29,$A226)="",Q226,MAX(0,MIN(Q226,INDEX(Employees!$S$5:$S$29,$A226)-(S226-R226))))</f>
        <v/>
      </c>
      <c r="U226" s="48">
        <f>Q226-T226</f>
        <v/>
      </c>
      <c r="V226" s="48">
        <f>S226-R226+T226</f>
        <v/>
      </c>
    </row>
    <row r="227">
      <c r="A227" s="47" t="n">
        <v>5</v>
      </c>
      <c r="B227" s="47" t="n">
        <v>11</v>
      </c>
      <c r="C227" s="48">
        <f>INDEX(Employees!$B$5:$B$29,$A227)&amp;""</f>
        <v/>
      </c>
      <c r="D227" s="49">
        <f>INDEX(Periods!$B$5:$B$57,$B227)</f>
        <v/>
      </c>
      <c r="E227" s="49">
        <f>INDEX(Periods!$C$5:$C$57,$B227)</f>
        <v/>
      </c>
      <c r="F227" s="47">
        <f>IF(AND($C227&lt;&gt;"",INDEX(Periods!$D$5:$D$57,$B227)=1),1,0)</f>
        <v/>
      </c>
      <c r="G227" s="47">
        <f>IF($F227=0,0,IF(AND(OR(INDEX(Employees!$D$5:$D$29,$A227)="",$E227&gt;=INDEX(Employees!$D$5:$D$29,$A227)+N(INDEX(Employees!$U$5:$U$29,$A227))),OR(INDEX(Employees!$E$5:$E$29,$A227)="",$D227&lt;=INDEX(Employees!$E$5:$E$29,$A227))),1,0))</f>
        <v/>
      </c>
      <c r="H227" s="47">
        <f>IF($G227=0,0,IF(INDEX(Employees!$D$5:$D$29,$A227)="",0,DATEDIF(INDEX(Employees!$D$5:$D$29,$A227),$E227,"y")))</f>
        <v/>
      </c>
      <c r="I227" s="48">
        <f>IF($G227=0,0,IF(INDEX('Hours Worked'!$D$5:$BD$29,$A227,$B227)="",N(INDEX(Employees!$H$5:$H$29,$A227)),INDEX('Hours Worked'!$D$5:$BD$29,$A227,$B227)))</f>
        <v/>
      </c>
      <c r="J227" s="48">
        <f>IF(OR($G227=0,INDEX(Employees!$O$5:$O$29,$A227)&lt;&gt;"Yes"),0,IF(COUNTIF(Settings!$D$4:$D$9,"&lt;="&amp;$H227)=0,0,INDEX(Settings!$E$4:$E$9,COUNTIF(Settings!$D$4:$D$9,"&lt;="&amp;$H227))))</f>
        <v/>
      </c>
      <c r="K227" s="48">
        <f>IF($G227=0,0,IF(INDEX(Employees!$I$5:$I$29,$A227)="Per pay period",(N(INDEX(Employees!$J$5:$J$29,$A227))+$J227)/Settings!$B$13,IF(INDEX(Employees!$I$5:$I$29,$A227)="Per hour worked",N(INDEX(Employees!$K$5:$K$29,$A227))*$I227,IF(INDEX(Employees!$I$5:$I$29,$A227)="Front-loaded",IF(OR($B227=1,N($G226)=0),N(INDEX(Employees!$J$5:$J$29,$A227))+$J227,0),0))))</f>
        <v/>
      </c>
      <c r="L227" s="48">
        <f>IF($F227=0,0,SUMIFS('Time Off Log'!$H$5:$H$504,'Time Off Log'!$A$5:$A$504,$C227,'Time Off Log'!$B$5:$B$504,"PTO",'Time Off Log'!$E$5:$E$504,"Approved",'Time Off Log'!$C$5:$C$504,"&gt;="&amp;INDEX(Periods!$E$5:$E$57,$B227),'Time Off Log'!$C$5:$C$504,"&lt;="&amp;INDEX(Periods!$F$5:$F$57,$B227)))</f>
        <v/>
      </c>
      <c r="M227" s="48">
        <f>IF($B227=1,N(INDEX(Employees!$N$5:$N$29,$A227)),P226)</f>
        <v/>
      </c>
      <c r="N227" s="48">
        <f>IF(INDEX(Employees!$L$5:$L$29,$A227)="",K227,MAX(0,MIN(K227,INDEX(Employees!$L$5:$L$29,$A227)-(M227-L227))))</f>
        <v/>
      </c>
      <c r="O227" s="48">
        <f>K227-N227</f>
        <v/>
      </c>
      <c r="P227" s="48">
        <f>M227-L227+N227</f>
        <v/>
      </c>
      <c r="Q227" s="48">
        <f>IF($G227=0,0,IF(INDEX(Employees!$P$5:$P$29,$A227)="Per pay period",(N(INDEX(Employees!$Q$5:$Q$29,$A227)))/Settings!$B$13,IF(INDEX(Employees!$P$5:$P$29,$A227)="Per hour worked",N(INDEX(Employees!$R$5:$R$29,$A227))*$I227,IF(INDEX(Employees!$P$5:$P$29,$A227)="Front-loaded",IF(OR($B227=1,N($G226)=0),N(INDEX(Employees!$Q$5:$Q$29,$A227)),0),0))))</f>
        <v/>
      </c>
      <c r="R227" s="48">
        <f>IF($F227=0,0,SUMIFS('Time Off Log'!$H$5:$H$504,'Time Off Log'!$A$5:$A$504,$C227,'Time Off Log'!$B$5:$B$504,"Sick",'Time Off Log'!$E$5:$E$504,"Approved",'Time Off Log'!$C$5:$C$504,"&gt;="&amp;INDEX(Periods!$E$5:$E$57,$B227),'Time Off Log'!$C$5:$C$504,"&lt;="&amp;INDEX(Periods!$F$5:$F$57,$B227)))</f>
        <v/>
      </c>
      <c r="S227" s="48">
        <f>IF($B227=1,N(INDEX(Employees!$T$5:$T$29,$A227)),V226)</f>
        <v/>
      </c>
      <c r="T227" s="48">
        <f>IF(INDEX(Employees!$S$5:$S$29,$A227)="",Q227,MAX(0,MIN(Q227,INDEX(Employees!$S$5:$S$29,$A227)-(S227-R227))))</f>
        <v/>
      </c>
      <c r="U227" s="48">
        <f>Q227-T227</f>
        <v/>
      </c>
      <c r="V227" s="48">
        <f>S227-R227+T227</f>
        <v/>
      </c>
    </row>
    <row r="228">
      <c r="A228" s="47" t="n">
        <v>5</v>
      </c>
      <c r="B228" s="47" t="n">
        <v>12</v>
      </c>
      <c r="C228" s="48">
        <f>INDEX(Employees!$B$5:$B$29,$A228)&amp;""</f>
        <v/>
      </c>
      <c r="D228" s="49">
        <f>INDEX(Periods!$B$5:$B$57,$B228)</f>
        <v/>
      </c>
      <c r="E228" s="49">
        <f>INDEX(Periods!$C$5:$C$57,$B228)</f>
        <v/>
      </c>
      <c r="F228" s="47">
        <f>IF(AND($C228&lt;&gt;"",INDEX(Periods!$D$5:$D$57,$B228)=1),1,0)</f>
        <v/>
      </c>
      <c r="G228" s="47">
        <f>IF($F228=0,0,IF(AND(OR(INDEX(Employees!$D$5:$D$29,$A228)="",$E228&gt;=INDEX(Employees!$D$5:$D$29,$A228)+N(INDEX(Employees!$U$5:$U$29,$A228))),OR(INDEX(Employees!$E$5:$E$29,$A228)="",$D228&lt;=INDEX(Employees!$E$5:$E$29,$A228))),1,0))</f>
        <v/>
      </c>
      <c r="H228" s="47">
        <f>IF($G228=0,0,IF(INDEX(Employees!$D$5:$D$29,$A228)="",0,DATEDIF(INDEX(Employees!$D$5:$D$29,$A228),$E228,"y")))</f>
        <v/>
      </c>
      <c r="I228" s="48">
        <f>IF($G228=0,0,IF(INDEX('Hours Worked'!$D$5:$BD$29,$A228,$B228)="",N(INDEX(Employees!$H$5:$H$29,$A228)),INDEX('Hours Worked'!$D$5:$BD$29,$A228,$B228)))</f>
        <v/>
      </c>
      <c r="J228" s="48">
        <f>IF(OR($G228=0,INDEX(Employees!$O$5:$O$29,$A228)&lt;&gt;"Yes"),0,IF(COUNTIF(Settings!$D$4:$D$9,"&lt;="&amp;$H228)=0,0,INDEX(Settings!$E$4:$E$9,COUNTIF(Settings!$D$4:$D$9,"&lt;="&amp;$H228))))</f>
        <v/>
      </c>
      <c r="K228" s="48">
        <f>IF($G228=0,0,IF(INDEX(Employees!$I$5:$I$29,$A228)="Per pay period",(N(INDEX(Employees!$J$5:$J$29,$A228))+$J228)/Settings!$B$13,IF(INDEX(Employees!$I$5:$I$29,$A228)="Per hour worked",N(INDEX(Employees!$K$5:$K$29,$A228))*$I228,IF(INDEX(Employees!$I$5:$I$29,$A228)="Front-loaded",IF(OR($B228=1,N($G227)=0),N(INDEX(Employees!$J$5:$J$29,$A228))+$J228,0),0))))</f>
        <v/>
      </c>
      <c r="L228" s="48">
        <f>IF($F228=0,0,SUMIFS('Time Off Log'!$H$5:$H$504,'Time Off Log'!$A$5:$A$504,$C228,'Time Off Log'!$B$5:$B$504,"PTO",'Time Off Log'!$E$5:$E$504,"Approved",'Time Off Log'!$C$5:$C$504,"&gt;="&amp;INDEX(Periods!$E$5:$E$57,$B228),'Time Off Log'!$C$5:$C$504,"&lt;="&amp;INDEX(Periods!$F$5:$F$57,$B228)))</f>
        <v/>
      </c>
      <c r="M228" s="48">
        <f>IF($B228=1,N(INDEX(Employees!$N$5:$N$29,$A228)),P227)</f>
        <v/>
      </c>
      <c r="N228" s="48">
        <f>IF(INDEX(Employees!$L$5:$L$29,$A228)="",K228,MAX(0,MIN(K228,INDEX(Employees!$L$5:$L$29,$A228)-(M228-L228))))</f>
        <v/>
      </c>
      <c r="O228" s="48">
        <f>K228-N228</f>
        <v/>
      </c>
      <c r="P228" s="48">
        <f>M228-L228+N228</f>
        <v/>
      </c>
      <c r="Q228" s="48">
        <f>IF($G228=0,0,IF(INDEX(Employees!$P$5:$P$29,$A228)="Per pay period",(N(INDEX(Employees!$Q$5:$Q$29,$A228)))/Settings!$B$13,IF(INDEX(Employees!$P$5:$P$29,$A228)="Per hour worked",N(INDEX(Employees!$R$5:$R$29,$A228))*$I228,IF(INDEX(Employees!$P$5:$P$29,$A228)="Front-loaded",IF(OR($B228=1,N($G227)=0),N(INDEX(Employees!$Q$5:$Q$29,$A228)),0),0))))</f>
        <v/>
      </c>
      <c r="R228" s="48">
        <f>IF($F228=0,0,SUMIFS('Time Off Log'!$H$5:$H$504,'Time Off Log'!$A$5:$A$504,$C228,'Time Off Log'!$B$5:$B$504,"Sick",'Time Off Log'!$E$5:$E$504,"Approved",'Time Off Log'!$C$5:$C$504,"&gt;="&amp;INDEX(Periods!$E$5:$E$57,$B228),'Time Off Log'!$C$5:$C$504,"&lt;="&amp;INDEX(Periods!$F$5:$F$57,$B228)))</f>
        <v/>
      </c>
      <c r="S228" s="48">
        <f>IF($B228=1,N(INDEX(Employees!$T$5:$T$29,$A228)),V227)</f>
        <v/>
      </c>
      <c r="T228" s="48">
        <f>IF(INDEX(Employees!$S$5:$S$29,$A228)="",Q228,MAX(0,MIN(Q228,INDEX(Employees!$S$5:$S$29,$A228)-(S228-R228))))</f>
        <v/>
      </c>
      <c r="U228" s="48">
        <f>Q228-T228</f>
        <v/>
      </c>
      <c r="V228" s="48">
        <f>S228-R228+T228</f>
        <v/>
      </c>
    </row>
    <row r="229">
      <c r="A229" s="47" t="n">
        <v>5</v>
      </c>
      <c r="B229" s="47" t="n">
        <v>13</v>
      </c>
      <c r="C229" s="48">
        <f>INDEX(Employees!$B$5:$B$29,$A229)&amp;""</f>
        <v/>
      </c>
      <c r="D229" s="49">
        <f>INDEX(Periods!$B$5:$B$57,$B229)</f>
        <v/>
      </c>
      <c r="E229" s="49">
        <f>INDEX(Periods!$C$5:$C$57,$B229)</f>
        <v/>
      </c>
      <c r="F229" s="47">
        <f>IF(AND($C229&lt;&gt;"",INDEX(Periods!$D$5:$D$57,$B229)=1),1,0)</f>
        <v/>
      </c>
      <c r="G229" s="47">
        <f>IF($F229=0,0,IF(AND(OR(INDEX(Employees!$D$5:$D$29,$A229)="",$E229&gt;=INDEX(Employees!$D$5:$D$29,$A229)+N(INDEX(Employees!$U$5:$U$29,$A229))),OR(INDEX(Employees!$E$5:$E$29,$A229)="",$D229&lt;=INDEX(Employees!$E$5:$E$29,$A229))),1,0))</f>
        <v/>
      </c>
      <c r="H229" s="47">
        <f>IF($G229=0,0,IF(INDEX(Employees!$D$5:$D$29,$A229)="",0,DATEDIF(INDEX(Employees!$D$5:$D$29,$A229),$E229,"y")))</f>
        <v/>
      </c>
      <c r="I229" s="48">
        <f>IF($G229=0,0,IF(INDEX('Hours Worked'!$D$5:$BD$29,$A229,$B229)="",N(INDEX(Employees!$H$5:$H$29,$A229)),INDEX('Hours Worked'!$D$5:$BD$29,$A229,$B229)))</f>
        <v/>
      </c>
      <c r="J229" s="48">
        <f>IF(OR($G229=0,INDEX(Employees!$O$5:$O$29,$A229)&lt;&gt;"Yes"),0,IF(COUNTIF(Settings!$D$4:$D$9,"&lt;="&amp;$H229)=0,0,INDEX(Settings!$E$4:$E$9,COUNTIF(Settings!$D$4:$D$9,"&lt;="&amp;$H229))))</f>
        <v/>
      </c>
      <c r="K229" s="48">
        <f>IF($G229=0,0,IF(INDEX(Employees!$I$5:$I$29,$A229)="Per pay period",(N(INDEX(Employees!$J$5:$J$29,$A229))+$J229)/Settings!$B$13,IF(INDEX(Employees!$I$5:$I$29,$A229)="Per hour worked",N(INDEX(Employees!$K$5:$K$29,$A229))*$I229,IF(INDEX(Employees!$I$5:$I$29,$A229)="Front-loaded",IF(OR($B229=1,N($G228)=0),N(INDEX(Employees!$J$5:$J$29,$A229))+$J229,0),0))))</f>
        <v/>
      </c>
      <c r="L229" s="48">
        <f>IF($F229=0,0,SUMIFS('Time Off Log'!$H$5:$H$504,'Time Off Log'!$A$5:$A$504,$C229,'Time Off Log'!$B$5:$B$504,"PTO",'Time Off Log'!$E$5:$E$504,"Approved",'Time Off Log'!$C$5:$C$504,"&gt;="&amp;INDEX(Periods!$E$5:$E$57,$B229),'Time Off Log'!$C$5:$C$504,"&lt;="&amp;INDEX(Periods!$F$5:$F$57,$B229)))</f>
        <v/>
      </c>
      <c r="M229" s="48">
        <f>IF($B229=1,N(INDEX(Employees!$N$5:$N$29,$A229)),P228)</f>
        <v/>
      </c>
      <c r="N229" s="48">
        <f>IF(INDEX(Employees!$L$5:$L$29,$A229)="",K229,MAX(0,MIN(K229,INDEX(Employees!$L$5:$L$29,$A229)-(M229-L229))))</f>
        <v/>
      </c>
      <c r="O229" s="48">
        <f>K229-N229</f>
        <v/>
      </c>
      <c r="P229" s="48">
        <f>M229-L229+N229</f>
        <v/>
      </c>
      <c r="Q229" s="48">
        <f>IF($G229=0,0,IF(INDEX(Employees!$P$5:$P$29,$A229)="Per pay period",(N(INDEX(Employees!$Q$5:$Q$29,$A229)))/Settings!$B$13,IF(INDEX(Employees!$P$5:$P$29,$A229)="Per hour worked",N(INDEX(Employees!$R$5:$R$29,$A229))*$I229,IF(INDEX(Employees!$P$5:$P$29,$A229)="Front-loaded",IF(OR($B229=1,N($G228)=0),N(INDEX(Employees!$Q$5:$Q$29,$A229)),0),0))))</f>
        <v/>
      </c>
      <c r="R229" s="48">
        <f>IF($F229=0,0,SUMIFS('Time Off Log'!$H$5:$H$504,'Time Off Log'!$A$5:$A$504,$C229,'Time Off Log'!$B$5:$B$504,"Sick",'Time Off Log'!$E$5:$E$504,"Approved",'Time Off Log'!$C$5:$C$504,"&gt;="&amp;INDEX(Periods!$E$5:$E$57,$B229),'Time Off Log'!$C$5:$C$504,"&lt;="&amp;INDEX(Periods!$F$5:$F$57,$B229)))</f>
        <v/>
      </c>
      <c r="S229" s="48">
        <f>IF($B229=1,N(INDEX(Employees!$T$5:$T$29,$A229)),V228)</f>
        <v/>
      </c>
      <c r="T229" s="48">
        <f>IF(INDEX(Employees!$S$5:$S$29,$A229)="",Q229,MAX(0,MIN(Q229,INDEX(Employees!$S$5:$S$29,$A229)-(S229-R229))))</f>
        <v/>
      </c>
      <c r="U229" s="48">
        <f>Q229-T229</f>
        <v/>
      </c>
      <c r="V229" s="48">
        <f>S229-R229+T229</f>
        <v/>
      </c>
    </row>
    <row r="230">
      <c r="A230" s="47" t="n">
        <v>5</v>
      </c>
      <c r="B230" s="47" t="n">
        <v>14</v>
      </c>
      <c r="C230" s="48">
        <f>INDEX(Employees!$B$5:$B$29,$A230)&amp;""</f>
        <v/>
      </c>
      <c r="D230" s="49">
        <f>INDEX(Periods!$B$5:$B$57,$B230)</f>
        <v/>
      </c>
      <c r="E230" s="49">
        <f>INDEX(Periods!$C$5:$C$57,$B230)</f>
        <v/>
      </c>
      <c r="F230" s="47">
        <f>IF(AND($C230&lt;&gt;"",INDEX(Periods!$D$5:$D$57,$B230)=1),1,0)</f>
        <v/>
      </c>
      <c r="G230" s="47">
        <f>IF($F230=0,0,IF(AND(OR(INDEX(Employees!$D$5:$D$29,$A230)="",$E230&gt;=INDEX(Employees!$D$5:$D$29,$A230)+N(INDEX(Employees!$U$5:$U$29,$A230))),OR(INDEX(Employees!$E$5:$E$29,$A230)="",$D230&lt;=INDEX(Employees!$E$5:$E$29,$A230))),1,0))</f>
        <v/>
      </c>
      <c r="H230" s="47">
        <f>IF($G230=0,0,IF(INDEX(Employees!$D$5:$D$29,$A230)="",0,DATEDIF(INDEX(Employees!$D$5:$D$29,$A230),$E230,"y")))</f>
        <v/>
      </c>
      <c r="I230" s="48">
        <f>IF($G230=0,0,IF(INDEX('Hours Worked'!$D$5:$BD$29,$A230,$B230)="",N(INDEX(Employees!$H$5:$H$29,$A230)),INDEX('Hours Worked'!$D$5:$BD$29,$A230,$B230)))</f>
        <v/>
      </c>
      <c r="J230" s="48">
        <f>IF(OR($G230=0,INDEX(Employees!$O$5:$O$29,$A230)&lt;&gt;"Yes"),0,IF(COUNTIF(Settings!$D$4:$D$9,"&lt;="&amp;$H230)=0,0,INDEX(Settings!$E$4:$E$9,COUNTIF(Settings!$D$4:$D$9,"&lt;="&amp;$H230))))</f>
        <v/>
      </c>
      <c r="K230" s="48">
        <f>IF($G230=0,0,IF(INDEX(Employees!$I$5:$I$29,$A230)="Per pay period",(N(INDEX(Employees!$J$5:$J$29,$A230))+$J230)/Settings!$B$13,IF(INDEX(Employees!$I$5:$I$29,$A230)="Per hour worked",N(INDEX(Employees!$K$5:$K$29,$A230))*$I230,IF(INDEX(Employees!$I$5:$I$29,$A230)="Front-loaded",IF(OR($B230=1,N($G229)=0),N(INDEX(Employees!$J$5:$J$29,$A230))+$J230,0),0))))</f>
        <v/>
      </c>
      <c r="L230" s="48">
        <f>IF($F230=0,0,SUMIFS('Time Off Log'!$H$5:$H$504,'Time Off Log'!$A$5:$A$504,$C230,'Time Off Log'!$B$5:$B$504,"PTO",'Time Off Log'!$E$5:$E$504,"Approved",'Time Off Log'!$C$5:$C$504,"&gt;="&amp;INDEX(Periods!$E$5:$E$57,$B230),'Time Off Log'!$C$5:$C$504,"&lt;="&amp;INDEX(Periods!$F$5:$F$57,$B230)))</f>
        <v/>
      </c>
      <c r="M230" s="48">
        <f>IF($B230=1,N(INDEX(Employees!$N$5:$N$29,$A230)),P229)</f>
        <v/>
      </c>
      <c r="N230" s="48">
        <f>IF(INDEX(Employees!$L$5:$L$29,$A230)="",K230,MAX(0,MIN(K230,INDEX(Employees!$L$5:$L$29,$A230)-(M230-L230))))</f>
        <v/>
      </c>
      <c r="O230" s="48">
        <f>K230-N230</f>
        <v/>
      </c>
      <c r="P230" s="48">
        <f>M230-L230+N230</f>
        <v/>
      </c>
      <c r="Q230" s="48">
        <f>IF($G230=0,0,IF(INDEX(Employees!$P$5:$P$29,$A230)="Per pay period",(N(INDEX(Employees!$Q$5:$Q$29,$A230)))/Settings!$B$13,IF(INDEX(Employees!$P$5:$P$29,$A230)="Per hour worked",N(INDEX(Employees!$R$5:$R$29,$A230))*$I230,IF(INDEX(Employees!$P$5:$P$29,$A230)="Front-loaded",IF(OR($B230=1,N($G229)=0),N(INDEX(Employees!$Q$5:$Q$29,$A230)),0),0))))</f>
        <v/>
      </c>
      <c r="R230" s="48">
        <f>IF($F230=0,0,SUMIFS('Time Off Log'!$H$5:$H$504,'Time Off Log'!$A$5:$A$504,$C230,'Time Off Log'!$B$5:$B$504,"Sick",'Time Off Log'!$E$5:$E$504,"Approved",'Time Off Log'!$C$5:$C$504,"&gt;="&amp;INDEX(Periods!$E$5:$E$57,$B230),'Time Off Log'!$C$5:$C$504,"&lt;="&amp;INDEX(Periods!$F$5:$F$57,$B230)))</f>
        <v/>
      </c>
      <c r="S230" s="48">
        <f>IF($B230=1,N(INDEX(Employees!$T$5:$T$29,$A230)),V229)</f>
        <v/>
      </c>
      <c r="T230" s="48">
        <f>IF(INDEX(Employees!$S$5:$S$29,$A230)="",Q230,MAX(0,MIN(Q230,INDEX(Employees!$S$5:$S$29,$A230)-(S230-R230))))</f>
        <v/>
      </c>
      <c r="U230" s="48">
        <f>Q230-T230</f>
        <v/>
      </c>
      <c r="V230" s="48">
        <f>S230-R230+T230</f>
        <v/>
      </c>
    </row>
    <row r="231">
      <c r="A231" s="47" t="n">
        <v>5</v>
      </c>
      <c r="B231" s="47" t="n">
        <v>15</v>
      </c>
      <c r="C231" s="48">
        <f>INDEX(Employees!$B$5:$B$29,$A231)&amp;""</f>
        <v/>
      </c>
      <c r="D231" s="49">
        <f>INDEX(Periods!$B$5:$B$57,$B231)</f>
        <v/>
      </c>
      <c r="E231" s="49">
        <f>INDEX(Periods!$C$5:$C$57,$B231)</f>
        <v/>
      </c>
      <c r="F231" s="47">
        <f>IF(AND($C231&lt;&gt;"",INDEX(Periods!$D$5:$D$57,$B231)=1),1,0)</f>
        <v/>
      </c>
      <c r="G231" s="47">
        <f>IF($F231=0,0,IF(AND(OR(INDEX(Employees!$D$5:$D$29,$A231)="",$E231&gt;=INDEX(Employees!$D$5:$D$29,$A231)+N(INDEX(Employees!$U$5:$U$29,$A231))),OR(INDEX(Employees!$E$5:$E$29,$A231)="",$D231&lt;=INDEX(Employees!$E$5:$E$29,$A231))),1,0))</f>
        <v/>
      </c>
      <c r="H231" s="47">
        <f>IF($G231=0,0,IF(INDEX(Employees!$D$5:$D$29,$A231)="",0,DATEDIF(INDEX(Employees!$D$5:$D$29,$A231),$E231,"y")))</f>
        <v/>
      </c>
      <c r="I231" s="48">
        <f>IF($G231=0,0,IF(INDEX('Hours Worked'!$D$5:$BD$29,$A231,$B231)="",N(INDEX(Employees!$H$5:$H$29,$A231)),INDEX('Hours Worked'!$D$5:$BD$29,$A231,$B231)))</f>
        <v/>
      </c>
      <c r="J231" s="48">
        <f>IF(OR($G231=0,INDEX(Employees!$O$5:$O$29,$A231)&lt;&gt;"Yes"),0,IF(COUNTIF(Settings!$D$4:$D$9,"&lt;="&amp;$H231)=0,0,INDEX(Settings!$E$4:$E$9,COUNTIF(Settings!$D$4:$D$9,"&lt;="&amp;$H231))))</f>
        <v/>
      </c>
      <c r="K231" s="48">
        <f>IF($G231=0,0,IF(INDEX(Employees!$I$5:$I$29,$A231)="Per pay period",(N(INDEX(Employees!$J$5:$J$29,$A231))+$J231)/Settings!$B$13,IF(INDEX(Employees!$I$5:$I$29,$A231)="Per hour worked",N(INDEX(Employees!$K$5:$K$29,$A231))*$I231,IF(INDEX(Employees!$I$5:$I$29,$A231)="Front-loaded",IF(OR($B231=1,N($G230)=0),N(INDEX(Employees!$J$5:$J$29,$A231))+$J231,0),0))))</f>
        <v/>
      </c>
      <c r="L231" s="48">
        <f>IF($F231=0,0,SUMIFS('Time Off Log'!$H$5:$H$504,'Time Off Log'!$A$5:$A$504,$C231,'Time Off Log'!$B$5:$B$504,"PTO",'Time Off Log'!$E$5:$E$504,"Approved",'Time Off Log'!$C$5:$C$504,"&gt;="&amp;INDEX(Periods!$E$5:$E$57,$B231),'Time Off Log'!$C$5:$C$504,"&lt;="&amp;INDEX(Periods!$F$5:$F$57,$B231)))</f>
        <v/>
      </c>
      <c r="M231" s="48">
        <f>IF($B231=1,N(INDEX(Employees!$N$5:$N$29,$A231)),P230)</f>
        <v/>
      </c>
      <c r="N231" s="48">
        <f>IF(INDEX(Employees!$L$5:$L$29,$A231)="",K231,MAX(0,MIN(K231,INDEX(Employees!$L$5:$L$29,$A231)-(M231-L231))))</f>
        <v/>
      </c>
      <c r="O231" s="48">
        <f>K231-N231</f>
        <v/>
      </c>
      <c r="P231" s="48">
        <f>M231-L231+N231</f>
        <v/>
      </c>
      <c r="Q231" s="48">
        <f>IF($G231=0,0,IF(INDEX(Employees!$P$5:$P$29,$A231)="Per pay period",(N(INDEX(Employees!$Q$5:$Q$29,$A231)))/Settings!$B$13,IF(INDEX(Employees!$P$5:$P$29,$A231)="Per hour worked",N(INDEX(Employees!$R$5:$R$29,$A231))*$I231,IF(INDEX(Employees!$P$5:$P$29,$A231)="Front-loaded",IF(OR($B231=1,N($G230)=0),N(INDEX(Employees!$Q$5:$Q$29,$A231)),0),0))))</f>
        <v/>
      </c>
      <c r="R231" s="48">
        <f>IF($F231=0,0,SUMIFS('Time Off Log'!$H$5:$H$504,'Time Off Log'!$A$5:$A$504,$C231,'Time Off Log'!$B$5:$B$504,"Sick",'Time Off Log'!$E$5:$E$504,"Approved",'Time Off Log'!$C$5:$C$504,"&gt;="&amp;INDEX(Periods!$E$5:$E$57,$B231),'Time Off Log'!$C$5:$C$504,"&lt;="&amp;INDEX(Periods!$F$5:$F$57,$B231)))</f>
        <v/>
      </c>
      <c r="S231" s="48">
        <f>IF($B231=1,N(INDEX(Employees!$T$5:$T$29,$A231)),V230)</f>
        <v/>
      </c>
      <c r="T231" s="48">
        <f>IF(INDEX(Employees!$S$5:$S$29,$A231)="",Q231,MAX(0,MIN(Q231,INDEX(Employees!$S$5:$S$29,$A231)-(S231-R231))))</f>
        <v/>
      </c>
      <c r="U231" s="48">
        <f>Q231-T231</f>
        <v/>
      </c>
      <c r="V231" s="48">
        <f>S231-R231+T231</f>
        <v/>
      </c>
    </row>
    <row r="232">
      <c r="A232" s="47" t="n">
        <v>5</v>
      </c>
      <c r="B232" s="47" t="n">
        <v>16</v>
      </c>
      <c r="C232" s="48">
        <f>INDEX(Employees!$B$5:$B$29,$A232)&amp;""</f>
        <v/>
      </c>
      <c r="D232" s="49">
        <f>INDEX(Periods!$B$5:$B$57,$B232)</f>
        <v/>
      </c>
      <c r="E232" s="49">
        <f>INDEX(Periods!$C$5:$C$57,$B232)</f>
        <v/>
      </c>
      <c r="F232" s="47">
        <f>IF(AND($C232&lt;&gt;"",INDEX(Periods!$D$5:$D$57,$B232)=1),1,0)</f>
        <v/>
      </c>
      <c r="G232" s="47">
        <f>IF($F232=0,0,IF(AND(OR(INDEX(Employees!$D$5:$D$29,$A232)="",$E232&gt;=INDEX(Employees!$D$5:$D$29,$A232)+N(INDEX(Employees!$U$5:$U$29,$A232))),OR(INDEX(Employees!$E$5:$E$29,$A232)="",$D232&lt;=INDEX(Employees!$E$5:$E$29,$A232))),1,0))</f>
        <v/>
      </c>
      <c r="H232" s="47">
        <f>IF($G232=0,0,IF(INDEX(Employees!$D$5:$D$29,$A232)="",0,DATEDIF(INDEX(Employees!$D$5:$D$29,$A232),$E232,"y")))</f>
        <v/>
      </c>
      <c r="I232" s="48">
        <f>IF($G232=0,0,IF(INDEX('Hours Worked'!$D$5:$BD$29,$A232,$B232)="",N(INDEX(Employees!$H$5:$H$29,$A232)),INDEX('Hours Worked'!$D$5:$BD$29,$A232,$B232)))</f>
        <v/>
      </c>
      <c r="J232" s="48">
        <f>IF(OR($G232=0,INDEX(Employees!$O$5:$O$29,$A232)&lt;&gt;"Yes"),0,IF(COUNTIF(Settings!$D$4:$D$9,"&lt;="&amp;$H232)=0,0,INDEX(Settings!$E$4:$E$9,COUNTIF(Settings!$D$4:$D$9,"&lt;="&amp;$H232))))</f>
        <v/>
      </c>
      <c r="K232" s="48">
        <f>IF($G232=0,0,IF(INDEX(Employees!$I$5:$I$29,$A232)="Per pay period",(N(INDEX(Employees!$J$5:$J$29,$A232))+$J232)/Settings!$B$13,IF(INDEX(Employees!$I$5:$I$29,$A232)="Per hour worked",N(INDEX(Employees!$K$5:$K$29,$A232))*$I232,IF(INDEX(Employees!$I$5:$I$29,$A232)="Front-loaded",IF(OR($B232=1,N($G231)=0),N(INDEX(Employees!$J$5:$J$29,$A232))+$J232,0),0))))</f>
        <v/>
      </c>
      <c r="L232" s="48">
        <f>IF($F232=0,0,SUMIFS('Time Off Log'!$H$5:$H$504,'Time Off Log'!$A$5:$A$504,$C232,'Time Off Log'!$B$5:$B$504,"PTO",'Time Off Log'!$E$5:$E$504,"Approved",'Time Off Log'!$C$5:$C$504,"&gt;="&amp;INDEX(Periods!$E$5:$E$57,$B232),'Time Off Log'!$C$5:$C$504,"&lt;="&amp;INDEX(Periods!$F$5:$F$57,$B232)))</f>
        <v/>
      </c>
      <c r="M232" s="48">
        <f>IF($B232=1,N(INDEX(Employees!$N$5:$N$29,$A232)),P231)</f>
        <v/>
      </c>
      <c r="N232" s="48">
        <f>IF(INDEX(Employees!$L$5:$L$29,$A232)="",K232,MAX(0,MIN(K232,INDEX(Employees!$L$5:$L$29,$A232)-(M232-L232))))</f>
        <v/>
      </c>
      <c r="O232" s="48">
        <f>K232-N232</f>
        <v/>
      </c>
      <c r="P232" s="48">
        <f>M232-L232+N232</f>
        <v/>
      </c>
      <c r="Q232" s="48">
        <f>IF($G232=0,0,IF(INDEX(Employees!$P$5:$P$29,$A232)="Per pay period",(N(INDEX(Employees!$Q$5:$Q$29,$A232)))/Settings!$B$13,IF(INDEX(Employees!$P$5:$P$29,$A232)="Per hour worked",N(INDEX(Employees!$R$5:$R$29,$A232))*$I232,IF(INDEX(Employees!$P$5:$P$29,$A232)="Front-loaded",IF(OR($B232=1,N($G231)=0),N(INDEX(Employees!$Q$5:$Q$29,$A232)),0),0))))</f>
        <v/>
      </c>
      <c r="R232" s="48">
        <f>IF($F232=0,0,SUMIFS('Time Off Log'!$H$5:$H$504,'Time Off Log'!$A$5:$A$504,$C232,'Time Off Log'!$B$5:$B$504,"Sick",'Time Off Log'!$E$5:$E$504,"Approved",'Time Off Log'!$C$5:$C$504,"&gt;="&amp;INDEX(Periods!$E$5:$E$57,$B232),'Time Off Log'!$C$5:$C$504,"&lt;="&amp;INDEX(Periods!$F$5:$F$57,$B232)))</f>
        <v/>
      </c>
      <c r="S232" s="48">
        <f>IF($B232=1,N(INDEX(Employees!$T$5:$T$29,$A232)),V231)</f>
        <v/>
      </c>
      <c r="T232" s="48">
        <f>IF(INDEX(Employees!$S$5:$S$29,$A232)="",Q232,MAX(0,MIN(Q232,INDEX(Employees!$S$5:$S$29,$A232)-(S232-R232))))</f>
        <v/>
      </c>
      <c r="U232" s="48">
        <f>Q232-T232</f>
        <v/>
      </c>
      <c r="V232" s="48">
        <f>S232-R232+T232</f>
        <v/>
      </c>
    </row>
    <row r="233">
      <c r="A233" s="47" t="n">
        <v>5</v>
      </c>
      <c r="B233" s="47" t="n">
        <v>17</v>
      </c>
      <c r="C233" s="48">
        <f>INDEX(Employees!$B$5:$B$29,$A233)&amp;""</f>
        <v/>
      </c>
      <c r="D233" s="49">
        <f>INDEX(Periods!$B$5:$B$57,$B233)</f>
        <v/>
      </c>
      <c r="E233" s="49">
        <f>INDEX(Periods!$C$5:$C$57,$B233)</f>
        <v/>
      </c>
      <c r="F233" s="47">
        <f>IF(AND($C233&lt;&gt;"",INDEX(Periods!$D$5:$D$57,$B233)=1),1,0)</f>
        <v/>
      </c>
      <c r="G233" s="47">
        <f>IF($F233=0,0,IF(AND(OR(INDEX(Employees!$D$5:$D$29,$A233)="",$E233&gt;=INDEX(Employees!$D$5:$D$29,$A233)+N(INDEX(Employees!$U$5:$U$29,$A233))),OR(INDEX(Employees!$E$5:$E$29,$A233)="",$D233&lt;=INDEX(Employees!$E$5:$E$29,$A233))),1,0))</f>
        <v/>
      </c>
      <c r="H233" s="47">
        <f>IF($G233=0,0,IF(INDEX(Employees!$D$5:$D$29,$A233)="",0,DATEDIF(INDEX(Employees!$D$5:$D$29,$A233),$E233,"y")))</f>
        <v/>
      </c>
      <c r="I233" s="48">
        <f>IF($G233=0,0,IF(INDEX('Hours Worked'!$D$5:$BD$29,$A233,$B233)="",N(INDEX(Employees!$H$5:$H$29,$A233)),INDEX('Hours Worked'!$D$5:$BD$29,$A233,$B233)))</f>
        <v/>
      </c>
      <c r="J233" s="48">
        <f>IF(OR($G233=0,INDEX(Employees!$O$5:$O$29,$A233)&lt;&gt;"Yes"),0,IF(COUNTIF(Settings!$D$4:$D$9,"&lt;="&amp;$H233)=0,0,INDEX(Settings!$E$4:$E$9,COUNTIF(Settings!$D$4:$D$9,"&lt;="&amp;$H233))))</f>
        <v/>
      </c>
      <c r="K233" s="48">
        <f>IF($G233=0,0,IF(INDEX(Employees!$I$5:$I$29,$A233)="Per pay period",(N(INDEX(Employees!$J$5:$J$29,$A233))+$J233)/Settings!$B$13,IF(INDEX(Employees!$I$5:$I$29,$A233)="Per hour worked",N(INDEX(Employees!$K$5:$K$29,$A233))*$I233,IF(INDEX(Employees!$I$5:$I$29,$A233)="Front-loaded",IF(OR($B233=1,N($G232)=0),N(INDEX(Employees!$J$5:$J$29,$A233))+$J233,0),0))))</f>
        <v/>
      </c>
      <c r="L233" s="48">
        <f>IF($F233=0,0,SUMIFS('Time Off Log'!$H$5:$H$504,'Time Off Log'!$A$5:$A$504,$C233,'Time Off Log'!$B$5:$B$504,"PTO",'Time Off Log'!$E$5:$E$504,"Approved",'Time Off Log'!$C$5:$C$504,"&gt;="&amp;INDEX(Periods!$E$5:$E$57,$B233),'Time Off Log'!$C$5:$C$504,"&lt;="&amp;INDEX(Periods!$F$5:$F$57,$B233)))</f>
        <v/>
      </c>
      <c r="M233" s="48">
        <f>IF($B233=1,N(INDEX(Employees!$N$5:$N$29,$A233)),P232)</f>
        <v/>
      </c>
      <c r="N233" s="48">
        <f>IF(INDEX(Employees!$L$5:$L$29,$A233)="",K233,MAX(0,MIN(K233,INDEX(Employees!$L$5:$L$29,$A233)-(M233-L233))))</f>
        <v/>
      </c>
      <c r="O233" s="48">
        <f>K233-N233</f>
        <v/>
      </c>
      <c r="P233" s="48">
        <f>M233-L233+N233</f>
        <v/>
      </c>
      <c r="Q233" s="48">
        <f>IF($G233=0,0,IF(INDEX(Employees!$P$5:$P$29,$A233)="Per pay period",(N(INDEX(Employees!$Q$5:$Q$29,$A233)))/Settings!$B$13,IF(INDEX(Employees!$P$5:$P$29,$A233)="Per hour worked",N(INDEX(Employees!$R$5:$R$29,$A233))*$I233,IF(INDEX(Employees!$P$5:$P$29,$A233)="Front-loaded",IF(OR($B233=1,N($G232)=0),N(INDEX(Employees!$Q$5:$Q$29,$A233)),0),0))))</f>
        <v/>
      </c>
      <c r="R233" s="48">
        <f>IF($F233=0,0,SUMIFS('Time Off Log'!$H$5:$H$504,'Time Off Log'!$A$5:$A$504,$C233,'Time Off Log'!$B$5:$B$504,"Sick",'Time Off Log'!$E$5:$E$504,"Approved",'Time Off Log'!$C$5:$C$504,"&gt;="&amp;INDEX(Periods!$E$5:$E$57,$B233),'Time Off Log'!$C$5:$C$504,"&lt;="&amp;INDEX(Periods!$F$5:$F$57,$B233)))</f>
        <v/>
      </c>
      <c r="S233" s="48">
        <f>IF($B233=1,N(INDEX(Employees!$T$5:$T$29,$A233)),V232)</f>
        <v/>
      </c>
      <c r="T233" s="48">
        <f>IF(INDEX(Employees!$S$5:$S$29,$A233)="",Q233,MAX(0,MIN(Q233,INDEX(Employees!$S$5:$S$29,$A233)-(S233-R233))))</f>
        <v/>
      </c>
      <c r="U233" s="48">
        <f>Q233-T233</f>
        <v/>
      </c>
      <c r="V233" s="48">
        <f>S233-R233+T233</f>
        <v/>
      </c>
    </row>
    <row r="234">
      <c r="A234" s="47" t="n">
        <v>5</v>
      </c>
      <c r="B234" s="47" t="n">
        <v>18</v>
      </c>
      <c r="C234" s="48">
        <f>INDEX(Employees!$B$5:$B$29,$A234)&amp;""</f>
        <v/>
      </c>
      <c r="D234" s="49">
        <f>INDEX(Periods!$B$5:$B$57,$B234)</f>
        <v/>
      </c>
      <c r="E234" s="49">
        <f>INDEX(Periods!$C$5:$C$57,$B234)</f>
        <v/>
      </c>
      <c r="F234" s="47">
        <f>IF(AND($C234&lt;&gt;"",INDEX(Periods!$D$5:$D$57,$B234)=1),1,0)</f>
        <v/>
      </c>
      <c r="G234" s="47">
        <f>IF($F234=0,0,IF(AND(OR(INDEX(Employees!$D$5:$D$29,$A234)="",$E234&gt;=INDEX(Employees!$D$5:$D$29,$A234)+N(INDEX(Employees!$U$5:$U$29,$A234))),OR(INDEX(Employees!$E$5:$E$29,$A234)="",$D234&lt;=INDEX(Employees!$E$5:$E$29,$A234))),1,0))</f>
        <v/>
      </c>
      <c r="H234" s="47">
        <f>IF($G234=0,0,IF(INDEX(Employees!$D$5:$D$29,$A234)="",0,DATEDIF(INDEX(Employees!$D$5:$D$29,$A234),$E234,"y")))</f>
        <v/>
      </c>
      <c r="I234" s="48">
        <f>IF($G234=0,0,IF(INDEX('Hours Worked'!$D$5:$BD$29,$A234,$B234)="",N(INDEX(Employees!$H$5:$H$29,$A234)),INDEX('Hours Worked'!$D$5:$BD$29,$A234,$B234)))</f>
        <v/>
      </c>
      <c r="J234" s="48">
        <f>IF(OR($G234=0,INDEX(Employees!$O$5:$O$29,$A234)&lt;&gt;"Yes"),0,IF(COUNTIF(Settings!$D$4:$D$9,"&lt;="&amp;$H234)=0,0,INDEX(Settings!$E$4:$E$9,COUNTIF(Settings!$D$4:$D$9,"&lt;="&amp;$H234))))</f>
        <v/>
      </c>
      <c r="K234" s="48">
        <f>IF($G234=0,0,IF(INDEX(Employees!$I$5:$I$29,$A234)="Per pay period",(N(INDEX(Employees!$J$5:$J$29,$A234))+$J234)/Settings!$B$13,IF(INDEX(Employees!$I$5:$I$29,$A234)="Per hour worked",N(INDEX(Employees!$K$5:$K$29,$A234))*$I234,IF(INDEX(Employees!$I$5:$I$29,$A234)="Front-loaded",IF(OR($B234=1,N($G233)=0),N(INDEX(Employees!$J$5:$J$29,$A234))+$J234,0),0))))</f>
        <v/>
      </c>
      <c r="L234" s="48">
        <f>IF($F234=0,0,SUMIFS('Time Off Log'!$H$5:$H$504,'Time Off Log'!$A$5:$A$504,$C234,'Time Off Log'!$B$5:$B$504,"PTO",'Time Off Log'!$E$5:$E$504,"Approved",'Time Off Log'!$C$5:$C$504,"&gt;="&amp;INDEX(Periods!$E$5:$E$57,$B234),'Time Off Log'!$C$5:$C$504,"&lt;="&amp;INDEX(Periods!$F$5:$F$57,$B234)))</f>
        <v/>
      </c>
      <c r="M234" s="48">
        <f>IF($B234=1,N(INDEX(Employees!$N$5:$N$29,$A234)),P233)</f>
        <v/>
      </c>
      <c r="N234" s="48">
        <f>IF(INDEX(Employees!$L$5:$L$29,$A234)="",K234,MAX(0,MIN(K234,INDEX(Employees!$L$5:$L$29,$A234)-(M234-L234))))</f>
        <v/>
      </c>
      <c r="O234" s="48">
        <f>K234-N234</f>
        <v/>
      </c>
      <c r="P234" s="48">
        <f>M234-L234+N234</f>
        <v/>
      </c>
      <c r="Q234" s="48">
        <f>IF($G234=0,0,IF(INDEX(Employees!$P$5:$P$29,$A234)="Per pay period",(N(INDEX(Employees!$Q$5:$Q$29,$A234)))/Settings!$B$13,IF(INDEX(Employees!$P$5:$P$29,$A234)="Per hour worked",N(INDEX(Employees!$R$5:$R$29,$A234))*$I234,IF(INDEX(Employees!$P$5:$P$29,$A234)="Front-loaded",IF(OR($B234=1,N($G233)=0),N(INDEX(Employees!$Q$5:$Q$29,$A234)),0),0))))</f>
        <v/>
      </c>
      <c r="R234" s="48">
        <f>IF($F234=0,0,SUMIFS('Time Off Log'!$H$5:$H$504,'Time Off Log'!$A$5:$A$504,$C234,'Time Off Log'!$B$5:$B$504,"Sick",'Time Off Log'!$E$5:$E$504,"Approved",'Time Off Log'!$C$5:$C$504,"&gt;="&amp;INDEX(Periods!$E$5:$E$57,$B234),'Time Off Log'!$C$5:$C$504,"&lt;="&amp;INDEX(Periods!$F$5:$F$57,$B234)))</f>
        <v/>
      </c>
      <c r="S234" s="48">
        <f>IF($B234=1,N(INDEX(Employees!$T$5:$T$29,$A234)),V233)</f>
        <v/>
      </c>
      <c r="T234" s="48">
        <f>IF(INDEX(Employees!$S$5:$S$29,$A234)="",Q234,MAX(0,MIN(Q234,INDEX(Employees!$S$5:$S$29,$A234)-(S234-R234))))</f>
        <v/>
      </c>
      <c r="U234" s="48">
        <f>Q234-T234</f>
        <v/>
      </c>
      <c r="V234" s="48">
        <f>S234-R234+T234</f>
        <v/>
      </c>
    </row>
    <row r="235">
      <c r="A235" s="47" t="n">
        <v>5</v>
      </c>
      <c r="B235" s="47" t="n">
        <v>19</v>
      </c>
      <c r="C235" s="48">
        <f>INDEX(Employees!$B$5:$B$29,$A235)&amp;""</f>
        <v/>
      </c>
      <c r="D235" s="49">
        <f>INDEX(Periods!$B$5:$B$57,$B235)</f>
        <v/>
      </c>
      <c r="E235" s="49">
        <f>INDEX(Periods!$C$5:$C$57,$B235)</f>
        <v/>
      </c>
      <c r="F235" s="47">
        <f>IF(AND($C235&lt;&gt;"",INDEX(Periods!$D$5:$D$57,$B235)=1),1,0)</f>
        <v/>
      </c>
      <c r="G235" s="47">
        <f>IF($F235=0,0,IF(AND(OR(INDEX(Employees!$D$5:$D$29,$A235)="",$E235&gt;=INDEX(Employees!$D$5:$D$29,$A235)+N(INDEX(Employees!$U$5:$U$29,$A235))),OR(INDEX(Employees!$E$5:$E$29,$A235)="",$D235&lt;=INDEX(Employees!$E$5:$E$29,$A235))),1,0))</f>
        <v/>
      </c>
      <c r="H235" s="47">
        <f>IF($G235=0,0,IF(INDEX(Employees!$D$5:$D$29,$A235)="",0,DATEDIF(INDEX(Employees!$D$5:$D$29,$A235),$E235,"y")))</f>
        <v/>
      </c>
      <c r="I235" s="48">
        <f>IF($G235=0,0,IF(INDEX('Hours Worked'!$D$5:$BD$29,$A235,$B235)="",N(INDEX(Employees!$H$5:$H$29,$A235)),INDEX('Hours Worked'!$D$5:$BD$29,$A235,$B235)))</f>
        <v/>
      </c>
      <c r="J235" s="48">
        <f>IF(OR($G235=0,INDEX(Employees!$O$5:$O$29,$A235)&lt;&gt;"Yes"),0,IF(COUNTIF(Settings!$D$4:$D$9,"&lt;="&amp;$H235)=0,0,INDEX(Settings!$E$4:$E$9,COUNTIF(Settings!$D$4:$D$9,"&lt;="&amp;$H235))))</f>
        <v/>
      </c>
      <c r="K235" s="48">
        <f>IF($G235=0,0,IF(INDEX(Employees!$I$5:$I$29,$A235)="Per pay period",(N(INDEX(Employees!$J$5:$J$29,$A235))+$J235)/Settings!$B$13,IF(INDEX(Employees!$I$5:$I$29,$A235)="Per hour worked",N(INDEX(Employees!$K$5:$K$29,$A235))*$I235,IF(INDEX(Employees!$I$5:$I$29,$A235)="Front-loaded",IF(OR($B235=1,N($G234)=0),N(INDEX(Employees!$J$5:$J$29,$A235))+$J235,0),0))))</f>
        <v/>
      </c>
      <c r="L235" s="48">
        <f>IF($F235=0,0,SUMIFS('Time Off Log'!$H$5:$H$504,'Time Off Log'!$A$5:$A$504,$C235,'Time Off Log'!$B$5:$B$504,"PTO",'Time Off Log'!$E$5:$E$504,"Approved",'Time Off Log'!$C$5:$C$504,"&gt;="&amp;INDEX(Periods!$E$5:$E$57,$B235),'Time Off Log'!$C$5:$C$504,"&lt;="&amp;INDEX(Periods!$F$5:$F$57,$B235)))</f>
        <v/>
      </c>
      <c r="M235" s="48">
        <f>IF($B235=1,N(INDEX(Employees!$N$5:$N$29,$A235)),P234)</f>
        <v/>
      </c>
      <c r="N235" s="48">
        <f>IF(INDEX(Employees!$L$5:$L$29,$A235)="",K235,MAX(0,MIN(K235,INDEX(Employees!$L$5:$L$29,$A235)-(M235-L235))))</f>
        <v/>
      </c>
      <c r="O235" s="48">
        <f>K235-N235</f>
        <v/>
      </c>
      <c r="P235" s="48">
        <f>M235-L235+N235</f>
        <v/>
      </c>
      <c r="Q235" s="48">
        <f>IF($G235=0,0,IF(INDEX(Employees!$P$5:$P$29,$A235)="Per pay period",(N(INDEX(Employees!$Q$5:$Q$29,$A235)))/Settings!$B$13,IF(INDEX(Employees!$P$5:$P$29,$A235)="Per hour worked",N(INDEX(Employees!$R$5:$R$29,$A235))*$I235,IF(INDEX(Employees!$P$5:$P$29,$A235)="Front-loaded",IF(OR($B235=1,N($G234)=0),N(INDEX(Employees!$Q$5:$Q$29,$A235)),0),0))))</f>
        <v/>
      </c>
      <c r="R235" s="48">
        <f>IF($F235=0,0,SUMIFS('Time Off Log'!$H$5:$H$504,'Time Off Log'!$A$5:$A$504,$C235,'Time Off Log'!$B$5:$B$504,"Sick",'Time Off Log'!$E$5:$E$504,"Approved",'Time Off Log'!$C$5:$C$504,"&gt;="&amp;INDEX(Periods!$E$5:$E$57,$B235),'Time Off Log'!$C$5:$C$504,"&lt;="&amp;INDEX(Periods!$F$5:$F$57,$B235)))</f>
        <v/>
      </c>
      <c r="S235" s="48">
        <f>IF($B235=1,N(INDEX(Employees!$T$5:$T$29,$A235)),V234)</f>
        <v/>
      </c>
      <c r="T235" s="48">
        <f>IF(INDEX(Employees!$S$5:$S$29,$A235)="",Q235,MAX(0,MIN(Q235,INDEX(Employees!$S$5:$S$29,$A235)-(S235-R235))))</f>
        <v/>
      </c>
      <c r="U235" s="48">
        <f>Q235-T235</f>
        <v/>
      </c>
      <c r="V235" s="48">
        <f>S235-R235+T235</f>
        <v/>
      </c>
    </row>
    <row r="236">
      <c r="A236" s="47" t="n">
        <v>5</v>
      </c>
      <c r="B236" s="47" t="n">
        <v>20</v>
      </c>
      <c r="C236" s="48">
        <f>INDEX(Employees!$B$5:$B$29,$A236)&amp;""</f>
        <v/>
      </c>
      <c r="D236" s="49">
        <f>INDEX(Periods!$B$5:$B$57,$B236)</f>
        <v/>
      </c>
      <c r="E236" s="49">
        <f>INDEX(Periods!$C$5:$C$57,$B236)</f>
        <v/>
      </c>
      <c r="F236" s="47">
        <f>IF(AND($C236&lt;&gt;"",INDEX(Periods!$D$5:$D$57,$B236)=1),1,0)</f>
        <v/>
      </c>
      <c r="G236" s="47">
        <f>IF($F236=0,0,IF(AND(OR(INDEX(Employees!$D$5:$D$29,$A236)="",$E236&gt;=INDEX(Employees!$D$5:$D$29,$A236)+N(INDEX(Employees!$U$5:$U$29,$A236))),OR(INDEX(Employees!$E$5:$E$29,$A236)="",$D236&lt;=INDEX(Employees!$E$5:$E$29,$A236))),1,0))</f>
        <v/>
      </c>
      <c r="H236" s="47">
        <f>IF($G236=0,0,IF(INDEX(Employees!$D$5:$D$29,$A236)="",0,DATEDIF(INDEX(Employees!$D$5:$D$29,$A236),$E236,"y")))</f>
        <v/>
      </c>
      <c r="I236" s="48">
        <f>IF($G236=0,0,IF(INDEX('Hours Worked'!$D$5:$BD$29,$A236,$B236)="",N(INDEX(Employees!$H$5:$H$29,$A236)),INDEX('Hours Worked'!$D$5:$BD$29,$A236,$B236)))</f>
        <v/>
      </c>
      <c r="J236" s="48">
        <f>IF(OR($G236=0,INDEX(Employees!$O$5:$O$29,$A236)&lt;&gt;"Yes"),0,IF(COUNTIF(Settings!$D$4:$D$9,"&lt;="&amp;$H236)=0,0,INDEX(Settings!$E$4:$E$9,COUNTIF(Settings!$D$4:$D$9,"&lt;="&amp;$H236))))</f>
        <v/>
      </c>
      <c r="K236" s="48">
        <f>IF($G236=0,0,IF(INDEX(Employees!$I$5:$I$29,$A236)="Per pay period",(N(INDEX(Employees!$J$5:$J$29,$A236))+$J236)/Settings!$B$13,IF(INDEX(Employees!$I$5:$I$29,$A236)="Per hour worked",N(INDEX(Employees!$K$5:$K$29,$A236))*$I236,IF(INDEX(Employees!$I$5:$I$29,$A236)="Front-loaded",IF(OR($B236=1,N($G235)=0),N(INDEX(Employees!$J$5:$J$29,$A236))+$J236,0),0))))</f>
        <v/>
      </c>
      <c r="L236" s="48">
        <f>IF($F236=0,0,SUMIFS('Time Off Log'!$H$5:$H$504,'Time Off Log'!$A$5:$A$504,$C236,'Time Off Log'!$B$5:$B$504,"PTO",'Time Off Log'!$E$5:$E$504,"Approved",'Time Off Log'!$C$5:$C$504,"&gt;="&amp;INDEX(Periods!$E$5:$E$57,$B236),'Time Off Log'!$C$5:$C$504,"&lt;="&amp;INDEX(Periods!$F$5:$F$57,$B236)))</f>
        <v/>
      </c>
      <c r="M236" s="48">
        <f>IF($B236=1,N(INDEX(Employees!$N$5:$N$29,$A236)),P235)</f>
        <v/>
      </c>
      <c r="N236" s="48">
        <f>IF(INDEX(Employees!$L$5:$L$29,$A236)="",K236,MAX(0,MIN(K236,INDEX(Employees!$L$5:$L$29,$A236)-(M236-L236))))</f>
        <v/>
      </c>
      <c r="O236" s="48">
        <f>K236-N236</f>
        <v/>
      </c>
      <c r="P236" s="48">
        <f>M236-L236+N236</f>
        <v/>
      </c>
      <c r="Q236" s="48">
        <f>IF($G236=0,0,IF(INDEX(Employees!$P$5:$P$29,$A236)="Per pay period",(N(INDEX(Employees!$Q$5:$Q$29,$A236)))/Settings!$B$13,IF(INDEX(Employees!$P$5:$P$29,$A236)="Per hour worked",N(INDEX(Employees!$R$5:$R$29,$A236))*$I236,IF(INDEX(Employees!$P$5:$P$29,$A236)="Front-loaded",IF(OR($B236=1,N($G235)=0),N(INDEX(Employees!$Q$5:$Q$29,$A236)),0),0))))</f>
        <v/>
      </c>
      <c r="R236" s="48">
        <f>IF($F236=0,0,SUMIFS('Time Off Log'!$H$5:$H$504,'Time Off Log'!$A$5:$A$504,$C236,'Time Off Log'!$B$5:$B$504,"Sick",'Time Off Log'!$E$5:$E$504,"Approved",'Time Off Log'!$C$5:$C$504,"&gt;="&amp;INDEX(Periods!$E$5:$E$57,$B236),'Time Off Log'!$C$5:$C$504,"&lt;="&amp;INDEX(Periods!$F$5:$F$57,$B236)))</f>
        <v/>
      </c>
      <c r="S236" s="48">
        <f>IF($B236=1,N(INDEX(Employees!$T$5:$T$29,$A236)),V235)</f>
        <v/>
      </c>
      <c r="T236" s="48">
        <f>IF(INDEX(Employees!$S$5:$S$29,$A236)="",Q236,MAX(0,MIN(Q236,INDEX(Employees!$S$5:$S$29,$A236)-(S236-R236))))</f>
        <v/>
      </c>
      <c r="U236" s="48">
        <f>Q236-T236</f>
        <v/>
      </c>
      <c r="V236" s="48">
        <f>S236-R236+T236</f>
        <v/>
      </c>
    </row>
    <row r="237">
      <c r="A237" s="47" t="n">
        <v>5</v>
      </c>
      <c r="B237" s="47" t="n">
        <v>21</v>
      </c>
      <c r="C237" s="48">
        <f>INDEX(Employees!$B$5:$B$29,$A237)&amp;""</f>
        <v/>
      </c>
      <c r="D237" s="49">
        <f>INDEX(Periods!$B$5:$B$57,$B237)</f>
        <v/>
      </c>
      <c r="E237" s="49">
        <f>INDEX(Periods!$C$5:$C$57,$B237)</f>
        <v/>
      </c>
      <c r="F237" s="47">
        <f>IF(AND($C237&lt;&gt;"",INDEX(Periods!$D$5:$D$57,$B237)=1),1,0)</f>
        <v/>
      </c>
      <c r="G237" s="47">
        <f>IF($F237=0,0,IF(AND(OR(INDEX(Employees!$D$5:$D$29,$A237)="",$E237&gt;=INDEX(Employees!$D$5:$D$29,$A237)+N(INDEX(Employees!$U$5:$U$29,$A237))),OR(INDEX(Employees!$E$5:$E$29,$A237)="",$D237&lt;=INDEX(Employees!$E$5:$E$29,$A237))),1,0))</f>
        <v/>
      </c>
      <c r="H237" s="47">
        <f>IF($G237=0,0,IF(INDEX(Employees!$D$5:$D$29,$A237)="",0,DATEDIF(INDEX(Employees!$D$5:$D$29,$A237),$E237,"y")))</f>
        <v/>
      </c>
      <c r="I237" s="48">
        <f>IF($G237=0,0,IF(INDEX('Hours Worked'!$D$5:$BD$29,$A237,$B237)="",N(INDEX(Employees!$H$5:$H$29,$A237)),INDEX('Hours Worked'!$D$5:$BD$29,$A237,$B237)))</f>
        <v/>
      </c>
      <c r="J237" s="48">
        <f>IF(OR($G237=0,INDEX(Employees!$O$5:$O$29,$A237)&lt;&gt;"Yes"),0,IF(COUNTIF(Settings!$D$4:$D$9,"&lt;="&amp;$H237)=0,0,INDEX(Settings!$E$4:$E$9,COUNTIF(Settings!$D$4:$D$9,"&lt;="&amp;$H237))))</f>
        <v/>
      </c>
      <c r="K237" s="48">
        <f>IF($G237=0,0,IF(INDEX(Employees!$I$5:$I$29,$A237)="Per pay period",(N(INDEX(Employees!$J$5:$J$29,$A237))+$J237)/Settings!$B$13,IF(INDEX(Employees!$I$5:$I$29,$A237)="Per hour worked",N(INDEX(Employees!$K$5:$K$29,$A237))*$I237,IF(INDEX(Employees!$I$5:$I$29,$A237)="Front-loaded",IF(OR($B237=1,N($G236)=0),N(INDEX(Employees!$J$5:$J$29,$A237))+$J237,0),0))))</f>
        <v/>
      </c>
      <c r="L237" s="48">
        <f>IF($F237=0,0,SUMIFS('Time Off Log'!$H$5:$H$504,'Time Off Log'!$A$5:$A$504,$C237,'Time Off Log'!$B$5:$B$504,"PTO",'Time Off Log'!$E$5:$E$504,"Approved",'Time Off Log'!$C$5:$C$504,"&gt;="&amp;INDEX(Periods!$E$5:$E$57,$B237),'Time Off Log'!$C$5:$C$504,"&lt;="&amp;INDEX(Periods!$F$5:$F$57,$B237)))</f>
        <v/>
      </c>
      <c r="M237" s="48">
        <f>IF($B237=1,N(INDEX(Employees!$N$5:$N$29,$A237)),P236)</f>
        <v/>
      </c>
      <c r="N237" s="48">
        <f>IF(INDEX(Employees!$L$5:$L$29,$A237)="",K237,MAX(0,MIN(K237,INDEX(Employees!$L$5:$L$29,$A237)-(M237-L237))))</f>
        <v/>
      </c>
      <c r="O237" s="48">
        <f>K237-N237</f>
        <v/>
      </c>
      <c r="P237" s="48">
        <f>M237-L237+N237</f>
        <v/>
      </c>
      <c r="Q237" s="48">
        <f>IF($G237=0,0,IF(INDEX(Employees!$P$5:$P$29,$A237)="Per pay period",(N(INDEX(Employees!$Q$5:$Q$29,$A237)))/Settings!$B$13,IF(INDEX(Employees!$P$5:$P$29,$A237)="Per hour worked",N(INDEX(Employees!$R$5:$R$29,$A237))*$I237,IF(INDEX(Employees!$P$5:$P$29,$A237)="Front-loaded",IF(OR($B237=1,N($G236)=0),N(INDEX(Employees!$Q$5:$Q$29,$A237)),0),0))))</f>
        <v/>
      </c>
      <c r="R237" s="48">
        <f>IF($F237=0,0,SUMIFS('Time Off Log'!$H$5:$H$504,'Time Off Log'!$A$5:$A$504,$C237,'Time Off Log'!$B$5:$B$504,"Sick",'Time Off Log'!$E$5:$E$504,"Approved",'Time Off Log'!$C$5:$C$504,"&gt;="&amp;INDEX(Periods!$E$5:$E$57,$B237),'Time Off Log'!$C$5:$C$504,"&lt;="&amp;INDEX(Periods!$F$5:$F$57,$B237)))</f>
        <v/>
      </c>
      <c r="S237" s="48">
        <f>IF($B237=1,N(INDEX(Employees!$T$5:$T$29,$A237)),V236)</f>
        <v/>
      </c>
      <c r="T237" s="48">
        <f>IF(INDEX(Employees!$S$5:$S$29,$A237)="",Q237,MAX(0,MIN(Q237,INDEX(Employees!$S$5:$S$29,$A237)-(S237-R237))))</f>
        <v/>
      </c>
      <c r="U237" s="48">
        <f>Q237-T237</f>
        <v/>
      </c>
      <c r="V237" s="48">
        <f>S237-R237+T237</f>
        <v/>
      </c>
    </row>
    <row r="238">
      <c r="A238" s="47" t="n">
        <v>5</v>
      </c>
      <c r="B238" s="47" t="n">
        <v>22</v>
      </c>
      <c r="C238" s="48">
        <f>INDEX(Employees!$B$5:$B$29,$A238)&amp;""</f>
        <v/>
      </c>
      <c r="D238" s="49">
        <f>INDEX(Periods!$B$5:$B$57,$B238)</f>
        <v/>
      </c>
      <c r="E238" s="49">
        <f>INDEX(Periods!$C$5:$C$57,$B238)</f>
        <v/>
      </c>
      <c r="F238" s="47">
        <f>IF(AND($C238&lt;&gt;"",INDEX(Periods!$D$5:$D$57,$B238)=1),1,0)</f>
        <v/>
      </c>
      <c r="G238" s="47">
        <f>IF($F238=0,0,IF(AND(OR(INDEX(Employees!$D$5:$D$29,$A238)="",$E238&gt;=INDEX(Employees!$D$5:$D$29,$A238)+N(INDEX(Employees!$U$5:$U$29,$A238))),OR(INDEX(Employees!$E$5:$E$29,$A238)="",$D238&lt;=INDEX(Employees!$E$5:$E$29,$A238))),1,0))</f>
        <v/>
      </c>
      <c r="H238" s="47">
        <f>IF($G238=0,0,IF(INDEX(Employees!$D$5:$D$29,$A238)="",0,DATEDIF(INDEX(Employees!$D$5:$D$29,$A238),$E238,"y")))</f>
        <v/>
      </c>
      <c r="I238" s="48">
        <f>IF($G238=0,0,IF(INDEX('Hours Worked'!$D$5:$BD$29,$A238,$B238)="",N(INDEX(Employees!$H$5:$H$29,$A238)),INDEX('Hours Worked'!$D$5:$BD$29,$A238,$B238)))</f>
        <v/>
      </c>
      <c r="J238" s="48">
        <f>IF(OR($G238=0,INDEX(Employees!$O$5:$O$29,$A238)&lt;&gt;"Yes"),0,IF(COUNTIF(Settings!$D$4:$D$9,"&lt;="&amp;$H238)=0,0,INDEX(Settings!$E$4:$E$9,COUNTIF(Settings!$D$4:$D$9,"&lt;="&amp;$H238))))</f>
        <v/>
      </c>
      <c r="K238" s="48">
        <f>IF($G238=0,0,IF(INDEX(Employees!$I$5:$I$29,$A238)="Per pay period",(N(INDEX(Employees!$J$5:$J$29,$A238))+$J238)/Settings!$B$13,IF(INDEX(Employees!$I$5:$I$29,$A238)="Per hour worked",N(INDEX(Employees!$K$5:$K$29,$A238))*$I238,IF(INDEX(Employees!$I$5:$I$29,$A238)="Front-loaded",IF(OR($B238=1,N($G237)=0),N(INDEX(Employees!$J$5:$J$29,$A238))+$J238,0),0))))</f>
        <v/>
      </c>
      <c r="L238" s="48">
        <f>IF($F238=0,0,SUMIFS('Time Off Log'!$H$5:$H$504,'Time Off Log'!$A$5:$A$504,$C238,'Time Off Log'!$B$5:$B$504,"PTO",'Time Off Log'!$E$5:$E$504,"Approved",'Time Off Log'!$C$5:$C$504,"&gt;="&amp;INDEX(Periods!$E$5:$E$57,$B238),'Time Off Log'!$C$5:$C$504,"&lt;="&amp;INDEX(Periods!$F$5:$F$57,$B238)))</f>
        <v/>
      </c>
      <c r="M238" s="48">
        <f>IF($B238=1,N(INDEX(Employees!$N$5:$N$29,$A238)),P237)</f>
        <v/>
      </c>
      <c r="N238" s="48">
        <f>IF(INDEX(Employees!$L$5:$L$29,$A238)="",K238,MAX(0,MIN(K238,INDEX(Employees!$L$5:$L$29,$A238)-(M238-L238))))</f>
        <v/>
      </c>
      <c r="O238" s="48">
        <f>K238-N238</f>
        <v/>
      </c>
      <c r="P238" s="48">
        <f>M238-L238+N238</f>
        <v/>
      </c>
      <c r="Q238" s="48">
        <f>IF($G238=0,0,IF(INDEX(Employees!$P$5:$P$29,$A238)="Per pay period",(N(INDEX(Employees!$Q$5:$Q$29,$A238)))/Settings!$B$13,IF(INDEX(Employees!$P$5:$P$29,$A238)="Per hour worked",N(INDEX(Employees!$R$5:$R$29,$A238))*$I238,IF(INDEX(Employees!$P$5:$P$29,$A238)="Front-loaded",IF(OR($B238=1,N($G237)=0),N(INDEX(Employees!$Q$5:$Q$29,$A238)),0),0))))</f>
        <v/>
      </c>
      <c r="R238" s="48">
        <f>IF($F238=0,0,SUMIFS('Time Off Log'!$H$5:$H$504,'Time Off Log'!$A$5:$A$504,$C238,'Time Off Log'!$B$5:$B$504,"Sick",'Time Off Log'!$E$5:$E$504,"Approved",'Time Off Log'!$C$5:$C$504,"&gt;="&amp;INDEX(Periods!$E$5:$E$57,$B238),'Time Off Log'!$C$5:$C$504,"&lt;="&amp;INDEX(Periods!$F$5:$F$57,$B238)))</f>
        <v/>
      </c>
      <c r="S238" s="48">
        <f>IF($B238=1,N(INDEX(Employees!$T$5:$T$29,$A238)),V237)</f>
        <v/>
      </c>
      <c r="T238" s="48">
        <f>IF(INDEX(Employees!$S$5:$S$29,$A238)="",Q238,MAX(0,MIN(Q238,INDEX(Employees!$S$5:$S$29,$A238)-(S238-R238))))</f>
        <v/>
      </c>
      <c r="U238" s="48">
        <f>Q238-T238</f>
        <v/>
      </c>
      <c r="V238" s="48">
        <f>S238-R238+T238</f>
        <v/>
      </c>
    </row>
    <row r="239">
      <c r="A239" s="47" t="n">
        <v>5</v>
      </c>
      <c r="B239" s="47" t="n">
        <v>23</v>
      </c>
      <c r="C239" s="48">
        <f>INDEX(Employees!$B$5:$B$29,$A239)&amp;""</f>
        <v/>
      </c>
      <c r="D239" s="49">
        <f>INDEX(Periods!$B$5:$B$57,$B239)</f>
        <v/>
      </c>
      <c r="E239" s="49">
        <f>INDEX(Periods!$C$5:$C$57,$B239)</f>
        <v/>
      </c>
      <c r="F239" s="47">
        <f>IF(AND($C239&lt;&gt;"",INDEX(Periods!$D$5:$D$57,$B239)=1),1,0)</f>
        <v/>
      </c>
      <c r="G239" s="47">
        <f>IF($F239=0,0,IF(AND(OR(INDEX(Employees!$D$5:$D$29,$A239)="",$E239&gt;=INDEX(Employees!$D$5:$D$29,$A239)+N(INDEX(Employees!$U$5:$U$29,$A239))),OR(INDEX(Employees!$E$5:$E$29,$A239)="",$D239&lt;=INDEX(Employees!$E$5:$E$29,$A239))),1,0))</f>
        <v/>
      </c>
      <c r="H239" s="47">
        <f>IF($G239=0,0,IF(INDEX(Employees!$D$5:$D$29,$A239)="",0,DATEDIF(INDEX(Employees!$D$5:$D$29,$A239),$E239,"y")))</f>
        <v/>
      </c>
      <c r="I239" s="48">
        <f>IF($G239=0,0,IF(INDEX('Hours Worked'!$D$5:$BD$29,$A239,$B239)="",N(INDEX(Employees!$H$5:$H$29,$A239)),INDEX('Hours Worked'!$D$5:$BD$29,$A239,$B239)))</f>
        <v/>
      </c>
      <c r="J239" s="48">
        <f>IF(OR($G239=0,INDEX(Employees!$O$5:$O$29,$A239)&lt;&gt;"Yes"),0,IF(COUNTIF(Settings!$D$4:$D$9,"&lt;="&amp;$H239)=0,0,INDEX(Settings!$E$4:$E$9,COUNTIF(Settings!$D$4:$D$9,"&lt;="&amp;$H239))))</f>
        <v/>
      </c>
      <c r="K239" s="48">
        <f>IF($G239=0,0,IF(INDEX(Employees!$I$5:$I$29,$A239)="Per pay period",(N(INDEX(Employees!$J$5:$J$29,$A239))+$J239)/Settings!$B$13,IF(INDEX(Employees!$I$5:$I$29,$A239)="Per hour worked",N(INDEX(Employees!$K$5:$K$29,$A239))*$I239,IF(INDEX(Employees!$I$5:$I$29,$A239)="Front-loaded",IF(OR($B239=1,N($G238)=0),N(INDEX(Employees!$J$5:$J$29,$A239))+$J239,0),0))))</f>
        <v/>
      </c>
      <c r="L239" s="48">
        <f>IF($F239=0,0,SUMIFS('Time Off Log'!$H$5:$H$504,'Time Off Log'!$A$5:$A$504,$C239,'Time Off Log'!$B$5:$B$504,"PTO",'Time Off Log'!$E$5:$E$504,"Approved",'Time Off Log'!$C$5:$C$504,"&gt;="&amp;INDEX(Periods!$E$5:$E$57,$B239),'Time Off Log'!$C$5:$C$504,"&lt;="&amp;INDEX(Periods!$F$5:$F$57,$B239)))</f>
        <v/>
      </c>
      <c r="M239" s="48">
        <f>IF($B239=1,N(INDEX(Employees!$N$5:$N$29,$A239)),P238)</f>
        <v/>
      </c>
      <c r="N239" s="48">
        <f>IF(INDEX(Employees!$L$5:$L$29,$A239)="",K239,MAX(0,MIN(K239,INDEX(Employees!$L$5:$L$29,$A239)-(M239-L239))))</f>
        <v/>
      </c>
      <c r="O239" s="48">
        <f>K239-N239</f>
        <v/>
      </c>
      <c r="P239" s="48">
        <f>M239-L239+N239</f>
        <v/>
      </c>
      <c r="Q239" s="48">
        <f>IF($G239=0,0,IF(INDEX(Employees!$P$5:$P$29,$A239)="Per pay period",(N(INDEX(Employees!$Q$5:$Q$29,$A239)))/Settings!$B$13,IF(INDEX(Employees!$P$5:$P$29,$A239)="Per hour worked",N(INDEX(Employees!$R$5:$R$29,$A239))*$I239,IF(INDEX(Employees!$P$5:$P$29,$A239)="Front-loaded",IF(OR($B239=1,N($G238)=0),N(INDEX(Employees!$Q$5:$Q$29,$A239)),0),0))))</f>
        <v/>
      </c>
      <c r="R239" s="48">
        <f>IF($F239=0,0,SUMIFS('Time Off Log'!$H$5:$H$504,'Time Off Log'!$A$5:$A$504,$C239,'Time Off Log'!$B$5:$B$504,"Sick",'Time Off Log'!$E$5:$E$504,"Approved",'Time Off Log'!$C$5:$C$504,"&gt;="&amp;INDEX(Periods!$E$5:$E$57,$B239),'Time Off Log'!$C$5:$C$504,"&lt;="&amp;INDEX(Periods!$F$5:$F$57,$B239)))</f>
        <v/>
      </c>
      <c r="S239" s="48">
        <f>IF($B239=1,N(INDEX(Employees!$T$5:$T$29,$A239)),V238)</f>
        <v/>
      </c>
      <c r="T239" s="48">
        <f>IF(INDEX(Employees!$S$5:$S$29,$A239)="",Q239,MAX(0,MIN(Q239,INDEX(Employees!$S$5:$S$29,$A239)-(S239-R239))))</f>
        <v/>
      </c>
      <c r="U239" s="48">
        <f>Q239-T239</f>
        <v/>
      </c>
      <c r="V239" s="48">
        <f>S239-R239+T239</f>
        <v/>
      </c>
    </row>
    <row r="240">
      <c r="A240" s="47" t="n">
        <v>5</v>
      </c>
      <c r="B240" s="47" t="n">
        <v>24</v>
      </c>
      <c r="C240" s="48">
        <f>INDEX(Employees!$B$5:$B$29,$A240)&amp;""</f>
        <v/>
      </c>
      <c r="D240" s="49">
        <f>INDEX(Periods!$B$5:$B$57,$B240)</f>
        <v/>
      </c>
      <c r="E240" s="49">
        <f>INDEX(Periods!$C$5:$C$57,$B240)</f>
        <v/>
      </c>
      <c r="F240" s="47">
        <f>IF(AND($C240&lt;&gt;"",INDEX(Periods!$D$5:$D$57,$B240)=1),1,0)</f>
        <v/>
      </c>
      <c r="G240" s="47">
        <f>IF($F240=0,0,IF(AND(OR(INDEX(Employees!$D$5:$D$29,$A240)="",$E240&gt;=INDEX(Employees!$D$5:$D$29,$A240)+N(INDEX(Employees!$U$5:$U$29,$A240))),OR(INDEX(Employees!$E$5:$E$29,$A240)="",$D240&lt;=INDEX(Employees!$E$5:$E$29,$A240))),1,0))</f>
        <v/>
      </c>
      <c r="H240" s="47">
        <f>IF($G240=0,0,IF(INDEX(Employees!$D$5:$D$29,$A240)="",0,DATEDIF(INDEX(Employees!$D$5:$D$29,$A240),$E240,"y")))</f>
        <v/>
      </c>
      <c r="I240" s="48">
        <f>IF($G240=0,0,IF(INDEX('Hours Worked'!$D$5:$BD$29,$A240,$B240)="",N(INDEX(Employees!$H$5:$H$29,$A240)),INDEX('Hours Worked'!$D$5:$BD$29,$A240,$B240)))</f>
        <v/>
      </c>
      <c r="J240" s="48">
        <f>IF(OR($G240=0,INDEX(Employees!$O$5:$O$29,$A240)&lt;&gt;"Yes"),0,IF(COUNTIF(Settings!$D$4:$D$9,"&lt;="&amp;$H240)=0,0,INDEX(Settings!$E$4:$E$9,COUNTIF(Settings!$D$4:$D$9,"&lt;="&amp;$H240))))</f>
        <v/>
      </c>
      <c r="K240" s="48">
        <f>IF($G240=0,0,IF(INDEX(Employees!$I$5:$I$29,$A240)="Per pay period",(N(INDEX(Employees!$J$5:$J$29,$A240))+$J240)/Settings!$B$13,IF(INDEX(Employees!$I$5:$I$29,$A240)="Per hour worked",N(INDEX(Employees!$K$5:$K$29,$A240))*$I240,IF(INDEX(Employees!$I$5:$I$29,$A240)="Front-loaded",IF(OR($B240=1,N($G239)=0),N(INDEX(Employees!$J$5:$J$29,$A240))+$J240,0),0))))</f>
        <v/>
      </c>
      <c r="L240" s="48">
        <f>IF($F240=0,0,SUMIFS('Time Off Log'!$H$5:$H$504,'Time Off Log'!$A$5:$A$504,$C240,'Time Off Log'!$B$5:$B$504,"PTO",'Time Off Log'!$E$5:$E$504,"Approved",'Time Off Log'!$C$5:$C$504,"&gt;="&amp;INDEX(Periods!$E$5:$E$57,$B240),'Time Off Log'!$C$5:$C$504,"&lt;="&amp;INDEX(Periods!$F$5:$F$57,$B240)))</f>
        <v/>
      </c>
      <c r="M240" s="48">
        <f>IF($B240=1,N(INDEX(Employees!$N$5:$N$29,$A240)),P239)</f>
        <v/>
      </c>
      <c r="N240" s="48">
        <f>IF(INDEX(Employees!$L$5:$L$29,$A240)="",K240,MAX(0,MIN(K240,INDEX(Employees!$L$5:$L$29,$A240)-(M240-L240))))</f>
        <v/>
      </c>
      <c r="O240" s="48">
        <f>K240-N240</f>
        <v/>
      </c>
      <c r="P240" s="48">
        <f>M240-L240+N240</f>
        <v/>
      </c>
      <c r="Q240" s="48">
        <f>IF($G240=0,0,IF(INDEX(Employees!$P$5:$P$29,$A240)="Per pay period",(N(INDEX(Employees!$Q$5:$Q$29,$A240)))/Settings!$B$13,IF(INDEX(Employees!$P$5:$P$29,$A240)="Per hour worked",N(INDEX(Employees!$R$5:$R$29,$A240))*$I240,IF(INDEX(Employees!$P$5:$P$29,$A240)="Front-loaded",IF(OR($B240=1,N($G239)=0),N(INDEX(Employees!$Q$5:$Q$29,$A240)),0),0))))</f>
        <v/>
      </c>
      <c r="R240" s="48">
        <f>IF($F240=0,0,SUMIFS('Time Off Log'!$H$5:$H$504,'Time Off Log'!$A$5:$A$504,$C240,'Time Off Log'!$B$5:$B$504,"Sick",'Time Off Log'!$E$5:$E$504,"Approved",'Time Off Log'!$C$5:$C$504,"&gt;="&amp;INDEX(Periods!$E$5:$E$57,$B240),'Time Off Log'!$C$5:$C$504,"&lt;="&amp;INDEX(Periods!$F$5:$F$57,$B240)))</f>
        <v/>
      </c>
      <c r="S240" s="48">
        <f>IF($B240=1,N(INDEX(Employees!$T$5:$T$29,$A240)),V239)</f>
        <v/>
      </c>
      <c r="T240" s="48">
        <f>IF(INDEX(Employees!$S$5:$S$29,$A240)="",Q240,MAX(0,MIN(Q240,INDEX(Employees!$S$5:$S$29,$A240)-(S240-R240))))</f>
        <v/>
      </c>
      <c r="U240" s="48">
        <f>Q240-T240</f>
        <v/>
      </c>
      <c r="V240" s="48">
        <f>S240-R240+T240</f>
        <v/>
      </c>
    </row>
    <row r="241">
      <c r="A241" s="47" t="n">
        <v>5</v>
      </c>
      <c r="B241" s="47" t="n">
        <v>25</v>
      </c>
      <c r="C241" s="48">
        <f>INDEX(Employees!$B$5:$B$29,$A241)&amp;""</f>
        <v/>
      </c>
      <c r="D241" s="49">
        <f>INDEX(Periods!$B$5:$B$57,$B241)</f>
        <v/>
      </c>
      <c r="E241" s="49">
        <f>INDEX(Periods!$C$5:$C$57,$B241)</f>
        <v/>
      </c>
      <c r="F241" s="47">
        <f>IF(AND($C241&lt;&gt;"",INDEX(Periods!$D$5:$D$57,$B241)=1),1,0)</f>
        <v/>
      </c>
      <c r="G241" s="47">
        <f>IF($F241=0,0,IF(AND(OR(INDEX(Employees!$D$5:$D$29,$A241)="",$E241&gt;=INDEX(Employees!$D$5:$D$29,$A241)+N(INDEX(Employees!$U$5:$U$29,$A241))),OR(INDEX(Employees!$E$5:$E$29,$A241)="",$D241&lt;=INDEX(Employees!$E$5:$E$29,$A241))),1,0))</f>
        <v/>
      </c>
      <c r="H241" s="47">
        <f>IF($G241=0,0,IF(INDEX(Employees!$D$5:$D$29,$A241)="",0,DATEDIF(INDEX(Employees!$D$5:$D$29,$A241),$E241,"y")))</f>
        <v/>
      </c>
      <c r="I241" s="48">
        <f>IF($G241=0,0,IF(INDEX('Hours Worked'!$D$5:$BD$29,$A241,$B241)="",N(INDEX(Employees!$H$5:$H$29,$A241)),INDEX('Hours Worked'!$D$5:$BD$29,$A241,$B241)))</f>
        <v/>
      </c>
      <c r="J241" s="48">
        <f>IF(OR($G241=0,INDEX(Employees!$O$5:$O$29,$A241)&lt;&gt;"Yes"),0,IF(COUNTIF(Settings!$D$4:$D$9,"&lt;="&amp;$H241)=0,0,INDEX(Settings!$E$4:$E$9,COUNTIF(Settings!$D$4:$D$9,"&lt;="&amp;$H241))))</f>
        <v/>
      </c>
      <c r="K241" s="48">
        <f>IF($G241=0,0,IF(INDEX(Employees!$I$5:$I$29,$A241)="Per pay period",(N(INDEX(Employees!$J$5:$J$29,$A241))+$J241)/Settings!$B$13,IF(INDEX(Employees!$I$5:$I$29,$A241)="Per hour worked",N(INDEX(Employees!$K$5:$K$29,$A241))*$I241,IF(INDEX(Employees!$I$5:$I$29,$A241)="Front-loaded",IF(OR($B241=1,N($G240)=0),N(INDEX(Employees!$J$5:$J$29,$A241))+$J241,0),0))))</f>
        <v/>
      </c>
      <c r="L241" s="48">
        <f>IF($F241=0,0,SUMIFS('Time Off Log'!$H$5:$H$504,'Time Off Log'!$A$5:$A$504,$C241,'Time Off Log'!$B$5:$B$504,"PTO",'Time Off Log'!$E$5:$E$504,"Approved",'Time Off Log'!$C$5:$C$504,"&gt;="&amp;INDEX(Periods!$E$5:$E$57,$B241),'Time Off Log'!$C$5:$C$504,"&lt;="&amp;INDEX(Periods!$F$5:$F$57,$B241)))</f>
        <v/>
      </c>
      <c r="M241" s="48">
        <f>IF($B241=1,N(INDEX(Employees!$N$5:$N$29,$A241)),P240)</f>
        <v/>
      </c>
      <c r="N241" s="48">
        <f>IF(INDEX(Employees!$L$5:$L$29,$A241)="",K241,MAX(0,MIN(K241,INDEX(Employees!$L$5:$L$29,$A241)-(M241-L241))))</f>
        <v/>
      </c>
      <c r="O241" s="48">
        <f>K241-N241</f>
        <v/>
      </c>
      <c r="P241" s="48">
        <f>M241-L241+N241</f>
        <v/>
      </c>
      <c r="Q241" s="48">
        <f>IF($G241=0,0,IF(INDEX(Employees!$P$5:$P$29,$A241)="Per pay period",(N(INDEX(Employees!$Q$5:$Q$29,$A241)))/Settings!$B$13,IF(INDEX(Employees!$P$5:$P$29,$A241)="Per hour worked",N(INDEX(Employees!$R$5:$R$29,$A241))*$I241,IF(INDEX(Employees!$P$5:$P$29,$A241)="Front-loaded",IF(OR($B241=1,N($G240)=0),N(INDEX(Employees!$Q$5:$Q$29,$A241)),0),0))))</f>
        <v/>
      </c>
      <c r="R241" s="48">
        <f>IF($F241=0,0,SUMIFS('Time Off Log'!$H$5:$H$504,'Time Off Log'!$A$5:$A$504,$C241,'Time Off Log'!$B$5:$B$504,"Sick",'Time Off Log'!$E$5:$E$504,"Approved",'Time Off Log'!$C$5:$C$504,"&gt;="&amp;INDEX(Periods!$E$5:$E$57,$B241),'Time Off Log'!$C$5:$C$504,"&lt;="&amp;INDEX(Periods!$F$5:$F$57,$B241)))</f>
        <v/>
      </c>
      <c r="S241" s="48">
        <f>IF($B241=1,N(INDEX(Employees!$T$5:$T$29,$A241)),V240)</f>
        <v/>
      </c>
      <c r="T241" s="48">
        <f>IF(INDEX(Employees!$S$5:$S$29,$A241)="",Q241,MAX(0,MIN(Q241,INDEX(Employees!$S$5:$S$29,$A241)-(S241-R241))))</f>
        <v/>
      </c>
      <c r="U241" s="48">
        <f>Q241-T241</f>
        <v/>
      </c>
      <c r="V241" s="48">
        <f>S241-R241+T241</f>
        <v/>
      </c>
    </row>
    <row r="242">
      <c r="A242" s="47" t="n">
        <v>5</v>
      </c>
      <c r="B242" s="47" t="n">
        <v>26</v>
      </c>
      <c r="C242" s="48">
        <f>INDEX(Employees!$B$5:$B$29,$A242)&amp;""</f>
        <v/>
      </c>
      <c r="D242" s="49">
        <f>INDEX(Periods!$B$5:$B$57,$B242)</f>
        <v/>
      </c>
      <c r="E242" s="49">
        <f>INDEX(Periods!$C$5:$C$57,$B242)</f>
        <v/>
      </c>
      <c r="F242" s="47">
        <f>IF(AND($C242&lt;&gt;"",INDEX(Periods!$D$5:$D$57,$B242)=1),1,0)</f>
        <v/>
      </c>
      <c r="G242" s="47">
        <f>IF($F242=0,0,IF(AND(OR(INDEX(Employees!$D$5:$D$29,$A242)="",$E242&gt;=INDEX(Employees!$D$5:$D$29,$A242)+N(INDEX(Employees!$U$5:$U$29,$A242))),OR(INDEX(Employees!$E$5:$E$29,$A242)="",$D242&lt;=INDEX(Employees!$E$5:$E$29,$A242))),1,0))</f>
        <v/>
      </c>
      <c r="H242" s="47">
        <f>IF($G242=0,0,IF(INDEX(Employees!$D$5:$D$29,$A242)="",0,DATEDIF(INDEX(Employees!$D$5:$D$29,$A242),$E242,"y")))</f>
        <v/>
      </c>
      <c r="I242" s="48">
        <f>IF($G242=0,0,IF(INDEX('Hours Worked'!$D$5:$BD$29,$A242,$B242)="",N(INDEX(Employees!$H$5:$H$29,$A242)),INDEX('Hours Worked'!$D$5:$BD$29,$A242,$B242)))</f>
        <v/>
      </c>
      <c r="J242" s="48">
        <f>IF(OR($G242=0,INDEX(Employees!$O$5:$O$29,$A242)&lt;&gt;"Yes"),0,IF(COUNTIF(Settings!$D$4:$D$9,"&lt;="&amp;$H242)=0,0,INDEX(Settings!$E$4:$E$9,COUNTIF(Settings!$D$4:$D$9,"&lt;="&amp;$H242))))</f>
        <v/>
      </c>
      <c r="K242" s="48">
        <f>IF($G242=0,0,IF(INDEX(Employees!$I$5:$I$29,$A242)="Per pay period",(N(INDEX(Employees!$J$5:$J$29,$A242))+$J242)/Settings!$B$13,IF(INDEX(Employees!$I$5:$I$29,$A242)="Per hour worked",N(INDEX(Employees!$K$5:$K$29,$A242))*$I242,IF(INDEX(Employees!$I$5:$I$29,$A242)="Front-loaded",IF(OR($B242=1,N($G241)=0),N(INDEX(Employees!$J$5:$J$29,$A242))+$J242,0),0))))</f>
        <v/>
      </c>
      <c r="L242" s="48">
        <f>IF($F242=0,0,SUMIFS('Time Off Log'!$H$5:$H$504,'Time Off Log'!$A$5:$A$504,$C242,'Time Off Log'!$B$5:$B$504,"PTO",'Time Off Log'!$E$5:$E$504,"Approved",'Time Off Log'!$C$5:$C$504,"&gt;="&amp;INDEX(Periods!$E$5:$E$57,$B242),'Time Off Log'!$C$5:$C$504,"&lt;="&amp;INDEX(Periods!$F$5:$F$57,$B242)))</f>
        <v/>
      </c>
      <c r="M242" s="48">
        <f>IF($B242=1,N(INDEX(Employees!$N$5:$N$29,$A242)),P241)</f>
        <v/>
      </c>
      <c r="N242" s="48">
        <f>IF(INDEX(Employees!$L$5:$L$29,$A242)="",K242,MAX(0,MIN(K242,INDEX(Employees!$L$5:$L$29,$A242)-(M242-L242))))</f>
        <v/>
      </c>
      <c r="O242" s="48">
        <f>K242-N242</f>
        <v/>
      </c>
      <c r="P242" s="48">
        <f>M242-L242+N242</f>
        <v/>
      </c>
      <c r="Q242" s="48">
        <f>IF($G242=0,0,IF(INDEX(Employees!$P$5:$P$29,$A242)="Per pay period",(N(INDEX(Employees!$Q$5:$Q$29,$A242)))/Settings!$B$13,IF(INDEX(Employees!$P$5:$P$29,$A242)="Per hour worked",N(INDEX(Employees!$R$5:$R$29,$A242))*$I242,IF(INDEX(Employees!$P$5:$P$29,$A242)="Front-loaded",IF(OR($B242=1,N($G241)=0),N(INDEX(Employees!$Q$5:$Q$29,$A242)),0),0))))</f>
        <v/>
      </c>
      <c r="R242" s="48">
        <f>IF($F242=0,0,SUMIFS('Time Off Log'!$H$5:$H$504,'Time Off Log'!$A$5:$A$504,$C242,'Time Off Log'!$B$5:$B$504,"Sick",'Time Off Log'!$E$5:$E$504,"Approved",'Time Off Log'!$C$5:$C$504,"&gt;="&amp;INDEX(Periods!$E$5:$E$57,$B242),'Time Off Log'!$C$5:$C$504,"&lt;="&amp;INDEX(Periods!$F$5:$F$57,$B242)))</f>
        <v/>
      </c>
      <c r="S242" s="48">
        <f>IF($B242=1,N(INDEX(Employees!$T$5:$T$29,$A242)),V241)</f>
        <v/>
      </c>
      <c r="T242" s="48">
        <f>IF(INDEX(Employees!$S$5:$S$29,$A242)="",Q242,MAX(0,MIN(Q242,INDEX(Employees!$S$5:$S$29,$A242)-(S242-R242))))</f>
        <v/>
      </c>
      <c r="U242" s="48">
        <f>Q242-T242</f>
        <v/>
      </c>
      <c r="V242" s="48">
        <f>S242-R242+T242</f>
        <v/>
      </c>
    </row>
    <row r="243">
      <c r="A243" s="47" t="n">
        <v>5</v>
      </c>
      <c r="B243" s="47" t="n">
        <v>27</v>
      </c>
      <c r="C243" s="48">
        <f>INDEX(Employees!$B$5:$B$29,$A243)&amp;""</f>
        <v/>
      </c>
      <c r="D243" s="49">
        <f>INDEX(Periods!$B$5:$B$57,$B243)</f>
        <v/>
      </c>
      <c r="E243" s="49">
        <f>INDEX(Periods!$C$5:$C$57,$B243)</f>
        <v/>
      </c>
      <c r="F243" s="47">
        <f>IF(AND($C243&lt;&gt;"",INDEX(Periods!$D$5:$D$57,$B243)=1),1,0)</f>
        <v/>
      </c>
      <c r="G243" s="47">
        <f>IF($F243=0,0,IF(AND(OR(INDEX(Employees!$D$5:$D$29,$A243)="",$E243&gt;=INDEX(Employees!$D$5:$D$29,$A243)+N(INDEX(Employees!$U$5:$U$29,$A243))),OR(INDEX(Employees!$E$5:$E$29,$A243)="",$D243&lt;=INDEX(Employees!$E$5:$E$29,$A243))),1,0))</f>
        <v/>
      </c>
      <c r="H243" s="47">
        <f>IF($G243=0,0,IF(INDEX(Employees!$D$5:$D$29,$A243)="",0,DATEDIF(INDEX(Employees!$D$5:$D$29,$A243),$E243,"y")))</f>
        <v/>
      </c>
      <c r="I243" s="48">
        <f>IF($G243=0,0,IF(INDEX('Hours Worked'!$D$5:$BD$29,$A243,$B243)="",N(INDEX(Employees!$H$5:$H$29,$A243)),INDEX('Hours Worked'!$D$5:$BD$29,$A243,$B243)))</f>
        <v/>
      </c>
      <c r="J243" s="48">
        <f>IF(OR($G243=0,INDEX(Employees!$O$5:$O$29,$A243)&lt;&gt;"Yes"),0,IF(COUNTIF(Settings!$D$4:$D$9,"&lt;="&amp;$H243)=0,0,INDEX(Settings!$E$4:$E$9,COUNTIF(Settings!$D$4:$D$9,"&lt;="&amp;$H243))))</f>
        <v/>
      </c>
      <c r="K243" s="48">
        <f>IF($G243=0,0,IF(INDEX(Employees!$I$5:$I$29,$A243)="Per pay period",(N(INDEX(Employees!$J$5:$J$29,$A243))+$J243)/Settings!$B$13,IF(INDEX(Employees!$I$5:$I$29,$A243)="Per hour worked",N(INDEX(Employees!$K$5:$K$29,$A243))*$I243,IF(INDEX(Employees!$I$5:$I$29,$A243)="Front-loaded",IF(OR($B243=1,N($G242)=0),N(INDEX(Employees!$J$5:$J$29,$A243))+$J243,0),0))))</f>
        <v/>
      </c>
      <c r="L243" s="48">
        <f>IF($F243=0,0,SUMIFS('Time Off Log'!$H$5:$H$504,'Time Off Log'!$A$5:$A$504,$C243,'Time Off Log'!$B$5:$B$504,"PTO",'Time Off Log'!$E$5:$E$504,"Approved",'Time Off Log'!$C$5:$C$504,"&gt;="&amp;INDEX(Periods!$E$5:$E$57,$B243),'Time Off Log'!$C$5:$C$504,"&lt;="&amp;INDEX(Periods!$F$5:$F$57,$B243)))</f>
        <v/>
      </c>
      <c r="M243" s="48">
        <f>IF($B243=1,N(INDEX(Employees!$N$5:$N$29,$A243)),P242)</f>
        <v/>
      </c>
      <c r="N243" s="48">
        <f>IF(INDEX(Employees!$L$5:$L$29,$A243)="",K243,MAX(0,MIN(K243,INDEX(Employees!$L$5:$L$29,$A243)-(M243-L243))))</f>
        <v/>
      </c>
      <c r="O243" s="48">
        <f>K243-N243</f>
        <v/>
      </c>
      <c r="P243" s="48">
        <f>M243-L243+N243</f>
        <v/>
      </c>
      <c r="Q243" s="48">
        <f>IF($G243=0,0,IF(INDEX(Employees!$P$5:$P$29,$A243)="Per pay period",(N(INDEX(Employees!$Q$5:$Q$29,$A243)))/Settings!$B$13,IF(INDEX(Employees!$P$5:$P$29,$A243)="Per hour worked",N(INDEX(Employees!$R$5:$R$29,$A243))*$I243,IF(INDEX(Employees!$P$5:$P$29,$A243)="Front-loaded",IF(OR($B243=1,N($G242)=0),N(INDEX(Employees!$Q$5:$Q$29,$A243)),0),0))))</f>
        <v/>
      </c>
      <c r="R243" s="48">
        <f>IF($F243=0,0,SUMIFS('Time Off Log'!$H$5:$H$504,'Time Off Log'!$A$5:$A$504,$C243,'Time Off Log'!$B$5:$B$504,"Sick",'Time Off Log'!$E$5:$E$504,"Approved",'Time Off Log'!$C$5:$C$504,"&gt;="&amp;INDEX(Periods!$E$5:$E$57,$B243),'Time Off Log'!$C$5:$C$504,"&lt;="&amp;INDEX(Periods!$F$5:$F$57,$B243)))</f>
        <v/>
      </c>
      <c r="S243" s="48">
        <f>IF($B243=1,N(INDEX(Employees!$T$5:$T$29,$A243)),V242)</f>
        <v/>
      </c>
      <c r="T243" s="48">
        <f>IF(INDEX(Employees!$S$5:$S$29,$A243)="",Q243,MAX(0,MIN(Q243,INDEX(Employees!$S$5:$S$29,$A243)-(S243-R243))))</f>
        <v/>
      </c>
      <c r="U243" s="48">
        <f>Q243-T243</f>
        <v/>
      </c>
      <c r="V243" s="48">
        <f>S243-R243+T243</f>
        <v/>
      </c>
    </row>
    <row r="244">
      <c r="A244" s="47" t="n">
        <v>5</v>
      </c>
      <c r="B244" s="47" t="n">
        <v>28</v>
      </c>
      <c r="C244" s="48">
        <f>INDEX(Employees!$B$5:$B$29,$A244)&amp;""</f>
        <v/>
      </c>
      <c r="D244" s="49">
        <f>INDEX(Periods!$B$5:$B$57,$B244)</f>
        <v/>
      </c>
      <c r="E244" s="49">
        <f>INDEX(Periods!$C$5:$C$57,$B244)</f>
        <v/>
      </c>
      <c r="F244" s="47">
        <f>IF(AND($C244&lt;&gt;"",INDEX(Periods!$D$5:$D$57,$B244)=1),1,0)</f>
        <v/>
      </c>
      <c r="G244" s="47">
        <f>IF($F244=0,0,IF(AND(OR(INDEX(Employees!$D$5:$D$29,$A244)="",$E244&gt;=INDEX(Employees!$D$5:$D$29,$A244)+N(INDEX(Employees!$U$5:$U$29,$A244))),OR(INDEX(Employees!$E$5:$E$29,$A244)="",$D244&lt;=INDEX(Employees!$E$5:$E$29,$A244))),1,0))</f>
        <v/>
      </c>
      <c r="H244" s="47">
        <f>IF($G244=0,0,IF(INDEX(Employees!$D$5:$D$29,$A244)="",0,DATEDIF(INDEX(Employees!$D$5:$D$29,$A244),$E244,"y")))</f>
        <v/>
      </c>
      <c r="I244" s="48">
        <f>IF($G244=0,0,IF(INDEX('Hours Worked'!$D$5:$BD$29,$A244,$B244)="",N(INDEX(Employees!$H$5:$H$29,$A244)),INDEX('Hours Worked'!$D$5:$BD$29,$A244,$B244)))</f>
        <v/>
      </c>
      <c r="J244" s="48">
        <f>IF(OR($G244=0,INDEX(Employees!$O$5:$O$29,$A244)&lt;&gt;"Yes"),0,IF(COUNTIF(Settings!$D$4:$D$9,"&lt;="&amp;$H244)=0,0,INDEX(Settings!$E$4:$E$9,COUNTIF(Settings!$D$4:$D$9,"&lt;="&amp;$H244))))</f>
        <v/>
      </c>
      <c r="K244" s="48">
        <f>IF($G244=0,0,IF(INDEX(Employees!$I$5:$I$29,$A244)="Per pay period",(N(INDEX(Employees!$J$5:$J$29,$A244))+$J244)/Settings!$B$13,IF(INDEX(Employees!$I$5:$I$29,$A244)="Per hour worked",N(INDEX(Employees!$K$5:$K$29,$A244))*$I244,IF(INDEX(Employees!$I$5:$I$29,$A244)="Front-loaded",IF(OR($B244=1,N($G243)=0),N(INDEX(Employees!$J$5:$J$29,$A244))+$J244,0),0))))</f>
        <v/>
      </c>
      <c r="L244" s="48">
        <f>IF($F244=0,0,SUMIFS('Time Off Log'!$H$5:$H$504,'Time Off Log'!$A$5:$A$504,$C244,'Time Off Log'!$B$5:$B$504,"PTO",'Time Off Log'!$E$5:$E$504,"Approved",'Time Off Log'!$C$5:$C$504,"&gt;="&amp;INDEX(Periods!$E$5:$E$57,$B244),'Time Off Log'!$C$5:$C$504,"&lt;="&amp;INDEX(Periods!$F$5:$F$57,$B244)))</f>
        <v/>
      </c>
      <c r="M244" s="48">
        <f>IF($B244=1,N(INDEX(Employees!$N$5:$N$29,$A244)),P243)</f>
        <v/>
      </c>
      <c r="N244" s="48">
        <f>IF(INDEX(Employees!$L$5:$L$29,$A244)="",K244,MAX(0,MIN(K244,INDEX(Employees!$L$5:$L$29,$A244)-(M244-L244))))</f>
        <v/>
      </c>
      <c r="O244" s="48">
        <f>K244-N244</f>
        <v/>
      </c>
      <c r="P244" s="48">
        <f>M244-L244+N244</f>
        <v/>
      </c>
      <c r="Q244" s="48">
        <f>IF($G244=0,0,IF(INDEX(Employees!$P$5:$P$29,$A244)="Per pay period",(N(INDEX(Employees!$Q$5:$Q$29,$A244)))/Settings!$B$13,IF(INDEX(Employees!$P$5:$P$29,$A244)="Per hour worked",N(INDEX(Employees!$R$5:$R$29,$A244))*$I244,IF(INDEX(Employees!$P$5:$P$29,$A244)="Front-loaded",IF(OR($B244=1,N($G243)=0),N(INDEX(Employees!$Q$5:$Q$29,$A244)),0),0))))</f>
        <v/>
      </c>
      <c r="R244" s="48">
        <f>IF($F244=0,0,SUMIFS('Time Off Log'!$H$5:$H$504,'Time Off Log'!$A$5:$A$504,$C244,'Time Off Log'!$B$5:$B$504,"Sick",'Time Off Log'!$E$5:$E$504,"Approved",'Time Off Log'!$C$5:$C$504,"&gt;="&amp;INDEX(Periods!$E$5:$E$57,$B244),'Time Off Log'!$C$5:$C$504,"&lt;="&amp;INDEX(Periods!$F$5:$F$57,$B244)))</f>
        <v/>
      </c>
      <c r="S244" s="48">
        <f>IF($B244=1,N(INDEX(Employees!$T$5:$T$29,$A244)),V243)</f>
        <v/>
      </c>
      <c r="T244" s="48">
        <f>IF(INDEX(Employees!$S$5:$S$29,$A244)="",Q244,MAX(0,MIN(Q244,INDEX(Employees!$S$5:$S$29,$A244)-(S244-R244))))</f>
        <v/>
      </c>
      <c r="U244" s="48">
        <f>Q244-T244</f>
        <v/>
      </c>
      <c r="V244" s="48">
        <f>S244-R244+T244</f>
        <v/>
      </c>
    </row>
    <row r="245">
      <c r="A245" s="47" t="n">
        <v>5</v>
      </c>
      <c r="B245" s="47" t="n">
        <v>29</v>
      </c>
      <c r="C245" s="48">
        <f>INDEX(Employees!$B$5:$B$29,$A245)&amp;""</f>
        <v/>
      </c>
      <c r="D245" s="49">
        <f>INDEX(Periods!$B$5:$B$57,$B245)</f>
        <v/>
      </c>
      <c r="E245" s="49">
        <f>INDEX(Periods!$C$5:$C$57,$B245)</f>
        <v/>
      </c>
      <c r="F245" s="47">
        <f>IF(AND($C245&lt;&gt;"",INDEX(Periods!$D$5:$D$57,$B245)=1),1,0)</f>
        <v/>
      </c>
      <c r="G245" s="47">
        <f>IF($F245=0,0,IF(AND(OR(INDEX(Employees!$D$5:$D$29,$A245)="",$E245&gt;=INDEX(Employees!$D$5:$D$29,$A245)+N(INDEX(Employees!$U$5:$U$29,$A245))),OR(INDEX(Employees!$E$5:$E$29,$A245)="",$D245&lt;=INDEX(Employees!$E$5:$E$29,$A245))),1,0))</f>
        <v/>
      </c>
      <c r="H245" s="47">
        <f>IF($G245=0,0,IF(INDEX(Employees!$D$5:$D$29,$A245)="",0,DATEDIF(INDEX(Employees!$D$5:$D$29,$A245),$E245,"y")))</f>
        <v/>
      </c>
      <c r="I245" s="48">
        <f>IF($G245=0,0,IF(INDEX('Hours Worked'!$D$5:$BD$29,$A245,$B245)="",N(INDEX(Employees!$H$5:$H$29,$A245)),INDEX('Hours Worked'!$D$5:$BD$29,$A245,$B245)))</f>
        <v/>
      </c>
      <c r="J245" s="48">
        <f>IF(OR($G245=0,INDEX(Employees!$O$5:$O$29,$A245)&lt;&gt;"Yes"),0,IF(COUNTIF(Settings!$D$4:$D$9,"&lt;="&amp;$H245)=0,0,INDEX(Settings!$E$4:$E$9,COUNTIF(Settings!$D$4:$D$9,"&lt;="&amp;$H245))))</f>
        <v/>
      </c>
      <c r="K245" s="48">
        <f>IF($G245=0,0,IF(INDEX(Employees!$I$5:$I$29,$A245)="Per pay period",(N(INDEX(Employees!$J$5:$J$29,$A245))+$J245)/Settings!$B$13,IF(INDEX(Employees!$I$5:$I$29,$A245)="Per hour worked",N(INDEX(Employees!$K$5:$K$29,$A245))*$I245,IF(INDEX(Employees!$I$5:$I$29,$A245)="Front-loaded",IF(OR($B245=1,N($G244)=0),N(INDEX(Employees!$J$5:$J$29,$A245))+$J245,0),0))))</f>
        <v/>
      </c>
      <c r="L245" s="48">
        <f>IF($F245=0,0,SUMIFS('Time Off Log'!$H$5:$H$504,'Time Off Log'!$A$5:$A$504,$C245,'Time Off Log'!$B$5:$B$504,"PTO",'Time Off Log'!$E$5:$E$504,"Approved",'Time Off Log'!$C$5:$C$504,"&gt;="&amp;INDEX(Periods!$E$5:$E$57,$B245),'Time Off Log'!$C$5:$C$504,"&lt;="&amp;INDEX(Periods!$F$5:$F$57,$B245)))</f>
        <v/>
      </c>
      <c r="M245" s="48">
        <f>IF($B245=1,N(INDEX(Employees!$N$5:$N$29,$A245)),P244)</f>
        <v/>
      </c>
      <c r="N245" s="48">
        <f>IF(INDEX(Employees!$L$5:$L$29,$A245)="",K245,MAX(0,MIN(K245,INDEX(Employees!$L$5:$L$29,$A245)-(M245-L245))))</f>
        <v/>
      </c>
      <c r="O245" s="48">
        <f>K245-N245</f>
        <v/>
      </c>
      <c r="P245" s="48">
        <f>M245-L245+N245</f>
        <v/>
      </c>
      <c r="Q245" s="48">
        <f>IF($G245=0,0,IF(INDEX(Employees!$P$5:$P$29,$A245)="Per pay period",(N(INDEX(Employees!$Q$5:$Q$29,$A245)))/Settings!$B$13,IF(INDEX(Employees!$P$5:$P$29,$A245)="Per hour worked",N(INDEX(Employees!$R$5:$R$29,$A245))*$I245,IF(INDEX(Employees!$P$5:$P$29,$A245)="Front-loaded",IF(OR($B245=1,N($G244)=0),N(INDEX(Employees!$Q$5:$Q$29,$A245)),0),0))))</f>
        <v/>
      </c>
      <c r="R245" s="48">
        <f>IF($F245=0,0,SUMIFS('Time Off Log'!$H$5:$H$504,'Time Off Log'!$A$5:$A$504,$C245,'Time Off Log'!$B$5:$B$504,"Sick",'Time Off Log'!$E$5:$E$504,"Approved",'Time Off Log'!$C$5:$C$504,"&gt;="&amp;INDEX(Periods!$E$5:$E$57,$B245),'Time Off Log'!$C$5:$C$504,"&lt;="&amp;INDEX(Periods!$F$5:$F$57,$B245)))</f>
        <v/>
      </c>
      <c r="S245" s="48">
        <f>IF($B245=1,N(INDEX(Employees!$T$5:$T$29,$A245)),V244)</f>
        <v/>
      </c>
      <c r="T245" s="48">
        <f>IF(INDEX(Employees!$S$5:$S$29,$A245)="",Q245,MAX(0,MIN(Q245,INDEX(Employees!$S$5:$S$29,$A245)-(S245-R245))))</f>
        <v/>
      </c>
      <c r="U245" s="48">
        <f>Q245-T245</f>
        <v/>
      </c>
      <c r="V245" s="48">
        <f>S245-R245+T245</f>
        <v/>
      </c>
    </row>
    <row r="246">
      <c r="A246" s="47" t="n">
        <v>5</v>
      </c>
      <c r="B246" s="47" t="n">
        <v>30</v>
      </c>
      <c r="C246" s="48">
        <f>INDEX(Employees!$B$5:$B$29,$A246)&amp;""</f>
        <v/>
      </c>
      <c r="D246" s="49">
        <f>INDEX(Periods!$B$5:$B$57,$B246)</f>
        <v/>
      </c>
      <c r="E246" s="49">
        <f>INDEX(Periods!$C$5:$C$57,$B246)</f>
        <v/>
      </c>
      <c r="F246" s="47">
        <f>IF(AND($C246&lt;&gt;"",INDEX(Periods!$D$5:$D$57,$B246)=1),1,0)</f>
        <v/>
      </c>
      <c r="G246" s="47">
        <f>IF($F246=0,0,IF(AND(OR(INDEX(Employees!$D$5:$D$29,$A246)="",$E246&gt;=INDEX(Employees!$D$5:$D$29,$A246)+N(INDEX(Employees!$U$5:$U$29,$A246))),OR(INDEX(Employees!$E$5:$E$29,$A246)="",$D246&lt;=INDEX(Employees!$E$5:$E$29,$A246))),1,0))</f>
        <v/>
      </c>
      <c r="H246" s="47">
        <f>IF($G246=0,0,IF(INDEX(Employees!$D$5:$D$29,$A246)="",0,DATEDIF(INDEX(Employees!$D$5:$D$29,$A246),$E246,"y")))</f>
        <v/>
      </c>
      <c r="I246" s="48">
        <f>IF($G246=0,0,IF(INDEX('Hours Worked'!$D$5:$BD$29,$A246,$B246)="",N(INDEX(Employees!$H$5:$H$29,$A246)),INDEX('Hours Worked'!$D$5:$BD$29,$A246,$B246)))</f>
        <v/>
      </c>
      <c r="J246" s="48">
        <f>IF(OR($G246=0,INDEX(Employees!$O$5:$O$29,$A246)&lt;&gt;"Yes"),0,IF(COUNTIF(Settings!$D$4:$D$9,"&lt;="&amp;$H246)=0,0,INDEX(Settings!$E$4:$E$9,COUNTIF(Settings!$D$4:$D$9,"&lt;="&amp;$H246))))</f>
        <v/>
      </c>
      <c r="K246" s="48">
        <f>IF($G246=0,0,IF(INDEX(Employees!$I$5:$I$29,$A246)="Per pay period",(N(INDEX(Employees!$J$5:$J$29,$A246))+$J246)/Settings!$B$13,IF(INDEX(Employees!$I$5:$I$29,$A246)="Per hour worked",N(INDEX(Employees!$K$5:$K$29,$A246))*$I246,IF(INDEX(Employees!$I$5:$I$29,$A246)="Front-loaded",IF(OR($B246=1,N($G245)=0),N(INDEX(Employees!$J$5:$J$29,$A246))+$J246,0),0))))</f>
        <v/>
      </c>
      <c r="L246" s="48">
        <f>IF($F246=0,0,SUMIFS('Time Off Log'!$H$5:$H$504,'Time Off Log'!$A$5:$A$504,$C246,'Time Off Log'!$B$5:$B$504,"PTO",'Time Off Log'!$E$5:$E$504,"Approved",'Time Off Log'!$C$5:$C$504,"&gt;="&amp;INDEX(Periods!$E$5:$E$57,$B246),'Time Off Log'!$C$5:$C$504,"&lt;="&amp;INDEX(Periods!$F$5:$F$57,$B246)))</f>
        <v/>
      </c>
      <c r="M246" s="48">
        <f>IF($B246=1,N(INDEX(Employees!$N$5:$N$29,$A246)),P245)</f>
        <v/>
      </c>
      <c r="N246" s="48">
        <f>IF(INDEX(Employees!$L$5:$L$29,$A246)="",K246,MAX(0,MIN(K246,INDEX(Employees!$L$5:$L$29,$A246)-(M246-L246))))</f>
        <v/>
      </c>
      <c r="O246" s="48">
        <f>K246-N246</f>
        <v/>
      </c>
      <c r="P246" s="48">
        <f>M246-L246+N246</f>
        <v/>
      </c>
      <c r="Q246" s="48">
        <f>IF($G246=0,0,IF(INDEX(Employees!$P$5:$P$29,$A246)="Per pay period",(N(INDEX(Employees!$Q$5:$Q$29,$A246)))/Settings!$B$13,IF(INDEX(Employees!$P$5:$P$29,$A246)="Per hour worked",N(INDEX(Employees!$R$5:$R$29,$A246))*$I246,IF(INDEX(Employees!$P$5:$P$29,$A246)="Front-loaded",IF(OR($B246=1,N($G245)=0),N(INDEX(Employees!$Q$5:$Q$29,$A246)),0),0))))</f>
        <v/>
      </c>
      <c r="R246" s="48">
        <f>IF($F246=0,0,SUMIFS('Time Off Log'!$H$5:$H$504,'Time Off Log'!$A$5:$A$504,$C246,'Time Off Log'!$B$5:$B$504,"Sick",'Time Off Log'!$E$5:$E$504,"Approved",'Time Off Log'!$C$5:$C$504,"&gt;="&amp;INDEX(Periods!$E$5:$E$57,$B246),'Time Off Log'!$C$5:$C$504,"&lt;="&amp;INDEX(Periods!$F$5:$F$57,$B246)))</f>
        <v/>
      </c>
      <c r="S246" s="48">
        <f>IF($B246=1,N(INDEX(Employees!$T$5:$T$29,$A246)),V245)</f>
        <v/>
      </c>
      <c r="T246" s="48">
        <f>IF(INDEX(Employees!$S$5:$S$29,$A246)="",Q246,MAX(0,MIN(Q246,INDEX(Employees!$S$5:$S$29,$A246)-(S246-R246))))</f>
        <v/>
      </c>
      <c r="U246" s="48">
        <f>Q246-T246</f>
        <v/>
      </c>
      <c r="V246" s="48">
        <f>S246-R246+T246</f>
        <v/>
      </c>
    </row>
    <row r="247">
      <c r="A247" s="47" t="n">
        <v>5</v>
      </c>
      <c r="B247" s="47" t="n">
        <v>31</v>
      </c>
      <c r="C247" s="48">
        <f>INDEX(Employees!$B$5:$B$29,$A247)&amp;""</f>
        <v/>
      </c>
      <c r="D247" s="49">
        <f>INDEX(Periods!$B$5:$B$57,$B247)</f>
        <v/>
      </c>
      <c r="E247" s="49">
        <f>INDEX(Periods!$C$5:$C$57,$B247)</f>
        <v/>
      </c>
      <c r="F247" s="47">
        <f>IF(AND($C247&lt;&gt;"",INDEX(Periods!$D$5:$D$57,$B247)=1),1,0)</f>
        <v/>
      </c>
      <c r="G247" s="47">
        <f>IF($F247=0,0,IF(AND(OR(INDEX(Employees!$D$5:$D$29,$A247)="",$E247&gt;=INDEX(Employees!$D$5:$D$29,$A247)+N(INDEX(Employees!$U$5:$U$29,$A247))),OR(INDEX(Employees!$E$5:$E$29,$A247)="",$D247&lt;=INDEX(Employees!$E$5:$E$29,$A247))),1,0))</f>
        <v/>
      </c>
      <c r="H247" s="47">
        <f>IF($G247=0,0,IF(INDEX(Employees!$D$5:$D$29,$A247)="",0,DATEDIF(INDEX(Employees!$D$5:$D$29,$A247),$E247,"y")))</f>
        <v/>
      </c>
      <c r="I247" s="48">
        <f>IF($G247=0,0,IF(INDEX('Hours Worked'!$D$5:$BD$29,$A247,$B247)="",N(INDEX(Employees!$H$5:$H$29,$A247)),INDEX('Hours Worked'!$D$5:$BD$29,$A247,$B247)))</f>
        <v/>
      </c>
      <c r="J247" s="48">
        <f>IF(OR($G247=0,INDEX(Employees!$O$5:$O$29,$A247)&lt;&gt;"Yes"),0,IF(COUNTIF(Settings!$D$4:$D$9,"&lt;="&amp;$H247)=0,0,INDEX(Settings!$E$4:$E$9,COUNTIF(Settings!$D$4:$D$9,"&lt;="&amp;$H247))))</f>
        <v/>
      </c>
      <c r="K247" s="48">
        <f>IF($G247=0,0,IF(INDEX(Employees!$I$5:$I$29,$A247)="Per pay period",(N(INDEX(Employees!$J$5:$J$29,$A247))+$J247)/Settings!$B$13,IF(INDEX(Employees!$I$5:$I$29,$A247)="Per hour worked",N(INDEX(Employees!$K$5:$K$29,$A247))*$I247,IF(INDEX(Employees!$I$5:$I$29,$A247)="Front-loaded",IF(OR($B247=1,N($G246)=0),N(INDEX(Employees!$J$5:$J$29,$A247))+$J247,0),0))))</f>
        <v/>
      </c>
      <c r="L247" s="48">
        <f>IF($F247=0,0,SUMIFS('Time Off Log'!$H$5:$H$504,'Time Off Log'!$A$5:$A$504,$C247,'Time Off Log'!$B$5:$B$504,"PTO",'Time Off Log'!$E$5:$E$504,"Approved",'Time Off Log'!$C$5:$C$504,"&gt;="&amp;INDEX(Periods!$E$5:$E$57,$B247),'Time Off Log'!$C$5:$C$504,"&lt;="&amp;INDEX(Periods!$F$5:$F$57,$B247)))</f>
        <v/>
      </c>
      <c r="M247" s="48">
        <f>IF($B247=1,N(INDEX(Employees!$N$5:$N$29,$A247)),P246)</f>
        <v/>
      </c>
      <c r="N247" s="48">
        <f>IF(INDEX(Employees!$L$5:$L$29,$A247)="",K247,MAX(0,MIN(K247,INDEX(Employees!$L$5:$L$29,$A247)-(M247-L247))))</f>
        <v/>
      </c>
      <c r="O247" s="48">
        <f>K247-N247</f>
        <v/>
      </c>
      <c r="P247" s="48">
        <f>M247-L247+N247</f>
        <v/>
      </c>
      <c r="Q247" s="48">
        <f>IF($G247=0,0,IF(INDEX(Employees!$P$5:$P$29,$A247)="Per pay period",(N(INDEX(Employees!$Q$5:$Q$29,$A247)))/Settings!$B$13,IF(INDEX(Employees!$P$5:$P$29,$A247)="Per hour worked",N(INDEX(Employees!$R$5:$R$29,$A247))*$I247,IF(INDEX(Employees!$P$5:$P$29,$A247)="Front-loaded",IF(OR($B247=1,N($G246)=0),N(INDEX(Employees!$Q$5:$Q$29,$A247)),0),0))))</f>
        <v/>
      </c>
      <c r="R247" s="48">
        <f>IF($F247=0,0,SUMIFS('Time Off Log'!$H$5:$H$504,'Time Off Log'!$A$5:$A$504,$C247,'Time Off Log'!$B$5:$B$504,"Sick",'Time Off Log'!$E$5:$E$504,"Approved",'Time Off Log'!$C$5:$C$504,"&gt;="&amp;INDEX(Periods!$E$5:$E$57,$B247),'Time Off Log'!$C$5:$C$504,"&lt;="&amp;INDEX(Periods!$F$5:$F$57,$B247)))</f>
        <v/>
      </c>
      <c r="S247" s="48">
        <f>IF($B247=1,N(INDEX(Employees!$T$5:$T$29,$A247)),V246)</f>
        <v/>
      </c>
      <c r="T247" s="48">
        <f>IF(INDEX(Employees!$S$5:$S$29,$A247)="",Q247,MAX(0,MIN(Q247,INDEX(Employees!$S$5:$S$29,$A247)-(S247-R247))))</f>
        <v/>
      </c>
      <c r="U247" s="48">
        <f>Q247-T247</f>
        <v/>
      </c>
      <c r="V247" s="48">
        <f>S247-R247+T247</f>
        <v/>
      </c>
    </row>
    <row r="248">
      <c r="A248" s="47" t="n">
        <v>5</v>
      </c>
      <c r="B248" s="47" t="n">
        <v>32</v>
      </c>
      <c r="C248" s="48">
        <f>INDEX(Employees!$B$5:$B$29,$A248)&amp;""</f>
        <v/>
      </c>
      <c r="D248" s="49">
        <f>INDEX(Periods!$B$5:$B$57,$B248)</f>
        <v/>
      </c>
      <c r="E248" s="49">
        <f>INDEX(Periods!$C$5:$C$57,$B248)</f>
        <v/>
      </c>
      <c r="F248" s="47">
        <f>IF(AND($C248&lt;&gt;"",INDEX(Periods!$D$5:$D$57,$B248)=1),1,0)</f>
        <v/>
      </c>
      <c r="G248" s="47">
        <f>IF($F248=0,0,IF(AND(OR(INDEX(Employees!$D$5:$D$29,$A248)="",$E248&gt;=INDEX(Employees!$D$5:$D$29,$A248)+N(INDEX(Employees!$U$5:$U$29,$A248))),OR(INDEX(Employees!$E$5:$E$29,$A248)="",$D248&lt;=INDEX(Employees!$E$5:$E$29,$A248))),1,0))</f>
        <v/>
      </c>
      <c r="H248" s="47">
        <f>IF($G248=0,0,IF(INDEX(Employees!$D$5:$D$29,$A248)="",0,DATEDIF(INDEX(Employees!$D$5:$D$29,$A248),$E248,"y")))</f>
        <v/>
      </c>
      <c r="I248" s="48">
        <f>IF($G248=0,0,IF(INDEX('Hours Worked'!$D$5:$BD$29,$A248,$B248)="",N(INDEX(Employees!$H$5:$H$29,$A248)),INDEX('Hours Worked'!$D$5:$BD$29,$A248,$B248)))</f>
        <v/>
      </c>
      <c r="J248" s="48">
        <f>IF(OR($G248=0,INDEX(Employees!$O$5:$O$29,$A248)&lt;&gt;"Yes"),0,IF(COUNTIF(Settings!$D$4:$D$9,"&lt;="&amp;$H248)=0,0,INDEX(Settings!$E$4:$E$9,COUNTIF(Settings!$D$4:$D$9,"&lt;="&amp;$H248))))</f>
        <v/>
      </c>
      <c r="K248" s="48">
        <f>IF($G248=0,0,IF(INDEX(Employees!$I$5:$I$29,$A248)="Per pay period",(N(INDEX(Employees!$J$5:$J$29,$A248))+$J248)/Settings!$B$13,IF(INDEX(Employees!$I$5:$I$29,$A248)="Per hour worked",N(INDEX(Employees!$K$5:$K$29,$A248))*$I248,IF(INDEX(Employees!$I$5:$I$29,$A248)="Front-loaded",IF(OR($B248=1,N($G247)=0),N(INDEX(Employees!$J$5:$J$29,$A248))+$J248,0),0))))</f>
        <v/>
      </c>
      <c r="L248" s="48">
        <f>IF($F248=0,0,SUMIFS('Time Off Log'!$H$5:$H$504,'Time Off Log'!$A$5:$A$504,$C248,'Time Off Log'!$B$5:$B$504,"PTO",'Time Off Log'!$E$5:$E$504,"Approved",'Time Off Log'!$C$5:$C$504,"&gt;="&amp;INDEX(Periods!$E$5:$E$57,$B248),'Time Off Log'!$C$5:$C$504,"&lt;="&amp;INDEX(Periods!$F$5:$F$57,$B248)))</f>
        <v/>
      </c>
      <c r="M248" s="48">
        <f>IF($B248=1,N(INDEX(Employees!$N$5:$N$29,$A248)),P247)</f>
        <v/>
      </c>
      <c r="N248" s="48">
        <f>IF(INDEX(Employees!$L$5:$L$29,$A248)="",K248,MAX(0,MIN(K248,INDEX(Employees!$L$5:$L$29,$A248)-(M248-L248))))</f>
        <v/>
      </c>
      <c r="O248" s="48">
        <f>K248-N248</f>
        <v/>
      </c>
      <c r="P248" s="48">
        <f>M248-L248+N248</f>
        <v/>
      </c>
      <c r="Q248" s="48">
        <f>IF($G248=0,0,IF(INDEX(Employees!$P$5:$P$29,$A248)="Per pay period",(N(INDEX(Employees!$Q$5:$Q$29,$A248)))/Settings!$B$13,IF(INDEX(Employees!$P$5:$P$29,$A248)="Per hour worked",N(INDEX(Employees!$R$5:$R$29,$A248))*$I248,IF(INDEX(Employees!$P$5:$P$29,$A248)="Front-loaded",IF(OR($B248=1,N($G247)=0),N(INDEX(Employees!$Q$5:$Q$29,$A248)),0),0))))</f>
        <v/>
      </c>
      <c r="R248" s="48">
        <f>IF($F248=0,0,SUMIFS('Time Off Log'!$H$5:$H$504,'Time Off Log'!$A$5:$A$504,$C248,'Time Off Log'!$B$5:$B$504,"Sick",'Time Off Log'!$E$5:$E$504,"Approved",'Time Off Log'!$C$5:$C$504,"&gt;="&amp;INDEX(Periods!$E$5:$E$57,$B248),'Time Off Log'!$C$5:$C$504,"&lt;="&amp;INDEX(Periods!$F$5:$F$57,$B248)))</f>
        <v/>
      </c>
      <c r="S248" s="48">
        <f>IF($B248=1,N(INDEX(Employees!$T$5:$T$29,$A248)),V247)</f>
        <v/>
      </c>
      <c r="T248" s="48">
        <f>IF(INDEX(Employees!$S$5:$S$29,$A248)="",Q248,MAX(0,MIN(Q248,INDEX(Employees!$S$5:$S$29,$A248)-(S248-R248))))</f>
        <v/>
      </c>
      <c r="U248" s="48">
        <f>Q248-T248</f>
        <v/>
      </c>
      <c r="V248" s="48">
        <f>S248-R248+T248</f>
        <v/>
      </c>
    </row>
    <row r="249">
      <c r="A249" s="47" t="n">
        <v>5</v>
      </c>
      <c r="B249" s="47" t="n">
        <v>33</v>
      </c>
      <c r="C249" s="48">
        <f>INDEX(Employees!$B$5:$B$29,$A249)&amp;""</f>
        <v/>
      </c>
      <c r="D249" s="49">
        <f>INDEX(Periods!$B$5:$B$57,$B249)</f>
        <v/>
      </c>
      <c r="E249" s="49">
        <f>INDEX(Periods!$C$5:$C$57,$B249)</f>
        <v/>
      </c>
      <c r="F249" s="47">
        <f>IF(AND($C249&lt;&gt;"",INDEX(Periods!$D$5:$D$57,$B249)=1),1,0)</f>
        <v/>
      </c>
      <c r="G249" s="47">
        <f>IF($F249=0,0,IF(AND(OR(INDEX(Employees!$D$5:$D$29,$A249)="",$E249&gt;=INDEX(Employees!$D$5:$D$29,$A249)+N(INDEX(Employees!$U$5:$U$29,$A249))),OR(INDEX(Employees!$E$5:$E$29,$A249)="",$D249&lt;=INDEX(Employees!$E$5:$E$29,$A249))),1,0))</f>
        <v/>
      </c>
      <c r="H249" s="47">
        <f>IF($G249=0,0,IF(INDEX(Employees!$D$5:$D$29,$A249)="",0,DATEDIF(INDEX(Employees!$D$5:$D$29,$A249),$E249,"y")))</f>
        <v/>
      </c>
      <c r="I249" s="48">
        <f>IF($G249=0,0,IF(INDEX('Hours Worked'!$D$5:$BD$29,$A249,$B249)="",N(INDEX(Employees!$H$5:$H$29,$A249)),INDEX('Hours Worked'!$D$5:$BD$29,$A249,$B249)))</f>
        <v/>
      </c>
      <c r="J249" s="48">
        <f>IF(OR($G249=0,INDEX(Employees!$O$5:$O$29,$A249)&lt;&gt;"Yes"),0,IF(COUNTIF(Settings!$D$4:$D$9,"&lt;="&amp;$H249)=0,0,INDEX(Settings!$E$4:$E$9,COUNTIF(Settings!$D$4:$D$9,"&lt;="&amp;$H249))))</f>
        <v/>
      </c>
      <c r="K249" s="48">
        <f>IF($G249=0,0,IF(INDEX(Employees!$I$5:$I$29,$A249)="Per pay period",(N(INDEX(Employees!$J$5:$J$29,$A249))+$J249)/Settings!$B$13,IF(INDEX(Employees!$I$5:$I$29,$A249)="Per hour worked",N(INDEX(Employees!$K$5:$K$29,$A249))*$I249,IF(INDEX(Employees!$I$5:$I$29,$A249)="Front-loaded",IF(OR($B249=1,N($G248)=0),N(INDEX(Employees!$J$5:$J$29,$A249))+$J249,0),0))))</f>
        <v/>
      </c>
      <c r="L249" s="48">
        <f>IF($F249=0,0,SUMIFS('Time Off Log'!$H$5:$H$504,'Time Off Log'!$A$5:$A$504,$C249,'Time Off Log'!$B$5:$B$504,"PTO",'Time Off Log'!$E$5:$E$504,"Approved",'Time Off Log'!$C$5:$C$504,"&gt;="&amp;INDEX(Periods!$E$5:$E$57,$B249),'Time Off Log'!$C$5:$C$504,"&lt;="&amp;INDEX(Periods!$F$5:$F$57,$B249)))</f>
        <v/>
      </c>
      <c r="M249" s="48">
        <f>IF($B249=1,N(INDEX(Employees!$N$5:$N$29,$A249)),P248)</f>
        <v/>
      </c>
      <c r="N249" s="48">
        <f>IF(INDEX(Employees!$L$5:$L$29,$A249)="",K249,MAX(0,MIN(K249,INDEX(Employees!$L$5:$L$29,$A249)-(M249-L249))))</f>
        <v/>
      </c>
      <c r="O249" s="48">
        <f>K249-N249</f>
        <v/>
      </c>
      <c r="P249" s="48">
        <f>M249-L249+N249</f>
        <v/>
      </c>
      <c r="Q249" s="48">
        <f>IF($G249=0,0,IF(INDEX(Employees!$P$5:$P$29,$A249)="Per pay period",(N(INDEX(Employees!$Q$5:$Q$29,$A249)))/Settings!$B$13,IF(INDEX(Employees!$P$5:$P$29,$A249)="Per hour worked",N(INDEX(Employees!$R$5:$R$29,$A249))*$I249,IF(INDEX(Employees!$P$5:$P$29,$A249)="Front-loaded",IF(OR($B249=1,N($G248)=0),N(INDEX(Employees!$Q$5:$Q$29,$A249)),0),0))))</f>
        <v/>
      </c>
      <c r="R249" s="48">
        <f>IF($F249=0,0,SUMIFS('Time Off Log'!$H$5:$H$504,'Time Off Log'!$A$5:$A$504,$C249,'Time Off Log'!$B$5:$B$504,"Sick",'Time Off Log'!$E$5:$E$504,"Approved",'Time Off Log'!$C$5:$C$504,"&gt;="&amp;INDEX(Periods!$E$5:$E$57,$B249),'Time Off Log'!$C$5:$C$504,"&lt;="&amp;INDEX(Periods!$F$5:$F$57,$B249)))</f>
        <v/>
      </c>
      <c r="S249" s="48">
        <f>IF($B249=1,N(INDEX(Employees!$T$5:$T$29,$A249)),V248)</f>
        <v/>
      </c>
      <c r="T249" s="48">
        <f>IF(INDEX(Employees!$S$5:$S$29,$A249)="",Q249,MAX(0,MIN(Q249,INDEX(Employees!$S$5:$S$29,$A249)-(S249-R249))))</f>
        <v/>
      </c>
      <c r="U249" s="48">
        <f>Q249-T249</f>
        <v/>
      </c>
      <c r="V249" s="48">
        <f>S249-R249+T249</f>
        <v/>
      </c>
    </row>
    <row r="250">
      <c r="A250" s="47" t="n">
        <v>5</v>
      </c>
      <c r="B250" s="47" t="n">
        <v>34</v>
      </c>
      <c r="C250" s="48">
        <f>INDEX(Employees!$B$5:$B$29,$A250)&amp;""</f>
        <v/>
      </c>
      <c r="D250" s="49">
        <f>INDEX(Periods!$B$5:$B$57,$B250)</f>
        <v/>
      </c>
      <c r="E250" s="49">
        <f>INDEX(Periods!$C$5:$C$57,$B250)</f>
        <v/>
      </c>
      <c r="F250" s="47">
        <f>IF(AND($C250&lt;&gt;"",INDEX(Periods!$D$5:$D$57,$B250)=1),1,0)</f>
        <v/>
      </c>
      <c r="G250" s="47">
        <f>IF($F250=0,0,IF(AND(OR(INDEX(Employees!$D$5:$D$29,$A250)="",$E250&gt;=INDEX(Employees!$D$5:$D$29,$A250)+N(INDEX(Employees!$U$5:$U$29,$A250))),OR(INDEX(Employees!$E$5:$E$29,$A250)="",$D250&lt;=INDEX(Employees!$E$5:$E$29,$A250))),1,0))</f>
        <v/>
      </c>
      <c r="H250" s="47">
        <f>IF($G250=0,0,IF(INDEX(Employees!$D$5:$D$29,$A250)="",0,DATEDIF(INDEX(Employees!$D$5:$D$29,$A250),$E250,"y")))</f>
        <v/>
      </c>
      <c r="I250" s="48">
        <f>IF($G250=0,0,IF(INDEX('Hours Worked'!$D$5:$BD$29,$A250,$B250)="",N(INDEX(Employees!$H$5:$H$29,$A250)),INDEX('Hours Worked'!$D$5:$BD$29,$A250,$B250)))</f>
        <v/>
      </c>
      <c r="J250" s="48">
        <f>IF(OR($G250=0,INDEX(Employees!$O$5:$O$29,$A250)&lt;&gt;"Yes"),0,IF(COUNTIF(Settings!$D$4:$D$9,"&lt;="&amp;$H250)=0,0,INDEX(Settings!$E$4:$E$9,COUNTIF(Settings!$D$4:$D$9,"&lt;="&amp;$H250))))</f>
        <v/>
      </c>
      <c r="K250" s="48">
        <f>IF($G250=0,0,IF(INDEX(Employees!$I$5:$I$29,$A250)="Per pay period",(N(INDEX(Employees!$J$5:$J$29,$A250))+$J250)/Settings!$B$13,IF(INDEX(Employees!$I$5:$I$29,$A250)="Per hour worked",N(INDEX(Employees!$K$5:$K$29,$A250))*$I250,IF(INDEX(Employees!$I$5:$I$29,$A250)="Front-loaded",IF(OR($B250=1,N($G249)=0),N(INDEX(Employees!$J$5:$J$29,$A250))+$J250,0),0))))</f>
        <v/>
      </c>
      <c r="L250" s="48">
        <f>IF($F250=0,0,SUMIFS('Time Off Log'!$H$5:$H$504,'Time Off Log'!$A$5:$A$504,$C250,'Time Off Log'!$B$5:$B$504,"PTO",'Time Off Log'!$E$5:$E$504,"Approved",'Time Off Log'!$C$5:$C$504,"&gt;="&amp;INDEX(Periods!$E$5:$E$57,$B250),'Time Off Log'!$C$5:$C$504,"&lt;="&amp;INDEX(Periods!$F$5:$F$57,$B250)))</f>
        <v/>
      </c>
      <c r="M250" s="48">
        <f>IF($B250=1,N(INDEX(Employees!$N$5:$N$29,$A250)),P249)</f>
        <v/>
      </c>
      <c r="N250" s="48">
        <f>IF(INDEX(Employees!$L$5:$L$29,$A250)="",K250,MAX(0,MIN(K250,INDEX(Employees!$L$5:$L$29,$A250)-(M250-L250))))</f>
        <v/>
      </c>
      <c r="O250" s="48">
        <f>K250-N250</f>
        <v/>
      </c>
      <c r="P250" s="48">
        <f>M250-L250+N250</f>
        <v/>
      </c>
      <c r="Q250" s="48">
        <f>IF($G250=0,0,IF(INDEX(Employees!$P$5:$P$29,$A250)="Per pay period",(N(INDEX(Employees!$Q$5:$Q$29,$A250)))/Settings!$B$13,IF(INDEX(Employees!$P$5:$P$29,$A250)="Per hour worked",N(INDEX(Employees!$R$5:$R$29,$A250))*$I250,IF(INDEX(Employees!$P$5:$P$29,$A250)="Front-loaded",IF(OR($B250=1,N($G249)=0),N(INDEX(Employees!$Q$5:$Q$29,$A250)),0),0))))</f>
        <v/>
      </c>
      <c r="R250" s="48">
        <f>IF($F250=0,0,SUMIFS('Time Off Log'!$H$5:$H$504,'Time Off Log'!$A$5:$A$504,$C250,'Time Off Log'!$B$5:$B$504,"Sick",'Time Off Log'!$E$5:$E$504,"Approved",'Time Off Log'!$C$5:$C$504,"&gt;="&amp;INDEX(Periods!$E$5:$E$57,$B250),'Time Off Log'!$C$5:$C$504,"&lt;="&amp;INDEX(Periods!$F$5:$F$57,$B250)))</f>
        <v/>
      </c>
      <c r="S250" s="48">
        <f>IF($B250=1,N(INDEX(Employees!$T$5:$T$29,$A250)),V249)</f>
        <v/>
      </c>
      <c r="T250" s="48">
        <f>IF(INDEX(Employees!$S$5:$S$29,$A250)="",Q250,MAX(0,MIN(Q250,INDEX(Employees!$S$5:$S$29,$A250)-(S250-R250))))</f>
        <v/>
      </c>
      <c r="U250" s="48">
        <f>Q250-T250</f>
        <v/>
      </c>
      <c r="V250" s="48">
        <f>S250-R250+T250</f>
        <v/>
      </c>
    </row>
    <row r="251">
      <c r="A251" s="47" t="n">
        <v>5</v>
      </c>
      <c r="B251" s="47" t="n">
        <v>35</v>
      </c>
      <c r="C251" s="48">
        <f>INDEX(Employees!$B$5:$B$29,$A251)&amp;""</f>
        <v/>
      </c>
      <c r="D251" s="49">
        <f>INDEX(Periods!$B$5:$B$57,$B251)</f>
        <v/>
      </c>
      <c r="E251" s="49">
        <f>INDEX(Periods!$C$5:$C$57,$B251)</f>
        <v/>
      </c>
      <c r="F251" s="47">
        <f>IF(AND($C251&lt;&gt;"",INDEX(Periods!$D$5:$D$57,$B251)=1),1,0)</f>
        <v/>
      </c>
      <c r="G251" s="47">
        <f>IF($F251=0,0,IF(AND(OR(INDEX(Employees!$D$5:$D$29,$A251)="",$E251&gt;=INDEX(Employees!$D$5:$D$29,$A251)+N(INDEX(Employees!$U$5:$U$29,$A251))),OR(INDEX(Employees!$E$5:$E$29,$A251)="",$D251&lt;=INDEX(Employees!$E$5:$E$29,$A251))),1,0))</f>
        <v/>
      </c>
      <c r="H251" s="47">
        <f>IF($G251=0,0,IF(INDEX(Employees!$D$5:$D$29,$A251)="",0,DATEDIF(INDEX(Employees!$D$5:$D$29,$A251),$E251,"y")))</f>
        <v/>
      </c>
      <c r="I251" s="48">
        <f>IF($G251=0,0,IF(INDEX('Hours Worked'!$D$5:$BD$29,$A251,$B251)="",N(INDEX(Employees!$H$5:$H$29,$A251)),INDEX('Hours Worked'!$D$5:$BD$29,$A251,$B251)))</f>
        <v/>
      </c>
      <c r="J251" s="48">
        <f>IF(OR($G251=0,INDEX(Employees!$O$5:$O$29,$A251)&lt;&gt;"Yes"),0,IF(COUNTIF(Settings!$D$4:$D$9,"&lt;="&amp;$H251)=0,0,INDEX(Settings!$E$4:$E$9,COUNTIF(Settings!$D$4:$D$9,"&lt;="&amp;$H251))))</f>
        <v/>
      </c>
      <c r="K251" s="48">
        <f>IF($G251=0,0,IF(INDEX(Employees!$I$5:$I$29,$A251)="Per pay period",(N(INDEX(Employees!$J$5:$J$29,$A251))+$J251)/Settings!$B$13,IF(INDEX(Employees!$I$5:$I$29,$A251)="Per hour worked",N(INDEX(Employees!$K$5:$K$29,$A251))*$I251,IF(INDEX(Employees!$I$5:$I$29,$A251)="Front-loaded",IF(OR($B251=1,N($G250)=0),N(INDEX(Employees!$J$5:$J$29,$A251))+$J251,0),0))))</f>
        <v/>
      </c>
      <c r="L251" s="48">
        <f>IF($F251=0,0,SUMIFS('Time Off Log'!$H$5:$H$504,'Time Off Log'!$A$5:$A$504,$C251,'Time Off Log'!$B$5:$B$504,"PTO",'Time Off Log'!$E$5:$E$504,"Approved",'Time Off Log'!$C$5:$C$504,"&gt;="&amp;INDEX(Periods!$E$5:$E$57,$B251),'Time Off Log'!$C$5:$C$504,"&lt;="&amp;INDEX(Periods!$F$5:$F$57,$B251)))</f>
        <v/>
      </c>
      <c r="M251" s="48">
        <f>IF($B251=1,N(INDEX(Employees!$N$5:$N$29,$A251)),P250)</f>
        <v/>
      </c>
      <c r="N251" s="48">
        <f>IF(INDEX(Employees!$L$5:$L$29,$A251)="",K251,MAX(0,MIN(K251,INDEX(Employees!$L$5:$L$29,$A251)-(M251-L251))))</f>
        <v/>
      </c>
      <c r="O251" s="48">
        <f>K251-N251</f>
        <v/>
      </c>
      <c r="P251" s="48">
        <f>M251-L251+N251</f>
        <v/>
      </c>
      <c r="Q251" s="48">
        <f>IF($G251=0,0,IF(INDEX(Employees!$P$5:$P$29,$A251)="Per pay period",(N(INDEX(Employees!$Q$5:$Q$29,$A251)))/Settings!$B$13,IF(INDEX(Employees!$P$5:$P$29,$A251)="Per hour worked",N(INDEX(Employees!$R$5:$R$29,$A251))*$I251,IF(INDEX(Employees!$P$5:$P$29,$A251)="Front-loaded",IF(OR($B251=1,N($G250)=0),N(INDEX(Employees!$Q$5:$Q$29,$A251)),0),0))))</f>
        <v/>
      </c>
      <c r="R251" s="48">
        <f>IF($F251=0,0,SUMIFS('Time Off Log'!$H$5:$H$504,'Time Off Log'!$A$5:$A$504,$C251,'Time Off Log'!$B$5:$B$504,"Sick",'Time Off Log'!$E$5:$E$504,"Approved",'Time Off Log'!$C$5:$C$504,"&gt;="&amp;INDEX(Periods!$E$5:$E$57,$B251),'Time Off Log'!$C$5:$C$504,"&lt;="&amp;INDEX(Periods!$F$5:$F$57,$B251)))</f>
        <v/>
      </c>
      <c r="S251" s="48">
        <f>IF($B251=1,N(INDEX(Employees!$T$5:$T$29,$A251)),V250)</f>
        <v/>
      </c>
      <c r="T251" s="48">
        <f>IF(INDEX(Employees!$S$5:$S$29,$A251)="",Q251,MAX(0,MIN(Q251,INDEX(Employees!$S$5:$S$29,$A251)-(S251-R251))))</f>
        <v/>
      </c>
      <c r="U251" s="48">
        <f>Q251-T251</f>
        <v/>
      </c>
      <c r="V251" s="48">
        <f>S251-R251+T251</f>
        <v/>
      </c>
    </row>
    <row r="252">
      <c r="A252" s="47" t="n">
        <v>5</v>
      </c>
      <c r="B252" s="47" t="n">
        <v>36</v>
      </c>
      <c r="C252" s="48">
        <f>INDEX(Employees!$B$5:$B$29,$A252)&amp;""</f>
        <v/>
      </c>
      <c r="D252" s="49">
        <f>INDEX(Periods!$B$5:$B$57,$B252)</f>
        <v/>
      </c>
      <c r="E252" s="49">
        <f>INDEX(Periods!$C$5:$C$57,$B252)</f>
        <v/>
      </c>
      <c r="F252" s="47">
        <f>IF(AND($C252&lt;&gt;"",INDEX(Periods!$D$5:$D$57,$B252)=1),1,0)</f>
        <v/>
      </c>
      <c r="G252" s="47">
        <f>IF($F252=0,0,IF(AND(OR(INDEX(Employees!$D$5:$D$29,$A252)="",$E252&gt;=INDEX(Employees!$D$5:$D$29,$A252)+N(INDEX(Employees!$U$5:$U$29,$A252))),OR(INDEX(Employees!$E$5:$E$29,$A252)="",$D252&lt;=INDEX(Employees!$E$5:$E$29,$A252))),1,0))</f>
        <v/>
      </c>
      <c r="H252" s="47">
        <f>IF($G252=0,0,IF(INDEX(Employees!$D$5:$D$29,$A252)="",0,DATEDIF(INDEX(Employees!$D$5:$D$29,$A252),$E252,"y")))</f>
        <v/>
      </c>
      <c r="I252" s="48">
        <f>IF($G252=0,0,IF(INDEX('Hours Worked'!$D$5:$BD$29,$A252,$B252)="",N(INDEX(Employees!$H$5:$H$29,$A252)),INDEX('Hours Worked'!$D$5:$BD$29,$A252,$B252)))</f>
        <v/>
      </c>
      <c r="J252" s="48">
        <f>IF(OR($G252=0,INDEX(Employees!$O$5:$O$29,$A252)&lt;&gt;"Yes"),0,IF(COUNTIF(Settings!$D$4:$D$9,"&lt;="&amp;$H252)=0,0,INDEX(Settings!$E$4:$E$9,COUNTIF(Settings!$D$4:$D$9,"&lt;="&amp;$H252))))</f>
        <v/>
      </c>
      <c r="K252" s="48">
        <f>IF($G252=0,0,IF(INDEX(Employees!$I$5:$I$29,$A252)="Per pay period",(N(INDEX(Employees!$J$5:$J$29,$A252))+$J252)/Settings!$B$13,IF(INDEX(Employees!$I$5:$I$29,$A252)="Per hour worked",N(INDEX(Employees!$K$5:$K$29,$A252))*$I252,IF(INDEX(Employees!$I$5:$I$29,$A252)="Front-loaded",IF(OR($B252=1,N($G251)=0),N(INDEX(Employees!$J$5:$J$29,$A252))+$J252,0),0))))</f>
        <v/>
      </c>
      <c r="L252" s="48">
        <f>IF($F252=0,0,SUMIFS('Time Off Log'!$H$5:$H$504,'Time Off Log'!$A$5:$A$504,$C252,'Time Off Log'!$B$5:$B$504,"PTO",'Time Off Log'!$E$5:$E$504,"Approved",'Time Off Log'!$C$5:$C$504,"&gt;="&amp;INDEX(Periods!$E$5:$E$57,$B252),'Time Off Log'!$C$5:$C$504,"&lt;="&amp;INDEX(Periods!$F$5:$F$57,$B252)))</f>
        <v/>
      </c>
      <c r="M252" s="48">
        <f>IF($B252=1,N(INDEX(Employees!$N$5:$N$29,$A252)),P251)</f>
        <v/>
      </c>
      <c r="N252" s="48">
        <f>IF(INDEX(Employees!$L$5:$L$29,$A252)="",K252,MAX(0,MIN(K252,INDEX(Employees!$L$5:$L$29,$A252)-(M252-L252))))</f>
        <v/>
      </c>
      <c r="O252" s="48">
        <f>K252-N252</f>
        <v/>
      </c>
      <c r="P252" s="48">
        <f>M252-L252+N252</f>
        <v/>
      </c>
      <c r="Q252" s="48">
        <f>IF($G252=0,0,IF(INDEX(Employees!$P$5:$P$29,$A252)="Per pay period",(N(INDEX(Employees!$Q$5:$Q$29,$A252)))/Settings!$B$13,IF(INDEX(Employees!$P$5:$P$29,$A252)="Per hour worked",N(INDEX(Employees!$R$5:$R$29,$A252))*$I252,IF(INDEX(Employees!$P$5:$P$29,$A252)="Front-loaded",IF(OR($B252=1,N($G251)=0),N(INDEX(Employees!$Q$5:$Q$29,$A252)),0),0))))</f>
        <v/>
      </c>
      <c r="R252" s="48">
        <f>IF($F252=0,0,SUMIFS('Time Off Log'!$H$5:$H$504,'Time Off Log'!$A$5:$A$504,$C252,'Time Off Log'!$B$5:$B$504,"Sick",'Time Off Log'!$E$5:$E$504,"Approved",'Time Off Log'!$C$5:$C$504,"&gt;="&amp;INDEX(Periods!$E$5:$E$57,$B252),'Time Off Log'!$C$5:$C$504,"&lt;="&amp;INDEX(Periods!$F$5:$F$57,$B252)))</f>
        <v/>
      </c>
      <c r="S252" s="48">
        <f>IF($B252=1,N(INDEX(Employees!$T$5:$T$29,$A252)),V251)</f>
        <v/>
      </c>
      <c r="T252" s="48">
        <f>IF(INDEX(Employees!$S$5:$S$29,$A252)="",Q252,MAX(0,MIN(Q252,INDEX(Employees!$S$5:$S$29,$A252)-(S252-R252))))</f>
        <v/>
      </c>
      <c r="U252" s="48">
        <f>Q252-T252</f>
        <v/>
      </c>
      <c r="V252" s="48">
        <f>S252-R252+T252</f>
        <v/>
      </c>
    </row>
    <row r="253">
      <c r="A253" s="47" t="n">
        <v>5</v>
      </c>
      <c r="B253" s="47" t="n">
        <v>37</v>
      </c>
      <c r="C253" s="48">
        <f>INDEX(Employees!$B$5:$B$29,$A253)&amp;""</f>
        <v/>
      </c>
      <c r="D253" s="49">
        <f>INDEX(Periods!$B$5:$B$57,$B253)</f>
        <v/>
      </c>
      <c r="E253" s="49">
        <f>INDEX(Periods!$C$5:$C$57,$B253)</f>
        <v/>
      </c>
      <c r="F253" s="47">
        <f>IF(AND($C253&lt;&gt;"",INDEX(Periods!$D$5:$D$57,$B253)=1),1,0)</f>
        <v/>
      </c>
      <c r="G253" s="47">
        <f>IF($F253=0,0,IF(AND(OR(INDEX(Employees!$D$5:$D$29,$A253)="",$E253&gt;=INDEX(Employees!$D$5:$D$29,$A253)+N(INDEX(Employees!$U$5:$U$29,$A253))),OR(INDEX(Employees!$E$5:$E$29,$A253)="",$D253&lt;=INDEX(Employees!$E$5:$E$29,$A253))),1,0))</f>
        <v/>
      </c>
      <c r="H253" s="47">
        <f>IF($G253=0,0,IF(INDEX(Employees!$D$5:$D$29,$A253)="",0,DATEDIF(INDEX(Employees!$D$5:$D$29,$A253),$E253,"y")))</f>
        <v/>
      </c>
      <c r="I253" s="48">
        <f>IF($G253=0,0,IF(INDEX('Hours Worked'!$D$5:$BD$29,$A253,$B253)="",N(INDEX(Employees!$H$5:$H$29,$A253)),INDEX('Hours Worked'!$D$5:$BD$29,$A253,$B253)))</f>
        <v/>
      </c>
      <c r="J253" s="48">
        <f>IF(OR($G253=0,INDEX(Employees!$O$5:$O$29,$A253)&lt;&gt;"Yes"),0,IF(COUNTIF(Settings!$D$4:$D$9,"&lt;="&amp;$H253)=0,0,INDEX(Settings!$E$4:$E$9,COUNTIF(Settings!$D$4:$D$9,"&lt;="&amp;$H253))))</f>
        <v/>
      </c>
      <c r="K253" s="48">
        <f>IF($G253=0,0,IF(INDEX(Employees!$I$5:$I$29,$A253)="Per pay period",(N(INDEX(Employees!$J$5:$J$29,$A253))+$J253)/Settings!$B$13,IF(INDEX(Employees!$I$5:$I$29,$A253)="Per hour worked",N(INDEX(Employees!$K$5:$K$29,$A253))*$I253,IF(INDEX(Employees!$I$5:$I$29,$A253)="Front-loaded",IF(OR($B253=1,N($G252)=0),N(INDEX(Employees!$J$5:$J$29,$A253))+$J253,0),0))))</f>
        <v/>
      </c>
      <c r="L253" s="48">
        <f>IF($F253=0,0,SUMIFS('Time Off Log'!$H$5:$H$504,'Time Off Log'!$A$5:$A$504,$C253,'Time Off Log'!$B$5:$B$504,"PTO",'Time Off Log'!$E$5:$E$504,"Approved",'Time Off Log'!$C$5:$C$504,"&gt;="&amp;INDEX(Periods!$E$5:$E$57,$B253),'Time Off Log'!$C$5:$C$504,"&lt;="&amp;INDEX(Periods!$F$5:$F$57,$B253)))</f>
        <v/>
      </c>
      <c r="M253" s="48">
        <f>IF($B253=1,N(INDEX(Employees!$N$5:$N$29,$A253)),P252)</f>
        <v/>
      </c>
      <c r="N253" s="48">
        <f>IF(INDEX(Employees!$L$5:$L$29,$A253)="",K253,MAX(0,MIN(K253,INDEX(Employees!$L$5:$L$29,$A253)-(M253-L253))))</f>
        <v/>
      </c>
      <c r="O253" s="48">
        <f>K253-N253</f>
        <v/>
      </c>
      <c r="P253" s="48">
        <f>M253-L253+N253</f>
        <v/>
      </c>
      <c r="Q253" s="48">
        <f>IF($G253=0,0,IF(INDEX(Employees!$P$5:$P$29,$A253)="Per pay period",(N(INDEX(Employees!$Q$5:$Q$29,$A253)))/Settings!$B$13,IF(INDEX(Employees!$P$5:$P$29,$A253)="Per hour worked",N(INDEX(Employees!$R$5:$R$29,$A253))*$I253,IF(INDEX(Employees!$P$5:$P$29,$A253)="Front-loaded",IF(OR($B253=1,N($G252)=0),N(INDEX(Employees!$Q$5:$Q$29,$A253)),0),0))))</f>
        <v/>
      </c>
      <c r="R253" s="48">
        <f>IF($F253=0,0,SUMIFS('Time Off Log'!$H$5:$H$504,'Time Off Log'!$A$5:$A$504,$C253,'Time Off Log'!$B$5:$B$504,"Sick",'Time Off Log'!$E$5:$E$504,"Approved",'Time Off Log'!$C$5:$C$504,"&gt;="&amp;INDEX(Periods!$E$5:$E$57,$B253),'Time Off Log'!$C$5:$C$504,"&lt;="&amp;INDEX(Periods!$F$5:$F$57,$B253)))</f>
        <v/>
      </c>
      <c r="S253" s="48">
        <f>IF($B253=1,N(INDEX(Employees!$T$5:$T$29,$A253)),V252)</f>
        <v/>
      </c>
      <c r="T253" s="48">
        <f>IF(INDEX(Employees!$S$5:$S$29,$A253)="",Q253,MAX(0,MIN(Q253,INDEX(Employees!$S$5:$S$29,$A253)-(S253-R253))))</f>
        <v/>
      </c>
      <c r="U253" s="48">
        <f>Q253-T253</f>
        <v/>
      </c>
      <c r="V253" s="48">
        <f>S253-R253+T253</f>
        <v/>
      </c>
    </row>
    <row r="254">
      <c r="A254" s="47" t="n">
        <v>5</v>
      </c>
      <c r="B254" s="47" t="n">
        <v>38</v>
      </c>
      <c r="C254" s="48">
        <f>INDEX(Employees!$B$5:$B$29,$A254)&amp;""</f>
        <v/>
      </c>
      <c r="D254" s="49">
        <f>INDEX(Periods!$B$5:$B$57,$B254)</f>
        <v/>
      </c>
      <c r="E254" s="49">
        <f>INDEX(Periods!$C$5:$C$57,$B254)</f>
        <v/>
      </c>
      <c r="F254" s="47">
        <f>IF(AND($C254&lt;&gt;"",INDEX(Periods!$D$5:$D$57,$B254)=1),1,0)</f>
        <v/>
      </c>
      <c r="G254" s="47">
        <f>IF($F254=0,0,IF(AND(OR(INDEX(Employees!$D$5:$D$29,$A254)="",$E254&gt;=INDEX(Employees!$D$5:$D$29,$A254)+N(INDEX(Employees!$U$5:$U$29,$A254))),OR(INDEX(Employees!$E$5:$E$29,$A254)="",$D254&lt;=INDEX(Employees!$E$5:$E$29,$A254))),1,0))</f>
        <v/>
      </c>
      <c r="H254" s="47">
        <f>IF($G254=0,0,IF(INDEX(Employees!$D$5:$D$29,$A254)="",0,DATEDIF(INDEX(Employees!$D$5:$D$29,$A254),$E254,"y")))</f>
        <v/>
      </c>
      <c r="I254" s="48">
        <f>IF($G254=0,0,IF(INDEX('Hours Worked'!$D$5:$BD$29,$A254,$B254)="",N(INDEX(Employees!$H$5:$H$29,$A254)),INDEX('Hours Worked'!$D$5:$BD$29,$A254,$B254)))</f>
        <v/>
      </c>
      <c r="J254" s="48">
        <f>IF(OR($G254=0,INDEX(Employees!$O$5:$O$29,$A254)&lt;&gt;"Yes"),0,IF(COUNTIF(Settings!$D$4:$D$9,"&lt;="&amp;$H254)=0,0,INDEX(Settings!$E$4:$E$9,COUNTIF(Settings!$D$4:$D$9,"&lt;="&amp;$H254))))</f>
        <v/>
      </c>
      <c r="K254" s="48">
        <f>IF($G254=0,0,IF(INDEX(Employees!$I$5:$I$29,$A254)="Per pay period",(N(INDEX(Employees!$J$5:$J$29,$A254))+$J254)/Settings!$B$13,IF(INDEX(Employees!$I$5:$I$29,$A254)="Per hour worked",N(INDEX(Employees!$K$5:$K$29,$A254))*$I254,IF(INDEX(Employees!$I$5:$I$29,$A254)="Front-loaded",IF(OR($B254=1,N($G253)=0),N(INDEX(Employees!$J$5:$J$29,$A254))+$J254,0),0))))</f>
        <v/>
      </c>
      <c r="L254" s="48">
        <f>IF($F254=0,0,SUMIFS('Time Off Log'!$H$5:$H$504,'Time Off Log'!$A$5:$A$504,$C254,'Time Off Log'!$B$5:$B$504,"PTO",'Time Off Log'!$E$5:$E$504,"Approved",'Time Off Log'!$C$5:$C$504,"&gt;="&amp;INDEX(Periods!$E$5:$E$57,$B254),'Time Off Log'!$C$5:$C$504,"&lt;="&amp;INDEX(Periods!$F$5:$F$57,$B254)))</f>
        <v/>
      </c>
      <c r="M254" s="48">
        <f>IF($B254=1,N(INDEX(Employees!$N$5:$N$29,$A254)),P253)</f>
        <v/>
      </c>
      <c r="N254" s="48">
        <f>IF(INDEX(Employees!$L$5:$L$29,$A254)="",K254,MAX(0,MIN(K254,INDEX(Employees!$L$5:$L$29,$A254)-(M254-L254))))</f>
        <v/>
      </c>
      <c r="O254" s="48">
        <f>K254-N254</f>
        <v/>
      </c>
      <c r="P254" s="48">
        <f>M254-L254+N254</f>
        <v/>
      </c>
      <c r="Q254" s="48">
        <f>IF($G254=0,0,IF(INDEX(Employees!$P$5:$P$29,$A254)="Per pay period",(N(INDEX(Employees!$Q$5:$Q$29,$A254)))/Settings!$B$13,IF(INDEX(Employees!$P$5:$P$29,$A254)="Per hour worked",N(INDEX(Employees!$R$5:$R$29,$A254))*$I254,IF(INDEX(Employees!$P$5:$P$29,$A254)="Front-loaded",IF(OR($B254=1,N($G253)=0),N(INDEX(Employees!$Q$5:$Q$29,$A254)),0),0))))</f>
        <v/>
      </c>
      <c r="R254" s="48">
        <f>IF($F254=0,0,SUMIFS('Time Off Log'!$H$5:$H$504,'Time Off Log'!$A$5:$A$504,$C254,'Time Off Log'!$B$5:$B$504,"Sick",'Time Off Log'!$E$5:$E$504,"Approved",'Time Off Log'!$C$5:$C$504,"&gt;="&amp;INDEX(Periods!$E$5:$E$57,$B254),'Time Off Log'!$C$5:$C$504,"&lt;="&amp;INDEX(Periods!$F$5:$F$57,$B254)))</f>
        <v/>
      </c>
      <c r="S254" s="48">
        <f>IF($B254=1,N(INDEX(Employees!$T$5:$T$29,$A254)),V253)</f>
        <v/>
      </c>
      <c r="T254" s="48">
        <f>IF(INDEX(Employees!$S$5:$S$29,$A254)="",Q254,MAX(0,MIN(Q254,INDEX(Employees!$S$5:$S$29,$A254)-(S254-R254))))</f>
        <v/>
      </c>
      <c r="U254" s="48">
        <f>Q254-T254</f>
        <v/>
      </c>
      <c r="V254" s="48">
        <f>S254-R254+T254</f>
        <v/>
      </c>
    </row>
    <row r="255">
      <c r="A255" s="47" t="n">
        <v>5</v>
      </c>
      <c r="B255" s="47" t="n">
        <v>39</v>
      </c>
      <c r="C255" s="48">
        <f>INDEX(Employees!$B$5:$B$29,$A255)&amp;""</f>
        <v/>
      </c>
      <c r="D255" s="49">
        <f>INDEX(Periods!$B$5:$B$57,$B255)</f>
        <v/>
      </c>
      <c r="E255" s="49">
        <f>INDEX(Periods!$C$5:$C$57,$B255)</f>
        <v/>
      </c>
      <c r="F255" s="47">
        <f>IF(AND($C255&lt;&gt;"",INDEX(Periods!$D$5:$D$57,$B255)=1),1,0)</f>
        <v/>
      </c>
      <c r="G255" s="47">
        <f>IF($F255=0,0,IF(AND(OR(INDEX(Employees!$D$5:$D$29,$A255)="",$E255&gt;=INDEX(Employees!$D$5:$D$29,$A255)+N(INDEX(Employees!$U$5:$U$29,$A255))),OR(INDEX(Employees!$E$5:$E$29,$A255)="",$D255&lt;=INDEX(Employees!$E$5:$E$29,$A255))),1,0))</f>
        <v/>
      </c>
      <c r="H255" s="47">
        <f>IF($G255=0,0,IF(INDEX(Employees!$D$5:$D$29,$A255)="",0,DATEDIF(INDEX(Employees!$D$5:$D$29,$A255),$E255,"y")))</f>
        <v/>
      </c>
      <c r="I255" s="48">
        <f>IF($G255=0,0,IF(INDEX('Hours Worked'!$D$5:$BD$29,$A255,$B255)="",N(INDEX(Employees!$H$5:$H$29,$A255)),INDEX('Hours Worked'!$D$5:$BD$29,$A255,$B255)))</f>
        <v/>
      </c>
      <c r="J255" s="48">
        <f>IF(OR($G255=0,INDEX(Employees!$O$5:$O$29,$A255)&lt;&gt;"Yes"),0,IF(COUNTIF(Settings!$D$4:$D$9,"&lt;="&amp;$H255)=0,0,INDEX(Settings!$E$4:$E$9,COUNTIF(Settings!$D$4:$D$9,"&lt;="&amp;$H255))))</f>
        <v/>
      </c>
      <c r="K255" s="48">
        <f>IF($G255=0,0,IF(INDEX(Employees!$I$5:$I$29,$A255)="Per pay period",(N(INDEX(Employees!$J$5:$J$29,$A255))+$J255)/Settings!$B$13,IF(INDEX(Employees!$I$5:$I$29,$A255)="Per hour worked",N(INDEX(Employees!$K$5:$K$29,$A255))*$I255,IF(INDEX(Employees!$I$5:$I$29,$A255)="Front-loaded",IF(OR($B255=1,N($G254)=0),N(INDEX(Employees!$J$5:$J$29,$A255))+$J255,0),0))))</f>
        <v/>
      </c>
      <c r="L255" s="48">
        <f>IF($F255=0,0,SUMIFS('Time Off Log'!$H$5:$H$504,'Time Off Log'!$A$5:$A$504,$C255,'Time Off Log'!$B$5:$B$504,"PTO",'Time Off Log'!$E$5:$E$504,"Approved",'Time Off Log'!$C$5:$C$504,"&gt;="&amp;INDEX(Periods!$E$5:$E$57,$B255),'Time Off Log'!$C$5:$C$504,"&lt;="&amp;INDEX(Periods!$F$5:$F$57,$B255)))</f>
        <v/>
      </c>
      <c r="M255" s="48">
        <f>IF($B255=1,N(INDEX(Employees!$N$5:$N$29,$A255)),P254)</f>
        <v/>
      </c>
      <c r="N255" s="48">
        <f>IF(INDEX(Employees!$L$5:$L$29,$A255)="",K255,MAX(0,MIN(K255,INDEX(Employees!$L$5:$L$29,$A255)-(M255-L255))))</f>
        <v/>
      </c>
      <c r="O255" s="48">
        <f>K255-N255</f>
        <v/>
      </c>
      <c r="P255" s="48">
        <f>M255-L255+N255</f>
        <v/>
      </c>
      <c r="Q255" s="48">
        <f>IF($G255=0,0,IF(INDEX(Employees!$P$5:$P$29,$A255)="Per pay period",(N(INDEX(Employees!$Q$5:$Q$29,$A255)))/Settings!$B$13,IF(INDEX(Employees!$P$5:$P$29,$A255)="Per hour worked",N(INDEX(Employees!$R$5:$R$29,$A255))*$I255,IF(INDEX(Employees!$P$5:$P$29,$A255)="Front-loaded",IF(OR($B255=1,N($G254)=0),N(INDEX(Employees!$Q$5:$Q$29,$A255)),0),0))))</f>
        <v/>
      </c>
      <c r="R255" s="48">
        <f>IF($F255=0,0,SUMIFS('Time Off Log'!$H$5:$H$504,'Time Off Log'!$A$5:$A$504,$C255,'Time Off Log'!$B$5:$B$504,"Sick",'Time Off Log'!$E$5:$E$504,"Approved",'Time Off Log'!$C$5:$C$504,"&gt;="&amp;INDEX(Periods!$E$5:$E$57,$B255),'Time Off Log'!$C$5:$C$504,"&lt;="&amp;INDEX(Periods!$F$5:$F$57,$B255)))</f>
        <v/>
      </c>
      <c r="S255" s="48">
        <f>IF($B255=1,N(INDEX(Employees!$T$5:$T$29,$A255)),V254)</f>
        <v/>
      </c>
      <c r="T255" s="48">
        <f>IF(INDEX(Employees!$S$5:$S$29,$A255)="",Q255,MAX(0,MIN(Q255,INDEX(Employees!$S$5:$S$29,$A255)-(S255-R255))))</f>
        <v/>
      </c>
      <c r="U255" s="48">
        <f>Q255-T255</f>
        <v/>
      </c>
      <c r="V255" s="48">
        <f>S255-R255+T255</f>
        <v/>
      </c>
    </row>
    <row r="256">
      <c r="A256" s="47" t="n">
        <v>5</v>
      </c>
      <c r="B256" s="47" t="n">
        <v>40</v>
      </c>
      <c r="C256" s="48">
        <f>INDEX(Employees!$B$5:$B$29,$A256)&amp;""</f>
        <v/>
      </c>
      <c r="D256" s="49">
        <f>INDEX(Periods!$B$5:$B$57,$B256)</f>
        <v/>
      </c>
      <c r="E256" s="49">
        <f>INDEX(Periods!$C$5:$C$57,$B256)</f>
        <v/>
      </c>
      <c r="F256" s="47">
        <f>IF(AND($C256&lt;&gt;"",INDEX(Periods!$D$5:$D$57,$B256)=1),1,0)</f>
        <v/>
      </c>
      <c r="G256" s="47">
        <f>IF($F256=0,0,IF(AND(OR(INDEX(Employees!$D$5:$D$29,$A256)="",$E256&gt;=INDEX(Employees!$D$5:$D$29,$A256)+N(INDEX(Employees!$U$5:$U$29,$A256))),OR(INDEX(Employees!$E$5:$E$29,$A256)="",$D256&lt;=INDEX(Employees!$E$5:$E$29,$A256))),1,0))</f>
        <v/>
      </c>
      <c r="H256" s="47">
        <f>IF($G256=0,0,IF(INDEX(Employees!$D$5:$D$29,$A256)="",0,DATEDIF(INDEX(Employees!$D$5:$D$29,$A256),$E256,"y")))</f>
        <v/>
      </c>
      <c r="I256" s="48">
        <f>IF($G256=0,0,IF(INDEX('Hours Worked'!$D$5:$BD$29,$A256,$B256)="",N(INDEX(Employees!$H$5:$H$29,$A256)),INDEX('Hours Worked'!$D$5:$BD$29,$A256,$B256)))</f>
        <v/>
      </c>
      <c r="J256" s="48">
        <f>IF(OR($G256=0,INDEX(Employees!$O$5:$O$29,$A256)&lt;&gt;"Yes"),0,IF(COUNTIF(Settings!$D$4:$D$9,"&lt;="&amp;$H256)=0,0,INDEX(Settings!$E$4:$E$9,COUNTIF(Settings!$D$4:$D$9,"&lt;="&amp;$H256))))</f>
        <v/>
      </c>
      <c r="K256" s="48">
        <f>IF($G256=0,0,IF(INDEX(Employees!$I$5:$I$29,$A256)="Per pay period",(N(INDEX(Employees!$J$5:$J$29,$A256))+$J256)/Settings!$B$13,IF(INDEX(Employees!$I$5:$I$29,$A256)="Per hour worked",N(INDEX(Employees!$K$5:$K$29,$A256))*$I256,IF(INDEX(Employees!$I$5:$I$29,$A256)="Front-loaded",IF(OR($B256=1,N($G255)=0),N(INDEX(Employees!$J$5:$J$29,$A256))+$J256,0),0))))</f>
        <v/>
      </c>
      <c r="L256" s="48">
        <f>IF($F256=0,0,SUMIFS('Time Off Log'!$H$5:$H$504,'Time Off Log'!$A$5:$A$504,$C256,'Time Off Log'!$B$5:$B$504,"PTO",'Time Off Log'!$E$5:$E$504,"Approved",'Time Off Log'!$C$5:$C$504,"&gt;="&amp;INDEX(Periods!$E$5:$E$57,$B256),'Time Off Log'!$C$5:$C$504,"&lt;="&amp;INDEX(Periods!$F$5:$F$57,$B256)))</f>
        <v/>
      </c>
      <c r="M256" s="48">
        <f>IF($B256=1,N(INDEX(Employees!$N$5:$N$29,$A256)),P255)</f>
        <v/>
      </c>
      <c r="N256" s="48">
        <f>IF(INDEX(Employees!$L$5:$L$29,$A256)="",K256,MAX(0,MIN(K256,INDEX(Employees!$L$5:$L$29,$A256)-(M256-L256))))</f>
        <v/>
      </c>
      <c r="O256" s="48">
        <f>K256-N256</f>
        <v/>
      </c>
      <c r="P256" s="48">
        <f>M256-L256+N256</f>
        <v/>
      </c>
      <c r="Q256" s="48">
        <f>IF($G256=0,0,IF(INDEX(Employees!$P$5:$P$29,$A256)="Per pay period",(N(INDEX(Employees!$Q$5:$Q$29,$A256)))/Settings!$B$13,IF(INDEX(Employees!$P$5:$P$29,$A256)="Per hour worked",N(INDEX(Employees!$R$5:$R$29,$A256))*$I256,IF(INDEX(Employees!$P$5:$P$29,$A256)="Front-loaded",IF(OR($B256=1,N($G255)=0),N(INDEX(Employees!$Q$5:$Q$29,$A256)),0),0))))</f>
        <v/>
      </c>
      <c r="R256" s="48">
        <f>IF($F256=0,0,SUMIFS('Time Off Log'!$H$5:$H$504,'Time Off Log'!$A$5:$A$504,$C256,'Time Off Log'!$B$5:$B$504,"Sick",'Time Off Log'!$E$5:$E$504,"Approved",'Time Off Log'!$C$5:$C$504,"&gt;="&amp;INDEX(Periods!$E$5:$E$57,$B256),'Time Off Log'!$C$5:$C$504,"&lt;="&amp;INDEX(Periods!$F$5:$F$57,$B256)))</f>
        <v/>
      </c>
      <c r="S256" s="48">
        <f>IF($B256=1,N(INDEX(Employees!$T$5:$T$29,$A256)),V255)</f>
        <v/>
      </c>
      <c r="T256" s="48">
        <f>IF(INDEX(Employees!$S$5:$S$29,$A256)="",Q256,MAX(0,MIN(Q256,INDEX(Employees!$S$5:$S$29,$A256)-(S256-R256))))</f>
        <v/>
      </c>
      <c r="U256" s="48">
        <f>Q256-T256</f>
        <v/>
      </c>
      <c r="V256" s="48">
        <f>S256-R256+T256</f>
        <v/>
      </c>
    </row>
    <row r="257">
      <c r="A257" s="47" t="n">
        <v>5</v>
      </c>
      <c r="B257" s="47" t="n">
        <v>41</v>
      </c>
      <c r="C257" s="48">
        <f>INDEX(Employees!$B$5:$B$29,$A257)&amp;""</f>
        <v/>
      </c>
      <c r="D257" s="49">
        <f>INDEX(Periods!$B$5:$B$57,$B257)</f>
        <v/>
      </c>
      <c r="E257" s="49">
        <f>INDEX(Periods!$C$5:$C$57,$B257)</f>
        <v/>
      </c>
      <c r="F257" s="47">
        <f>IF(AND($C257&lt;&gt;"",INDEX(Periods!$D$5:$D$57,$B257)=1),1,0)</f>
        <v/>
      </c>
      <c r="G257" s="47">
        <f>IF($F257=0,0,IF(AND(OR(INDEX(Employees!$D$5:$D$29,$A257)="",$E257&gt;=INDEX(Employees!$D$5:$D$29,$A257)+N(INDEX(Employees!$U$5:$U$29,$A257))),OR(INDEX(Employees!$E$5:$E$29,$A257)="",$D257&lt;=INDEX(Employees!$E$5:$E$29,$A257))),1,0))</f>
        <v/>
      </c>
      <c r="H257" s="47">
        <f>IF($G257=0,0,IF(INDEX(Employees!$D$5:$D$29,$A257)="",0,DATEDIF(INDEX(Employees!$D$5:$D$29,$A257),$E257,"y")))</f>
        <v/>
      </c>
      <c r="I257" s="48">
        <f>IF($G257=0,0,IF(INDEX('Hours Worked'!$D$5:$BD$29,$A257,$B257)="",N(INDEX(Employees!$H$5:$H$29,$A257)),INDEX('Hours Worked'!$D$5:$BD$29,$A257,$B257)))</f>
        <v/>
      </c>
      <c r="J257" s="48">
        <f>IF(OR($G257=0,INDEX(Employees!$O$5:$O$29,$A257)&lt;&gt;"Yes"),0,IF(COUNTIF(Settings!$D$4:$D$9,"&lt;="&amp;$H257)=0,0,INDEX(Settings!$E$4:$E$9,COUNTIF(Settings!$D$4:$D$9,"&lt;="&amp;$H257))))</f>
        <v/>
      </c>
      <c r="K257" s="48">
        <f>IF($G257=0,0,IF(INDEX(Employees!$I$5:$I$29,$A257)="Per pay period",(N(INDEX(Employees!$J$5:$J$29,$A257))+$J257)/Settings!$B$13,IF(INDEX(Employees!$I$5:$I$29,$A257)="Per hour worked",N(INDEX(Employees!$K$5:$K$29,$A257))*$I257,IF(INDEX(Employees!$I$5:$I$29,$A257)="Front-loaded",IF(OR($B257=1,N($G256)=0),N(INDEX(Employees!$J$5:$J$29,$A257))+$J257,0),0))))</f>
        <v/>
      </c>
      <c r="L257" s="48">
        <f>IF($F257=0,0,SUMIFS('Time Off Log'!$H$5:$H$504,'Time Off Log'!$A$5:$A$504,$C257,'Time Off Log'!$B$5:$B$504,"PTO",'Time Off Log'!$E$5:$E$504,"Approved",'Time Off Log'!$C$5:$C$504,"&gt;="&amp;INDEX(Periods!$E$5:$E$57,$B257),'Time Off Log'!$C$5:$C$504,"&lt;="&amp;INDEX(Periods!$F$5:$F$57,$B257)))</f>
        <v/>
      </c>
      <c r="M257" s="48">
        <f>IF($B257=1,N(INDEX(Employees!$N$5:$N$29,$A257)),P256)</f>
        <v/>
      </c>
      <c r="N257" s="48">
        <f>IF(INDEX(Employees!$L$5:$L$29,$A257)="",K257,MAX(0,MIN(K257,INDEX(Employees!$L$5:$L$29,$A257)-(M257-L257))))</f>
        <v/>
      </c>
      <c r="O257" s="48">
        <f>K257-N257</f>
        <v/>
      </c>
      <c r="P257" s="48">
        <f>M257-L257+N257</f>
        <v/>
      </c>
      <c r="Q257" s="48">
        <f>IF($G257=0,0,IF(INDEX(Employees!$P$5:$P$29,$A257)="Per pay period",(N(INDEX(Employees!$Q$5:$Q$29,$A257)))/Settings!$B$13,IF(INDEX(Employees!$P$5:$P$29,$A257)="Per hour worked",N(INDEX(Employees!$R$5:$R$29,$A257))*$I257,IF(INDEX(Employees!$P$5:$P$29,$A257)="Front-loaded",IF(OR($B257=1,N($G256)=0),N(INDEX(Employees!$Q$5:$Q$29,$A257)),0),0))))</f>
        <v/>
      </c>
      <c r="R257" s="48">
        <f>IF($F257=0,0,SUMIFS('Time Off Log'!$H$5:$H$504,'Time Off Log'!$A$5:$A$504,$C257,'Time Off Log'!$B$5:$B$504,"Sick",'Time Off Log'!$E$5:$E$504,"Approved",'Time Off Log'!$C$5:$C$504,"&gt;="&amp;INDEX(Periods!$E$5:$E$57,$B257),'Time Off Log'!$C$5:$C$504,"&lt;="&amp;INDEX(Periods!$F$5:$F$57,$B257)))</f>
        <v/>
      </c>
      <c r="S257" s="48">
        <f>IF($B257=1,N(INDEX(Employees!$T$5:$T$29,$A257)),V256)</f>
        <v/>
      </c>
      <c r="T257" s="48">
        <f>IF(INDEX(Employees!$S$5:$S$29,$A257)="",Q257,MAX(0,MIN(Q257,INDEX(Employees!$S$5:$S$29,$A257)-(S257-R257))))</f>
        <v/>
      </c>
      <c r="U257" s="48">
        <f>Q257-T257</f>
        <v/>
      </c>
      <c r="V257" s="48">
        <f>S257-R257+T257</f>
        <v/>
      </c>
    </row>
    <row r="258">
      <c r="A258" s="47" t="n">
        <v>5</v>
      </c>
      <c r="B258" s="47" t="n">
        <v>42</v>
      </c>
      <c r="C258" s="48">
        <f>INDEX(Employees!$B$5:$B$29,$A258)&amp;""</f>
        <v/>
      </c>
      <c r="D258" s="49">
        <f>INDEX(Periods!$B$5:$B$57,$B258)</f>
        <v/>
      </c>
      <c r="E258" s="49">
        <f>INDEX(Periods!$C$5:$C$57,$B258)</f>
        <v/>
      </c>
      <c r="F258" s="47">
        <f>IF(AND($C258&lt;&gt;"",INDEX(Periods!$D$5:$D$57,$B258)=1),1,0)</f>
        <v/>
      </c>
      <c r="G258" s="47">
        <f>IF($F258=0,0,IF(AND(OR(INDEX(Employees!$D$5:$D$29,$A258)="",$E258&gt;=INDEX(Employees!$D$5:$D$29,$A258)+N(INDEX(Employees!$U$5:$U$29,$A258))),OR(INDEX(Employees!$E$5:$E$29,$A258)="",$D258&lt;=INDEX(Employees!$E$5:$E$29,$A258))),1,0))</f>
        <v/>
      </c>
      <c r="H258" s="47">
        <f>IF($G258=0,0,IF(INDEX(Employees!$D$5:$D$29,$A258)="",0,DATEDIF(INDEX(Employees!$D$5:$D$29,$A258),$E258,"y")))</f>
        <v/>
      </c>
      <c r="I258" s="48">
        <f>IF($G258=0,0,IF(INDEX('Hours Worked'!$D$5:$BD$29,$A258,$B258)="",N(INDEX(Employees!$H$5:$H$29,$A258)),INDEX('Hours Worked'!$D$5:$BD$29,$A258,$B258)))</f>
        <v/>
      </c>
      <c r="J258" s="48">
        <f>IF(OR($G258=0,INDEX(Employees!$O$5:$O$29,$A258)&lt;&gt;"Yes"),0,IF(COUNTIF(Settings!$D$4:$D$9,"&lt;="&amp;$H258)=0,0,INDEX(Settings!$E$4:$E$9,COUNTIF(Settings!$D$4:$D$9,"&lt;="&amp;$H258))))</f>
        <v/>
      </c>
      <c r="K258" s="48">
        <f>IF($G258=0,0,IF(INDEX(Employees!$I$5:$I$29,$A258)="Per pay period",(N(INDEX(Employees!$J$5:$J$29,$A258))+$J258)/Settings!$B$13,IF(INDEX(Employees!$I$5:$I$29,$A258)="Per hour worked",N(INDEX(Employees!$K$5:$K$29,$A258))*$I258,IF(INDEX(Employees!$I$5:$I$29,$A258)="Front-loaded",IF(OR($B258=1,N($G257)=0),N(INDEX(Employees!$J$5:$J$29,$A258))+$J258,0),0))))</f>
        <v/>
      </c>
      <c r="L258" s="48">
        <f>IF($F258=0,0,SUMIFS('Time Off Log'!$H$5:$H$504,'Time Off Log'!$A$5:$A$504,$C258,'Time Off Log'!$B$5:$B$504,"PTO",'Time Off Log'!$E$5:$E$504,"Approved",'Time Off Log'!$C$5:$C$504,"&gt;="&amp;INDEX(Periods!$E$5:$E$57,$B258),'Time Off Log'!$C$5:$C$504,"&lt;="&amp;INDEX(Periods!$F$5:$F$57,$B258)))</f>
        <v/>
      </c>
      <c r="M258" s="48">
        <f>IF($B258=1,N(INDEX(Employees!$N$5:$N$29,$A258)),P257)</f>
        <v/>
      </c>
      <c r="N258" s="48">
        <f>IF(INDEX(Employees!$L$5:$L$29,$A258)="",K258,MAX(0,MIN(K258,INDEX(Employees!$L$5:$L$29,$A258)-(M258-L258))))</f>
        <v/>
      </c>
      <c r="O258" s="48">
        <f>K258-N258</f>
        <v/>
      </c>
      <c r="P258" s="48">
        <f>M258-L258+N258</f>
        <v/>
      </c>
      <c r="Q258" s="48">
        <f>IF($G258=0,0,IF(INDEX(Employees!$P$5:$P$29,$A258)="Per pay period",(N(INDEX(Employees!$Q$5:$Q$29,$A258)))/Settings!$B$13,IF(INDEX(Employees!$P$5:$P$29,$A258)="Per hour worked",N(INDEX(Employees!$R$5:$R$29,$A258))*$I258,IF(INDEX(Employees!$P$5:$P$29,$A258)="Front-loaded",IF(OR($B258=1,N($G257)=0),N(INDEX(Employees!$Q$5:$Q$29,$A258)),0),0))))</f>
        <v/>
      </c>
      <c r="R258" s="48">
        <f>IF($F258=0,0,SUMIFS('Time Off Log'!$H$5:$H$504,'Time Off Log'!$A$5:$A$504,$C258,'Time Off Log'!$B$5:$B$504,"Sick",'Time Off Log'!$E$5:$E$504,"Approved",'Time Off Log'!$C$5:$C$504,"&gt;="&amp;INDEX(Periods!$E$5:$E$57,$B258),'Time Off Log'!$C$5:$C$504,"&lt;="&amp;INDEX(Periods!$F$5:$F$57,$B258)))</f>
        <v/>
      </c>
      <c r="S258" s="48">
        <f>IF($B258=1,N(INDEX(Employees!$T$5:$T$29,$A258)),V257)</f>
        <v/>
      </c>
      <c r="T258" s="48">
        <f>IF(INDEX(Employees!$S$5:$S$29,$A258)="",Q258,MAX(0,MIN(Q258,INDEX(Employees!$S$5:$S$29,$A258)-(S258-R258))))</f>
        <v/>
      </c>
      <c r="U258" s="48">
        <f>Q258-T258</f>
        <v/>
      </c>
      <c r="V258" s="48">
        <f>S258-R258+T258</f>
        <v/>
      </c>
    </row>
    <row r="259">
      <c r="A259" s="47" t="n">
        <v>5</v>
      </c>
      <c r="B259" s="47" t="n">
        <v>43</v>
      </c>
      <c r="C259" s="48">
        <f>INDEX(Employees!$B$5:$B$29,$A259)&amp;""</f>
        <v/>
      </c>
      <c r="D259" s="49">
        <f>INDEX(Periods!$B$5:$B$57,$B259)</f>
        <v/>
      </c>
      <c r="E259" s="49">
        <f>INDEX(Periods!$C$5:$C$57,$B259)</f>
        <v/>
      </c>
      <c r="F259" s="47">
        <f>IF(AND($C259&lt;&gt;"",INDEX(Periods!$D$5:$D$57,$B259)=1),1,0)</f>
        <v/>
      </c>
      <c r="G259" s="47">
        <f>IF($F259=0,0,IF(AND(OR(INDEX(Employees!$D$5:$D$29,$A259)="",$E259&gt;=INDEX(Employees!$D$5:$D$29,$A259)+N(INDEX(Employees!$U$5:$U$29,$A259))),OR(INDEX(Employees!$E$5:$E$29,$A259)="",$D259&lt;=INDEX(Employees!$E$5:$E$29,$A259))),1,0))</f>
        <v/>
      </c>
      <c r="H259" s="47">
        <f>IF($G259=0,0,IF(INDEX(Employees!$D$5:$D$29,$A259)="",0,DATEDIF(INDEX(Employees!$D$5:$D$29,$A259),$E259,"y")))</f>
        <v/>
      </c>
      <c r="I259" s="48">
        <f>IF($G259=0,0,IF(INDEX('Hours Worked'!$D$5:$BD$29,$A259,$B259)="",N(INDEX(Employees!$H$5:$H$29,$A259)),INDEX('Hours Worked'!$D$5:$BD$29,$A259,$B259)))</f>
        <v/>
      </c>
      <c r="J259" s="48">
        <f>IF(OR($G259=0,INDEX(Employees!$O$5:$O$29,$A259)&lt;&gt;"Yes"),0,IF(COUNTIF(Settings!$D$4:$D$9,"&lt;="&amp;$H259)=0,0,INDEX(Settings!$E$4:$E$9,COUNTIF(Settings!$D$4:$D$9,"&lt;="&amp;$H259))))</f>
        <v/>
      </c>
      <c r="K259" s="48">
        <f>IF($G259=0,0,IF(INDEX(Employees!$I$5:$I$29,$A259)="Per pay period",(N(INDEX(Employees!$J$5:$J$29,$A259))+$J259)/Settings!$B$13,IF(INDEX(Employees!$I$5:$I$29,$A259)="Per hour worked",N(INDEX(Employees!$K$5:$K$29,$A259))*$I259,IF(INDEX(Employees!$I$5:$I$29,$A259)="Front-loaded",IF(OR($B259=1,N($G258)=0),N(INDEX(Employees!$J$5:$J$29,$A259))+$J259,0),0))))</f>
        <v/>
      </c>
      <c r="L259" s="48">
        <f>IF($F259=0,0,SUMIFS('Time Off Log'!$H$5:$H$504,'Time Off Log'!$A$5:$A$504,$C259,'Time Off Log'!$B$5:$B$504,"PTO",'Time Off Log'!$E$5:$E$504,"Approved",'Time Off Log'!$C$5:$C$504,"&gt;="&amp;INDEX(Periods!$E$5:$E$57,$B259),'Time Off Log'!$C$5:$C$504,"&lt;="&amp;INDEX(Periods!$F$5:$F$57,$B259)))</f>
        <v/>
      </c>
      <c r="M259" s="48">
        <f>IF($B259=1,N(INDEX(Employees!$N$5:$N$29,$A259)),P258)</f>
        <v/>
      </c>
      <c r="N259" s="48">
        <f>IF(INDEX(Employees!$L$5:$L$29,$A259)="",K259,MAX(0,MIN(K259,INDEX(Employees!$L$5:$L$29,$A259)-(M259-L259))))</f>
        <v/>
      </c>
      <c r="O259" s="48">
        <f>K259-N259</f>
        <v/>
      </c>
      <c r="P259" s="48">
        <f>M259-L259+N259</f>
        <v/>
      </c>
      <c r="Q259" s="48">
        <f>IF($G259=0,0,IF(INDEX(Employees!$P$5:$P$29,$A259)="Per pay period",(N(INDEX(Employees!$Q$5:$Q$29,$A259)))/Settings!$B$13,IF(INDEX(Employees!$P$5:$P$29,$A259)="Per hour worked",N(INDEX(Employees!$R$5:$R$29,$A259))*$I259,IF(INDEX(Employees!$P$5:$P$29,$A259)="Front-loaded",IF(OR($B259=1,N($G258)=0),N(INDEX(Employees!$Q$5:$Q$29,$A259)),0),0))))</f>
        <v/>
      </c>
      <c r="R259" s="48">
        <f>IF($F259=0,0,SUMIFS('Time Off Log'!$H$5:$H$504,'Time Off Log'!$A$5:$A$504,$C259,'Time Off Log'!$B$5:$B$504,"Sick",'Time Off Log'!$E$5:$E$504,"Approved",'Time Off Log'!$C$5:$C$504,"&gt;="&amp;INDEX(Periods!$E$5:$E$57,$B259),'Time Off Log'!$C$5:$C$504,"&lt;="&amp;INDEX(Periods!$F$5:$F$57,$B259)))</f>
        <v/>
      </c>
      <c r="S259" s="48">
        <f>IF($B259=1,N(INDEX(Employees!$T$5:$T$29,$A259)),V258)</f>
        <v/>
      </c>
      <c r="T259" s="48">
        <f>IF(INDEX(Employees!$S$5:$S$29,$A259)="",Q259,MAX(0,MIN(Q259,INDEX(Employees!$S$5:$S$29,$A259)-(S259-R259))))</f>
        <v/>
      </c>
      <c r="U259" s="48">
        <f>Q259-T259</f>
        <v/>
      </c>
      <c r="V259" s="48">
        <f>S259-R259+T259</f>
        <v/>
      </c>
    </row>
    <row r="260">
      <c r="A260" s="47" t="n">
        <v>5</v>
      </c>
      <c r="B260" s="47" t="n">
        <v>44</v>
      </c>
      <c r="C260" s="48">
        <f>INDEX(Employees!$B$5:$B$29,$A260)&amp;""</f>
        <v/>
      </c>
      <c r="D260" s="49">
        <f>INDEX(Periods!$B$5:$B$57,$B260)</f>
        <v/>
      </c>
      <c r="E260" s="49">
        <f>INDEX(Periods!$C$5:$C$57,$B260)</f>
        <v/>
      </c>
      <c r="F260" s="47">
        <f>IF(AND($C260&lt;&gt;"",INDEX(Periods!$D$5:$D$57,$B260)=1),1,0)</f>
        <v/>
      </c>
      <c r="G260" s="47">
        <f>IF($F260=0,0,IF(AND(OR(INDEX(Employees!$D$5:$D$29,$A260)="",$E260&gt;=INDEX(Employees!$D$5:$D$29,$A260)+N(INDEX(Employees!$U$5:$U$29,$A260))),OR(INDEX(Employees!$E$5:$E$29,$A260)="",$D260&lt;=INDEX(Employees!$E$5:$E$29,$A260))),1,0))</f>
        <v/>
      </c>
      <c r="H260" s="47">
        <f>IF($G260=0,0,IF(INDEX(Employees!$D$5:$D$29,$A260)="",0,DATEDIF(INDEX(Employees!$D$5:$D$29,$A260),$E260,"y")))</f>
        <v/>
      </c>
      <c r="I260" s="48">
        <f>IF($G260=0,0,IF(INDEX('Hours Worked'!$D$5:$BD$29,$A260,$B260)="",N(INDEX(Employees!$H$5:$H$29,$A260)),INDEX('Hours Worked'!$D$5:$BD$29,$A260,$B260)))</f>
        <v/>
      </c>
      <c r="J260" s="48">
        <f>IF(OR($G260=0,INDEX(Employees!$O$5:$O$29,$A260)&lt;&gt;"Yes"),0,IF(COUNTIF(Settings!$D$4:$D$9,"&lt;="&amp;$H260)=0,0,INDEX(Settings!$E$4:$E$9,COUNTIF(Settings!$D$4:$D$9,"&lt;="&amp;$H260))))</f>
        <v/>
      </c>
      <c r="K260" s="48">
        <f>IF($G260=0,0,IF(INDEX(Employees!$I$5:$I$29,$A260)="Per pay period",(N(INDEX(Employees!$J$5:$J$29,$A260))+$J260)/Settings!$B$13,IF(INDEX(Employees!$I$5:$I$29,$A260)="Per hour worked",N(INDEX(Employees!$K$5:$K$29,$A260))*$I260,IF(INDEX(Employees!$I$5:$I$29,$A260)="Front-loaded",IF(OR($B260=1,N($G259)=0),N(INDEX(Employees!$J$5:$J$29,$A260))+$J260,0),0))))</f>
        <v/>
      </c>
      <c r="L260" s="48">
        <f>IF($F260=0,0,SUMIFS('Time Off Log'!$H$5:$H$504,'Time Off Log'!$A$5:$A$504,$C260,'Time Off Log'!$B$5:$B$504,"PTO",'Time Off Log'!$E$5:$E$504,"Approved",'Time Off Log'!$C$5:$C$504,"&gt;="&amp;INDEX(Periods!$E$5:$E$57,$B260),'Time Off Log'!$C$5:$C$504,"&lt;="&amp;INDEX(Periods!$F$5:$F$57,$B260)))</f>
        <v/>
      </c>
      <c r="M260" s="48">
        <f>IF($B260=1,N(INDEX(Employees!$N$5:$N$29,$A260)),P259)</f>
        <v/>
      </c>
      <c r="N260" s="48">
        <f>IF(INDEX(Employees!$L$5:$L$29,$A260)="",K260,MAX(0,MIN(K260,INDEX(Employees!$L$5:$L$29,$A260)-(M260-L260))))</f>
        <v/>
      </c>
      <c r="O260" s="48">
        <f>K260-N260</f>
        <v/>
      </c>
      <c r="P260" s="48">
        <f>M260-L260+N260</f>
        <v/>
      </c>
      <c r="Q260" s="48">
        <f>IF($G260=0,0,IF(INDEX(Employees!$P$5:$P$29,$A260)="Per pay period",(N(INDEX(Employees!$Q$5:$Q$29,$A260)))/Settings!$B$13,IF(INDEX(Employees!$P$5:$P$29,$A260)="Per hour worked",N(INDEX(Employees!$R$5:$R$29,$A260))*$I260,IF(INDEX(Employees!$P$5:$P$29,$A260)="Front-loaded",IF(OR($B260=1,N($G259)=0),N(INDEX(Employees!$Q$5:$Q$29,$A260)),0),0))))</f>
        <v/>
      </c>
      <c r="R260" s="48">
        <f>IF($F260=0,0,SUMIFS('Time Off Log'!$H$5:$H$504,'Time Off Log'!$A$5:$A$504,$C260,'Time Off Log'!$B$5:$B$504,"Sick",'Time Off Log'!$E$5:$E$504,"Approved",'Time Off Log'!$C$5:$C$504,"&gt;="&amp;INDEX(Periods!$E$5:$E$57,$B260),'Time Off Log'!$C$5:$C$504,"&lt;="&amp;INDEX(Periods!$F$5:$F$57,$B260)))</f>
        <v/>
      </c>
      <c r="S260" s="48">
        <f>IF($B260=1,N(INDEX(Employees!$T$5:$T$29,$A260)),V259)</f>
        <v/>
      </c>
      <c r="T260" s="48">
        <f>IF(INDEX(Employees!$S$5:$S$29,$A260)="",Q260,MAX(0,MIN(Q260,INDEX(Employees!$S$5:$S$29,$A260)-(S260-R260))))</f>
        <v/>
      </c>
      <c r="U260" s="48">
        <f>Q260-T260</f>
        <v/>
      </c>
      <c r="V260" s="48">
        <f>S260-R260+T260</f>
        <v/>
      </c>
    </row>
    <row r="261">
      <c r="A261" s="47" t="n">
        <v>5</v>
      </c>
      <c r="B261" s="47" t="n">
        <v>45</v>
      </c>
      <c r="C261" s="48">
        <f>INDEX(Employees!$B$5:$B$29,$A261)&amp;""</f>
        <v/>
      </c>
      <c r="D261" s="49">
        <f>INDEX(Periods!$B$5:$B$57,$B261)</f>
        <v/>
      </c>
      <c r="E261" s="49">
        <f>INDEX(Periods!$C$5:$C$57,$B261)</f>
        <v/>
      </c>
      <c r="F261" s="47">
        <f>IF(AND($C261&lt;&gt;"",INDEX(Periods!$D$5:$D$57,$B261)=1),1,0)</f>
        <v/>
      </c>
      <c r="G261" s="47">
        <f>IF($F261=0,0,IF(AND(OR(INDEX(Employees!$D$5:$D$29,$A261)="",$E261&gt;=INDEX(Employees!$D$5:$D$29,$A261)+N(INDEX(Employees!$U$5:$U$29,$A261))),OR(INDEX(Employees!$E$5:$E$29,$A261)="",$D261&lt;=INDEX(Employees!$E$5:$E$29,$A261))),1,0))</f>
        <v/>
      </c>
      <c r="H261" s="47">
        <f>IF($G261=0,0,IF(INDEX(Employees!$D$5:$D$29,$A261)="",0,DATEDIF(INDEX(Employees!$D$5:$D$29,$A261),$E261,"y")))</f>
        <v/>
      </c>
      <c r="I261" s="48">
        <f>IF($G261=0,0,IF(INDEX('Hours Worked'!$D$5:$BD$29,$A261,$B261)="",N(INDEX(Employees!$H$5:$H$29,$A261)),INDEX('Hours Worked'!$D$5:$BD$29,$A261,$B261)))</f>
        <v/>
      </c>
      <c r="J261" s="48">
        <f>IF(OR($G261=0,INDEX(Employees!$O$5:$O$29,$A261)&lt;&gt;"Yes"),0,IF(COUNTIF(Settings!$D$4:$D$9,"&lt;="&amp;$H261)=0,0,INDEX(Settings!$E$4:$E$9,COUNTIF(Settings!$D$4:$D$9,"&lt;="&amp;$H261))))</f>
        <v/>
      </c>
      <c r="K261" s="48">
        <f>IF($G261=0,0,IF(INDEX(Employees!$I$5:$I$29,$A261)="Per pay period",(N(INDEX(Employees!$J$5:$J$29,$A261))+$J261)/Settings!$B$13,IF(INDEX(Employees!$I$5:$I$29,$A261)="Per hour worked",N(INDEX(Employees!$K$5:$K$29,$A261))*$I261,IF(INDEX(Employees!$I$5:$I$29,$A261)="Front-loaded",IF(OR($B261=1,N($G260)=0),N(INDEX(Employees!$J$5:$J$29,$A261))+$J261,0),0))))</f>
        <v/>
      </c>
      <c r="L261" s="48">
        <f>IF($F261=0,0,SUMIFS('Time Off Log'!$H$5:$H$504,'Time Off Log'!$A$5:$A$504,$C261,'Time Off Log'!$B$5:$B$504,"PTO",'Time Off Log'!$E$5:$E$504,"Approved",'Time Off Log'!$C$5:$C$504,"&gt;="&amp;INDEX(Periods!$E$5:$E$57,$B261),'Time Off Log'!$C$5:$C$504,"&lt;="&amp;INDEX(Periods!$F$5:$F$57,$B261)))</f>
        <v/>
      </c>
      <c r="M261" s="48">
        <f>IF($B261=1,N(INDEX(Employees!$N$5:$N$29,$A261)),P260)</f>
        <v/>
      </c>
      <c r="N261" s="48">
        <f>IF(INDEX(Employees!$L$5:$L$29,$A261)="",K261,MAX(0,MIN(K261,INDEX(Employees!$L$5:$L$29,$A261)-(M261-L261))))</f>
        <v/>
      </c>
      <c r="O261" s="48">
        <f>K261-N261</f>
        <v/>
      </c>
      <c r="P261" s="48">
        <f>M261-L261+N261</f>
        <v/>
      </c>
      <c r="Q261" s="48">
        <f>IF($G261=0,0,IF(INDEX(Employees!$P$5:$P$29,$A261)="Per pay period",(N(INDEX(Employees!$Q$5:$Q$29,$A261)))/Settings!$B$13,IF(INDEX(Employees!$P$5:$P$29,$A261)="Per hour worked",N(INDEX(Employees!$R$5:$R$29,$A261))*$I261,IF(INDEX(Employees!$P$5:$P$29,$A261)="Front-loaded",IF(OR($B261=1,N($G260)=0),N(INDEX(Employees!$Q$5:$Q$29,$A261)),0),0))))</f>
        <v/>
      </c>
      <c r="R261" s="48">
        <f>IF($F261=0,0,SUMIFS('Time Off Log'!$H$5:$H$504,'Time Off Log'!$A$5:$A$504,$C261,'Time Off Log'!$B$5:$B$504,"Sick",'Time Off Log'!$E$5:$E$504,"Approved",'Time Off Log'!$C$5:$C$504,"&gt;="&amp;INDEX(Periods!$E$5:$E$57,$B261),'Time Off Log'!$C$5:$C$504,"&lt;="&amp;INDEX(Periods!$F$5:$F$57,$B261)))</f>
        <v/>
      </c>
      <c r="S261" s="48">
        <f>IF($B261=1,N(INDEX(Employees!$T$5:$T$29,$A261)),V260)</f>
        <v/>
      </c>
      <c r="T261" s="48">
        <f>IF(INDEX(Employees!$S$5:$S$29,$A261)="",Q261,MAX(0,MIN(Q261,INDEX(Employees!$S$5:$S$29,$A261)-(S261-R261))))</f>
        <v/>
      </c>
      <c r="U261" s="48">
        <f>Q261-T261</f>
        <v/>
      </c>
      <c r="V261" s="48">
        <f>S261-R261+T261</f>
        <v/>
      </c>
    </row>
    <row r="262">
      <c r="A262" s="47" t="n">
        <v>5</v>
      </c>
      <c r="B262" s="47" t="n">
        <v>46</v>
      </c>
      <c r="C262" s="48">
        <f>INDEX(Employees!$B$5:$B$29,$A262)&amp;""</f>
        <v/>
      </c>
      <c r="D262" s="49">
        <f>INDEX(Periods!$B$5:$B$57,$B262)</f>
        <v/>
      </c>
      <c r="E262" s="49">
        <f>INDEX(Periods!$C$5:$C$57,$B262)</f>
        <v/>
      </c>
      <c r="F262" s="47">
        <f>IF(AND($C262&lt;&gt;"",INDEX(Periods!$D$5:$D$57,$B262)=1),1,0)</f>
        <v/>
      </c>
      <c r="G262" s="47">
        <f>IF($F262=0,0,IF(AND(OR(INDEX(Employees!$D$5:$D$29,$A262)="",$E262&gt;=INDEX(Employees!$D$5:$D$29,$A262)+N(INDEX(Employees!$U$5:$U$29,$A262))),OR(INDEX(Employees!$E$5:$E$29,$A262)="",$D262&lt;=INDEX(Employees!$E$5:$E$29,$A262))),1,0))</f>
        <v/>
      </c>
      <c r="H262" s="47">
        <f>IF($G262=0,0,IF(INDEX(Employees!$D$5:$D$29,$A262)="",0,DATEDIF(INDEX(Employees!$D$5:$D$29,$A262),$E262,"y")))</f>
        <v/>
      </c>
      <c r="I262" s="48">
        <f>IF($G262=0,0,IF(INDEX('Hours Worked'!$D$5:$BD$29,$A262,$B262)="",N(INDEX(Employees!$H$5:$H$29,$A262)),INDEX('Hours Worked'!$D$5:$BD$29,$A262,$B262)))</f>
        <v/>
      </c>
      <c r="J262" s="48">
        <f>IF(OR($G262=0,INDEX(Employees!$O$5:$O$29,$A262)&lt;&gt;"Yes"),0,IF(COUNTIF(Settings!$D$4:$D$9,"&lt;="&amp;$H262)=0,0,INDEX(Settings!$E$4:$E$9,COUNTIF(Settings!$D$4:$D$9,"&lt;="&amp;$H262))))</f>
        <v/>
      </c>
      <c r="K262" s="48">
        <f>IF($G262=0,0,IF(INDEX(Employees!$I$5:$I$29,$A262)="Per pay period",(N(INDEX(Employees!$J$5:$J$29,$A262))+$J262)/Settings!$B$13,IF(INDEX(Employees!$I$5:$I$29,$A262)="Per hour worked",N(INDEX(Employees!$K$5:$K$29,$A262))*$I262,IF(INDEX(Employees!$I$5:$I$29,$A262)="Front-loaded",IF(OR($B262=1,N($G261)=0),N(INDEX(Employees!$J$5:$J$29,$A262))+$J262,0),0))))</f>
        <v/>
      </c>
      <c r="L262" s="48">
        <f>IF($F262=0,0,SUMIFS('Time Off Log'!$H$5:$H$504,'Time Off Log'!$A$5:$A$504,$C262,'Time Off Log'!$B$5:$B$504,"PTO",'Time Off Log'!$E$5:$E$504,"Approved",'Time Off Log'!$C$5:$C$504,"&gt;="&amp;INDEX(Periods!$E$5:$E$57,$B262),'Time Off Log'!$C$5:$C$504,"&lt;="&amp;INDEX(Periods!$F$5:$F$57,$B262)))</f>
        <v/>
      </c>
      <c r="M262" s="48">
        <f>IF($B262=1,N(INDEX(Employees!$N$5:$N$29,$A262)),P261)</f>
        <v/>
      </c>
      <c r="N262" s="48">
        <f>IF(INDEX(Employees!$L$5:$L$29,$A262)="",K262,MAX(0,MIN(K262,INDEX(Employees!$L$5:$L$29,$A262)-(M262-L262))))</f>
        <v/>
      </c>
      <c r="O262" s="48">
        <f>K262-N262</f>
        <v/>
      </c>
      <c r="P262" s="48">
        <f>M262-L262+N262</f>
        <v/>
      </c>
      <c r="Q262" s="48">
        <f>IF($G262=0,0,IF(INDEX(Employees!$P$5:$P$29,$A262)="Per pay period",(N(INDEX(Employees!$Q$5:$Q$29,$A262)))/Settings!$B$13,IF(INDEX(Employees!$P$5:$P$29,$A262)="Per hour worked",N(INDEX(Employees!$R$5:$R$29,$A262))*$I262,IF(INDEX(Employees!$P$5:$P$29,$A262)="Front-loaded",IF(OR($B262=1,N($G261)=0),N(INDEX(Employees!$Q$5:$Q$29,$A262)),0),0))))</f>
        <v/>
      </c>
      <c r="R262" s="48">
        <f>IF($F262=0,0,SUMIFS('Time Off Log'!$H$5:$H$504,'Time Off Log'!$A$5:$A$504,$C262,'Time Off Log'!$B$5:$B$504,"Sick",'Time Off Log'!$E$5:$E$504,"Approved",'Time Off Log'!$C$5:$C$504,"&gt;="&amp;INDEX(Periods!$E$5:$E$57,$B262),'Time Off Log'!$C$5:$C$504,"&lt;="&amp;INDEX(Periods!$F$5:$F$57,$B262)))</f>
        <v/>
      </c>
      <c r="S262" s="48">
        <f>IF($B262=1,N(INDEX(Employees!$T$5:$T$29,$A262)),V261)</f>
        <v/>
      </c>
      <c r="T262" s="48">
        <f>IF(INDEX(Employees!$S$5:$S$29,$A262)="",Q262,MAX(0,MIN(Q262,INDEX(Employees!$S$5:$S$29,$A262)-(S262-R262))))</f>
        <v/>
      </c>
      <c r="U262" s="48">
        <f>Q262-T262</f>
        <v/>
      </c>
      <c r="V262" s="48">
        <f>S262-R262+T262</f>
        <v/>
      </c>
    </row>
    <row r="263">
      <c r="A263" s="47" t="n">
        <v>5</v>
      </c>
      <c r="B263" s="47" t="n">
        <v>47</v>
      </c>
      <c r="C263" s="48">
        <f>INDEX(Employees!$B$5:$B$29,$A263)&amp;""</f>
        <v/>
      </c>
      <c r="D263" s="49">
        <f>INDEX(Periods!$B$5:$B$57,$B263)</f>
        <v/>
      </c>
      <c r="E263" s="49">
        <f>INDEX(Periods!$C$5:$C$57,$B263)</f>
        <v/>
      </c>
      <c r="F263" s="47">
        <f>IF(AND($C263&lt;&gt;"",INDEX(Periods!$D$5:$D$57,$B263)=1),1,0)</f>
        <v/>
      </c>
      <c r="G263" s="47">
        <f>IF($F263=0,0,IF(AND(OR(INDEX(Employees!$D$5:$D$29,$A263)="",$E263&gt;=INDEX(Employees!$D$5:$D$29,$A263)+N(INDEX(Employees!$U$5:$U$29,$A263))),OR(INDEX(Employees!$E$5:$E$29,$A263)="",$D263&lt;=INDEX(Employees!$E$5:$E$29,$A263))),1,0))</f>
        <v/>
      </c>
      <c r="H263" s="47">
        <f>IF($G263=0,0,IF(INDEX(Employees!$D$5:$D$29,$A263)="",0,DATEDIF(INDEX(Employees!$D$5:$D$29,$A263),$E263,"y")))</f>
        <v/>
      </c>
      <c r="I263" s="48">
        <f>IF($G263=0,0,IF(INDEX('Hours Worked'!$D$5:$BD$29,$A263,$B263)="",N(INDEX(Employees!$H$5:$H$29,$A263)),INDEX('Hours Worked'!$D$5:$BD$29,$A263,$B263)))</f>
        <v/>
      </c>
      <c r="J263" s="48">
        <f>IF(OR($G263=0,INDEX(Employees!$O$5:$O$29,$A263)&lt;&gt;"Yes"),0,IF(COUNTIF(Settings!$D$4:$D$9,"&lt;="&amp;$H263)=0,0,INDEX(Settings!$E$4:$E$9,COUNTIF(Settings!$D$4:$D$9,"&lt;="&amp;$H263))))</f>
        <v/>
      </c>
      <c r="K263" s="48">
        <f>IF($G263=0,0,IF(INDEX(Employees!$I$5:$I$29,$A263)="Per pay period",(N(INDEX(Employees!$J$5:$J$29,$A263))+$J263)/Settings!$B$13,IF(INDEX(Employees!$I$5:$I$29,$A263)="Per hour worked",N(INDEX(Employees!$K$5:$K$29,$A263))*$I263,IF(INDEX(Employees!$I$5:$I$29,$A263)="Front-loaded",IF(OR($B263=1,N($G262)=0),N(INDEX(Employees!$J$5:$J$29,$A263))+$J263,0),0))))</f>
        <v/>
      </c>
      <c r="L263" s="48">
        <f>IF($F263=0,0,SUMIFS('Time Off Log'!$H$5:$H$504,'Time Off Log'!$A$5:$A$504,$C263,'Time Off Log'!$B$5:$B$504,"PTO",'Time Off Log'!$E$5:$E$504,"Approved",'Time Off Log'!$C$5:$C$504,"&gt;="&amp;INDEX(Periods!$E$5:$E$57,$B263),'Time Off Log'!$C$5:$C$504,"&lt;="&amp;INDEX(Periods!$F$5:$F$57,$B263)))</f>
        <v/>
      </c>
      <c r="M263" s="48">
        <f>IF($B263=1,N(INDEX(Employees!$N$5:$N$29,$A263)),P262)</f>
        <v/>
      </c>
      <c r="N263" s="48">
        <f>IF(INDEX(Employees!$L$5:$L$29,$A263)="",K263,MAX(0,MIN(K263,INDEX(Employees!$L$5:$L$29,$A263)-(M263-L263))))</f>
        <v/>
      </c>
      <c r="O263" s="48">
        <f>K263-N263</f>
        <v/>
      </c>
      <c r="P263" s="48">
        <f>M263-L263+N263</f>
        <v/>
      </c>
      <c r="Q263" s="48">
        <f>IF($G263=0,0,IF(INDEX(Employees!$P$5:$P$29,$A263)="Per pay period",(N(INDEX(Employees!$Q$5:$Q$29,$A263)))/Settings!$B$13,IF(INDEX(Employees!$P$5:$P$29,$A263)="Per hour worked",N(INDEX(Employees!$R$5:$R$29,$A263))*$I263,IF(INDEX(Employees!$P$5:$P$29,$A263)="Front-loaded",IF(OR($B263=1,N($G262)=0),N(INDEX(Employees!$Q$5:$Q$29,$A263)),0),0))))</f>
        <v/>
      </c>
      <c r="R263" s="48">
        <f>IF($F263=0,0,SUMIFS('Time Off Log'!$H$5:$H$504,'Time Off Log'!$A$5:$A$504,$C263,'Time Off Log'!$B$5:$B$504,"Sick",'Time Off Log'!$E$5:$E$504,"Approved",'Time Off Log'!$C$5:$C$504,"&gt;="&amp;INDEX(Periods!$E$5:$E$57,$B263),'Time Off Log'!$C$5:$C$504,"&lt;="&amp;INDEX(Periods!$F$5:$F$57,$B263)))</f>
        <v/>
      </c>
      <c r="S263" s="48">
        <f>IF($B263=1,N(INDEX(Employees!$T$5:$T$29,$A263)),V262)</f>
        <v/>
      </c>
      <c r="T263" s="48">
        <f>IF(INDEX(Employees!$S$5:$S$29,$A263)="",Q263,MAX(0,MIN(Q263,INDEX(Employees!$S$5:$S$29,$A263)-(S263-R263))))</f>
        <v/>
      </c>
      <c r="U263" s="48">
        <f>Q263-T263</f>
        <v/>
      </c>
      <c r="V263" s="48">
        <f>S263-R263+T263</f>
        <v/>
      </c>
    </row>
    <row r="264">
      <c r="A264" s="47" t="n">
        <v>5</v>
      </c>
      <c r="B264" s="47" t="n">
        <v>48</v>
      </c>
      <c r="C264" s="48">
        <f>INDEX(Employees!$B$5:$B$29,$A264)&amp;""</f>
        <v/>
      </c>
      <c r="D264" s="49">
        <f>INDEX(Periods!$B$5:$B$57,$B264)</f>
        <v/>
      </c>
      <c r="E264" s="49">
        <f>INDEX(Periods!$C$5:$C$57,$B264)</f>
        <v/>
      </c>
      <c r="F264" s="47">
        <f>IF(AND($C264&lt;&gt;"",INDEX(Periods!$D$5:$D$57,$B264)=1),1,0)</f>
        <v/>
      </c>
      <c r="G264" s="47">
        <f>IF($F264=0,0,IF(AND(OR(INDEX(Employees!$D$5:$D$29,$A264)="",$E264&gt;=INDEX(Employees!$D$5:$D$29,$A264)+N(INDEX(Employees!$U$5:$U$29,$A264))),OR(INDEX(Employees!$E$5:$E$29,$A264)="",$D264&lt;=INDEX(Employees!$E$5:$E$29,$A264))),1,0))</f>
        <v/>
      </c>
      <c r="H264" s="47">
        <f>IF($G264=0,0,IF(INDEX(Employees!$D$5:$D$29,$A264)="",0,DATEDIF(INDEX(Employees!$D$5:$D$29,$A264),$E264,"y")))</f>
        <v/>
      </c>
      <c r="I264" s="48">
        <f>IF($G264=0,0,IF(INDEX('Hours Worked'!$D$5:$BD$29,$A264,$B264)="",N(INDEX(Employees!$H$5:$H$29,$A264)),INDEX('Hours Worked'!$D$5:$BD$29,$A264,$B264)))</f>
        <v/>
      </c>
      <c r="J264" s="48">
        <f>IF(OR($G264=0,INDEX(Employees!$O$5:$O$29,$A264)&lt;&gt;"Yes"),0,IF(COUNTIF(Settings!$D$4:$D$9,"&lt;="&amp;$H264)=0,0,INDEX(Settings!$E$4:$E$9,COUNTIF(Settings!$D$4:$D$9,"&lt;="&amp;$H264))))</f>
        <v/>
      </c>
      <c r="K264" s="48">
        <f>IF($G264=0,0,IF(INDEX(Employees!$I$5:$I$29,$A264)="Per pay period",(N(INDEX(Employees!$J$5:$J$29,$A264))+$J264)/Settings!$B$13,IF(INDEX(Employees!$I$5:$I$29,$A264)="Per hour worked",N(INDEX(Employees!$K$5:$K$29,$A264))*$I264,IF(INDEX(Employees!$I$5:$I$29,$A264)="Front-loaded",IF(OR($B264=1,N($G263)=0),N(INDEX(Employees!$J$5:$J$29,$A264))+$J264,0),0))))</f>
        <v/>
      </c>
      <c r="L264" s="48">
        <f>IF($F264=0,0,SUMIFS('Time Off Log'!$H$5:$H$504,'Time Off Log'!$A$5:$A$504,$C264,'Time Off Log'!$B$5:$B$504,"PTO",'Time Off Log'!$E$5:$E$504,"Approved",'Time Off Log'!$C$5:$C$504,"&gt;="&amp;INDEX(Periods!$E$5:$E$57,$B264),'Time Off Log'!$C$5:$C$504,"&lt;="&amp;INDEX(Periods!$F$5:$F$57,$B264)))</f>
        <v/>
      </c>
      <c r="M264" s="48">
        <f>IF($B264=1,N(INDEX(Employees!$N$5:$N$29,$A264)),P263)</f>
        <v/>
      </c>
      <c r="N264" s="48">
        <f>IF(INDEX(Employees!$L$5:$L$29,$A264)="",K264,MAX(0,MIN(K264,INDEX(Employees!$L$5:$L$29,$A264)-(M264-L264))))</f>
        <v/>
      </c>
      <c r="O264" s="48">
        <f>K264-N264</f>
        <v/>
      </c>
      <c r="P264" s="48">
        <f>M264-L264+N264</f>
        <v/>
      </c>
      <c r="Q264" s="48">
        <f>IF($G264=0,0,IF(INDEX(Employees!$P$5:$P$29,$A264)="Per pay period",(N(INDEX(Employees!$Q$5:$Q$29,$A264)))/Settings!$B$13,IF(INDEX(Employees!$P$5:$P$29,$A264)="Per hour worked",N(INDEX(Employees!$R$5:$R$29,$A264))*$I264,IF(INDEX(Employees!$P$5:$P$29,$A264)="Front-loaded",IF(OR($B264=1,N($G263)=0),N(INDEX(Employees!$Q$5:$Q$29,$A264)),0),0))))</f>
        <v/>
      </c>
      <c r="R264" s="48">
        <f>IF($F264=0,0,SUMIFS('Time Off Log'!$H$5:$H$504,'Time Off Log'!$A$5:$A$504,$C264,'Time Off Log'!$B$5:$B$504,"Sick",'Time Off Log'!$E$5:$E$504,"Approved",'Time Off Log'!$C$5:$C$504,"&gt;="&amp;INDEX(Periods!$E$5:$E$57,$B264),'Time Off Log'!$C$5:$C$504,"&lt;="&amp;INDEX(Periods!$F$5:$F$57,$B264)))</f>
        <v/>
      </c>
      <c r="S264" s="48">
        <f>IF($B264=1,N(INDEX(Employees!$T$5:$T$29,$A264)),V263)</f>
        <v/>
      </c>
      <c r="T264" s="48">
        <f>IF(INDEX(Employees!$S$5:$S$29,$A264)="",Q264,MAX(0,MIN(Q264,INDEX(Employees!$S$5:$S$29,$A264)-(S264-R264))))</f>
        <v/>
      </c>
      <c r="U264" s="48">
        <f>Q264-T264</f>
        <v/>
      </c>
      <c r="V264" s="48">
        <f>S264-R264+T264</f>
        <v/>
      </c>
    </row>
    <row r="265">
      <c r="A265" s="47" t="n">
        <v>5</v>
      </c>
      <c r="B265" s="47" t="n">
        <v>49</v>
      </c>
      <c r="C265" s="48">
        <f>INDEX(Employees!$B$5:$B$29,$A265)&amp;""</f>
        <v/>
      </c>
      <c r="D265" s="49">
        <f>INDEX(Periods!$B$5:$B$57,$B265)</f>
        <v/>
      </c>
      <c r="E265" s="49">
        <f>INDEX(Periods!$C$5:$C$57,$B265)</f>
        <v/>
      </c>
      <c r="F265" s="47">
        <f>IF(AND($C265&lt;&gt;"",INDEX(Periods!$D$5:$D$57,$B265)=1),1,0)</f>
        <v/>
      </c>
      <c r="G265" s="47">
        <f>IF($F265=0,0,IF(AND(OR(INDEX(Employees!$D$5:$D$29,$A265)="",$E265&gt;=INDEX(Employees!$D$5:$D$29,$A265)+N(INDEX(Employees!$U$5:$U$29,$A265))),OR(INDEX(Employees!$E$5:$E$29,$A265)="",$D265&lt;=INDEX(Employees!$E$5:$E$29,$A265))),1,0))</f>
        <v/>
      </c>
      <c r="H265" s="47">
        <f>IF($G265=0,0,IF(INDEX(Employees!$D$5:$D$29,$A265)="",0,DATEDIF(INDEX(Employees!$D$5:$D$29,$A265),$E265,"y")))</f>
        <v/>
      </c>
      <c r="I265" s="48">
        <f>IF($G265=0,0,IF(INDEX('Hours Worked'!$D$5:$BD$29,$A265,$B265)="",N(INDEX(Employees!$H$5:$H$29,$A265)),INDEX('Hours Worked'!$D$5:$BD$29,$A265,$B265)))</f>
        <v/>
      </c>
      <c r="J265" s="48">
        <f>IF(OR($G265=0,INDEX(Employees!$O$5:$O$29,$A265)&lt;&gt;"Yes"),0,IF(COUNTIF(Settings!$D$4:$D$9,"&lt;="&amp;$H265)=0,0,INDEX(Settings!$E$4:$E$9,COUNTIF(Settings!$D$4:$D$9,"&lt;="&amp;$H265))))</f>
        <v/>
      </c>
      <c r="K265" s="48">
        <f>IF($G265=0,0,IF(INDEX(Employees!$I$5:$I$29,$A265)="Per pay period",(N(INDEX(Employees!$J$5:$J$29,$A265))+$J265)/Settings!$B$13,IF(INDEX(Employees!$I$5:$I$29,$A265)="Per hour worked",N(INDEX(Employees!$K$5:$K$29,$A265))*$I265,IF(INDEX(Employees!$I$5:$I$29,$A265)="Front-loaded",IF(OR($B265=1,N($G264)=0),N(INDEX(Employees!$J$5:$J$29,$A265))+$J265,0),0))))</f>
        <v/>
      </c>
      <c r="L265" s="48">
        <f>IF($F265=0,0,SUMIFS('Time Off Log'!$H$5:$H$504,'Time Off Log'!$A$5:$A$504,$C265,'Time Off Log'!$B$5:$B$504,"PTO",'Time Off Log'!$E$5:$E$504,"Approved",'Time Off Log'!$C$5:$C$504,"&gt;="&amp;INDEX(Periods!$E$5:$E$57,$B265),'Time Off Log'!$C$5:$C$504,"&lt;="&amp;INDEX(Periods!$F$5:$F$57,$B265)))</f>
        <v/>
      </c>
      <c r="M265" s="48">
        <f>IF($B265=1,N(INDEX(Employees!$N$5:$N$29,$A265)),P264)</f>
        <v/>
      </c>
      <c r="N265" s="48">
        <f>IF(INDEX(Employees!$L$5:$L$29,$A265)="",K265,MAX(0,MIN(K265,INDEX(Employees!$L$5:$L$29,$A265)-(M265-L265))))</f>
        <v/>
      </c>
      <c r="O265" s="48">
        <f>K265-N265</f>
        <v/>
      </c>
      <c r="P265" s="48">
        <f>M265-L265+N265</f>
        <v/>
      </c>
      <c r="Q265" s="48">
        <f>IF($G265=0,0,IF(INDEX(Employees!$P$5:$P$29,$A265)="Per pay period",(N(INDEX(Employees!$Q$5:$Q$29,$A265)))/Settings!$B$13,IF(INDEX(Employees!$P$5:$P$29,$A265)="Per hour worked",N(INDEX(Employees!$R$5:$R$29,$A265))*$I265,IF(INDEX(Employees!$P$5:$P$29,$A265)="Front-loaded",IF(OR($B265=1,N($G264)=0),N(INDEX(Employees!$Q$5:$Q$29,$A265)),0),0))))</f>
        <v/>
      </c>
      <c r="R265" s="48">
        <f>IF($F265=0,0,SUMIFS('Time Off Log'!$H$5:$H$504,'Time Off Log'!$A$5:$A$504,$C265,'Time Off Log'!$B$5:$B$504,"Sick",'Time Off Log'!$E$5:$E$504,"Approved",'Time Off Log'!$C$5:$C$504,"&gt;="&amp;INDEX(Periods!$E$5:$E$57,$B265),'Time Off Log'!$C$5:$C$504,"&lt;="&amp;INDEX(Periods!$F$5:$F$57,$B265)))</f>
        <v/>
      </c>
      <c r="S265" s="48">
        <f>IF($B265=1,N(INDEX(Employees!$T$5:$T$29,$A265)),V264)</f>
        <v/>
      </c>
      <c r="T265" s="48">
        <f>IF(INDEX(Employees!$S$5:$S$29,$A265)="",Q265,MAX(0,MIN(Q265,INDEX(Employees!$S$5:$S$29,$A265)-(S265-R265))))</f>
        <v/>
      </c>
      <c r="U265" s="48">
        <f>Q265-T265</f>
        <v/>
      </c>
      <c r="V265" s="48">
        <f>S265-R265+T265</f>
        <v/>
      </c>
    </row>
    <row r="266">
      <c r="A266" s="47" t="n">
        <v>5</v>
      </c>
      <c r="B266" s="47" t="n">
        <v>50</v>
      </c>
      <c r="C266" s="48">
        <f>INDEX(Employees!$B$5:$B$29,$A266)&amp;""</f>
        <v/>
      </c>
      <c r="D266" s="49">
        <f>INDEX(Periods!$B$5:$B$57,$B266)</f>
        <v/>
      </c>
      <c r="E266" s="49">
        <f>INDEX(Periods!$C$5:$C$57,$B266)</f>
        <v/>
      </c>
      <c r="F266" s="47">
        <f>IF(AND($C266&lt;&gt;"",INDEX(Periods!$D$5:$D$57,$B266)=1),1,0)</f>
        <v/>
      </c>
      <c r="G266" s="47">
        <f>IF($F266=0,0,IF(AND(OR(INDEX(Employees!$D$5:$D$29,$A266)="",$E266&gt;=INDEX(Employees!$D$5:$D$29,$A266)+N(INDEX(Employees!$U$5:$U$29,$A266))),OR(INDEX(Employees!$E$5:$E$29,$A266)="",$D266&lt;=INDEX(Employees!$E$5:$E$29,$A266))),1,0))</f>
        <v/>
      </c>
      <c r="H266" s="47">
        <f>IF($G266=0,0,IF(INDEX(Employees!$D$5:$D$29,$A266)="",0,DATEDIF(INDEX(Employees!$D$5:$D$29,$A266),$E266,"y")))</f>
        <v/>
      </c>
      <c r="I266" s="48">
        <f>IF($G266=0,0,IF(INDEX('Hours Worked'!$D$5:$BD$29,$A266,$B266)="",N(INDEX(Employees!$H$5:$H$29,$A266)),INDEX('Hours Worked'!$D$5:$BD$29,$A266,$B266)))</f>
        <v/>
      </c>
      <c r="J266" s="48">
        <f>IF(OR($G266=0,INDEX(Employees!$O$5:$O$29,$A266)&lt;&gt;"Yes"),0,IF(COUNTIF(Settings!$D$4:$D$9,"&lt;="&amp;$H266)=0,0,INDEX(Settings!$E$4:$E$9,COUNTIF(Settings!$D$4:$D$9,"&lt;="&amp;$H266))))</f>
        <v/>
      </c>
      <c r="K266" s="48">
        <f>IF($G266=0,0,IF(INDEX(Employees!$I$5:$I$29,$A266)="Per pay period",(N(INDEX(Employees!$J$5:$J$29,$A266))+$J266)/Settings!$B$13,IF(INDEX(Employees!$I$5:$I$29,$A266)="Per hour worked",N(INDEX(Employees!$K$5:$K$29,$A266))*$I266,IF(INDEX(Employees!$I$5:$I$29,$A266)="Front-loaded",IF(OR($B266=1,N($G265)=0),N(INDEX(Employees!$J$5:$J$29,$A266))+$J266,0),0))))</f>
        <v/>
      </c>
      <c r="L266" s="48">
        <f>IF($F266=0,0,SUMIFS('Time Off Log'!$H$5:$H$504,'Time Off Log'!$A$5:$A$504,$C266,'Time Off Log'!$B$5:$B$504,"PTO",'Time Off Log'!$E$5:$E$504,"Approved",'Time Off Log'!$C$5:$C$504,"&gt;="&amp;INDEX(Periods!$E$5:$E$57,$B266),'Time Off Log'!$C$5:$C$504,"&lt;="&amp;INDEX(Periods!$F$5:$F$57,$B266)))</f>
        <v/>
      </c>
      <c r="M266" s="48">
        <f>IF($B266=1,N(INDEX(Employees!$N$5:$N$29,$A266)),P265)</f>
        <v/>
      </c>
      <c r="N266" s="48">
        <f>IF(INDEX(Employees!$L$5:$L$29,$A266)="",K266,MAX(0,MIN(K266,INDEX(Employees!$L$5:$L$29,$A266)-(M266-L266))))</f>
        <v/>
      </c>
      <c r="O266" s="48">
        <f>K266-N266</f>
        <v/>
      </c>
      <c r="P266" s="48">
        <f>M266-L266+N266</f>
        <v/>
      </c>
      <c r="Q266" s="48">
        <f>IF($G266=0,0,IF(INDEX(Employees!$P$5:$P$29,$A266)="Per pay period",(N(INDEX(Employees!$Q$5:$Q$29,$A266)))/Settings!$B$13,IF(INDEX(Employees!$P$5:$P$29,$A266)="Per hour worked",N(INDEX(Employees!$R$5:$R$29,$A266))*$I266,IF(INDEX(Employees!$P$5:$P$29,$A266)="Front-loaded",IF(OR($B266=1,N($G265)=0),N(INDEX(Employees!$Q$5:$Q$29,$A266)),0),0))))</f>
        <v/>
      </c>
      <c r="R266" s="48">
        <f>IF($F266=0,0,SUMIFS('Time Off Log'!$H$5:$H$504,'Time Off Log'!$A$5:$A$504,$C266,'Time Off Log'!$B$5:$B$504,"Sick",'Time Off Log'!$E$5:$E$504,"Approved",'Time Off Log'!$C$5:$C$504,"&gt;="&amp;INDEX(Periods!$E$5:$E$57,$B266),'Time Off Log'!$C$5:$C$504,"&lt;="&amp;INDEX(Periods!$F$5:$F$57,$B266)))</f>
        <v/>
      </c>
      <c r="S266" s="48">
        <f>IF($B266=1,N(INDEX(Employees!$T$5:$T$29,$A266)),V265)</f>
        <v/>
      </c>
      <c r="T266" s="48">
        <f>IF(INDEX(Employees!$S$5:$S$29,$A266)="",Q266,MAX(0,MIN(Q266,INDEX(Employees!$S$5:$S$29,$A266)-(S266-R266))))</f>
        <v/>
      </c>
      <c r="U266" s="48">
        <f>Q266-T266</f>
        <v/>
      </c>
      <c r="V266" s="48">
        <f>S266-R266+T266</f>
        <v/>
      </c>
    </row>
    <row r="267">
      <c r="A267" s="47" t="n">
        <v>5</v>
      </c>
      <c r="B267" s="47" t="n">
        <v>51</v>
      </c>
      <c r="C267" s="48">
        <f>INDEX(Employees!$B$5:$B$29,$A267)&amp;""</f>
        <v/>
      </c>
      <c r="D267" s="49">
        <f>INDEX(Periods!$B$5:$B$57,$B267)</f>
        <v/>
      </c>
      <c r="E267" s="49">
        <f>INDEX(Periods!$C$5:$C$57,$B267)</f>
        <v/>
      </c>
      <c r="F267" s="47">
        <f>IF(AND($C267&lt;&gt;"",INDEX(Periods!$D$5:$D$57,$B267)=1),1,0)</f>
        <v/>
      </c>
      <c r="G267" s="47">
        <f>IF($F267=0,0,IF(AND(OR(INDEX(Employees!$D$5:$D$29,$A267)="",$E267&gt;=INDEX(Employees!$D$5:$D$29,$A267)+N(INDEX(Employees!$U$5:$U$29,$A267))),OR(INDEX(Employees!$E$5:$E$29,$A267)="",$D267&lt;=INDEX(Employees!$E$5:$E$29,$A267))),1,0))</f>
        <v/>
      </c>
      <c r="H267" s="47">
        <f>IF($G267=0,0,IF(INDEX(Employees!$D$5:$D$29,$A267)="",0,DATEDIF(INDEX(Employees!$D$5:$D$29,$A267),$E267,"y")))</f>
        <v/>
      </c>
      <c r="I267" s="48">
        <f>IF($G267=0,0,IF(INDEX('Hours Worked'!$D$5:$BD$29,$A267,$B267)="",N(INDEX(Employees!$H$5:$H$29,$A267)),INDEX('Hours Worked'!$D$5:$BD$29,$A267,$B267)))</f>
        <v/>
      </c>
      <c r="J267" s="48">
        <f>IF(OR($G267=0,INDEX(Employees!$O$5:$O$29,$A267)&lt;&gt;"Yes"),0,IF(COUNTIF(Settings!$D$4:$D$9,"&lt;="&amp;$H267)=0,0,INDEX(Settings!$E$4:$E$9,COUNTIF(Settings!$D$4:$D$9,"&lt;="&amp;$H267))))</f>
        <v/>
      </c>
      <c r="K267" s="48">
        <f>IF($G267=0,0,IF(INDEX(Employees!$I$5:$I$29,$A267)="Per pay period",(N(INDEX(Employees!$J$5:$J$29,$A267))+$J267)/Settings!$B$13,IF(INDEX(Employees!$I$5:$I$29,$A267)="Per hour worked",N(INDEX(Employees!$K$5:$K$29,$A267))*$I267,IF(INDEX(Employees!$I$5:$I$29,$A267)="Front-loaded",IF(OR($B267=1,N($G266)=0),N(INDEX(Employees!$J$5:$J$29,$A267))+$J267,0),0))))</f>
        <v/>
      </c>
      <c r="L267" s="48">
        <f>IF($F267=0,0,SUMIFS('Time Off Log'!$H$5:$H$504,'Time Off Log'!$A$5:$A$504,$C267,'Time Off Log'!$B$5:$B$504,"PTO",'Time Off Log'!$E$5:$E$504,"Approved",'Time Off Log'!$C$5:$C$504,"&gt;="&amp;INDEX(Periods!$E$5:$E$57,$B267),'Time Off Log'!$C$5:$C$504,"&lt;="&amp;INDEX(Periods!$F$5:$F$57,$B267)))</f>
        <v/>
      </c>
      <c r="M267" s="48">
        <f>IF($B267=1,N(INDEX(Employees!$N$5:$N$29,$A267)),P266)</f>
        <v/>
      </c>
      <c r="N267" s="48">
        <f>IF(INDEX(Employees!$L$5:$L$29,$A267)="",K267,MAX(0,MIN(K267,INDEX(Employees!$L$5:$L$29,$A267)-(M267-L267))))</f>
        <v/>
      </c>
      <c r="O267" s="48">
        <f>K267-N267</f>
        <v/>
      </c>
      <c r="P267" s="48">
        <f>M267-L267+N267</f>
        <v/>
      </c>
      <c r="Q267" s="48">
        <f>IF($G267=0,0,IF(INDEX(Employees!$P$5:$P$29,$A267)="Per pay period",(N(INDEX(Employees!$Q$5:$Q$29,$A267)))/Settings!$B$13,IF(INDEX(Employees!$P$5:$P$29,$A267)="Per hour worked",N(INDEX(Employees!$R$5:$R$29,$A267))*$I267,IF(INDEX(Employees!$P$5:$P$29,$A267)="Front-loaded",IF(OR($B267=1,N($G266)=0),N(INDEX(Employees!$Q$5:$Q$29,$A267)),0),0))))</f>
        <v/>
      </c>
      <c r="R267" s="48">
        <f>IF($F267=0,0,SUMIFS('Time Off Log'!$H$5:$H$504,'Time Off Log'!$A$5:$A$504,$C267,'Time Off Log'!$B$5:$B$504,"Sick",'Time Off Log'!$E$5:$E$504,"Approved",'Time Off Log'!$C$5:$C$504,"&gt;="&amp;INDEX(Periods!$E$5:$E$57,$B267),'Time Off Log'!$C$5:$C$504,"&lt;="&amp;INDEX(Periods!$F$5:$F$57,$B267)))</f>
        <v/>
      </c>
      <c r="S267" s="48">
        <f>IF($B267=1,N(INDEX(Employees!$T$5:$T$29,$A267)),V266)</f>
        <v/>
      </c>
      <c r="T267" s="48">
        <f>IF(INDEX(Employees!$S$5:$S$29,$A267)="",Q267,MAX(0,MIN(Q267,INDEX(Employees!$S$5:$S$29,$A267)-(S267-R267))))</f>
        <v/>
      </c>
      <c r="U267" s="48">
        <f>Q267-T267</f>
        <v/>
      </c>
      <c r="V267" s="48">
        <f>S267-R267+T267</f>
        <v/>
      </c>
    </row>
    <row r="268">
      <c r="A268" s="47" t="n">
        <v>5</v>
      </c>
      <c r="B268" s="47" t="n">
        <v>52</v>
      </c>
      <c r="C268" s="48">
        <f>INDEX(Employees!$B$5:$B$29,$A268)&amp;""</f>
        <v/>
      </c>
      <c r="D268" s="49">
        <f>INDEX(Periods!$B$5:$B$57,$B268)</f>
        <v/>
      </c>
      <c r="E268" s="49">
        <f>INDEX(Periods!$C$5:$C$57,$B268)</f>
        <v/>
      </c>
      <c r="F268" s="47">
        <f>IF(AND($C268&lt;&gt;"",INDEX(Periods!$D$5:$D$57,$B268)=1),1,0)</f>
        <v/>
      </c>
      <c r="G268" s="47">
        <f>IF($F268=0,0,IF(AND(OR(INDEX(Employees!$D$5:$D$29,$A268)="",$E268&gt;=INDEX(Employees!$D$5:$D$29,$A268)+N(INDEX(Employees!$U$5:$U$29,$A268))),OR(INDEX(Employees!$E$5:$E$29,$A268)="",$D268&lt;=INDEX(Employees!$E$5:$E$29,$A268))),1,0))</f>
        <v/>
      </c>
      <c r="H268" s="47">
        <f>IF($G268=0,0,IF(INDEX(Employees!$D$5:$D$29,$A268)="",0,DATEDIF(INDEX(Employees!$D$5:$D$29,$A268),$E268,"y")))</f>
        <v/>
      </c>
      <c r="I268" s="48">
        <f>IF($G268=0,0,IF(INDEX('Hours Worked'!$D$5:$BD$29,$A268,$B268)="",N(INDEX(Employees!$H$5:$H$29,$A268)),INDEX('Hours Worked'!$D$5:$BD$29,$A268,$B268)))</f>
        <v/>
      </c>
      <c r="J268" s="48">
        <f>IF(OR($G268=0,INDEX(Employees!$O$5:$O$29,$A268)&lt;&gt;"Yes"),0,IF(COUNTIF(Settings!$D$4:$D$9,"&lt;="&amp;$H268)=0,0,INDEX(Settings!$E$4:$E$9,COUNTIF(Settings!$D$4:$D$9,"&lt;="&amp;$H268))))</f>
        <v/>
      </c>
      <c r="K268" s="48">
        <f>IF($G268=0,0,IF(INDEX(Employees!$I$5:$I$29,$A268)="Per pay period",(N(INDEX(Employees!$J$5:$J$29,$A268))+$J268)/Settings!$B$13,IF(INDEX(Employees!$I$5:$I$29,$A268)="Per hour worked",N(INDEX(Employees!$K$5:$K$29,$A268))*$I268,IF(INDEX(Employees!$I$5:$I$29,$A268)="Front-loaded",IF(OR($B268=1,N($G267)=0),N(INDEX(Employees!$J$5:$J$29,$A268))+$J268,0),0))))</f>
        <v/>
      </c>
      <c r="L268" s="48">
        <f>IF($F268=0,0,SUMIFS('Time Off Log'!$H$5:$H$504,'Time Off Log'!$A$5:$A$504,$C268,'Time Off Log'!$B$5:$B$504,"PTO",'Time Off Log'!$E$5:$E$504,"Approved",'Time Off Log'!$C$5:$C$504,"&gt;="&amp;INDEX(Periods!$E$5:$E$57,$B268),'Time Off Log'!$C$5:$C$504,"&lt;="&amp;INDEX(Periods!$F$5:$F$57,$B268)))</f>
        <v/>
      </c>
      <c r="M268" s="48">
        <f>IF($B268=1,N(INDEX(Employees!$N$5:$N$29,$A268)),P267)</f>
        <v/>
      </c>
      <c r="N268" s="48">
        <f>IF(INDEX(Employees!$L$5:$L$29,$A268)="",K268,MAX(0,MIN(K268,INDEX(Employees!$L$5:$L$29,$A268)-(M268-L268))))</f>
        <v/>
      </c>
      <c r="O268" s="48">
        <f>K268-N268</f>
        <v/>
      </c>
      <c r="P268" s="48">
        <f>M268-L268+N268</f>
        <v/>
      </c>
      <c r="Q268" s="48">
        <f>IF($G268=0,0,IF(INDEX(Employees!$P$5:$P$29,$A268)="Per pay period",(N(INDEX(Employees!$Q$5:$Q$29,$A268)))/Settings!$B$13,IF(INDEX(Employees!$P$5:$P$29,$A268)="Per hour worked",N(INDEX(Employees!$R$5:$R$29,$A268))*$I268,IF(INDEX(Employees!$P$5:$P$29,$A268)="Front-loaded",IF(OR($B268=1,N($G267)=0),N(INDEX(Employees!$Q$5:$Q$29,$A268)),0),0))))</f>
        <v/>
      </c>
      <c r="R268" s="48">
        <f>IF($F268=0,0,SUMIFS('Time Off Log'!$H$5:$H$504,'Time Off Log'!$A$5:$A$504,$C268,'Time Off Log'!$B$5:$B$504,"Sick",'Time Off Log'!$E$5:$E$504,"Approved",'Time Off Log'!$C$5:$C$504,"&gt;="&amp;INDEX(Periods!$E$5:$E$57,$B268),'Time Off Log'!$C$5:$C$504,"&lt;="&amp;INDEX(Periods!$F$5:$F$57,$B268)))</f>
        <v/>
      </c>
      <c r="S268" s="48">
        <f>IF($B268=1,N(INDEX(Employees!$T$5:$T$29,$A268)),V267)</f>
        <v/>
      </c>
      <c r="T268" s="48">
        <f>IF(INDEX(Employees!$S$5:$S$29,$A268)="",Q268,MAX(0,MIN(Q268,INDEX(Employees!$S$5:$S$29,$A268)-(S268-R268))))</f>
        <v/>
      </c>
      <c r="U268" s="48">
        <f>Q268-T268</f>
        <v/>
      </c>
      <c r="V268" s="48">
        <f>S268-R268+T268</f>
        <v/>
      </c>
    </row>
    <row r="269">
      <c r="A269" s="47" t="n">
        <v>5</v>
      </c>
      <c r="B269" s="47" t="n">
        <v>53</v>
      </c>
      <c r="C269" s="48">
        <f>INDEX(Employees!$B$5:$B$29,$A269)&amp;""</f>
        <v/>
      </c>
      <c r="D269" s="49">
        <f>INDEX(Periods!$B$5:$B$57,$B269)</f>
        <v/>
      </c>
      <c r="E269" s="49">
        <f>INDEX(Periods!$C$5:$C$57,$B269)</f>
        <v/>
      </c>
      <c r="F269" s="47">
        <f>IF(AND($C269&lt;&gt;"",INDEX(Periods!$D$5:$D$57,$B269)=1),1,0)</f>
        <v/>
      </c>
      <c r="G269" s="47">
        <f>IF($F269=0,0,IF(AND(OR(INDEX(Employees!$D$5:$D$29,$A269)="",$E269&gt;=INDEX(Employees!$D$5:$D$29,$A269)+N(INDEX(Employees!$U$5:$U$29,$A269))),OR(INDEX(Employees!$E$5:$E$29,$A269)="",$D269&lt;=INDEX(Employees!$E$5:$E$29,$A269))),1,0))</f>
        <v/>
      </c>
      <c r="H269" s="47">
        <f>IF($G269=0,0,IF(INDEX(Employees!$D$5:$D$29,$A269)="",0,DATEDIF(INDEX(Employees!$D$5:$D$29,$A269),$E269,"y")))</f>
        <v/>
      </c>
      <c r="I269" s="48">
        <f>IF($G269=0,0,IF(INDEX('Hours Worked'!$D$5:$BD$29,$A269,$B269)="",N(INDEX(Employees!$H$5:$H$29,$A269)),INDEX('Hours Worked'!$D$5:$BD$29,$A269,$B269)))</f>
        <v/>
      </c>
      <c r="J269" s="48">
        <f>IF(OR($G269=0,INDEX(Employees!$O$5:$O$29,$A269)&lt;&gt;"Yes"),0,IF(COUNTIF(Settings!$D$4:$D$9,"&lt;="&amp;$H269)=0,0,INDEX(Settings!$E$4:$E$9,COUNTIF(Settings!$D$4:$D$9,"&lt;="&amp;$H269))))</f>
        <v/>
      </c>
      <c r="K269" s="48">
        <f>IF($G269=0,0,IF(INDEX(Employees!$I$5:$I$29,$A269)="Per pay period",(N(INDEX(Employees!$J$5:$J$29,$A269))+$J269)/Settings!$B$13,IF(INDEX(Employees!$I$5:$I$29,$A269)="Per hour worked",N(INDEX(Employees!$K$5:$K$29,$A269))*$I269,IF(INDEX(Employees!$I$5:$I$29,$A269)="Front-loaded",IF(OR($B269=1,N($G268)=0),N(INDEX(Employees!$J$5:$J$29,$A269))+$J269,0),0))))</f>
        <v/>
      </c>
      <c r="L269" s="48">
        <f>IF($F269=0,0,SUMIFS('Time Off Log'!$H$5:$H$504,'Time Off Log'!$A$5:$A$504,$C269,'Time Off Log'!$B$5:$B$504,"PTO",'Time Off Log'!$E$5:$E$504,"Approved",'Time Off Log'!$C$5:$C$504,"&gt;="&amp;INDEX(Periods!$E$5:$E$57,$B269),'Time Off Log'!$C$5:$C$504,"&lt;="&amp;INDEX(Periods!$F$5:$F$57,$B269)))</f>
        <v/>
      </c>
      <c r="M269" s="48">
        <f>IF($B269=1,N(INDEX(Employees!$N$5:$N$29,$A269)),P268)</f>
        <v/>
      </c>
      <c r="N269" s="48">
        <f>IF(INDEX(Employees!$L$5:$L$29,$A269)="",K269,MAX(0,MIN(K269,INDEX(Employees!$L$5:$L$29,$A269)-(M269-L269))))</f>
        <v/>
      </c>
      <c r="O269" s="48">
        <f>K269-N269</f>
        <v/>
      </c>
      <c r="P269" s="48">
        <f>M269-L269+N269</f>
        <v/>
      </c>
      <c r="Q269" s="48">
        <f>IF($G269=0,0,IF(INDEX(Employees!$P$5:$P$29,$A269)="Per pay period",(N(INDEX(Employees!$Q$5:$Q$29,$A269)))/Settings!$B$13,IF(INDEX(Employees!$P$5:$P$29,$A269)="Per hour worked",N(INDEX(Employees!$R$5:$R$29,$A269))*$I269,IF(INDEX(Employees!$P$5:$P$29,$A269)="Front-loaded",IF(OR($B269=1,N($G268)=0),N(INDEX(Employees!$Q$5:$Q$29,$A269)),0),0))))</f>
        <v/>
      </c>
      <c r="R269" s="48">
        <f>IF($F269=0,0,SUMIFS('Time Off Log'!$H$5:$H$504,'Time Off Log'!$A$5:$A$504,$C269,'Time Off Log'!$B$5:$B$504,"Sick",'Time Off Log'!$E$5:$E$504,"Approved",'Time Off Log'!$C$5:$C$504,"&gt;="&amp;INDEX(Periods!$E$5:$E$57,$B269),'Time Off Log'!$C$5:$C$504,"&lt;="&amp;INDEX(Periods!$F$5:$F$57,$B269)))</f>
        <v/>
      </c>
      <c r="S269" s="48">
        <f>IF($B269=1,N(INDEX(Employees!$T$5:$T$29,$A269)),V268)</f>
        <v/>
      </c>
      <c r="T269" s="48">
        <f>IF(INDEX(Employees!$S$5:$S$29,$A269)="",Q269,MAX(0,MIN(Q269,INDEX(Employees!$S$5:$S$29,$A269)-(S269-R269))))</f>
        <v/>
      </c>
      <c r="U269" s="48">
        <f>Q269-T269</f>
        <v/>
      </c>
      <c r="V269" s="48">
        <f>S269-R269+T269</f>
        <v/>
      </c>
    </row>
    <row r="270">
      <c r="A270" s="50" t="n">
        <v>6</v>
      </c>
      <c r="B270" s="50" t="n">
        <v>1</v>
      </c>
      <c r="C270" s="51">
        <f>INDEX(Employees!$B$5:$B$29,$A270)&amp;""</f>
        <v/>
      </c>
      <c r="D270" s="52">
        <f>INDEX(Periods!$B$5:$B$57,$B270)</f>
        <v/>
      </c>
      <c r="E270" s="52">
        <f>INDEX(Periods!$C$5:$C$57,$B270)</f>
        <v/>
      </c>
      <c r="F270" s="50">
        <f>IF(AND($C270&lt;&gt;"",INDEX(Periods!$D$5:$D$57,$B270)=1),1,0)</f>
        <v/>
      </c>
      <c r="G270" s="50">
        <f>IF($F270=0,0,IF(AND(OR(INDEX(Employees!$D$5:$D$29,$A270)="",$E270&gt;=INDEX(Employees!$D$5:$D$29,$A270)+N(INDEX(Employees!$U$5:$U$29,$A270))),OR(INDEX(Employees!$E$5:$E$29,$A270)="",$D270&lt;=INDEX(Employees!$E$5:$E$29,$A270))),1,0))</f>
        <v/>
      </c>
      <c r="H270" s="50">
        <f>IF($G270=0,0,IF(INDEX(Employees!$D$5:$D$29,$A270)="",0,DATEDIF(INDEX(Employees!$D$5:$D$29,$A270),$E270,"y")))</f>
        <v/>
      </c>
      <c r="I270" s="51">
        <f>IF($G270=0,0,IF(INDEX('Hours Worked'!$D$5:$BD$29,$A270,$B270)="",N(INDEX(Employees!$H$5:$H$29,$A270)),INDEX('Hours Worked'!$D$5:$BD$29,$A270,$B270)))</f>
        <v/>
      </c>
      <c r="J270" s="51">
        <f>IF(OR($G270=0,INDEX(Employees!$O$5:$O$29,$A270)&lt;&gt;"Yes"),0,IF(COUNTIF(Settings!$D$4:$D$9,"&lt;="&amp;$H270)=0,0,INDEX(Settings!$E$4:$E$9,COUNTIF(Settings!$D$4:$D$9,"&lt;="&amp;$H270))))</f>
        <v/>
      </c>
      <c r="K270" s="51">
        <f>IF($G270=0,0,IF(INDEX(Employees!$I$5:$I$29,$A270)="Per pay period",(N(INDEX(Employees!$J$5:$J$29,$A270))+$J270)/Settings!$B$13,IF(INDEX(Employees!$I$5:$I$29,$A270)="Per hour worked",N(INDEX(Employees!$K$5:$K$29,$A270))*$I270,IF(INDEX(Employees!$I$5:$I$29,$A270)="Front-loaded",IF(OR($B270=1,N($G269)=0),N(INDEX(Employees!$J$5:$J$29,$A270))+$J270,0),0))))</f>
        <v/>
      </c>
      <c r="L270" s="51">
        <f>IF($F270=0,0,SUMIFS('Time Off Log'!$H$5:$H$504,'Time Off Log'!$A$5:$A$504,$C270,'Time Off Log'!$B$5:$B$504,"PTO",'Time Off Log'!$E$5:$E$504,"Approved",'Time Off Log'!$C$5:$C$504,"&gt;="&amp;INDEX(Periods!$E$5:$E$57,$B270),'Time Off Log'!$C$5:$C$504,"&lt;="&amp;INDEX(Periods!$F$5:$F$57,$B270)))</f>
        <v/>
      </c>
      <c r="M270" s="51">
        <f>N(INDEX(Employees!$N$5:$N$29,$A270))</f>
        <v/>
      </c>
      <c r="N270" s="51">
        <f>IF(INDEX(Employees!$L$5:$L$29,$A270)="",K270,MAX(0,MIN(K270,INDEX(Employees!$L$5:$L$29,$A270)-(M270-L270))))</f>
        <v/>
      </c>
      <c r="O270" s="51">
        <f>K270-N270</f>
        <v/>
      </c>
      <c r="P270" s="51">
        <f>M270-L270+N270</f>
        <v/>
      </c>
      <c r="Q270" s="51">
        <f>IF($G270=0,0,IF(INDEX(Employees!$P$5:$P$29,$A270)="Per pay period",(N(INDEX(Employees!$Q$5:$Q$29,$A270)))/Settings!$B$13,IF(INDEX(Employees!$P$5:$P$29,$A270)="Per hour worked",N(INDEX(Employees!$R$5:$R$29,$A270))*$I270,IF(INDEX(Employees!$P$5:$P$29,$A270)="Front-loaded",IF(OR($B270=1,N($G269)=0),N(INDEX(Employees!$Q$5:$Q$29,$A270)),0),0))))</f>
        <v/>
      </c>
      <c r="R270" s="51">
        <f>IF($F270=0,0,SUMIFS('Time Off Log'!$H$5:$H$504,'Time Off Log'!$A$5:$A$504,$C270,'Time Off Log'!$B$5:$B$504,"Sick",'Time Off Log'!$E$5:$E$504,"Approved",'Time Off Log'!$C$5:$C$504,"&gt;="&amp;INDEX(Periods!$E$5:$E$57,$B270),'Time Off Log'!$C$5:$C$504,"&lt;="&amp;INDEX(Periods!$F$5:$F$57,$B270)))</f>
        <v/>
      </c>
      <c r="S270" s="51">
        <f>N(INDEX(Employees!$T$5:$T$29,$A270))</f>
        <v/>
      </c>
      <c r="T270" s="51">
        <f>IF(INDEX(Employees!$S$5:$S$29,$A270)="",Q270,MAX(0,MIN(Q270,INDEX(Employees!$S$5:$S$29,$A270)-(S270-R270))))</f>
        <v/>
      </c>
      <c r="U270" s="51">
        <f>Q270-T270</f>
        <v/>
      </c>
      <c r="V270" s="51">
        <f>S270-R270+T270</f>
        <v/>
      </c>
    </row>
    <row r="271">
      <c r="A271" s="50" t="n">
        <v>6</v>
      </c>
      <c r="B271" s="50" t="n">
        <v>2</v>
      </c>
      <c r="C271" s="51">
        <f>INDEX(Employees!$B$5:$B$29,$A271)&amp;""</f>
        <v/>
      </c>
      <c r="D271" s="52">
        <f>INDEX(Periods!$B$5:$B$57,$B271)</f>
        <v/>
      </c>
      <c r="E271" s="52">
        <f>INDEX(Periods!$C$5:$C$57,$B271)</f>
        <v/>
      </c>
      <c r="F271" s="50">
        <f>IF(AND($C271&lt;&gt;"",INDEX(Periods!$D$5:$D$57,$B271)=1),1,0)</f>
        <v/>
      </c>
      <c r="G271" s="50">
        <f>IF($F271=0,0,IF(AND(OR(INDEX(Employees!$D$5:$D$29,$A271)="",$E271&gt;=INDEX(Employees!$D$5:$D$29,$A271)+N(INDEX(Employees!$U$5:$U$29,$A271))),OR(INDEX(Employees!$E$5:$E$29,$A271)="",$D271&lt;=INDEX(Employees!$E$5:$E$29,$A271))),1,0))</f>
        <v/>
      </c>
      <c r="H271" s="50">
        <f>IF($G271=0,0,IF(INDEX(Employees!$D$5:$D$29,$A271)="",0,DATEDIF(INDEX(Employees!$D$5:$D$29,$A271),$E271,"y")))</f>
        <v/>
      </c>
      <c r="I271" s="51">
        <f>IF($G271=0,0,IF(INDEX('Hours Worked'!$D$5:$BD$29,$A271,$B271)="",N(INDEX(Employees!$H$5:$H$29,$A271)),INDEX('Hours Worked'!$D$5:$BD$29,$A271,$B271)))</f>
        <v/>
      </c>
      <c r="J271" s="51">
        <f>IF(OR($G271=0,INDEX(Employees!$O$5:$O$29,$A271)&lt;&gt;"Yes"),0,IF(COUNTIF(Settings!$D$4:$D$9,"&lt;="&amp;$H271)=0,0,INDEX(Settings!$E$4:$E$9,COUNTIF(Settings!$D$4:$D$9,"&lt;="&amp;$H271))))</f>
        <v/>
      </c>
      <c r="K271" s="51">
        <f>IF($G271=0,0,IF(INDEX(Employees!$I$5:$I$29,$A271)="Per pay period",(N(INDEX(Employees!$J$5:$J$29,$A271))+$J271)/Settings!$B$13,IF(INDEX(Employees!$I$5:$I$29,$A271)="Per hour worked",N(INDEX(Employees!$K$5:$K$29,$A271))*$I271,IF(INDEX(Employees!$I$5:$I$29,$A271)="Front-loaded",IF(OR($B271=1,N($G270)=0),N(INDEX(Employees!$J$5:$J$29,$A271))+$J271,0),0))))</f>
        <v/>
      </c>
      <c r="L271" s="51">
        <f>IF($F271=0,0,SUMIFS('Time Off Log'!$H$5:$H$504,'Time Off Log'!$A$5:$A$504,$C271,'Time Off Log'!$B$5:$B$504,"PTO",'Time Off Log'!$E$5:$E$504,"Approved",'Time Off Log'!$C$5:$C$504,"&gt;="&amp;INDEX(Periods!$E$5:$E$57,$B271),'Time Off Log'!$C$5:$C$504,"&lt;="&amp;INDEX(Periods!$F$5:$F$57,$B271)))</f>
        <v/>
      </c>
      <c r="M271" s="51">
        <f>IF($B271=1,N(INDEX(Employees!$N$5:$N$29,$A271)),P270)</f>
        <v/>
      </c>
      <c r="N271" s="51">
        <f>IF(INDEX(Employees!$L$5:$L$29,$A271)="",K271,MAX(0,MIN(K271,INDEX(Employees!$L$5:$L$29,$A271)-(M271-L271))))</f>
        <v/>
      </c>
      <c r="O271" s="51">
        <f>K271-N271</f>
        <v/>
      </c>
      <c r="P271" s="51">
        <f>M271-L271+N271</f>
        <v/>
      </c>
      <c r="Q271" s="51">
        <f>IF($G271=0,0,IF(INDEX(Employees!$P$5:$P$29,$A271)="Per pay period",(N(INDEX(Employees!$Q$5:$Q$29,$A271)))/Settings!$B$13,IF(INDEX(Employees!$P$5:$P$29,$A271)="Per hour worked",N(INDEX(Employees!$R$5:$R$29,$A271))*$I271,IF(INDEX(Employees!$P$5:$P$29,$A271)="Front-loaded",IF(OR($B271=1,N($G270)=0),N(INDEX(Employees!$Q$5:$Q$29,$A271)),0),0))))</f>
        <v/>
      </c>
      <c r="R271" s="51">
        <f>IF($F271=0,0,SUMIFS('Time Off Log'!$H$5:$H$504,'Time Off Log'!$A$5:$A$504,$C271,'Time Off Log'!$B$5:$B$504,"Sick",'Time Off Log'!$E$5:$E$504,"Approved",'Time Off Log'!$C$5:$C$504,"&gt;="&amp;INDEX(Periods!$E$5:$E$57,$B271),'Time Off Log'!$C$5:$C$504,"&lt;="&amp;INDEX(Periods!$F$5:$F$57,$B271)))</f>
        <v/>
      </c>
      <c r="S271" s="51">
        <f>IF($B271=1,N(INDEX(Employees!$T$5:$T$29,$A271)),V270)</f>
        <v/>
      </c>
      <c r="T271" s="51">
        <f>IF(INDEX(Employees!$S$5:$S$29,$A271)="",Q271,MAX(0,MIN(Q271,INDEX(Employees!$S$5:$S$29,$A271)-(S271-R271))))</f>
        <v/>
      </c>
      <c r="U271" s="51">
        <f>Q271-T271</f>
        <v/>
      </c>
      <c r="V271" s="51">
        <f>S271-R271+T271</f>
        <v/>
      </c>
    </row>
    <row r="272">
      <c r="A272" s="50" t="n">
        <v>6</v>
      </c>
      <c r="B272" s="50" t="n">
        <v>3</v>
      </c>
      <c r="C272" s="51">
        <f>INDEX(Employees!$B$5:$B$29,$A272)&amp;""</f>
        <v/>
      </c>
      <c r="D272" s="52">
        <f>INDEX(Periods!$B$5:$B$57,$B272)</f>
        <v/>
      </c>
      <c r="E272" s="52">
        <f>INDEX(Periods!$C$5:$C$57,$B272)</f>
        <v/>
      </c>
      <c r="F272" s="50">
        <f>IF(AND($C272&lt;&gt;"",INDEX(Periods!$D$5:$D$57,$B272)=1),1,0)</f>
        <v/>
      </c>
      <c r="G272" s="50">
        <f>IF($F272=0,0,IF(AND(OR(INDEX(Employees!$D$5:$D$29,$A272)="",$E272&gt;=INDEX(Employees!$D$5:$D$29,$A272)+N(INDEX(Employees!$U$5:$U$29,$A272))),OR(INDEX(Employees!$E$5:$E$29,$A272)="",$D272&lt;=INDEX(Employees!$E$5:$E$29,$A272))),1,0))</f>
        <v/>
      </c>
      <c r="H272" s="50">
        <f>IF($G272=0,0,IF(INDEX(Employees!$D$5:$D$29,$A272)="",0,DATEDIF(INDEX(Employees!$D$5:$D$29,$A272),$E272,"y")))</f>
        <v/>
      </c>
      <c r="I272" s="51">
        <f>IF($G272=0,0,IF(INDEX('Hours Worked'!$D$5:$BD$29,$A272,$B272)="",N(INDEX(Employees!$H$5:$H$29,$A272)),INDEX('Hours Worked'!$D$5:$BD$29,$A272,$B272)))</f>
        <v/>
      </c>
      <c r="J272" s="51">
        <f>IF(OR($G272=0,INDEX(Employees!$O$5:$O$29,$A272)&lt;&gt;"Yes"),0,IF(COUNTIF(Settings!$D$4:$D$9,"&lt;="&amp;$H272)=0,0,INDEX(Settings!$E$4:$E$9,COUNTIF(Settings!$D$4:$D$9,"&lt;="&amp;$H272))))</f>
        <v/>
      </c>
      <c r="K272" s="51">
        <f>IF($G272=0,0,IF(INDEX(Employees!$I$5:$I$29,$A272)="Per pay period",(N(INDEX(Employees!$J$5:$J$29,$A272))+$J272)/Settings!$B$13,IF(INDEX(Employees!$I$5:$I$29,$A272)="Per hour worked",N(INDEX(Employees!$K$5:$K$29,$A272))*$I272,IF(INDEX(Employees!$I$5:$I$29,$A272)="Front-loaded",IF(OR($B272=1,N($G271)=0),N(INDEX(Employees!$J$5:$J$29,$A272))+$J272,0),0))))</f>
        <v/>
      </c>
      <c r="L272" s="51">
        <f>IF($F272=0,0,SUMIFS('Time Off Log'!$H$5:$H$504,'Time Off Log'!$A$5:$A$504,$C272,'Time Off Log'!$B$5:$B$504,"PTO",'Time Off Log'!$E$5:$E$504,"Approved",'Time Off Log'!$C$5:$C$504,"&gt;="&amp;INDEX(Periods!$E$5:$E$57,$B272),'Time Off Log'!$C$5:$C$504,"&lt;="&amp;INDEX(Periods!$F$5:$F$57,$B272)))</f>
        <v/>
      </c>
      <c r="M272" s="51">
        <f>IF($B272=1,N(INDEX(Employees!$N$5:$N$29,$A272)),P271)</f>
        <v/>
      </c>
      <c r="N272" s="51">
        <f>IF(INDEX(Employees!$L$5:$L$29,$A272)="",K272,MAX(0,MIN(K272,INDEX(Employees!$L$5:$L$29,$A272)-(M272-L272))))</f>
        <v/>
      </c>
      <c r="O272" s="51">
        <f>K272-N272</f>
        <v/>
      </c>
      <c r="P272" s="51">
        <f>M272-L272+N272</f>
        <v/>
      </c>
      <c r="Q272" s="51">
        <f>IF($G272=0,0,IF(INDEX(Employees!$P$5:$P$29,$A272)="Per pay period",(N(INDEX(Employees!$Q$5:$Q$29,$A272)))/Settings!$B$13,IF(INDEX(Employees!$P$5:$P$29,$A272)="Per hour worked",N(INDEX(Employees!$R$5:$R$29,$A272))*$I272,IF(INDEX(Employees!$P$5:$P$29,$A272)="Front-loaded",IF(OR($B272=1,N($G271)=0),N(INDEX(Employees!$Q$5:$Q$29,$A272)),0),0))))</f>
        <v/>
      </c>
      <c r="R272" s="51">
        <f>IF($F272=0,0,SUMIFS('Time Off Log'!$H$5:$H$504,'Time Off Log'!$A$5:$A$504,$C272,'Time Off Log'!$B$5:$B$504,"Sick",'Time Off Log'!$E$5:$E$504,"Approved",'Time Off Log'!$C$5:$C$504,"&gt;="&amp;INDEX(Periods!$E$5:$E$57,$B272),'Time Off Log'!$C$5:$C$504,"&lt;="&amp;INDEX(Periods!$F$5:$F$57,$B272)))</f>
        <v/>
      </c>
      <c r="S272" s="51">
        <f>IF($B272=1,N(INDEX(Employees!$T$5:$T$29,$A272)),V271)</f>
        <v/>
      </c>
      <c r="T272" s="51">
        <f>IF(INDEX(Employees!$S$5:$S$29,$A272)="",Q272,MAX(0,MIN(Q272,INDEX(Employees!$S$5:$S$29,$A272)-(S272-R272))))</f>
        <v/>
      </c>
      <c r="U272" s="51">
        <f>Q272-T272</f>
        <v/>
      </c>
      <c r="V272" s="51">
        <f>S272-R272+T272</f>
        <v/>
      </c>
    </row>
    <row r="273">
      <c r="A273" s="50" t="n">
        <v>6</v>
      </c>
      <c r="B273" s="50" t="n">
        <v>4</v>
      </c>
      <c r="C273" s="51">
        <f>INDEX(Employees!$B$5:$B$29,$A273)&amp;""</f>
        <v/>
      </c>
      <c r="D273" s="52">
        <f>INDEX(Periods!$B$5:$B$57,$B273)</f>
        <v/>
      </c>
      <c r="E273" s="52">
        <f>INDEX(Periods!$C$5:$C$57,$B273)</f>
        <v/>
      </c>
      <c r="F273" s="50">
        <f>IF(AND($C273&lt;&gt;"",INDEX(Periods!$D$5:$D$57,$B273)=1),1,0)</f>
        <v/>
      </c>
      <c r="G273" s="50">
        <f>IF($F273=0,0,IF(AND(OR(INDEX(Employees!$D$5:$D$29,$A273)="",$E273&gt;=INDEX(Employees!$D$5:$D$29,$A273)+N(INDEX(Employees!$U$5:$U$29,$A273))),OR(INDEX(Employees!$E$5:$E$29,$A273)="",$D273&lt;=INDEX(Employees!$E$5:$E$29,$A273))),1,0))</f>
        <v/>
      </c>
      <c r="H273" s="50">
        <f>IF($G273=0,0,IF(INDEX(Employees!$D$5:$D$29,$A273)="",0,DATEDIF(INDEX(Employees!$D$5:$D$29,$A273),$E273,"y")))</f>
        <v/>
      </c>
      <c r="I273" s="51">
        <f>IF($G273=0,0,IF(INDEX('Hours Worked'!$D$5:$BD$29,$A273,$B273)="",N(INDEX(Employees!$H$5:$H$29,$A273)),INDEX('Hours Worked'!$D$5:$BD$29,$A273,$B273)))</f>
        <v/>
      </c>
      <c r="J273" s="51">
        <f>IF(OR($G273=0,INDEX(Employees!$O$5:$O$29,$A273)&lt;&gt;"Yes"),0,IF(COUNTIF(Settings!$D$4:$D$9,"&lt;="&amp;$H273)=0,0,INDEX(Settings!$E$4:$E$9,COUNTIF(Settings!$D$4:$D$9,"&lt;="&amp;$H273))))</f>
        <v/>
      </c>
      <c r="K273" s="51">
        <f>IF($G273=0,0,IF(INDEX(Employees!$I$5:$I$29,$A273)="Per pay period",(N(INDEX(Employees!$J$5:$J$29,$A273))+$J273)/Settings!$B$13,IF(INDEX(Employees!$I$5:$I$29,$A273)="Per hour worked",N(INDEX(Employees!$K$5:$K$29,$A273))*$I273,IF(INDEX(Employees!$I$5:$I$29,$A273)="Front-loaded",IF(OR($B273=1,N($G272)=0),N(INDEX(Employees!$J$5:$J$29,$A273))+$J273,0),0))))</f>
        <v/>
      </c>
      <c r="L273" s="51">
        <f>IF($F273=0,0,SUMIFS('Time Off Log'!$H$5:$H$504,'Time Off Log'!$A$5:$A$504,$C273,'Time Off Log'!$B$5:$B$504,"PTO",'Time Off Log'!$E$5:$E$504,"Approved",'Time Off Log'!$C$5:$C$504,"&gt;="&amp;INDEX(Periods!$E$5:$E$57,$B273),'Time Off Log'!$C$5:$C$504,"&lt;="&amp;INDEX(Periods!$F$5:$F$57,$B273)))</f>
        <v/>
      </c>
      <c r="M273" s="51">
        <f>IF($B273=1,N(INDEX(Employees!$N$5:$N$29,$A273)),P272)</f>
        <v/>
      </c>
      <c r="N273" s="51">
        <f>IF(INDEX(Employees!$L$5:$L$29,$A273)="",K273,MAX(0,MIN(K273,INDEX(Employees!$L$5:$L$29,$A273)-(M273-L273))))</f>
        <v/>
      </c>
      <c r="O273" s="51">
        <f>K273-N273</f>
        <v/>
      </c>
      <c r="P273" s="51">
        <f>M273-L273+N273</f>
        <v/>
      </c>
      <c r="Q273" s="51">
        <f>IF($G273=0,0,IF(INDEX(Employees!$P$5:$P$29,$A273)="Per pay period",(N(INDEX(Employees!$Q$5:$Q$29,$A273)))/Settings!$B$13,IF(INDEX(Employees!$P$5:$P$29,$A273)="Per hour worked",N(INDEX(Employees!$R$5:$R$29,$A273))*$I273,IF(INDEX(Employees!$P$5:$P$29,$A273)="Front-loaded",IF(OR($B273=1,N($G272)=0),N(INDEX(Employees!$Q$5:$Q$29,$A273)),0),0))))</f>
        <v/>
      </c>
      <c r="R273" s="51">
        <f>IF($F273=0,0,SUMIFS('Time Off Log'!$H$5:$H$504,'Time Off Log'!$A$5:$A$504,$C273,'Time Off Log'!$B$5:$B$504,"Sick",'Time Off Log'!$E$5:$E$504,"Approved",'Time Off Log'!$C$5:$C$504,"&gt;="&amp;INDEX(Periods!$E$5:$E$57,$B273),'Time Off Log'!$C$5:$C$504,"&lt;="&amp;INDEX(Periods!$F$5:$F$57,$B273)))</f>
        <v/>
      </c>
      <c r="S273" s="51">
        <f>IF($B273=1,N(INDEX(Employees!$T$5:$T$29,$A273)),V272)</f>
        <v/>
      </c>
      <c r="T273" s="51">
        <f>IF(INDEX(Employees!$S$5:$S$29,$A273)="",Q273,MAX(0,MIN(Q273,INDEX(Employees!$S$5:$S$29,$A273)-(S273-R273))))</f>
        <v/>
      </c>
      <c r="U273" s="51">
        <f>Q273-T273</f>
        <v/>
      </c>
      <c r="V273" s="51">
        <f>S273-R273+T273</f>
        <v/>
      </c>
    </row>
    <row r="274">
      <c r="A274" s="50" t="n">
        <v>6</v>
      </c>
      <c r="B274" s="50" t="n">
        <v>5</v>
      </c>
      <c r="C274" s="51">
        <f>INDEX(Employees!$B$5:$B$29,$A274)&amp;""</f>
        <v/>
      </c>
      <c r="D274" s="52">
        <f>INDEX(Periods!$B$5:$B$57,$B274)</f>
        <v/>
      </c>
      <c r="E274" s="52">
        <f>INDEX(Periods!$C$5:$C$57,$B274)</f>
        <v/>
      </c>
      <c r="F274" s="50">
        <f>IF(AND($C274&lt;&gt;"",INDEX(Periods!$D$5:$D$57,$B274)=1),1,0)</f>
        <v/>
      </c>
      <c r="G274" s="50">
        <f>IF($F274=0,0,IF(AND(OR(INDEX(Employees!$D$5:$D$29,$A274)="",$E274&gt;=INDEX(Employees!$D$5:$D$29,$A274)+N(INDEX(Employees!$U$5:$U$29,$A274))),OR(INDEX(Employees!$E$5:$E$29,$A274)="",$D274&lt;=INDEX(Employees!$E$5:$E$29,$A274))),1,0))</f>
        <v/>
      </c>
      <c r="H274" s="50">
        <f>IF($G274=0,0,IF(INDEX(Employees!$D$5:$D$29,$A274)="",0,DATEDIF(INDEX(Employees!$D$5:$D$29,$A274),$E274,"y")))</f>
        <v/>
      </c>
      <c r="I274" s="51">
        <f>IF($G274=0,0,IF(INDEX('Hours Worked'!$D$5:$BD$29,$A274,$B274)="",N(INDEX(Employees!$H$5:$H$29,$A274)),INDEX('Hours Worked'!$D$5:$BD$29,$A274,$B274)))</f>
        <v/>
      </c>
      <c r="J274" s="51">
        <f>IF(OR($G274=0,INDEX(Employees!$O$5:$O$29,$A274)&lt;&gt;"Yes"),0,IF(COUNTIF(Settings!$D$4:$D$9,"&lt;="&amp;$H274)=0,0,INDEX(Settings!$E$4:$E$9,COUNTIF(Settings!$D$4:$D$9,"&lt;="&amp;$H274))))</f>
        <v/>
      </c>
      <c r="K274" s="51">
        <f>IF($G274=0,0,IF(INDEX(Employees!$I$5:$I$29,$A274)="Per pay period",(N(INDEX(Employees!$J$5:$J$29,$A274))+$J274)/Settings!$B$13,IF(INDEX(Employees!$I$5:$I$29,$A274)="Per hour worked",N(INDEX(Employees!$K$5:$K$29,$A274))*$I274,IF(INDEX(Employees!$I$5:$I$29,$A274)="Front-loaded",IF(OR($B274=1,N($G273)=0),N(INDEX(Employees!$J$5:$J$29,$A274))+$J274,0),0))))</f>
        <v/>
      </c>
      <c r="L274" s="51">
        <f>IF($F274=0,0,SUMIFS('Time Off Log'!$H$5:$H$504,'Time Off Log'!$A$5:$A$504,$C274,'Time Off Log'!$B$5:$B$504,"PTO",'Time Off Log'!$E$5:$E$504,"Approved",'Time Off Log'!$C$5:$C$504,"&gt;="&amp;INDEX(Periods!$E$5:$E$57,$B274),'Time Off Log'!$C$5:$C$504,"&lt;="&amp;INDEX(Periods!$F$5:$F$57,$B274)))</f>
        <v/>
      </c>
      <c r="M274" s="51">
        <f>IF($B274=1,N(INDEX(Employees!$N$5:$N$29,$A274)),P273)</f>
        <v/>
      </c>
      <c r="N274" s="51">
        <f>IF(INDEX(Employees!$L$5:$L$29,$A274)="",K274,MAX(0,MIN(K274,INDEX(Employees!$L$5:$L$29,$A274)-(M274-L274))))</f>
        <v/>
      </c>
      <c r="O274" s="51">
        <f>K274-N274</f>
        <v/>
      </c>
      <c r="P274" s="51">
        <f>M274-L274+N274</f>
        <v/>
      </c>
      <c r="Q274" s="51">
        <f>IF($G274=0,0,IF(INDEX(Employees!$P$5:$P$29,$A274)="Per pay period",(N(INDEX(Employees!$Q$5:$Q$29,$A274)))/Settings!$B$13,IF(INDEX(Employees!$P$5:$P$29,$A274)="Per hour worked",N(INDEX(Employees!$R$5:$R$29,$A274))*$I274,IF(INDEX(Employees!$P$5:$P$29,$A274)="Front-loaded",IF(OR($B274=1,N($G273)=0),N(INDEX(Employees!$Q$5:$Q$29,$A274)),0),0))))</f>
        <v/>
      </c>
      <c r="R274" s="51">
        <f>IF($F274=0,0,SUMIFS('Time Off Log'!$H$5:$H$504,'Time Off Log'!$A$5:$A$504,$C274,'Time Off Log'!$B$5:$B$504,"Sick",'Time Off Log'!$E$5:$E$504,"Approved",'Time Off Log'!$C$5:$C$504,"&gt;="&amp;INDEX(Periods!$E$5:$E$57,$B274),'Time Off Log'!$C$5:$C$504,"&lt;="&amp;INDEX(Periods!$F$5:$F$57,$B274)))</f>
        <v/>
      </c>
      <c r="S274" s="51">
        <f>IF($B274=1,N(INDEX(Employees!$T$5:$T$29,$A274)),V273)</f>
        <v/>
      </c>
      <c r="T274" s="51">
        <f>IF(INDEX(Employees!$S$5:$S$29,$A274)="",Q274,MAX(0,MIN(Q274,INDEX(Employees!$S$5:$S$29,$A274)-(S274-R274))))</f>
        <v/>
      </c>
      <c r="U274" s="51">
        <f>Q274-T274</f>
        <v/>
      </c>
      <c r="V274" s="51">
        <f>S274-R274+T274</f>
        <v/>
      </c>
    </row>
    <row r="275">
      <c r="A275" s="50" t="n">
        <v>6</v>
      </c>
      <c r="B275" s="50" t="n">
        <v>6</v>
      </c>
      <c r="C275" s="51">
        <f>INDEX(Employees!$B$5:$B$29,$A275)&amp;""</f>
        <v/>
      </c>
      <c r="D275" s="52">
        <f>INDEX(Periods!$B$5:$B$57,$B275)</f>
        <v/>
      </c>
      <c r="E275" s="52">
        <f>INDEX(Periods!$C$5:$C$57,$B275)</f>
        <v/>
      </c>
      <c r="F275" s="50">
        <f>IF(AND($C275&lt;&gt;"",INDEX(Periods!$D$5:$D$57,$B275)=1),1,0)</f>
        <v/>
      </c>
      <c r="G275" s="50">
        <f>IF($F275=0,0,IF(AND(OR(INDEX(Employees!$D$5:$D$29,$A275)="",$E275&gt;=INDEX(Employees!$D$5:$D$29,$A275)+N(INDEX(Employees!$U$5:$U$29,$A275))),OR(INDEX(Employees!$E$5:$E$29,$A275)="",$D275&lt;=INDEX(Employees!$E$5:$E$29,$A275))),1,0))</f>
        <v/>
      </c>
      <c r="H275" s="50">
        <f>IF($G275=0,0,IF(INDEX(Employees!$D$5:$D$29,$A275)="",0,DATEDIF(INDEX(Employees!$D$5:$D$29,$A275),$E275,"y")))</f>
        <v/>
      </c>
      <c r="I275" s="51">
        <f>IF($G275=0,0,IF(INDEX('Hours Worked'!$D$5:$BD$29,$A275,$B275)="",N(INDEX(Employees!$H$5:$H$29,$A275)),INDEX('Hours Worked'!$D$5:$BD$29,$A275,$B275)))</f>
        <v/>
      </c>
      <c r="J275" s="51">
        <f>IF(OR($G275=0,INDEX(Employees!$O$5:$O$29,$A275)&lt;&gt;"Yes"),0,IF(COUNTIF(Settings!$D$4:$D$9,"&lt;="&amp;$H275)=0,0,INDEX(Settings!$E$4:$E$9,COUNTIF(Settings!$D$4:$D$9,"&lt;="&amp;$H275))))</f>
        <v/>
      </c>
      <c r="K275" s="51">
        <f>IF($G275=0,0,IF(INDEX(Employees!$I$5:$I$29,$A275)="Per pay period",(N(INDEX(Employees!$J$5:$J$29,$A275))+$J275)/Settings!$B$13,IF(INDEX(Employees!$I$5:$I$29,$A275)="Per hour worked",N(INDEX(Employees!$K$5:$K$29,$A275))*$I275,IF(INDEX(Employees!$I$5:$I$29,$A275)="Front-loaded",IF(OR($B275=1,N($G274)=0),N(INDEX(Employees!$J$5:$J$29,$A275))+$J275,0),0))))</f>
        <v/>
      </c>
      <c r="L275" s="51">
        <f>IF($F275=0,0,SUMIFS('Time Off Log'!$H$5:$H$504,'Time Off Log'!$A$5:$A$504,$C275,'Time Off Log'!$B$5:$B$504,"PTO",'Time Off Log'!$E$5:$E$504,"Approved",'Time Off Log'!$C$5:$C$504,"&gt;="&amp;INDEX(Periods!$E$5:$E$57,$B275),'Time Off Log'!$C$5:$C$504,"&lt;="&amp;INDEX(Periods!$F$5:$F$57,$B275)))</f>
        <v/>
      </c>
      <c r="M275" s="51">
        <f>IF($B275=1,N(INDEX(Employees!$N$5:$N$29,$A275)),P274)</f>
        <v/>
      </c>
      <c r="N275" s="51">
        <f>IF(INDEX(Employees!$L$5:$L$29,$A275)="",K275,MAX(0,MIN(K275,INDEX(Employees!$L$5:$L$29,$A275)-(M275-L275))))</f>
        <v/>
      </c>
      <c r="O275" s="51">
        <f>K275-N275</f>
        <v/>
      </c>
      <c r="P275" s="51">
        <f>M275-L275+N275</f>
        <v/>
      </c>
      <c r="Q275" s="51">
        <f>IF($G275=0,0,IF(INDEX(Employees!$P$5:$P$29,$A275)="Per pay period",(N(INDEX(Employees!$Q$5:$Q$29,$A275)))/Settings!$B$13,IF(INDEX(Employees!$P$5:$P$29,$A275)="Per hour worked",N(INDEX(Employees!$R$5:$R$29,$A275))*$I275,IF(INDEX(Employees!$P$5:$P$29,$A275)="Front-loaded",IF(OR($B275=1,N($G274)=0),N(INDEX(Employees!$Q$5:$Q$29,$A275)),0),0))))</f>
        <v/>
      </c>
      <c r="R275" s="51">
        <f>IF($F275=0,0,SUMIFS('Time Off Log'!$H$5:$H$504,'Time Off Log'!$A$5:$A$504,$C275,'Time Off Log'!$B$5:$B$504,"Sick",'Time Off Log'!$E$5:$E$504,"Approved",'Time Off Log'!$C$5:$C$504,"&gt;="&amp;INDEX(Periods!$E$5:$E$57,$B275),'Time Off Log'!$C$5:$C$504,"&lt;="&amp;INDEX(Periods!$F$5:$F$57,$B275)))</f>
        <v/>
      </c>
      <c r="S275" s="51">
        <f>IF($B275=1,N(INDEX(Employees!$T$5:$T$29,$A275)),V274)</f>
        <v/>
      </c>
      <c r="T275" s="51">
        <f>IF(INDEX(Employees!$S$5:$S$29,$A275)="",Q275,MAX(0,MIN(Q275,INDEX(Employees!$S$5:$S$29,$A275)-(S275-R275))))</f>
        <v/>
      </c>
      <c r="U275" s="51">
        <f>Q275-T275</f>
        <v/>
      </c>
      <c r="V275" s="51">
        <f>S275-R275+T275</f>
        <v/>
      </c>
    </row>
    <row r="276">
      <c r="A276" s="50" t="n">
        <v>6</v>
      </c>
      <c r="B276" s="50" t="n">
        <v>7</v>
      </c>
      <c r="C276" s="51">
        <f>INDEX(Employees!$B$5:$B$29,$A276)&amp;""</f>
        <v/>
      </c>
      <c r="D276" s="52">
        <f>INDEX(Periods!$B$5:$B$57,$B276)</f>
        <v/>
      </c>
      <c r="E276" s="52">
        <f>INDEX(Periods!$C$5:$C$57,$B276)</f>
        <v/>
      </c>
      <c r="F276" s="50">
        <f>IF(AND($C276&lt;&gt;"",INDEX(Periods!$D$5:$D$57,$B276)=1),1,0)</f>
        <v/>
      </c>
      <c r="G276" s="50">
        <f>IF($F276=0,0,IF(AND(OR(INDEX(Employees!$D$5:$D$29,$A276)="",$E276&gt;=INDEX(Employees!$D$5:$D$29,$A276)+N(INDEX(Employees!$U$5:$U$29,$A276))),OR(INDEX(Employees!$E$5:$E$29,$A276)="",$D276&lt;=INDEX(Employees!$E$5:$E$29,$A276))),1,0))</f>
        <v/>
      </c>
      <c r="H276" s="50">
        <f>IF($G276=0,0,IF(INDEX(Employees!$D$5:$D$29,$A276)="",0,DATEDIF(INDEX(Employees!$D$5:$D$29,$A276),$E276,"y")))</f>
        <v/>
      </c>
      <c r="I276" s="51">
        <f>IF($G276=0,0,IF(INDEX('Hours Worked'!$D$5:$BD$29,$A276,$B276)="",N(INDEX(Employees!$H$5:$H$29,$A276)),INDEX('Hours Worked'!$D$5:$BD$29,$A276,$B276)))</f>
        <v/>
      </c>
      <c r="J276" s="51">
        <f>IF(OR($G276=0,INDEX(Employees!$O$5:$O$29,$A276)&lt;&gt;"Yes"),0,IF(COUNTIF(Settings!$D$4:$D$9,"&lt;="&amp;$H276)=0,0,INDEX(Settings!$E$4:$E$9,COUNTIF(Settings!$D$4:$D$9,"&lt;="&amp;$H276))))</f>
        <v/>
      </c>
      <c r="K276" s="51">
        <f>IF($G276=0,0,IF(INDEX(Employees!$I$5:$I$29,$A276)="Per pay period",(N(INDEX(Employees!$J$5:$J$29,$A276))+$J276)/Settings!$B$13,IF(INDEX(Employees!$I$5:$I$29,$A276)="Per hour worked",N(INDEX(Employees!$K$5:$K$29,$A276))*$I276,IF(INDEX(Employees!$I$5:$I$29,$A276)="Front-loaded",IF(OR($B276=1,N($G275)=0),N(INDEX(Employees!$J$5:$J$29,$A276))+$J276,0),0))))</f>
        <v/>
      </c>
      <c r="L276" s="51">
        <f>IF($F276=0,0,SUMIFS('Time Off Log'!$H$5:$H$504,'Time Off Log'!$A$5:$A$504,$C276,'Time Off Log'!$B$5:$B$504,"PTO",'Time Off Log'!$E$5:$E$504,"Approved",'Time Off Log'!$C$5:$C$504,"&gt;="&amp;INDEX(Periods!$E$5:$E$57,$B276),'Time Off Log'!$C$5:$C$504,"&lt;="&amp;INDEX(Periods!$F$5:$F$57,$B276)))</f>
        <v/>
      </c>
      <c r="M276" s="51">
        <f>IF($B276=1,N(INDEX(Employees!$N$5:$N$29,$A276)),P275)</f>
        <v/>
      </c>
      <c r="N276" s="51">
        <f>IF(INDEX(Employees!$L$5:$L$29,$A276)="",K276,MAX(0,MIN(K276,INDEX(Employees!$L$5:$L$29,$A276)-(M276-L276))))</f>
        <v/>
      </c>
      <c r="O276" s="51">
        <f>K276-N276</f>
        <v/>
      </c>
      <c r="P276" s="51">
        <f>M276-L276+N276</f>
        <v/>
      </c>
      <c r="Q276" s="51">
        <f>IF($G276=0,0,IF(INDEX(Employees!$P$5:$P$29,$A276)="Per pay period",(N(INDEX(Employees!$Q$5:$Q$29,$A276)))/Settings!$B$13,IF(INDEX(Employees!$P$5:$P$29,$A276)="Per hour worked",N(INDEX(Employees!$R$5:$R$29,$A276))*$I276,IF(INDEX(Employees!$P$5:$P$29,$A276)="Front-loaded",IF(OR($B276=1,N($G275)=0),N(INDEX(Employees!$Q$5:$Q$29,$A276)),0),0))))</f>
        <v/>
      </c>
      <c r="R276" s="51">
        <f>IF($F276=0,0,SUMIFS('Time Off Log'!$H$5:$H$504,'Time Off Log'!$A$5:$A$504,$C276,'Time Off Log'!$B$5:$B$504,"Sick",'Time Off Log'!$E$5:$E$504,"Approved",'Time Off Log'!$C$5:$C$504,"&gt;="&amp;INDEX(Periods!$E$5:$E$57,$B276),'Time Off Log'!$C$5:$C$504,"&lt;="&amp;INDEX(Periods!$F$5:$F$57,$B276)))</f>
        <v/>
      </c>
      <c r="S276" s="51">
        <f>IF($B276=1,N(INDEX(Employees!$T$5:$T$29,$A276)),V275)</f>
        <v/>
      </c>
      <c r="T276" s="51">
        <f>IF(INDEX(Employees!$S$5:$S$29,$A276)="",Q276,MAX(0,MIN(Q276,INDEX(Employees!$S$5:$S$29,$A276)-(S276-R276))))</f>
        <v/>
      </c>
      <c r="U276" s="51">
        <f>Q276-T276</f>
        <v/>
      </c>
      <c r="V276" s="51">
        <f>S276-R276+T276</f>
        <v/>
      </c>
    </row>
    <row r="277">
      <c r="A277" s="50" t="n">
        <v>6</v>
      </c>
      <c r="B277" s="50" t="n">
        <v>8</v>
      </c>
      <c r="C277" s="51">
        <f>INDEX(Employees!$B$5:$B$29,$A277)&amp;""</f>
        <v/>
      </c>
      <c r="D277" s="52">
        <f>INDEX(Periods!$B$5:$B$57,$B277)</f>
        <v/>
      </c>
      <c r="E277" s="52">
        <f>INDEX(Periods!$C$5:$C$57,$B277)</f>
        <v/>
      </c>
      <c r="F277" s="50">
        <f>IF(AND($C277&lt;&gt;"",INDEX(Periods!$D$5:$D$57,$B277)=1),1,0)</f>
        <v/>
      </c>
      <c r="G277" s="50">
        <f>IF($F277=0,0,IF(AND(OR(INDEX(Employees!$D$5:$D$29,$A277)="",$E277&gt;=INDEX(Employees!$D$5:$D$29,$A277)+N(INDEX(Employees!$U$5:$U$29,$A277))),OR(INDEX(Employees!$E$5:$E$29,$A277)="",$D277&lt;=INDEX(Employees!$E$5:$E$29,$A277))),1,0))</f>
        <v/>
      </c>
      <c r="H277" s="50">
        <f>IF($G277=0,0,IF(INDEX(Employees!$D$5:$D$29,$A277)="",0,DATEDIF(INDEX(Employees!$D$5:$D$29,$A277),$E277,"y")))</f>
        <v/>
      </c>
      <c r="I277" s="51">
        <f>IF($G277=0,0,IF(INDEX('Hours Worked'!$D$5:$BD$29,$A277,$B277)="",N(INDEX(Employees!$H$5:$H$29,$A277)),INDEX('Hours Worked'!$D$5:$BD$29,$A277,$B277)))</f>
        <v/>
      </c>
      <c r="J277" s="51">
        <f>IF(OR($G277=0,INDEX(Employees!$O$5:$O$29,$A277)&lt;&gt;"Yes"),0,IF(COUNTIF(Settings!$D$4:$D$9,"&lt;="&amp;$H277)=0,0,INDEX(Settings!$E$4:$E$9,COUNTIF(Settings!$D$4:$D$9,"&lt;="&amp;$H277))))</f>
        <v/>
      </c>
      <c r="K277" s="51">
        <f>IF($G277=0,0,IF(INDEX(Employees!$I$5:$I$29,$A277)="Per pay period",(N(INDEX(Employees!$J$5:$J$29,$A277))+$J277)/Settings!$B$13,IF(INDEX(Employees!$I$5:$I$29,$A277)="Per hour worked",N(INDEX(Employees!$K$5:$K$29,$A277))*$I277,IF(INDEX(Employees!$I$5:$I$29,$A277)="Front-loaded",IF(OR($B277=1,N($G276)=0),N(INDEX(Employees!$J$5:$J$29,$A277))+$J277,0),0))))</f>
        <v/>
      </c>
      <c r="L277" s="51">
        <f>IF($F277=0,0,SUMIFS('Time Off Log'!$H$5:$H$504,'Time Off Log'!$A$5:$A$504,$C277,'Time Off Log'!$B$5:$B$504,"PTO",'Time Off Log'!$E$5:$E$504,"Approved",'Time Off Log'!$C$5:$C$504,"&gt;="&amp;INDEX(Periods!$E$5:$E$57,$B277),'Time Off Log'!$C$5:$C$504,"&lt;="&amp;INDEX(Periods!$F$5:$F$57,$B277)))</f>
        <v/>
      </c>
      <c r="M277" s="51">
        <f>IF($B277=1,N(INDEX(Employees!$N$5:$N$29,$A277)),P276)</f>
        <v/>
      </c>
      <c r="N277" s="51">
        <f>IF(INDEX(Employees!$L$5:$L$29,$A277)="",K277,MAX(0,MIN(K277,INDEX(Employees!$L$5:$L$29,$A277)-(M277-L277))))</f>
        <v/>
      </c>
      <c r="O277" s="51">
        <f>K277-N277</f>
        <v/>
      </c>
      <c r="P277" s="51">
        <f>M277-L277+N277</f>
        <v/>
      </c>
      <c r="Q277" s="51">
        <f>IF($G277=0,0,IF(INDEX(Employees!$P$5:$P$29,$A277)="Per pay period",(N(INDEX(Employees!$Q$5:$Q$29,$A277)))/Settings!$B$13,IF(INDEX(Employees!$P$5:$P$29,$A277)="Per hour worked",N(INDEX(Employees!$R$5:$R$29,$A277))*$I277,IF(INDEX(Employees!$P$5:$P$29,$A277)="Front-loaded",IF(OR($B277=1,N($G276)=0),N(INDEX(Employees!$Q$5:$Q$29,$A277)),0),0))))</f>
        <v/>
      </c>
      <c r="R277" s="51">
        <f>IF($F277=0,0,SUMIFS('Time Off Log'!$H$5:$H$504,'Time Off Log'!$A$5:$A$504,$C277,'Time Off Log'!$B$5:$B$504,"Sick",'Time Off Log'!$E$5:$E$504,"Approved",'Time Off Log'!$C$5:$C$504,"&gt;="&amp;INDEX(Periods!$E$5:$E$57,$B277),'Time Off Log'!$C$5:$C$504,"&lt;="&amp;INDEX(Periods!$F$5:$F$57,$B277)))</f>
        <v/>
      </c>
      <c r="S277" s="51">
        <f>IF($B277=1,N(INDEX(Employees!$T$5:$T$29,$A277)),V276)</f>
        <v/>
      </c>
      <c r="T277" s="51">
        <f>IF(INDEX(Employees!$S$5:$S$29,$A277)="",Q277,MAX(0,MIN(Q277,INDEX(Employees!$S$5:$S$29,$A277)-(S277-R277))))</f>
        <v/>
      </c>
      <c r="U277" s="51">
        <f>Q277-T277</f>
        <v/>
      </c>
      <c r="V277" s="51">
        <f>S277-R277+T277</f>
        <v/>
      </c>
    </row>
    <row r="278">
      <c r="A278" s="50" t="n">
        <v>6</v>
      </c>
      <c r="B278" s="50" t="n">
        <v>9</v>
      </c>
      <c r="C278" s="51">
        <f>INDEX(Employees!$B$5:$B$29,$A278)&amp;""</f>
        <v/>
      </c>
      <c r="D278" s="52">
        <f>INDEX(Periods!$B$5:$B$57,$B278)</f>
        <v/>
      </c>
      <c r="E278" s="52">
        <f>INDEX(Periods!$C$5:$C$57,$B278)</f>
        <v/>
      </c>
      <c r="F278" s="50">
        <f>IF(AND($C278&lt;&gt;"",INDEX(Periods!$D$5:$D$57,$B278)=1),1,0)</f>
        <v/>
      </c>
      <c r="G278" s="50">
        <f>IF($F278=0,0,IF(AND(OR(INDEX(Employees!$D$5:$D$29,$A278)="",$E278&gt;=INDEX(Employees!$D$5:$D$29,$A278)+N(INDEX(Employees!$U$5:$U$29,$A278))),OR(INDEX(Employees!$E$5:$E$29,$A278)="",$D278&lt;=INDEX(Employees!$E$5:$E$29,$A278))),1,0))</f>
        <v/>
      </c>
      <c r="H278" s="50">
        <f>IF($G278=0,0,IF(INDEX(Employees!$D$5:$D$29,$A278)="",0,DATEDIF(INDEX(Employees!$D$5:$D$29,$A278),$E278,"y")))</f>
        <v/>
      </c>
      <c r="I278" s="51">
        <f>IF($G278=0,0,IF(INDEX('Hours Worked'!$D$5:$BD$29,$A278,$B278)="",N(INDEX(Employees!$H$5:$H$29,$A278)),INDEX('Hours Worked'!$D$5:$BD$29,$A278,$B278)))</f>
        <v/>
      </c>
      <c r="J278" s="51">
        <f>IF(OR($G278=0,INDEX(Employees!$O$5:$O$29,$A278)&lt;&gt;"Yes"),0,IF(COUNTIF(Settings!$D$4:$D$9,"&lt;="&amp;$H278)=0,0,INDEX(Settings!$E$4:$E$9,COUNTIF(Settings!$D$4:$D$9,"&lt;="&amp;$H278))))</f>
        <v/>
      </c>
      <c r="K278" s="51">
        <f>IF($G278=0,0,IF(INDEX(Employees!$I$5:$I$29,$A278)="Per pay period",(N(INDEX(Employees!$J$5:$J$29,$A278))+$J278)/Settings!$B$13,IF(INDEX(Employees!$I$5:$I$29,$A278)="Per hour worked",N(INDEX(Employees!$K$5:$K$29,$A278))*$I278,IF(INDEX(Employees!$I$5:$I$29,$A278)="Front-loaded",IF(OR($B278=1,N($G277)=0),N(INDEX(Employees!$J$5:$J$29,$A278))+$J278,0),0))))</f>
        <v/>
      </c>
      <c r="L278" s="51">
        <f>IF($F278=0,0,SUMIFS('Time Off Log'!$H$5:$H$504,'Time Off Log'!$A$5:$A$504,$C278,'Time Off Log'!$B$5:$B$504,"PTO",'Time Off Log'!$E$5:$E$504,"Approved",'Time Off Log'!$C$5:$C$504,"&gt;="&amp;INDEX(Periods!$E$5:$E$57,$B278),'Time Off Log'!$C$5:$C$504,"&lt;="&amp;INDEX(Periods!$F$5:$F$57,$B278)))</f>
        <v/>
      </c>
      <c r="M278" s="51">
        <f>IF($B278=1,N(INDEX(Employees!$N$5:$N$29,$A278)),P277)</f>
        <v/>
      </c>
      <c r="N278" s="51">
        <f>IF(INDEX(Employees!$L$5:$L$29,$A278)="",K278,MAX(0,MIN(K278,INDEX(Employees!$L$5:$L$29,$A278)-(M278-L278))))</f>
        <v/>
      </c>
      <c r="O278" s="51">
        <f>K278-N278</f>
        <v/>
      </c>
      <c r="P278" s="51">
        <f>M278-L278+N278</f>
        <v/>
      </c>
      <c r="Q278" s="51">
        <f>IF($G278=0,0,IF(INDEX(Employees!$P$5:$P$29,$A278)="Per pay period",(N(INDEX(Employees!$Q$5:$Q$29,$A278)))/Settings!$B$13,IF(INDEX(Employees!$P$5:$P$29,$A278)="Per hour worked",N(INDEX(Employees!$R$5:$R$29,$A278))*$I278,IF(INDEX(Employees!$P$5:$P$29,$A278)="Front-loaded",IF(OR($B278=1,N($G277)=0),N(INDEX(Employees!$Q$5:$Q$29,$A278)),0),0))))</f>
        <v/>
      </c>
      <c r="R278" s="51">
        <f>IF($F278=0,0,SUMIFS('Time Off Log'!$H$5:$H$504,'Time Off Log'!$A$5:$A$504,$C278,'Time Off Log'!$B$5:$B$504,"Sick",'Time Off Log'!$E$5:$E$504,"Approved",'Time Off Log'!$C$5:$C$504,"&gt;="&amp;INDEX(Periods!$E$5:$E$57,$B278),'Time Off Log'!$C$5:$C$504,"&lt;="&amp;INDEX(Periods!$F$5:$F$57,$B278)))</f>
        <v/>
      </c>
      <c r="S278" s="51">
        <f>IF($B278=1,N(INDEX(Employees!$T$5:$T$29,$A278)),V277)</f>
        <v/>
      </c>
      <c r="T278" s="51">
        <f>IF(INDEX(Employees!$S$5:$S$29,$A278)="",Q278,MAX(0,MIN(Q278,INDEX(Employees!$S$5:$S$29,$A278)-(S278-R278))))</f>
        <v/>
      </c>
      <c r="U278" s="51">
        <f>Q278-T278</f>
        <v/>
      </c>
      <c r="V278" s="51">
        <f>S278-R278+T278</f>
        <v/>
      </c>
    </row>
    <row r="279">
      <c r="A279" s="50" t="n">
        <v>6</v>
      </c>
      <c r="B279" s="50" t="n">
        <v>10</v>
      </c>
      <c r="C279" s="51">
        <f>INDEX(Employees!$B$5:$B$29,$A279)&amp;""</f>
        <v/>
      </c>
      <c r="D279" s="52">
        <f>INDEX(Periods!$B$5:$B$57,$B279)</f>
        <v/>
      </c>
      <c r="E279" s="52">
        <f>INDEX(Periods!$C$5:$C$57,$B279)</f>
        <v/>
      </c>
      <c r="F279" s="50">
        <f>IF(AND($C279&lt;&gt;"",INDEX(Periods!$D$5:$D$57,$B279)=1),1,0)</f>
        <v/>
      </c>
      <c r="G279" s="50">
        <f>IF($F279=0,0,IF(AND(OR(INDEX(Employees!$D$5:$D$29,$A279)="",$E279&gt;=INDEX(Employees!$D$5:$D$29,$A279)+N(INDEX(Employees!$U$5:$U$29,$A279))),OR(INDEX(Employees!$E$5:$E$29,$A279)="",$D279&lt;=INDEX(Employees!$E$5:$E$29,$A279))),1,0))</f>
        <v/>
      </c>
      <c r="H279" s="50">
        <f>IF($G279=0,0,IF(INDEX(Employees!$D$5:$D$29,$A279)="",0,DATEDIF(INDEX(Employees!$D$5:$D$29,$A279),$E279,"y")))</f>
        <v/>
      </c>
      <c r="I279" s="51">
        <f>IF($G279=0,0,IF(INDEX('Hours Worked'!$D$5:$BD$29,$A279,$B279)="",N(INDEX(Employees!$H$5:$H$29,$A279)),INDEX('Hours Worked'!$D$5:$BD$29,$A279,$B279)))</f>
        <v/>
      </c>
      <c r="J279" s="51">
        <f>IF(OR($G279=0,INDEX(Employees!$O$5:$O$29,$A279)&lt;&gt;"Yes"),0,IF(COUNTIF(Settings!$D$4:$D$9,"&lt;="&amp;$H279)=0,0,INDEX(Settings!$E$4:$E$9,COUNTIF(Settings!$D$4:$D$9,"&lt;="&amp;$H279))))</f>
        <v/>
      </c>
      <c r="K279" s="51">
        <f>IF($G279=0,0,IF(INDEX(Employees!$I$5:$I$29,$A279)="Per pay period",(N(INDEX(Employees!$J$5:$J$29,$A279))+$J279)/Settings!$B$13,IF(INDEX(Employees!$I$5:$I$29,$A279)="Per hour worked",N(INDEX(Employees!$K$5:$K$29,$A279))*$I279,IF(INDEX(Employees!$I$5:$I$29,$A279)="Front-loaded",IF(OR($B279=1,N($G278)=0),N(INDEX(Employees!$J$5:$J$29,$A279))+$J279,0),0))))</f>
        <v/>
      </c>
      <c r="L279" s="51">
        <f>IF($F279=0,0,SUMIFS('Time Off Log'!$H$5:$H$504,'Time Off Log'!$A$5:$A$504,$C279,'Time Off Log'!$B$5:$B$504,"PTO",'Time Off Log'!$E$5:$E$504,"Approved",'Time Off Log'!$C$5:$C$504,"&gt;="&amp;INDEX(Periods!$E$5:$E$57,$B279),'Time Off Log'!$C$5:$C$504,"&lt;="&amp;INDEX(Periods!$F$5:$F$57,$B279)))</f>
        <v/>
      </c>
      <c r="M279" s="51">
        <f>IF($B279=1,N(INDEX(Employees!$N$5:$N$29,$A279)),P278)</f>
        <v/>
      </c>
      <c r="N279" s="51">
        <f>IF(INDEX(Employees!$L$5:$L$29,$A279)="",K279,MAX(0,MIN(K279,INDEX(Employees!$L$5:$L$29,$A279)-(M279-L279))))</f>
        <v/>
      </c>
      <c r="O279" s="51">
        <f>K279-N279</f>
        <v/>
      </c>
      <c r="P279" s="51">
        <f>M279-L279+N279</f>
        <v/>
      </c>
      <c r="Q279" s="51">
        <f>IF($G279=0,0,IF(INDEX(Employees!$P$5:$P$29,$A279)="Per pay period",(N(INDEX(Employees!$Q$5:$Q$29,$A279)))/Settings!$B$13,IF(INDEX(Employees!$P$5:$P$29,$A279)="Per hour worked",N(INDEX(Employees!$R$5:$R$29,$A279))*$I279,IF(INDEX(Employees!$P$5:$P$29,$A279)="Front-loaded",IF(OR($B279=1,N($G278)=0),N(INDEX(Employees!$Q$5:$Q$29,$A279)),0),0))))</f>
        <v/>
      </c>
      <c r="R279" s="51">
        <f>IF($F279=0,0,SUMIFS('Time Off Log'!$H$5:$H$504,'Time Off Log'!$A$5:$A$504,$C279,'Time Off Log'!$B$5:$B$504,"Sick",'Time Off Log'!$E$5:$E$504,"Approved",'Time Off Log'!$C$5:$C$504,"&gt;="&amp;INDEX(Periods!$E$5:$E$57,$B279),'Time Off Log'!$C$5:$C$504,"&lt;="&amp;INDEX(Periods!$F$5:$F$57,$B279)))</f>
        <v/>
      </c>
      <c r="S279" s="51">
        <f>IF($B279=1,N(INDEX(Employees!$T$5:$T$29,$A279)),V278)</f>
        <v/>
      </c>
      <c r="T279" s="51">
        <f>IF(INDEX(Employees!$S$5:$S$29,$A279)="",Q279,MAX(0,MIN(Q279,INDEX(Employees!$S$5:$S$29,$A279)-(S279-R279))))</f>
        <v/>
      </c>
      <c r="U279" s="51">
        <f>Q279-T279</f>
        <v/>
      </c>
      <c r="V279" s="51">
        <f>S279-R279+T279</f>
        <v/>
      </c>
    </row>
    <row r="280">
      <c r="A280" s="50" t="n">
        <v>6</v>
      </c>
      <c r="B280" s="50" t="n">
        <v>11</v>
      </c>
      <c r="C280" s="51">
        <f>INDEX(Employees!$B$5:$B$29,$A280)&amp;""</f>
        <v/>
      </c>
      <c r="D280" s="52">
        <f>INDEX(Periods!$B$5:$B$57,$B280)</f>
        <v/>
      </c>
      <c r="E280" s="52">
        <f>INDEX(Periods!$C$5:$C$57,$B280)</f>
        <v/>
      </c>
      <c r="F280" s="50">
        <f>IF(AND($C280&lt;&gt;"",INDEX(Periods!$D$5:$D$57,$B280)=1),1,0)</f>
        <v/>
      </c>
      <c r="G280" s="50">
        <f>IF($F280=0,0,IF(AND(OR(INDEX(Employees!$D$5:$D$29,$A280)="",$E280&gt;=INDEX(Employees!$D$5:$D$29,$A280)+N(INDEX(Employees!$U$5:$U$29,$A280))),OR(INDEX(Employees!$E$5:$E$29,$A280)="",$D280&lt;=INDEX(Employees!$E$5:$E$29,$A280))),1,0))</f>
        <v/>
      </c>
      <c r="H280" s="50">
        <f>IF($G280=0,0,IF(INDEX(Employees!$D$5:$D$29,$A280)="",0,DATEDIF(INDEX(Employees!$D$5:$D$29,$A280),$E280,"y")))</f>
        <v/>
      </c>
      <c r="I280" s="51">
        <f>IF($G280=0,0,IF(INDEX('Hours Worked'!$D$5:$BD$29,$A280,$B280)="",N(INDEX(Employees!$H$5:$H$29,$A280)),INDEX('Hours Worked'!$D$5:$BD$29,$A280,$B280)))</f>
        <v/>
      </c>
      <c r="J280" s="51">
        <f>IF(OR($G280=0,INDEX(Employees!$O$5:$O$29,$A280)&lt;&gt;"Yes"),0,IF(COUNTIF(Settings!$D$4:$D$9,"&lt;="&amp;$H280)=0,0,INDEX(Settings!$E$4:$E$9,COUNTIF(Settings!$D$4:$D$9,"&lt;="&amp;$H280))))</f>
        <v/>
      </c>
      <c r="K280" s="51">
        <f>IF($G280=0,0,IF(INDEX(Employees!$I$5:$I$29,$A280)="Per pay period",(N(INDEX(Employees!$J$5:$J$29,$A280))+$J280)/Settings!$B$13,IF(INDEX(Employees!$I$5:$I$29,$A280)="Per hour worked",N(INDEX(Employees!$K$5:$K$29,$A280))*$I280,IF(INDEX(Employees!$I$5:$I$29,$A280)="Front-loaded",IF(OR($B280=1,N($G279)=0),N(INDEX(Employees!$J$5:$J$29,$A280))+$J280,0),0))))</f>
        <v/>
      </c>
      <c r="L280" s="51">
        <f>IF($F280=0,0,SUMIFS('Time Off Log'!$H$5:$H$504,'Time Off Log'!$A$5:$A$504,$C280,'Time Off Log'!$B$5:$B$504,"PTO",'Time Off Log'!$E$5:$E$504,"Approved",'Time Off Log'!$C$5:$C$504,"&gt;="&amp;INDEX(Periods!$E$5:$E$57,$B280),'Time Off Log'!$C$5:$C$504,"&lt;="&amp;INDEX(Periods!$F$5:$F$57,$B280)))</f>
        <v/>
      </c>
      <c r="M280" s="51">
        <f>IF($B280=1,N(INDEX(Employees!$N$5:$N$29,$A280)),P279)</f>
        <v/>
      </c>
      <c r="N280" s="51">
        <f>IF(INDEX(Employees!$L$5:$L$29,$A280)="",K280,MAX(0,MIN(K280,INDEX(Employees!$L$5:$L$29,$A280)-(M280-L280))))</f>
        <v/>
      </c>
      <c r="O280" s="51">
        <f>K280-N280</f>
        <v/>
      </c>
      <c r="P280" s="51">
        <f>M280-L280+N280</f>
        <v/>
      </c>
      <c r="Q280" s="51">
        <f>IF($G280=0,0,IF(INDEX(Employees!$P$5:$P$29,$A280)="Per pay period",(N(INDEX(Employees!$Q$5:$Q$29,$A280)))/Settings!$B$13,IF(INDEX(Employees!$P$5:$P$29,$A280)="Per hour worked",N(INDEX(Employees!$R$5:$R$29,$A280))*$I280,IF(INDEX(Employees!$P$5:$P$29,$A280)="Front-loaded",IF(OR($B280=1,N($G279)=0),N(INDEX(Employees!$Q$5:$Q$29,$A280)),0),0))))</f>
        <v/>
      </c>
      <c r="R280" s="51">
        <f>IF($F280=0,0,SUMIFS('Time Off Log'!$H$5:$H$504,'Time Off Log'!$A$5:$A$504,$C280,'Time Off Log'!$B$5:$B$504,"Sick",'Time Off Log'!$E$5:$E$504,"Approved",'Time Off Log'!$C$5:$C$504,"&gt;="&amp;INDEX(Periods!$E$5:$E$57,$B280),'Time Off Log'!$C$5:$C$504,"&lt;="&amp;INDEX(Periods!$F$5:$F$57,$B280)))</f>
        <v/>
      </c>
      <c r="S280" s="51">
        <f>IF($B280=1,N(INDEX(Employees!$T$5:$T$29,$A280)),V279)</f>
        <v/>
      </c>
      <c r="T280" s="51">
        <f>IF(INDEX(Employees!$S$5:$S$29,$A280)="",Q280,MAX(0,MIN(Q280,INDEX(Employees!$S$5:$S$29,$A280)-(S280-R280))))</f>
        <v/>
      </c>
      <c r="U280" s="51">
        <f>Q280-T280</f>
        <v/>
      </c>
      <c r="V280" s="51">
        <f>S280-R280+T280</f>
        <v/>
      </c>
    </row>
    <row r="281">
      <c r="A281" s="50" t="n">
        <v>6</v>
      </c>
      <c r="B281" s="50" t="n">
        <v>12</v>
      </c>
      <c r="C281" s="51">
        <f>INDEX(Employees!$B$5:$B$29,$A281)&amp;""</f>
        <v/>
      </c>
      <c r="D281" s="52">
        <f>INDEX(Periods!$B$5:$B$57,$B281)</f>
        <v/>
      </c>
      <c r="E281" s="52">
        <f>INDEX(Periods!$C$5:$C$57,$B281)</f>
        <v/>
      </c>
      <c r="F281" s="50">
        <f>IF(AND($C281&lt;&gt;"",INDEX(Periods!$D$5:$D$57,$B281)=1),1,0)</f>
        <v/>
      </c>
      <c r="G281" s="50">
        <f>IF($F281=0,0,IF(AND(OR(INDEX(Employees!$D$5:$D$29,$A281)="",$E281&gt;=INDEX(Employees!$D$5:$D$29,$A281)+N(INDEX(Employees!$U$5:$U$29,$A281))),OR(INDEX(Employees!$E$5:$E$29,$A281)="",$D281&lt;=INDEX(Employees!$E$5:$E$29,$A281))),1,0))</f>
        <v/>
      </c>
      <c r="H281" s="50">
        <f>IF($G281=0,0,IF(INDEX(Employees!$D$5:$D$29,$A281)="",0,DATEDIF(INDEX(Employees!$D$5:$D$29,$A281),$E281,"y")))</f>
        <v/>
      </c>
      <c r="I281" s="51">
        <f>IF($G281=0,0,IF(INDEX('Hours Worked'!$D$5:$BD$29,$A281,$B281)="",N(INDEX(Employees!$H$5:$H$29,$A281)),INDEX('Hours Worked'!$D$5:$BD$29,$A281,$B281)))</f>
        <v/>
      </c>
      <c r="J281" s="51">
        <f>IF(OR($G281=0,INDEX(Employees!$O$5:$O$29,$A281)&lt;&gt;"Yes"),0,IF(COUNTIF(Settings!$D$4:$D$9,"&lt;="&amp;$H281)=0,0,INDEX(Settings!$E$4:$E$9,COUNTIF(Settings!$D$4:$D$9,"&lt;="&amp;$H281))))</f>
        <v/>
      </c>
      <c r="K281" s="51">
        <f>IF($G281=0,0,IF(INDEX(Employees!$I$5:$I$29,$A281)="Per pay period",(N(INDEX(Employees!$J$5:$J$29,$A281))+$J281)/Settings!$B$13,IF(INDEX(Employees!$I$5:$I$29,$A281)="Per hour worked",N(INDEX(Employees!$K$5:$K$29,$A281))*$I281,IF(INDEX(Employees!$I$5:$I$29,$A281)="Front-loaded",IF(OR($B281=1,N($G280)=0),N(INDEX(Employees!$J$5:$J$29,$A281))+$J281,0),0))))</f>
        <v/>
      </c>
      <c r="L281" s="51">
        <f>IF($F281=0,0,SUMIFS('Time Off Log'!$H$5:$H$504,'Time Off Log'!$A$5:$A$504,$C281,'Time Off Log'!$B$5:$B$504,"PTO",'Time Off Log'!$E$5:$E$504,"Approved",'Time Off Log'!$C$5:$C$504,"&gt;="&amp;INDEX(Periods!$E$5:$E$57,$B281),'Time Off Log'!$C$5:$C$504,"&lt;="&amp;INDEX(Periods!$F$5:$F$57,$B281)))</f>
        <v/>
      </c>
      <c r="M281" s="51">
        <f>IF($B281=1,N(INDEX(Employees!$N$5:$N$29,$A281)),P280)</f>
        <v/>
      </c>
      <c r="N281" s="51">
        <f>IF(INDEX(Employees!$L$5:$L$29,$A281)="",K281,MAX(0,MIN(K281,INDEX(Employees!$L$5:$L$29,$A281)-(M281-L281))))</f>
        <v/>
      </c>
      <c r="O281" s="51">
        <f>K281-N281</f>
        <v/>
      </c>
      <c r="P281" s="51">
        <f>M281-L281+N281</f>
        <v/>
      </c>
      <c r="Q281" s="51">
        <f>IF($G281=0,0,IF(INDEX(Employees!$P$5:$P$29,$A281)="Per pay period",(N(INDEX(Employees!$Q$5:$Q$29,$A281)))/Settings!$B$13,IF(INDEX(Employees!$P$5:$P$29,$A281)="Per hour worked",N(INDEX(Employees!$R$5:$R$29,$A281))*$I281,IF(INDEX(Employees!$P$5:$P$29,$A281)="Front-loaded",IF(OR($B281=1,N($G280)=0),N(INDEX(Employees!$Q$5:$Q$29,$A281)),0),0))))</f>
        <v/>
      </c>
      <c r="R281" s="51">
        <f>IF($F281=0,0,SUMIFS('Time Off Log'!$H$5:$H$504,'Time Off Log'!$A$5:$A$504,$C281,'Time Off Log'!$B$5:$B$504,"Sick",'Time Off Log'!$E$5:$E$504,"Approved",'Time Off Log'!$C$5:$C$504,"&gt;="&amp;INDEX(Periods!$E$5:$E$57,$B281),'Time Off Log'!$C$5:$C$504,"&lt;="&amp;INDEX(Periods!$F$5:$F$57,$B281)))</f>
        <v/>
      </c>
      <c r="S281" s="51">
        <f>IF($B281=1,N(INDEX(Employees!$T$5:$T$29,$A281)),V280)</f>
        <v/>
      </c>
      <c r="T281" s="51">
        <f>IF(INDEX(Employees!$S$5:$S$29,$A281)="",Q281,MAX(0,MIN(Q281,INDEX(Employees!$S$5:$S$29,$A281)-(S281-R281))))</f>
        <v/>
      </c>
      <c r="U281" s="51">
        <f>Q281-T281</f>
        <v/>
      </c>
      <c r="V281" s="51">
        <f>S281-R281+T281</f>
        <v/>
      </c>
    </row>
    <row r="282">
      <c r="A282" s="50" t="n">
        <v>6</v>
      </c>
      <c r="B282" s="50" t="n">
        <v>13</v>
      </c>
      <c r="C282" s="51">
        <f>INDEX(Employees!$B$5:$B$29,$A282)&amp;""</f>
        <v/>
      </c>
      <c r="D282" s="52">
        <f>INDEX(Periods!$B$5:$B$57,$B282)</f>
        <v/>
      </c>
      <c r="E282" s="52">
        <f>INDEX(Periods!$C$5:$C$57,$B282)</f>
        <v/>
      </c>
      <c r="F282" s="50">
        <f>IF(AND($C282&lt;&gt;"",INDEX(Periods!$D$5:$D$57,$B282)=1),1,0)</f>
        <v/>
      </c>
      <c r="G282" s="50">
        <f>IF($F282=0,0,IF(AND(OR(INDEX(Employees!$D$5:$D$29,$A282)="",$E282&gt;=INDEX(Employees!$D$5:$D$29,$A282)+N(INDEX(Employees!$U$5:$U$29,$A282))),OR(INDEX(Employees!$E$5:$E$29,$A282)="",$D282&lt;=INDEX(Employees!$E$5:$E$29,$A282))),1,0))</f>
        <v/>
      </c>
      <c r="H282" s="50">
        <f>IF($G282=0,0,IF(INDEX(Employees!$D$5:$D$29,$A282)="",0,DATEDIF(INDEX(Employees!$D$5:$D$29,$A282),$E282,"y")))</f>
        <v/>
      </c>
      <c r="I282" s="51">
        <f>IF($G282=0,0,IF(INDEX('Hours Worked'!$D$5:$BD$29,$A282,$B282)="",N(INDEX(Employees!$H$5:$H$29,$A282)),INDEX('Hours Worked'!$D$5:$BD$29,$A282,$B282)))</f>
        <v/>
      </c>
      <c r="J282" s="51">
        <f>IF(OR($G282=0,INDEX(Employees!$O$5:$O$29,$A282)&lt;&gt;"Yes"),0,IF(COUNTIF(Settings!$D$4:$D$9,"&lt;="&amp;$H282)=0,0,INDEX(Settings!$E$4:$E$9,COUNTIF(Settings!$D$4:$D$9,"&lt;="&amp;$H282))))</f>
        <v/>
      </c>
      <c r="K282" s="51">
        <f>IF($G282=0,0,IF(INDEX(Employees!$I$5:$I$29,$A282)="Per pay period",(N(INDEX(Employees!$J$5:$J$29,$A282))+$J282)/Settings!$B$13,IF(INDEX(Employees!$I$5:$I$29,$A282)="Per hour worked",N(INDEX(Employees!$K$5:$K$29,$A282))*$I282,IF(INDEX(Employees!$I$5:$I$29,$A282)="Front-loaded",IF(OR($B282=1,N($G281)=0),N(INDEX(Employees!$J$5:$J$29,$A282))+$J282,0),0))))</f>
        <v/>
      </c>
      <c r="L282" s="51">
        <f>IF($F282=0,0,SUMIFS('Time Off Log'!$H$5:$H$504,'Time Off Log'!$A$5:$A$504,$C282,'Time Off Log'!$B$5:$B$504,"PTO",'Time Off Log'!$E$5:$E$504,"Approved",'Time Off Log'!$C$5:$C$504,"&gt;="&amp;INDEX(Periods!$E$5:$E$57,$B282),'Time Off Log'!$C$5:$C$504,"&lt;="&amp;INDEX(Periods!$F$5:$F$57,$B282)))</f>
        <v/>
      </c>
      <c r="M282" s="51">
        <f>IF($B282=1,N(INDEX(Employees!$N$5:$N$29,$A282)),P281)</f>
        <v/>
      </c>
      <c r="N282" s="51">
        <f>IF(INDEX(Employees!$L$5:$L$29,$A282)="",K282,MAX(0,MIN(K282,INDEX(Employees!$L$5:$L$29,$A282)-(M282-L282))))</f>
        <v/>
      </c>
      <c r="O282" s="51">
        <f>K282-N282</f>
        <v/>
      </c>
      <c r="P282" s="51">
        <f>M282-L282+N282</f>
        <v/>
      </c>
      <c r="Q282" s="51">
        <f>IF($G282=0,0,IF(INDEX(Employees!$P$5:$P$29,$A282)="Per pay period",(N(INDEX(Employees!$Q$5:$Q$29,$A282)))/Settings!$B$13,IF(INDEX(Employees!$P$5:$P$29,$A282)="Per hour worked",N(INDEX(Employees!$R$5:$R$29,$A282))*$I282,IF(INDEX(Employees!$P$5:$P$29,$A282)="Front-loaded",IF(OR($B282=1,N($G281)=0),N(INDEX(Employees!$Q$5:$Q$29,$A282)),0),0))))</f>
        <v/>
      </c>
      <c r="R282" s="51">
        <f>IF($F282=0,0,SUMIFS('Time Off Log'!$H$5:$H$504,'Time Off Log'!$A$5:$A$504,$C282,'Time Off Log'!$B$5:$B$504,"Sick",'Time Off Log'!$E$5:$E$504,"Approved",'Time Off Log'!$C$5:$C$504,"&gt;="&amp;INDEX(Periods!$E$5:$E$57,$B282),'Time Off Log'!$C$5:$C$504,"&lt;="&amp;INDEX(Periods!$F$5:$F$57,$B282)))</f>
        <v/>
      </c>
      <c r="S282" s="51">
        <f>IF($B282=1,N(INDEX(Employees!$T$5:$T$29,$A282)),V281)</f>
        <v/>
      </c>
      <c r="T282" s="51">
        <f>IF(INDEX(Employees!$S$5:$S$29,$A282)="",Q282,MAX(0,MIN(Q282,INDEX(Employees!$S$5:$S$29,$A282)-(S282-R282))))</f>
        <v/>
      </c>
      <c r="U282" s="51">
        <f>Q282-T282</f>
        <v/>
      </c>
      <c r="V282" s="51">
        <f>S282-R282+T282</f>
        <v/>
      </c>
    </row>
    <row r="283">
      <c r="A283" s="50" t="n">
        <v>6</v>
      </c>
      <c r="B283" s="50" t="n">
        <v>14</v>
      </c>
      <c r="C283" s="51">
        <f>INDEX(Employees!$B$5:$B$29,$A283)&amp;""</f>
        <v/>
      </c>
      <c r="D283" s="52">
        <f>INDEX(Periods!$B$5:$B$57,$B283)</f>
        <v/>
      </c>
      <c r="E283" s="52">
        <f>INDEX(Periods!$C$5:$C$57,$B283)</f>
        <v/>
      </c>
      <c r="F283" s="50">
        <f>IF(AND($C283&lt;&gt;"",INDEX(Periods!$D$5:$D$57,$B283)=1),1,0)</f>
        <v/>
      </c>
      <c r="G283" s="50">
        <f>IF($F283=0,0,IF(AND(OR(INDEX(Employees!$D$5:$D$29,$A283)="",$E283&gt;=INDEX(Employees!$D$5:$D$29,$A283)+N(INDEX(Employees!$U$5:$U$29,$A283))),OR(INDEX(Employees!$E$5:$E$29,$A283)="",$D283&lt;=INDEX(Employees!$E$5:$E$29,$A283))),1,0))</f>
        <v/>
      </c>
      <c r="H283" s="50">
        <f>IF($G283=0,0,IF(INDEX(Employees!$D$5:$D$29,$A283)="",0,DATEDIF(INDEX(Employees!$D$5:$D$29,$A283),$E283,"y")))</f>
        <v/>
      </c>
      <c r="I283" s="51">
        <f>IF($G283=0,0,IF(INDEX('Hours Worked'!$D$5:$BD$29,$A283,$B283)="",N(INDEX(Employees!$H$5:$H$29,$A283)),INDEX('Hours Worked'!$D$5:$BD$29,$A283,$B283)))</f>
        <v/>
      </c>
      <c r="J283" s="51">
        <f>IF(OR($G283=0,INDEX(Employees!$O$5:$O$29,$A283)&lt;&gt;"Yes"),0,IF(COUNTIF(Settings!$D$4:$D$9,"&lt;="&amp;$H283)=0,0,INDEX(Settings!$E$4:$E$9,COUNTIF(Settings!$D$4:$D$9,"&lt;="&amp;$H283))))</f>
        <v/>
      </c>
      <c r="K283" s="51">
        <f>IF($G283=0,0,IF(INDEX(Employees!$I$5:$I$29,$A283)="Per pay period",(N(INDEX(Employees!$J$5:$J$29,$A283))+$J283)/Settings!$B$13,IF(INDEX(Employees!$I$5:$I$29,$A283)="Per hour worked",N(INDEX(Employees!$K$5:$K$29,$A283))*$I283,IF(INDEX(Employees!$I$5:$I$29,$A283)="Front-loaded",IF(OR($B283=1,N($G282)=0),N(INDEX(Employees!$J$5:$J$29,$A283))+$J283,0),0))))</f>
        <v/>
      </c>
      <c r="L283" s="51">
        <f>IF($F283=0,0,SUMIFS('Time Off Log'!$H$5:$H$504,'Time Off Log'!$A$5:$A$504,$C283,'Time Off Log'!$B$5:$B$504,"PTO",'Time Off Log'!$E$5:$E$504,"Approved",'Time Off Log'!$C$5:$C$504,"&gt;="&amp;INDEX(Periods!$E$5:$E$57,$B283),'Time Off Log'!$C$5:$C$504,"&lt;="&amp;INDEX(Periods!$F$5:$F$57,$B283)))</f>
        <v/>
      </c>
      <c r="M283" s="51">
        <f>IF($B283=1,N(INDEX(Employees!$N$5:$N$29,$A283)),P282)</f>
        <v/>
      </c>
      <c r="N283" s="51">
        <f>IF(INDEX(Employees!$L$5:$L$29,$A283)="",K283,MAX(0,MIN(K283,INDEX(Employees!$L$5:$L$29,$A283)-(M283-L283))))</f>
        <v/>
      </c>
      <c r="O283" s="51">
        <f>K283-N283</f>
        <v/>
      </c>
      <c r="P283" s="51">
        <f>M283-L283+N283</f>
        <v/>
      </c>
      <c r="Q283" s="51">
        <f>IF($G283=0,0,IF(INDEX(Employees!$P$5:$P$29,$A283)="Per pay period",(N(INDEX(Employees!$Q$5:$Q$29,$A283)))/Settings!$B$13,IF(INDEX(Employees!$P$5:$P$29,$A283)="Per hour worked",N(INDEX(Employees!$R$5:$R$29,$A283))*$I283,IF(INDEX(Employees!$P$5:$P$29,$A283)="Front-loaded",IF(OR($B283=1,N($G282)=0),N(INDEX(Employees!$Q$5:$Q$29,$A283)),0),0))))</f>
        <v/>
      </c>
      <c r="R283" s="51">
        <f>IF($F283=0,0,SUMIFS('Time Off Log'!$H$5:$H$504,'Time Off Log'!$A$5:$A$504,$C283,'Time Off Log'!$B$5:$B$504,"Sick",'Time Off Log'!$E$5:$E$504,"Approved",'Time Off Log'!$C$5:$C$504,"&gt;="&amp;INDEX(Periods!$E$5:$E$57,$B283),'Time Off Log'!$C$5:$C$504,"&lt;="&amp;INDEX(Periods!$F$5:$F$57,$B283)))</f>
        <v/>
      </c>
      <c r="S283" s="51">
        <f>IF($B283=1,N(INDEX(Employees!$T$5:$T$29,$A283)),V282)</f>
        <v/>
      </c>
      <c r="T283" s="51">
        <f>IF(INDEX(Employees!$S$5:$S$29,$A283)="",Q283,MAX(0,MIN(Q283,INDEX(Employees!$S$5:$S$29,$A283)-(S283-R283))))</f>
        <v/>
      </c>
      <c r="U283" s="51">
        <f>Q283-T283</f>
        <v/>
      </c>
      <c r="V283" s="51">
        <f>S283-R283+T283</f>
        <v/>
      </c>
    </row>
    <row r="284">
      <c r="A284" s="50" t="n">
        <v>6</v>
      </c>
      <c r="B284" s="50" t="n">
        <v>15</v>
      </c>
      <c r="C284" s="51">
        <f>INDEX(Employees!$B$5:$B$29,$A284)&amp;""</f>
        <v/>
      </c>
      <c r="D284" s="52">
        <f>INDEX(Periods!$B$5:$B$57,$B284)</f>
        <v/>
      </c>
      <c r="E284" s="52">
        <f>INDEX(Periods!$C$5:$C$57,$B284)</f>
        <v/>
      </c>
      <c r="F284" s="50">
        <f>IF(AND($C284&lt;&gt;"",INDEX(Periods!$D$5:$D$57,$B284)=1),1,0)</f>
        <v/>
      </c>
      <c r="G284" s="50">
        <f>IF($F284=0,0,IF(AND(OR(INDEX(Employees!$D$5:$D$29,$A284)="",$E284&gt;=INDEX(Employees!$D$5:$D$29,$A284)+N(INDEX(Employees!$U$5:$U$29,$A284))),OR(INDEX(Employees!$E$5:$E$29,$A284)="",$D284&lt;=INDEX(Employees!$E$5:$E$29,$A284))),1,0))</f>
        <v/>
      </c>
      <c r="H284" s="50">
        <f>IF($G284=0,0,IF(INDEX(Employees!$D$5:$D$29,$A284)="",0,DATEDIF(INDEX(Employees!$D$5:$D$29,$A284),$E284,"y")))</f>
        <v/>
      </c>
      <c r="I284" s="51">
        <f>IF($G284=0,0,IF(INDEX('Hours Worked'!$D$5:$BD$29,$A284,$B284)="",N(INDEX(Employees!$H$5:$H$29,$A284)),INDEX('Hours Worked'!$D$5:$BD$29,$A284,$B284)))</f>
        <v/>
      </c>
      <c r="J284" s="51">
        <f>IF(OR($G284=0,INDEX(Employees!$O$5:$O$29,$A284)&lt;&gt;"Yes"),0,IF(COUNTIF(Settings!$D$4:$D$9,"&lt;="&amp;$H284)=0,0,INDEX(Settings!$E$4:$E$9,COUNTIF(Settings!$D$4:$D$9,"&lt;="&amp;$H284))))</f>
        <v/>
      </c>
      <c r="K284" s="51">
        <f>IF($G284=0,0,IF(INDEX(Employees!$I$5:$I$29,$A284)="Per pay period",(N(INDEX(Employees!$J$5:$J$29,$A284))+$J284)/Settings!$B$13,IF(INDEX(Employees!$I$5:$I$29,$A284)="Per hour worked",N(INDEX(Employees!$K$5:$K$29,$A284))*$I284,IF(INDEX(Employees!$I$5:$I$29,$A284)="Front-loaded",IF(OR($B284=1,N($G283)=0),N(INDEX(Employees!$J$5:$J$29,$A284))+$J284,0),0))))</f>
        <v/>
      </c>
      <c r="L284" s="51">
        <f>IF($F284=0,0,SUMIFS('Time Off Log'!$H$5:$H$504,'Time Off Log'!$A$5:$A$504,$C284,'Time Off Log'!$B$5:$B$504,"PTO",'Time Off Log'!$E$5:$E$504,"Approved",'Time Off Log'!$C$5:$C$504,"&gt;="&amp;INDEX(Periods!$E$5:$E$57,$B284),'Time Off Log'!$C$5:$C$504,"&lt;="&amp;INDEX(Periods!$F$5:$F$57,$B284)))</f>
        <v/>
      </c>
      <c r="M284" s="51">
        <f>IF($B284=1,N(INDEX(Employees!$N$5:$N$29,$A284)),P283)</f>
        <v/>
      </c>
      <c r="N284" s="51">
        <f>IF(INDEX(Employees!$L$5:$L$29,$A284)="",K284,MAX(0,MIN(K284,INDEX(Employees!$L$5:$L$29,$A284)-(M284-L284))))</f>
        <v/>
      </c>
      <c r="O284" s="51">
        <f>K284-N284</f>
        <v/>
      </c>
      <c r="P284" s="51">
        <f>M284-L284+N284</f>
        <v/>
      </c>
      <c r="Q284" s="51">
        <f>IF($G284=0,0,IF(INDEX(Employees!$P$5:$P$29,$A284)="Per pay period",(N(INDEX(Employees!$Q$5:$Q$29,$A284)))/Settings!$B$13,IF(INDEX(Employees!$P$5:$P$29,$A284)="Per hour worked",N(INDEX(Employees!$R$5:$R$29,$A284))*$I284,IF(INDEX(Employees!$P$5:$P$29,$A284)="Front-loaded",IF(OR($B284=1,N($G283)=0),N(INDEX(Employees!$Q$5:$Q$29,$A284)),0),0))))</f>
        <v/>
      </c>
      <c r="R284" s="51">
        <f>IF($F284=0,0,SUMIFS('Time Off Log'!$H$5:$H$504,'Time Off Log'!$A$5:$A$504,$C284,'Time Off Log'!$B$5:$B$504,"Sick",'Time Off Log'!$E$5:$E$504,"Approved",'Time Off Log'!$C$5:$C$504,"&gt;="&amp;INDEX(Periods!$E$5:$E$57,$B284),'Time Off Log'!$C$5:$C$504,"&lt;="&amp;INDEX(Periods!$F$5:$F$57,$B284)))</f>
        <v/>
      </c>
      <c r="S284" s="51">
        <f>IF($B284=1,N(INDEX(Employees!$T$5:$T$29,$A284)),V283)</f>
        <v/>
      </c>
      <c r="T284" s="51">
        <f>IF(INDEX(Employees!$S$5:$S$29,$A284)="",Q284,MAX(0,MIN(Q284,INDEX(Employees!$S$5:$S$29,$A284)-(S284-R284))))</f>
        <v/>
      </c>
      <c r="U284" s="51">
        <f>Q284-T284</f>
        <v/>
      </c>
      <c r="V284" s="51">
        <f>S284-R284+T284</f>
        <v/>
      </c>
    </row>
    <row r="285">
      <c r="A285" s="50" t="n">
        <v>6</v>
      </c>
      <c r="B285" s="50" t="n">
        <v>16</v>
      </c>
      <c r="C285" s="51">
        <f>INDEX(Employees!$B$5:$B$29,$A285)&amp;""</f>
        <v/>
      </c>
      <c r="D285" s="52">
        <f>INDEX(Periods!$B$5:$B$57,$B285)</f>
        <v/>
      </c>
      <c r="E285" s="52">
        <f>INDEX(Periods!$C$5:$C$57,$B285)</f>
        <v/>
      </c>
      <c r="F285" s="50">
        <f>IF(AND($C285&lt;&gt;"",INDEX(Periods!$D$5:$D$57,$B285)=1),1,0)</f>
        <v/>
      </c>
      <c r="G285" s="50">
        <f>IF($F285=0,0,IF(AND(OR(INDEX(Employees!$D$5:$D$29,$A285)="",$E285&gt;=INDEX(Employees!$D$5:$D$29,$A285)+N(INDEX(Employees!$U$5:$U$29,$A285))),OR(INDEX(Employees!$E$5:$E$29,$A285)="",$D285&lt;=INDEX(Employees!$E$5:$E$29,$A285))),1,0))</f>
        <v/>
      </c>
      <c r="H285" s="50">
        <f>IF($G285=0,0,IF(INDEX(Employees!$D$5:$D$29,$A285)="",0,DATEDIF(INDEX(Employees!$D$5:$D$29,$A285),$E285,"y")))</f>
        <v/>
      </c>
      <c r="I285" s="51">
        <f>IF($G285=0,0,IF(INDEX('Hours Worked'!$D$5:$BD$29,$A285,$B285)="",N(INDEX(Employees!$H$5:$H$29,$A285)),INDEX('Hours Worked'!$D$5:$BD$29,$A285,$B285)))</f>
        <v/>
      </c>
      <c r="J285" s="51">
        <f>IF(OR($G285=0,INDEX(Employees!$O$5:$O$29,$A285)&lt;&gt;"Yes"),0,IF(COUNTIF(Settings!$D$4:$D$9,"&lt;="&amp;$H285)=0,0,INDEX(Settings!$E$4:$E$9,COUNTIF(Settings!$D$4:$D$9,"&lt;="&amp;$H285))))</f>
        <v/>
      </c>
      <c r="K285" s="51">
        <f>IF($G285=0,0,IF(INDEX(Employees!$I$5:$I$29,$A285)="Per pay period",(N(INDEX(Employees!$J$5:$J$29,$A285))+$J285)/Settings!$B$13,IF(INDEX(Employees!$I$5:$I$29,$A285)="Per hour worked",N(INDEX(Employees!$K$5:$K$29,$A285))*$I285,IF(INDEX(Employees!$I$5:$I$29,$A285)="Front-loaded",IF(OR($B285=1,N($G284)=0),N(INDEX(Employees!$J$5:$J$29,$A285))+$J285,0),0))))</f>
        <v/>
      </c>
      <c r="L285" s="51">
        <f>IF($F285=0,0,SUMIFS('Time Off Log'!$H$5:$H$504,'Time Off Log'!$A$5:$A$504,$C285,'Time Off Log'!$B$5:$B$504,"PTO",'Time Off Log'!$E$5:$E$504,"Approved",'Time Off Log'!$C$5:$C$504,"&gt;="&amp;INDEX(Periods!$E$5:$E$57,$B285),'Time Off Log'!$C$5:$C$504,"&lt;="&amp;INDEX(Periods!$F$5:$F$57,$B285)))</f>
        <v/>
      </c>
      <c r="M285" s="51">
        <f>IF($B285=1,N(INDEX(Employees!$N$5:$N$29,$A285)),P284)</f>
        <v/>
      </c>
      <c r="N285" s="51">
        <f>IF(INDEX(Employees!$L$5:$L$29,$A285)="",K285,MAX(0,MIN(K285,INDEX(Employees!$L$5:$L$29,$A285)-(M285-L285))))</f>
        <v/>
      </c>
      <c r="O285" s="51">
        <f>K285-N285</f>
        <v/>
      </c>
      <c r="P285" s="51">
        <f>M285-L285+N285</f>
        <v/>
      </c>
      <c r="Q285" s="51">
        <f>IF($G285=0,0,IF(INDEX(Employees!$P$5:$P$29,$A285)="Per pay period",(N(INDEX(Employees!$Q$5:$Q$29,$A285)))/Settings!$B$13,IF(INDEX(Employees!$P$5:$P$29,$A285)="Per hour worked",N(INDEX(Employees!$R$5:$R$29,$A285))*$I285,IF(INDEX(Employees!$P$5:$P$29,$A285)="Front-loaded",IF(OR($B285=1,N($G284)=0),N(INDEX(Employees!$Q$5:$Q$29,$A285)),0),0))))</f>
        <v/>
      </c>
      <c r="R285" s="51">
        <f>IF($F285=0,0,SUMIFS('Time Off Log'!$H$5:$H$504,'Time Off Log'!$A$5:$A$504,$C285,'Time Off Log'!$B$5:$B$504,"Sick",'Time Off Log'!$E$5:$E$504,"Approved",'Time Off Log'!$C$5:$C$504,"&gt;="&amp;INDEX(Periods!$E$5:$E$57,$B285),'Time Off Log'!$C$5:$C$504,"&lt;="&amp;INDEX(Periods!$F$5:$F$57,$B285)))</f>
        <v/>
      </c>
      <c r="S285" s="51">
        <f>IF($B285=1,N(INDEX(Employees!$T$5:$T$29,$A285)),V284)</f>
        <v/>
      </c>
      <c r="T285" s="51">
        <f>IF(INDEX(Employees!$S$5:$S$29,$A285)="",Q285,MAX(0,MIN(Q285,INDEX(Employees!$S$5:$S$29,$A285)-(S285-R285))))</f>
        <v/>
      </c>
      <c r="U285" s="51">
        <f>Q285-T285</f>
        <v/>
      </c>
      <c r="V285" s="51">
        <f>S285-R285+T285</f>
        <v/>
      </c>
    </row>
    <row r="286">
      <c r="A286" s="50" t="n">
        <v>6</v>
      </c>
      <c r="B286" s="50" t="n">
        <v>17</v>
      </c>
      <c r="C286" s="51">
        <f>INDEX(Employees!$B$5:$B$29,$A286)&amp;""</f>
        <v/>
      </c>
      <c r="D286" s="52">
        <f>INDEX(Periods!$B$5:$B$57,$B286)</f>
        <v/>
      </c>
      <c r="E286" s="52">
        <f>INDEX(Periods!$C$5:$C$57,$B286)</f>
        <v/>
      </c>
      <c r="F286" s="50">
        <f>IF(AND($C286&lt;&gt;"",INDEX(Periods!$D$5:$D$57,$B286)=1),1,0)</f>
        <v/>
      </c>
      <c r="G286" s="50">
        <f>IF($F286=0,0,IF(AND(OR(INDEX(Employees!$D$5:$D$29,$A286)="",$E286&gt;=INDEX(Employees!$D$5:$D$29,$A286)+N(INDEX(Employees!$U$5:$U$29,$A286))),OR(INDEX(Employees!$E$5:$E$29,$A286)="",$D286&lt;=INDEX(Employees!$E$5:$E$29,$A286))),1,0))</f>
        <v/>
      </c>
      <c r="H286" s="50">
        <f>IF($G286=0,0,IF(INDEX(Employees!$D$5:$D$29,$A286)="",0,DATEDIF(INDEX(Employees!$D$5:$D$29,$A286),$E286,"y")))</f>
        <v/>
      </c>
      <c r="I286" s="51">
        <f>IF($G286=0,0,IF(INDEX('Hours Worked'!$D$5:$BD$29,$A286,$B286)="",N(INDEX(Employees!$H$5:$H$29,$A286)),INDEX('Hours Worked'!$D$5:$BD$29,$A286,$B286)))</f>
        <v/>
      </c>
      <c r="J286" s="51">
        <f>IF(OR($G286=0,INDEX(Employees!$O$5:$O$29,$A286)&lt;&gt;"Yes"),0,IF(COUNTIF(Settings!$D$4:$D$9,"&lt;="&amp;$H286)=0,0,INDEX(Settings!$E$4:$E$9,COUNTIF(Settings!$D$4:$D$9,"&lt;="&amp;$H286))))</f>
        <v/>
      </c>
      <c r="K286" s="51">
        <f>IF($G286=0,0,IF(INDEX(Employees!$I$5:$I$29,$A286)="Per pay period",(N(INDEX(Employees!$J$5:$J$29,$A286))+$J286)/Settings!$B$13,IF(INDEX(Employees!$I$5:$I$29,$A286)="Per hour worked",N(INDEX(Employees!$K$5:$K$29,$A286))*$I286,IF(INDEX(Employees!$I$5:$I$29,$A286)="Front-loaded",IF(OR($B286=1,N($G285)=0),N(INDEX(Employees!$J$5:$J$29,$A286))+$J286,0),0))))</f>
        <v/>
      </c>
      <c r="L286" s="51">
        <f>IF($F286=0,0,SUMIFS('Time Off Log'!$H$5:$H$504,'Time Off Log'!$A$5:$A$504,$C286,'Time Off Log'!$B$5:$B$504,"PTO",'Time Off Log'!$E$5:$E$504,"Approved",'Time Off Log'!$C$5:$C$504,"&gt;="&amp;INDEX(Periods!$E$5:$E$57,$B286),'Time Off Log'!$C$5:$C$504,"&lt;="&amp;INDEX(Periods!$F$5:$F$57,$B286)))</f>
        <v/>
      </c>
      <c r="M286" s="51">
        <f>IF($B286=1,N(INDEX(Employees!$N$5:$N$29,$A286)),P285)</f>
        <v/>
      </c>
      <c r="N286" s="51">
        <f>IF(INDEX(Employees!$L$5:$L$29,$A286)="",K286,MAX(0,MIN(K286,INDEX(Employees!$L$5:$L$29,$A286)-(M286-L286))))</f>
        <v/>
      </c>
      <c r="O286" s="51">
        <f>K286-N286</f>
        <v/>
      </c>
      <c r="P286" s="51">
        <f>M286-L286+N286</f>
        <v/>
      </c>
      <c r="Q286" s="51">
        <f>IF($G286=0,0,IF(INDEX(Employees!$P$5:$P$29,$A286)="Per pay period",(N(INDEX(Employees!$Q$5:$Q$29,$A286)))/Settings!$B$13,IF(INDEX(Employees!$P$5:$P$29,$A286)="Per hour worked",N(INDEX(Employees!$R$5:$R$29,$A286))*$I286,IF(INDEX(Employees!$P$5:$P$29,$A286)="Front-loaded",IF(OR($B286=1,N($G285)=0),N(INDEX(Employees!$Q$5:$Q$29,$A286)),0),0))))</f>
        <v/>
      </c>
      <c r="R286" s="51">
        <f>IF($F286=0,0,SUMIFS('Time Off Log'!$H$5:$H$504,'Time Off Log'!$A$5:$A$504,$C286,'Time Off Log'!$B$5:$B$504,"Sick",'Time Off Log'!$E$5:$E$504,"Approved",'Time Off Log'!$C$5:$C$504,"&gt;="&amp;INDEX(Periods!$E$5:$E$57,$B286),'Time Off Log'!$C$5:$C$504,"&lt;="&amp;INDEX(Periods!$F$5:$F$57,$B286)))</f>
        <v/>
      </c>
      <c r="S286" s="51">
        <f>IF($B286=1,N(INDEX(Employees!$T$5:$T$29,$A286)),V285)</f>
        <v/>
      </c>
      <c r="T286" s="51">
        <f>IF(INDEX(Employees!$S$5:$S$29,$A286)="",Q286,MAX(0,MIN(Q286,INDEX(Employees!$S$5:$S$29,$A286)-(S286-R286))))</f>
        <v/>
      </c>
      <c r="U286" s="51">
        <f>Q286-T286</f>
        <v/>
      </c>
      <c r="V286" s="51">
        <f>S286-R286+T286</f>
        <v/>
      </c>
    </row>
    <row r="287">
      <c r="A287" s="50" t="n">
        <v>6</v>
      </c>
      <c r="B287" s="50" t="n">
        <v>18</v>
      </c>
      <c r="C287" s="51">
        <f>INDEX(Employees!$B$5:$B$29,$A287)&amp;""</f>
        <v/>
      </c>
      <c r="D287" s="52">
        <f>INDEX(Periods!$B$5:$B$57,$B287)</f>
        <v/>
      </c>
      <c r="E287" s="52">
        <f>INDEX(Periods!$C$5:$C$57,$B287)</f>
        <v/>
      </c>
      <c r="F287" s="50">
        <f>IF(AND($C287&lt;&gt;"",INDEX(Periods!$D$5:$D$57,$B287)=1),1,0)</f>
        <v/>
      </c>
      <c r="G287" s="50">
        <f>IF($F287=0,0,IF(AND(OR(INDEX(Employees!$D$5:$D$29,$A287)="",$E287&gt;=INDEX(Employees!$D$5:$D$29,$A287)+N(INDEX(Employees!$U$5:$U$29,$A287))),OR(INDEX(Employees!$E$5:$E$29,$A287)="",$D287&lt;=INDEX(Employees!$E$5:$E$29,$A287))),1,0))</f>
        <v/>
      </c>
      <c r="H287" s="50">
        <f>IF($G287=0,0,IF(INDEX(Employees!$D$5:$D$29,$A287)="",0,DATEDIF(INDEX(Employees!$D$5:$D$29,$A287),$E287,"y")))</f>
        <v/>
      </c>
      <c r="I287" s="51">
        <f>IF($G287=0,0,IF(INDEX('Hours Worked'!$D$5:$BD$29,$A287,$B287)="",N(INDEX(Employees!$H$5:$H$29,$A287)),INDEX('Hours Worked'!$D$5:$BD$29,$A287,$B287)))</f>
        <v/>
      </c>
      <c r="J287" s="51">
        <f>IF(OR($G287=0,INDEX(Employees!$O$5:$O$29,$A287)&lt;&gt;"Yes"),0,IF(COUNTIF(Settings!$D$4:$D$9,"&lt;="&amp;$H287)=0,0,INDEX(Settings!$E$4:$E$9,COUNTIF(Settings!$D$4:$D$9,"&lt;="&amp;$H287))))</f>
        <v/>
      </c>
      <c r="K287" s="51">
        <f>IF($G287=0,0,IF(INDEX(Employees!$I$5:$I$29,$A287)="Per pay period",(N(INDEX(Employees!$J$5:$J$29,$A287))+$J287)/Settings!$B$13,IF(INDEX(Employees!$I$5:$I$29,$A287)="Per hour worked",N(INDEX(Employees!$K$5:$K$29,$A287))*$I287,IF(INDEX(Employees!$I$5:$I$29,$A287)="Front-loaded",IF(OR($B287=1,N($G286)=0),N(INDEX(Employees!$J$5:$J$29,$A287))+$J287,0),0))))</f>
        <v/>
      </c>
      <c r="L287" s="51">
        <f>IF($F287=0,0,SUMIFS('Time Off Log'!$H$5:$H$504,'Time Off Log'!$A$5:$A$504,$C287,'Time Off Log'!$B$5:$B$504,"PTO",'Time Off Log'!$E$5:$E$504,"Approved",'Time Off Log'!$C$5:$C$504,"&gt;="&amp;INDEX(Periods!$E$5:$E$57,$B287),'Time Off Log'!$C$5:$C$504,"&lt;="&amp;INDEX(Periods!$F$5:$F$57,$B287)))</f>
        <v/>
      </c>
      <c r="M287" s="51">
        <f>IF($B287=1,N(INDEX(Employees!$N$5:$N$29,$A287)),P286)</f>
        <v/>
      </c>
      <c r="N287" s="51">
        <f>IF(INDEX(Employees!$L$5:$L$29,$A287)="",K287,MAX(0,MIN(K287,INDEX(Employees!$L$5:$L$29,$A287)-(M287-L287))))</f>
        <v/>
      </c>
      <c r="O287" s="51">
        <f>K287-N287</f>
        <v/>
      </c>
      <c r="P287" s="51">
        <f>M287-L287+N287</f>
        <v/>
      </c>
      <c r="Q287" s="51">
        <f>IF($G287=0,0,IF(INDEX(Employees!$P$5:$P$29,$A287)="Per pay period",(N(INDEX(Employees!$Q$5:$Q$29,$A287)))/Settings!$B$13,IF(INDEX(Employees!$P$5:$P$29,$A287)="Per hour worked",N(INDEX(Employees!$R$5:$R$29,$A287))*$I287,IF(INDEX(Employees!$P$5:$P$29,$A287)="Front-loaded",IF(OR($B287=1,N($G286)=0),N(INDEX(Employees!$Q$5:$Q$29,$A287)),0),0))))</f>
        <v/>
      </c>
      <c r="R287" s="51">
        <f>IF($F287=0,0,SUMIFS('Time Off Log'!$H$5:$H$504,'Time Off Log'!$A$5:$A$504,$C287,'Time Off Log'!$B$5:$B$504,"Sick",'Time Off Log'!$E$5:$E$504,"Approved",'Time Off Log'!$C$5:$C$504,"&gt;="&amp;INDEX(Periods!$E$5:$E$57,$B287),'Time Off Log'!$C$5:$C$504,"&lt;="&amp;INDEX(Periods!$F$5:$F$57,$B287)))</f>
        <v/>
      </c>
      <c r="S287" s="51">
        <f>IF($B287=1,N(INDEX(Employees!$T$5:$T$29,$A287)),V286)</f>
        <v/>
      </c>
      <c r="T287" s="51">
        <f>IF(INDEX(Employees!$S$5:$S$29,$A287)="",Q287,MAX(0,MIN(Q287,INDEX(Employees!$S$5:$S$29,$A287)-(S287-R287))))</f>
        <v/>
      </c>
      <c r="U287" s="51">
        <f>Q287-T287</f>
        <v/>
      </c>
      <c r="V287" s="51">
        <f>S287-R287+T287</f>
        <v/>
      </c>
    </row>
    <row r="288">
      <c r="A288" s="50" t="n">
        <v>6</v>
      </c>
      <c r="B288" s="50" t="n">
        <v>19</v>
      </c>
      <c r="C288" s="51">
        <f>INDEX(Employees!$B$5:$B$29,$A288)&amp;""</f>
        <v/>
      </c>
      <c r="D288" s="52">
        <f>INDEX(Periods!$B$5:$B$57,$B288)</f>
        <v/>
      </c>
      <c r="E288" s="52">
        <f>INDEX(Periods!$C$5:$C$57,$B288)</f>
        <v/>
      </c>
      <c r="F288" s="50">
        <f>IF(AND($C288&lt;&gt;"",INDEX(Periods!$D$5:$D$57,$B288)=1),1,0)</f>
        <v/>
      </c>
      <c r="G288" s="50">
        <f>IF($F288=0,0,IF(AND(OR(INDEX(Employees!$D$5:$D$29,$A288)="",$E288&gt;=INDEX(Employees!$D$5:$D$29,$A288)+N(INDEX(Employees!$U$5:$U$29,$A288))),OR(INDEX(Employees!$E$5:$E$29,$A288)="",$D288&lt;=INDEX(Employees!$E$5:$E$29,$A288))),1,0))</f>
        <v/>
      </c>
      <c r="H288" s="50">
        <f>IF($G288=0,0,IF(INDEX(Employees!$D$5:$D$29,$A288)="",0,DATEDIF(INDEX(Employees!$D$5:$D$29,$A288),$E288,"y")))</f>
        <v/>
      </c>
      <c r="I288" s="51">
        <f>IF($G288=0,0,IF(INDEX('Hours Worked'!$D$5:$BD$29,$A288,$B288)="",N(INDEX(Employees!$H$5:$H$29,$A288)),INDEX('Hours Worked'!$D$5:$BD$29,$A288,$B288)))</f>
        <v/>
      </c>
      <c r="J288" s="51">
        <f>IF(OR($G288=0,INDEX(Employees!$O$5:$O$29,$A288)&lt;&gt;"Yes"),0,IF(COUNTIF(Settings!$D$4:$D$9,"&lt;="&amp;$H288)=0,0,INDEX(Settings!$E$4:$E$9,COUNTIF(Settings!$D$4:$D$9,"&lt;="&amp;$H288))))</f>
        <v/>
      </c>
      <c r="K288" s="51">
        <f>IF($G288=0,0,IF(INDEX(Employees!$I$5:$I$29,$A288)="Per pay period",(N(INDEX(Employees!$J$5:$J$29,$A288))+$J288)/Settings!$B$13,IF(INDEX(Employees!$I$5:$I$29,$A288)="Per hour worked",N(INDEX(Employees!$K$5:$K$29,$A288))*$I288,IF(INDEX(Employees!$I$5:$I$29,$A288)="Front-loaded",IF(OR($B288=1,N($G287)=0),N(INDEX(Employees!$J$5:$J$29,$A288))+$J288,0),0))))</f>
        <v/>
      </c>
      <c r="L288" s="51">
        <f>IF($F288=0,0,SUMIFS('Time Off Log'!$H$5:$H$504,'Time Off Log'!$A$5:$A$504,$C288,'Time Off Log'!$B$5:$B$504,"PTO",'Time Off Log'!$E$5:$E$504,"Approved",'Time Off Log'!$C$5:$C$504,"&gt;="&amp;INDEX(Periods!$E$5:$E$57,$B288),'Time Off Log'!$C$5:$C$504,"&lt;="&amp;INDEX(Periods!$F$5:$F$57,$B288)))</f>
        <v/>
      </c>
      <c r="M288" s="51">
        <f>IF($B288=1,N(INDEX(Employees!$N$5:$N$29,$A288)),P287)</f>
        <v/>
      </c>
      <c r="N288" s="51">
        <f>IF(INDEX(Employees!$L$5:$L$29,$A288)="",K288,MAX(0,MIN(K288,INDEX(Employees!$L$5:$L$29,$A288)-(M288-L288))))</f>
        <v/>
      </c>
      <c r="O288" s="51">
        <f>K288-N288</f>
        <v/>
      </c>
      <c r="P288" s="51">
        <f>M288-L288+N288</f>
        <v/>
      </c>
      <c r="Q288" s="51">
        <f>IF($G288=0,0,IF(INDEX(Employees!$P$5:$P$29,$A288)="Per pay period",(N(INDEX(Employees!$Q$5:$Q$29,$A288)))/Settings!$B$13,IF(INDEX(Employees!$P$5:$P$29,$A288)="Per hour worked",N(INDEX(Employees!$R$5:$R$29,$A288))*$I288,IF(INDEX(Employees!$P$5:$P$29,$A288)="Front-loaded",IF(OR($B288=1,N($G287)=0),N(INDEX(Employees!$Q$5:$Q$29,$A288)),0),0))))</f>
        <v/>
      </c>
      <c r="R288" s="51">
        <f>IF($F288=0,0,SUMIFS('Time Off Log'!$H$5:$H$504,'Time Off Log'!$A$5:$A$504,$C288,'Time Off Log'!$B$5:$B$504,"Sick",'Time Off Log'!$E$5:$E$504,"Approved",'Time Off Log'!$C$5:$C$504,"&gt;="&amp;INDEX(Periods!$E$5:$E$57,$B288),'Time Off Log'!$C$5:$C$504,"&lt;="&amp;INDEX(Periods!$F$5:$F$57,$B288)))</f>
        <v/>
      </c>
      <c r="S288" s="51">
        <f>IF($B288=1,N(INDEX(Employees!$T$5:$T$29,$A288)),V287)</f>
        <v/>
      </c>
      <c r="T288" s="51">
        <f>IF(INDEX(Employees!$S$5:$S$29,$A288)="",Q288,MAX(0,MIN(Q288,INDEX(Employees!$S$5:$S$29,$A288)-(S288-R288))))</f>
        <v/>
      </c>
      <c r="U288" s="51">
        <f>Q288-T288</f>
        <v/>
      </c>
      <c r="V288" s="51">
        <f>S288-R288+T288</f>
        <v/>
      </c>
    </row>
    <row r="289">
      <c r="A289" s="50" t="n">
        <v>6</v>
      </c>
      <c r="B289" s="50" t="n">
        <v>20</v>
      </c>
      <c r="C289" s="51">
        <f>INDEX(Employees!$B$5:$B$29,$A289)&amp;""</f>
        <v/>
      </c>
      <c r="D289" s="52">
        <f>INDEX(Periods!$B$5:$B$57,$B289)</f>
        <v/>
      </c>
      <c r="E289" s="52">
        <f>INDEX(Periods!$C$5:$C$57,$B289)</f>
        <v/>
      </c>
      <c r="F289" s="50">
        <f>IF(AND($C289&lt;&gt;"",INDEX(Periods!$D$5:$D$57,$B289)=1),1,0)</f>
        <v/>
      </c>
      <c r="G289" s="50">
        <f>IF($F289=0,0,IF(AND(OR(INDEX(Employees!$D$5:$D$29,$A289)="",$E289&gt;=INDEX(Employees!$D$5:$D$29,$A289)+N(INDEX(Employees!$U$5:$U$29,$A289))),OR(INDEX(Employees!$E$5:$E$29,$A289)="",$D289&lt;=INDEX(Employees!$E$5:$E$29,$A289))),1,0))</f>
        <v/>
      </c>
      <c r="H289" s="50">
        <f>IF($G289=0,0,IF(INDEX(Employees!$D$5:$D$29,$A289)="",0,DATEDIF(INDEX(Employees!$D$5:$D$29,$A289),$E289,"y")))</f>
        <v/>
      </c>
      <c r="I289" s="51">
        <f>IF($G289=0,0,IF(INDEX('Hours Worked'!$D$5:$BD$29,$A289,$B289)="",N(INDEX(Employees!$H$5:$H$29,$A289)),INDEX('Hours Worked'!$D$5:$BD$29,$A289,$B289)))</f>
        <v/>
      </c>
      <c r="J289" s="51">
        <f>IF(OR($G289=0,INDEX(Employees!$O$5:$O$29,$A289)&lt;&gt;"Yes"),0,IF(COUNTIF(Settings!$D$4:$D$9,"&lt;="&amp;$H289)=0,0,INDEX(Settings!$E$4:$E$9,COUNTIF(Settings!$D$4:$D$9,"&lt;="&amp;$H289))))</f>
        <v/>
      </c>
      <c r="K289" s="51">
        <f>IF($G289=0,0,IF(INDEX(Employees!$I$5:$I$29,$A289)="Per pay period",(N(INDEX(Employees!$J$5:$J$29,$A289))+$J289)/Settings!$B$13,IF(INDEX(Employees!$I$5:$I$29,$A289)="Per hour worked",N(INDEX(Employees!$K$5:$K$29,$A289))*$I289,IF(INDEX(Employees!$I$5:$I$29,$A289)="Front-loaded",IF(OR($B289=1,N($G288)=0),N(INDEX(Employees!$J$5:$J$29,$A289))+$J289,0),0))))</f>
        <v/>
      </c>
      <c r="L289" s="51">
        <f>IF($F289=0,0,SUMIFS('Time Off Log'!$H$5:$H$504,'Time Off Log'!$A$5:$A$504,$C289,'Time Off Log'!$B$5:$B$504,"PTO",'Time Off Log'!$E$5:$E$504,"Approved",'Time Off Log'!$C$5:$C$504,"&gt;="&amp;INDEX(Periods!$E$5:$E$57,$B289),'Time Off Log'!$C$5:$C$504,"&lt;="&amp;INDEX(Periods!$F$5:$F$57,$B289)))</f>
        <v/>
      </c>
      <c r="M289" s="51">
        <f>IF($B289=1,N(INDEX(Employees!$N$5:$N$29,$A289)),P288)</f>
        <v/>
      </c>
      <c r="N289" s="51">
        <f>IF(INDEX(Employees!$L$5:$L$29,$A289)="",K289,MAX(0,MIN(K289,INDEX(Employees!$L$5:$L$29,$A289)-(M289-L289))))</f>
        <v/>
      </c>
      <c r="O289" s="51">
        <f>K289-N289</f>
        <v/>
      </c>
      <c r="P289" s="51">
        <f>M289-L289+N289</f>
        <v/>
      </c>
      <c r="Q289" s="51">
        <f>IF($G289=0,0,IF(INDEX(Employees!$P$5:$P$29,$A289)="Per pay period",(N(INDEX(Employees!$Q$5:$Q$29,$A289)))/Settings!$B$13,IF(INDEX(Employees!$P$5:$P$29,$A289)="Per hour worked",N(INDEX(Employees!$R$5:$R$29,$A289))*$I289,IF(INDEX(Employees!$P$5:$P$29,$A289)="Front-loaded",IF(OR($B289=1,N($G288)=0),N(INDEX(Employees!$Q$5:$Q$29,$A289)),0),0))))</f>
        <v/>
      </c>
      <c r="R289" s="51">
        <f>IF($F289=0,0,SUMIFS('Time Off Log'!$H$5:$H$504,'Time Off Log'!$A$5:$A$504,$C289,'Time Off Log'!$B$5:$B$504,"Sick",'Time Off Log'!$E$5:$E$504,"Approved",'Time Off Log'!$C$5:$C$504,"&gt;="&amp;INDEX(Periods!$E$5:$E$57,$B289),'Time Off Log'!$C$5:$C$504,"&lt;="&amp;INDEX(Periods!$F$5:$F$57,$B289)))</f>
        <v/>
      </c>
      <c r="S289" s="51">
        <f>IF($B289=1,N(INDEX(Employees!$T$5:$T$29,$A289)),V288)</f>
        <v/>
      </c>
      <c r="T289" s="51">
        <f>IF(INDEX(Employees!$S$5:$S$29,$A289)="",Q289,MAX(0,MIN(Q289,INDEX(Employees!$S$5:$S$29,$A289)-(S289-R289))))</f>
        <v/>
      </c>
      <c r="U289" s="51">
        <f>Q289-T289</f>
        <v/>
      </c>
      <c r="V289" s="51">
        <f>S289-R289+T289</f>
        <v/>
      </c>
    </row>
    <row r="290">
      <c r="A290" s="50" t="n">
        <v>6</v>
      </c>
      <c r="B290" s="50" t="n">
        <v>21</v>
      </c>
      <c r="C290" s="51">
        <f>INDEX(Employees!$B$5:$B$29,$A290)&amp;""</f>
        <v/>
      </c>
      <c r="D290" s="52">
        <f>INDEX(Periods!$B$5:$B$57,$B290)</f>
        <v/>
      </c>
      <c r="E290" s="52">
        <f>INDEX(Periods!$C$5:$C$57,$B290)</f>
        <v/>
      </c>
      <c r="F290" s="50">
        <f>IF(AND($C290&lt;&gt;"",INDEX(Periods!$D$5:$D$57,$B290)=1),1,0)</f>
        <v/>
      </c>
      <c r="G290" s="50">
        <f>IF($F290=0,0,IF(AND(OR(INDEX(Employees!$D$5:$D$29,$A290)="",$E290&gt;=INDEX(Employees!$D$5:$D$29,$A290)+N(INDEX(Employees!$U$5:$U$29,$A290))),OR(INDEX(Employees!$E$5:$E$29,$A290)="",$D290&lt;=INDEX(Employees!$E$5:$E$29,$A290))),1,0))</f>
        <v/>
      </c>
      <c r="H290" s="50">
        <f>IF($G290=0,0,IF(INDEX(Employees!$D$5:$D$29,$A290)="",0,DATEDIF(INDEX(Employees!$D$5:$D$29,$A290),$E290,"y")))</f>
        <v/>
      </c>
      <c r="I290" s="51">
        <f>IF($G290=0,0,IF(INDEX('Hours Worked'!$D$5:$BD$29,$A290,$B290)="",N(INDEX(Employees!$H$5:$H$29,$A290)),INDEX('Hours Worked'!$D$5:$BD$29,$A290,$B290)))</f>
        <v/>
      </c>
      <c r="J290" s="51">
        <f>IF(OR($G290=0,INDEX(Employees!$O$5:$O$29,$A290)&lt;&gt;"Yes"),0,IF(COUNTIF(Settings!$D$4:$D$9,"&lt;="&amp;$H290)=0,0,INDEX(Settings!$E$4:$E$9,COUNTIF(Settings!$D$4:$D$9,"&lt;="&amp;$H290))))</f>
        <v/>
      </c>
      <c r="K290" s="51">
        <f>IF($G290=0,0,IF(INDEX(Employees!$I$5:$I$29,$A290)="Per pay period",(N(INDEX(Employees!$J$5:$J$29,$A290))+$J290)/Settings!$B$13,IF(INDEX(Employees!$I$5:$I$29,$A290)="Per hour worked",N(INDEX(Employees!$K$5:$K$29,$A290))*$I290,IF(INDEX(Employees!$I$5:$I$29,$A290)="Front-loaded",IF(OR($B290=1,N($G289)=0),N(INDEX(Employees!$J$5:$J$29,$A290))+$J290,0),0))))</f>
        <v/>
      </c>
      <c r="L290" s="51">
        <f>IF($F290=0,0,SUMIFS('Time Off Log'!$H$5:$H$504,'Time Off Log'!$A$5:$A$504,$C290,'Time Off Log'!$B$5:$B$504,"PTO",'Time Off Log'!$E$5:$E$504,"Approved",'Time Off Log'!$C$5:$C$504,"&gt;="&amp;INDEX(Periods!$E$5:$E$57,$B290),'Time Off Log'!$C$5:$C$504,"&lt;="&amp;INDEX(Periods!$F$5:$F$57,$B290)))</f>
        <v/>
      </c>
      <c r="M290" s="51">
        <f>IF($B290=1,N(INDEX(Employees!$N$5:$N$29,$A290)),P289)</f>
        <v/>
      </c>
      <c r="N290" s="51">
        <f>IF(INDEX(Employees!$L$5:$L$29,$A290)="",K290,MAX(0,MIN(K290,INDEX(Employees!$L$5:$L$29,$A290)-(M290-L290))))</f>
        <v/>
      </c>
      <c r="O290" s="51">
        <f>K290-N290</f>
        <v/>
      </c>
      <c r="P290" s="51">
        <f>M290-L290+N290</f>
        <v/>
      </c>
      <c r="Q290" s="51">
        <f>IF($G290=0,0,IF(INDEX(Employees!$P$5:$P$29,$A290)="Per pay period",(N(INDEX(Employees!$Q$5:$Q$29,$A290)))/Settings!$B$13,IF(INDEX(Employees!$P$5:$P$29,$A290)="Per hour worked",N(INDEX(Employees!$R$5:$R$29,$A290))*$I290,IF(INDEX(Employees!$P$5:$P$29,$A290)="Front-loaded",IF(OR($B290=1,N($G289)=0),N(INDEX(Employees!$Q$5:$Q$29,$A290)),0),0))))</f>
        <v/>
      </c>
      <c r="R290" s="51">
        <f>IF($F290=0,0,SUMIFS('Time Off Log'!$H$5:$H$504,'Time Off Log'!$A$5:$A$504,$C290,'Time Off Log'!$B$5:$B$504,"Sick",'Time Off Log'!$E$5:$E$504,"Approved",'Time Off Log'!$C$5:$C$504,"&gt;="&amp;INDEX(Periods!$E$5:$E$57,$B290),'Time Off Log'!$C$5:$C$504,"&lt;="&amp;INDEX(Periods!$F$5:$F$57,$B290)))</f>
        <v/>
      </c>
      <c r="S290" s="51">
        <f>IF($B290=1,N(INDEX(Employees!$T$5:$T$29,$A290)),V289)</f>
        <v/>
      </c>
      <c r="T290" s="51">
        <f>IF(INDEX(Employees!$S$5:$S$29,$A290)="",Q290,MAX(0,MIN(Q290,INDEX(Employees!$S$5:$S$29,$A290)-(S290-R290))))</f>
        <v/>
      </c>
      <c r="U290" s="51">
        <f>Q290-T290</f>
        <v/>
      </c>
      <c r="V290" s="51">
        <f>S290-R290+T290</f>
        <v/>
      </c>
    </row>
    <row r="291">
      <c r="A291" s="50" t="n">
        <v>6</v>
      </c>
      <c r="B291" s="50" t="n">
        <v>22</v>
      </c>
      <c r="C291" s="51">
        <f>INDEX(Employees!$B$5:$B$29,$A291)&amp;""</f>
        <v/>
      </c>
      <c r="D291" s="52">
        <f>INDEX(Periods!$B$5:$B$57,$B291)</f>
        <v/>
      </c>
      <c r="E291" s="52">
        <f>INDEX(Periods!$C$5:$C$57,$B291)</f>
        <v/>
      </c>
      <c r="F291" s="50">
        <f>IF(AND($C291&lt;&gt;"",INDEX(Periods!$D$5:$D$57,$B291)=1),1,0)</f>
        <v/>
      </c>
      <c r="G291" s="50">
        <f>IF($F291=0,0,IF(AND(OR(INDEX(Employees!$D$5:$D$29,$A291)="",$E291&gt;=INDEX(Employees!$D$5:$D$29,$A291)+N(INDEX(Employees!$U$5:$U$29,$A291))),OR(INDEX(Employees!$E$5:$E$29,$A291)="",$D291&lt;=INDEX(Employees!$E$5:$E$29,$A291))),1,0))</f>
        <v/>
      </c>
      <c r="H291" s="50">
        <f>IF($G291=0,0,IF(INDEX(Employees!$D$5:$D$29,$A291)="",0,DATEDIF(INDEX(Employees!$D$5:$D$29,$A291),$E291,"y")))</f>
        <v/>
      </c>
      <c r="I291" s="51">
        <f>IF($G291=0,0,IF(INDEX('Hours Worked'!$D$5:$BD$29,$A291,$B291)="",N(INDEX(Employees!$H$5:$H$29,$A291)),INDEX('Hours Worked'!$D$5:$BD$29,$A291,$B291)))</f>
        <v/>
      </c>
      <c r="J291" s="51">
        <f>IF(OR($G291=0,INDEX(Employees!$O$5:$O$29,$A291)&lt;&gt;"Yes"),0,IF(COUNTIF(Settings!$D$4:$D$9,"&lt;="&amp;$H291)=0,0,INDEX(Settings!$E$4:$E$9,COUNTIF(Settings!$D$4:$D$9,"&lt;="&amp;$H291))))</f>
        <v/>
      </c>
      <c r="K291" s="51">
        <f>IF($G291=0,0,IF(INDEX(Employees!$I$5:$I$29,$A291)="Per pay period",(N(INDEX(Employees!$J$5:$J$29,$A291))+$J291)/Settings!$B$13,IF(INDEX(Employees!$I$5:$I$29,$A291)="Per hour worked",N(INDEX(Employees!$K$5:$K$29,$A291))*$I291,IF(INDEX(Employees!$I$5:$I$29,$A291)="Front-loaded",IF(OR($B291=1,N($G290)=0),N(INDEX(Employees!$J$5:$J$29,$A291))+$J291,0),0))))</f>
        <v/>
      </c>
      <c r="L291" s="51">
        <f>IF($F291=0,0,SUMIFS('Time Off Log'!$H$5:$H$504,'Time Off Log'!$A$5:$A$504,$C291,'Time Off Log'!$B$5:$B$504,"PTO",'Time Off Log'!$E$5:$E$504,"Approved",'Time Off Log'!$C$5:$C$504,"&gt;="&amp;INDEX(Periods!$E$5:$E$57,$B291),'Time Off Log'!$C$5:$C$504,"&lt;="&amp;INDEX(Periods!$F$5:$F$57,$B291)))</f>
        <v/>
      </c>
      <c r="M291" s="51">
        <f>IF($B291=1,N(INDEX(Employees!$N$5:$N$29,$A291)),P290)</f>
        <v/>
      </c>
      <c r="N291" s="51">
        <f>IF(INDEX(Employees!$L$5:$L$29,$A291)="",K291,MAX(0,MIN(K291,INDEX(Employees!$L$5:$L$29,$A291)-(M291-L291))))</f>
        <v/>
      </c>
      <c r="O291" s="51">
        <f>K291-N291</f>
        <v/>
      </c>
      <c r="P291" s="51">
        <f>M291-L291+N291</f>
        <v/>
      </c>
      <c r="Q291" s="51">
        <f>IF($G291=0,0,IF(INDEX(Employees!$P$5:$P$29,$A291)="Per pay period",(N(INDEX(Employees!$Q$5:$Q$29,$A291)))/Settings!$B$13,IF(INDEX(Employees!$P$5:$P$29,$A291)="Per hour worked",N(INDEX(Employees!$R$5:$R$29,$A291))*$I291,IF(INDEX(Employees!$P$5:$P$29,$A291)="Front-loaded",IF(OR($B291=1,N($G290)=0),N(INDEX(Employees!$Q$5:$Q$29,$A291)),0),0))))</f>
        <v/>
      </c>
      <c r="R291" s="51">
        <f>IF($F291=0,0,SUMIFS('Time Off Log'!$H$5:$H$504,'Time Off Log'!$A$5:$A$504,$C291,'Time Off Log'!$B$5:$B$504,"Sick",'Time Off Log'!$E$5:$E$504,"Approved",'Time Off Log'!$C$5:$C$504,"&gt;="&amp;INDEX(Periods!$E$5:$E$57,$B291),'Time Off Log'!$C$5:$C$504,"&lt;="&amp;INDEX(Periods!$F$5:$F$57,$B291)))</f>
        <v/>
      </c>
      <c r="S291" s="51">
        <f>IF($B291=1,N(INDEX(Employees!$T$5:$T$29,$A291)),V290)</f>
        <v/>
      </c>
      <c r="T291" s="51">
        <f>IF(INDEX(Employees!$S$5:$S$29,$A291)="",Q291,MAX(0,MIN(Q291,INDEX(Employees!$S$5:$S$29,$A291)-(S291-R291))))</f>
        <v/>
      </c>
      <c r="U291" s="51">
        <f>Q291-T291</f>
        <v/>
      </c>
      <c r="V291" s="51">
        <f>S291-R291+T291</f>
        <v/>
      </c>
    </row>
    <row r="292">
      <c r="A292" s="50" t="n">
        <v>6</v>
      </c>
      <c r="B292" s="50" t="n">
        <v>23</v>
      </c>
      <c r="C292" s="51">
        <f>INDEX(Employees!$B$5:$B$29,$A292)&amp;""</f>
        <v/>
      </c>
      <c r="D292" s="52">
        <f>INDEX(Periods!$B$5:$B$57,$B292)</f>
        <v/>
      </c>
      <c r="E292" s="52">
        <f>INDEX(Periods!$C$5:$C$57,$B292)</f>
        <v/>
      </c>
      <c r="F292" s="50">
        <f>IF(AND($C292&lt;&gt;"",INDEX(Periods!$D$5:$D$57,$B292)=1),1,0)</f>
        <v/>
      </c>
      <c r="G292" s="50">
        <f>IF($F292=0,0,IF(AND(OR(INDEX(Employees!$D$5:$D$29,$A292)="",$E292&gt;=INDEX(Employees!$D$5:$D$29,$A292)+N(INDEX(Employees!$U$5:$U$29,$A292))),OR(INDEX(Employees!$E$5:$E$29,$A292)="",$D292&lt;=INDEX(Employees!$E$5:$E$29,$A292))),1,0))</f>
        <v/>
      </c>
      <c r="H292" s="50">
        <f>IF($G292=0,0,IF(INDEX(Employees!$D$5:$D$29,$A292)="",0,DATEDIF(INDEX(Employees!$D$5:$D$29,$A292),$E292,"y")))</f>
        <v/>
      </c>
      <c r="I292" s="51">
        <f>IF($G292=0,0,IF(INDEX('Hours Worked'!$D$5:$BD$29,$A292,$B292)="",N(INDEX(Employees!$H$5:$H$29,$A292)),INDEX('Hours Worked'!$D$5:$BD$29,$A292,$B292)))</f>
        <v/>
      </c>
      <c r="J292" s="51">
        <f>IF(OR($G292=0,INDEX(Employees!$O$5:$O$29,$A292)&lt;&gt;"Yes"),0,IF(COUNTIF(Settings!$D$4:$D$9,"&lt;="&amp;$H292)=0,0,INDEX(Settings!$E$4:$E$9,COUNTIF(Settings!$D$4:$D$9,"&lt;="&amp;$H292))))</f>
        <v/>
      </c>
      <c r="K292" s="51">
        <f>IF($G292=0,0,IF(INDEX(Employees!$I$5:$I$29,$A292)="Per pay period",(N(INDEX(Employees!$J$5:$J$29,$A292))+$J292)/Settings!$B$13,IF(INDEX(Employees!$I$5:$I$29,$A292)="Per hour worked",N(INDEX(Employees!$K$5:$K$29,$A292))*$I292,IF(INDEX(Employees!$I$5:$I$29,$A292)="Front-loaded",IF(OR($B292=1,N($G291)=0),N(INDEX(Employees!$J$5:$J$29,$A292))+$J292,0),0))))</f>
        <v/>
      </c>
      <c r="L292" s="51">
        <f>IF($F292=0,0,SUMIFS('Time Off Log'!$H$5:$H$504,'Time Off Log'!$A$5:$A$504,$C292,'Time Off Log'!$B$5:$B$504,"PTO",'Time Off Log'!$E$5:$E$504,"Approved",'Time Off Log'!$C$5:$C$504,"&gt;="&amp;INDEX(Periods!$E$5:$E$57,$B292),'Time Off Log'!$C$5:$C$504,"&lt;="&amp;INDEX(Periods!$F$5:$F$57,$B292)))</f>
        <v/>
      </c>
      <c r="M292" s="51">
        <f>IF($B292=1,N(INDEX(Employees!$N$5:$N$29,$A292)),P291)</f>
        <v/>
      </c>
      <c r="N292" s="51">
        <f>IF(INDEX(Employees!$L$5:$L$29,$A292)="",K292,MAX(0,MIN(K292,INDEX(Employees!$L$5:$L$29,$A292)-(M292-L292))))</f>
        <v/>
      </c>
      <c r="O292" s="51">
        <f>K292-N292</f>
        <v/>
      </c>
      <c r="P292" s="51">
        <f>M292-L292+N292</f>
        <v/>
      </c>
      <c r="Q292" s="51">
        <f>IF($G292=0,0,IF(INDEX(Employees!$P$5:$P$29,$A292)="Per pay period",(N(INDEX(Employees!$Q$5:$Q$29,$A292)))/Settings!$B$13,IF(INDEX(Employees!$P$5:$P$29,$A292)="Per hour worked",N(INDEX(Employees!$R$5:$R$29,$A292))*$I292,IF(INDEX(Employees!$P$5:$P$29,$A292)="Front-loaded",IF(OR($B292=1,N($G291)=0),N(INDEX(Employees!$Q$5:$Q$29,$A292)),0),0))))</f>
        <v/>
      </c>
      <c r="R292" s="51">
        <f>IF($F292=0,0,SUMIFS('Time Off Log'!$H$5:$H$504,'Time Off Log'!$A$5:$A$504,$C292,'Time Off Log'!$B$5:$B$504,"Sick",'Time Off Log'!$E$5:$E$504,"Approved",'Time Off Log'!$C$5:$C$504,"&gt;="&amp;INDEX(Periods!$E$5:$E$57,$B292),'Time Off Log'!$C$5:$C$504,"&lt;="&amp;INDEX(Periods!$F$5:$F$57,$B292)))</f>
        <v/>
      </c>
      <c r="S292" s="51">
        <f>IF($B292=1,N(INDEX(Employees!$T$5:$T$29,$A292)),V291)</f>
        <v/>
      </c>
      <c r="T292" s="51">
        <f>IF(INDEX(Employees!$S$5:$S$29,$A292)="",Q292,MAX(0,MIN(Q292,INDEX(Employees!$S$5:$S$29,$A292)-(S292-R292))))</f>
        <v/>
      </c>
      <c r="U292" s="51">
        <f>Q292-T292</f>
        <v/>
      </c>
      <c r="V292" s="51">
        <f>S292-R292+T292</f>
        <v/>
      </c>
    </row>
    <row r="293">
      <c r="A293" s="50" t="n">
        <v>6</v>
      </c>
      <c r="B293" s="50" t="n">
        <v>24</v>
      </c>
      <c r="C293" s="51">
        <f>INDEX(Employees!$B$5:$B$29,$A293)&amp;""</f>
        <v/>
      </c>
      <c r="D293" s="52">
        <f>INDEX(Periods!$B$5:$B$57,$B293)</f>
        <v/>
      </c>
      <c r="E293" s="52">
        <f>INDEX(Periods!$C$5:$C$57,$B293)</f>
        <v/>
      </c>
      <c r="F293" s="50">
        <f>IF(AND($C293&lt;&gt;"",INDEX(Periods!$D$5:$D$57,$B293)=1),1,0)</f>
        <v/>
      </c>
      <c r="G293" s="50">
        <f>IF($F293=0,0,IF(AND(OR(INDEX(Employees!$D$5:$D$29,$A293)="",$E293&gt;=INDEX(Employees!$D$5:$D$29,$A293)+N(INDEX(Employees!$U$5:$U$29,$A293))),OR(INDEX(Employees!$E$5:$E$29,$A293)="",$D293&lt;=INDEX(Employees!$E$5:$E$29,$A293))),1,0))</f>
        <v/>
      </c>
      <c r="H293" s="50">
        <f>IF($G293=0,0,IF(INDEX(Employees!$D$5:$D$29,$A293)="",0,DATEDIF(INDEX(Employees!$D$5:$D$29,$A293),$E293,"y")))</f>
        <v/>
      </c>
      <c r="I293" s="51">
        <f>IF($G293=0,0,IF(INDEX('Hours Worked'!$D$5:$BD$29,$A293,$B293)="",N(INDEX(Employees!$H$5:$H$29,$A293)),INDEX('Hours Worked'!$D$5:$BD$29,$A293,$B293)))</f>
        <v/>
      </c>
      <c r="J293" s="51">
        <f>IF(OR($G293=0,INDEX(Employees!$O$5:$O$29,$A293)&lt;&gt;"Yes"),0,IF(COUNTIF(Settings!$D$4:$D$9,"&lt;="&amp;$H293)=0,0,INDEX(Settings!$E$4:$E$9,COUNTIF(Settings!$D$4:$D$9,"&lt;="&amp;$H293))))</f>
        <v/>
      </c>
      <c r="K293" s="51">
        <f>IF($G293=0,0,IF(INDEX(Employees!$I$5:$I$29,$A293)="Per pay period",(N(INDEX(Employees!$J$5:$J$29,$A293))+$J293)/Settings!$B$13,IF(INDEX(Employees!$I$5:$I$29,$A293)="Per hour worked",N(INDEX(Employees!$K$5:$K$29,$A293))*$I293,IF(INDEX(Employees!$I$5:$I$29,$A293)="Front-loaded",IF(OR($B293=1,N($G292)=0),N(INDEX(Employees!$J$5:$J$29,$A293))+$J293,0),0))))</f>
        <v/>
      </c>
      <c r="L293" s="51">
        <f>IF($F293=0,0,SUMIFS('Time Off Log'!$H$5:$H$504,'Time Off Log'!$A$5:$A$504,$C293,'Time Off Log'!$B$5:$B$504,"PTO",'Time Off Log'!$E$5:$E$504,"Approved",'Time Off Log'!$C$5:$C$504,"&gt;="&amp;INDEX(Periods!$E$5:$E$57,$B293),'Time Off Log'!$C$5:$C$504,"&lt;="&amp;INDEX(Periods!$F$5:$F$57,$B293)))</f>
        <v/>
      </c>
      <c r="M293" s="51">
        <f>IF($B293=1,N(INDEX(Employees!$N$5:$N$29,$A293)),P292)</f>
        <v/>
      </c>
      <c r="N293" s="51">
        <f>IF(INDEX(Employees!$L$5:$L$29,$A293)="",K293,MAX(0,MIN(K293,INDEX(Employees!$L$5:$L$29,$A293)-(M293-L293))))</f>
        <v/>
      </c>
      <c r="O293" s="51">
        <f>K293-N293</f>
        <v/>
      </c>
      <c r="P293" s="51">
        <f>M293-L293+N293</f>
        <v/>
      </c>
      <c r="Q293" s="51">
        <f>IF($G293=0,0,IF(INDEX(Employees!$P$5:$P$29,$A293)="Per pay period",(N(INDEX(Employees!$Q$5:$Q$29,$A293)))/Settings!$B$13,IF(INDEX(Employees!$P$5:$P$29,$A293)="Per hour worked",N(INDEX(Employees!$R$5:$R$29,$A293))*$I293,IF(INDEX(Employees!$P$5:$P$29,$A293)="Front-loaded",IF(OR($B293=1,N($G292)=0),N(INDEX(Employees!$Q$5:$Q$29,$A293)),0),0))))</f>
        <v/>
      </c>
      <c r="R293" s="51">
        <f>IF($F293=0,0,SUMIFS('Time Off Log'!$H$5:$H$504,'Time Off Log'!$A$5:$A$504,$C293,'Time Off Log'!$B$5:$B$504,"Sick",'Time Off Log'!$E$5:$E$504,"Approved",'Time Off Log'!$C$5:$C$504,"&gt;="&amp;INDEX(Periods!$E$5:$E$57,$B293),'Time Off Log'!$C$5:$C$504,"&lt;="&amp;INDEX(Periods!$F$5:$F$57,$B293)))</f>
        <v/>
      </c>
      <c r="S293" s="51">
        <f>IF($B293=1,N(INDEX(Employees!$T$5:$T$29,$A293)),V292)</f>
        <v/>
      </c>
      <c r="T293" s="51">
        <f>IF(INDEX(Employees!$S$5:$S$29,$A293)="",Q293,MAX(0,MIN(Q293,INDEX(Employees!$S$5:$S$29,$A293)-(S293-R293))))</f>
        <v/>
      </c>
      <c r="U293" s="51">
        <f>Q293-T293</f>
        <v/>
      </c>
      <c r="V293" s="51">
        <f>S293-R293+T293</f>
        <v/>
      </c>
    </row>
    <row r="294">
      <c r="A294" s="50" t="n">
        <v>6</v>
      </c>
      <c r="B294" s="50" t="n">
        <v>25</v>
      </c>
      <c r="C294" s="51">
        <f>INDEX(Employees!$B$5:$B$29,$A294)&amp;""</f>
        <v/>
      </c>
      <c r="D294" s="52">
        <f>INDEX(Periods!$B$5:$B$57,$B294)</f>
        <v/>
      </c>
      <c r="E294" s="52">
        <f>INDEX(Periods!$C$5:$C$57,$B294)</f>
        <v/>
      </c>
      <c r="F294" s="50">
        <f>IF(AND($C294&lt;&gt;"",INDEX(Periods!$D$5:$D$57,$B294)=1),1,0)</f>
        <v/>
      </c>
      <c r="G294" s="50">
        <f>IF($F294=0,0,IF(AND(OR(INDEX(Employees!$D$5:$D$29,$A294)="",$E294&gt;=INDEX(Employees!$D$5:$D$29,$A294)+N(INDEX(Employees!$U$5:$U$29,$A294))),OR(INDEX(Employees!$E$5:$E$29,$A294)="",$D294&lt;=INDEX(Employees!$E$5:$E$29,$A294))),1,0))</f>
        <v/>
      </c>
      <c r="H294" s="50">
        <f>IF($G294=0,0,IF(INDEX(Employees!$D$5:$D$29,$A294)="",0,DATEDIF(INDEX(Employees!$D$5:$D$29,$A294),$E294,"y")))</f>
        <v/>
      </c>
      <c r="I294" s="51">
        <f>IF($G294=0,0,IF(INDEX('Hours Worked'!$D$5:$BD$29,$A294,$B294)="",N(INDEX(Employees!$H$5:$H$29,$A294)),INDEX('Hours Worked'!$D$5:$BD$29,$A294,$B294)))</f>
        <v/>
      </c>
      <c r="J294" s="51">
        <f>IF(OR($G294=0,INDEX(Employees!$O$5:$O$29,$A294)&lt;&gt;"Yes"),0,IF(COUNTIF(Settings!$D$4:$D$9,"&lt;="&amp;$H294)=0,0,INDEX(Settings!$E$4:$E$9,COUNTIF(Settings!$D$4:$D$9,"&lt;="&amp;$H294))))</f>
        <v/>
      </c>
      <c r="K294" s="51">
        <f>IF($G294=0,0,IF(INDEX(Employees!$I$5:$I$29,$A294)="Per pay period",(N(INDEX(Employees!$J$5:$J$29,$A294))+$J294)/Settings!$B$13,IF(INDEX(Employees!$I$5:$I$29,$A294)="Per hour worked",N(INDEX(Employees!$K$5:$K$29,$A294))*$I294,IF(INDEX(Employees!$I$5:$I$29,$A294)="Front-loaded",IF(OR($B294=1,N($G293)=0),N(INDEX(Employees!$J$5:$J$29,$A294))+$J294,0),0))))</f>
        <v/>
      </c>
      <c r="L294" s="51">
        <f>IF($F294=0,0,SUMIFS('Time Off Log'!$H$5:$H$504,'Time Off Log'!$A$5:$A$504,$C294,'Time Off Log'!$B$5:$B$504,"PTO",'Time Off Log'!$E$5:$E$504,"Approved",'Time Off Log'!$C$5:$C$504,"&gt;="&amp;INDEX(Periods!$E$5:$E$57,$B294),'Time Off Log'!$C$5:$C$504,"&lt;="&amp;INDEX(Periods!$F$5:$F$57,$B294)))</f>
        <v/>
      </c>
      <c r="M294" s="51">
        <f>IF($B294=1,N(INDEX(Employees!$N$5:$N$29,$A294)),P293)</f>
        <v/>
      </c>
      <c r="N294" s="51">
        <f>IF(INDEX(Employees!$L$5:$L$29,$A294)="",K294,MAX(0,MIN(K294,INDEX(Employees!$L$5:$L$29,$A294)-(M294-L294))))</f>
        <v/>
      </c>
      <c r="O294" s="51">
        <f>K294-N294</f>
        <v/>
      </c>
      <c r="P294" s="51">
        <f>M294-L294+N294</f>
        <v/>
      </c>
      <c r="Q294" s="51">
        <f>IF($G294=0,0,IF(INDEX(Employees!$P$5:$P$29,$A294)="Per pay period",(N(INDEX(Employees!$Q$5:$Q$29,$A294)))/Settings!$B$13,IF(INDEX(Employees!$P$5:$P$29,$A294)="Per hour worked",N(INDEX(Employees!$R$5:$R$29,$A294))*$I294,IF(INDEX(Employees!$P$5:$P$29,$A294)="Front-loaded",IF(OR($B294=1,N($G293)=0),N(INDEX(Employees!$Q$5:$Q$29,$A294)),0),0))))</f>
        <v/>
      </c>
      <c r="R294" s="51">
        <f>IF($F294=0,0,SUMIFS('Time Off Log'!$H$5:$H$504,'Time Off Log'!$A$5:$A$504,$C294,'Time Off Log'!$B$5:$B$504,"Sick",'Time Off Log'!$E$5:$E$504,"Approved",'Time Off Log'!$C$5:$C$504,"&gt;="&amp;INDEX(Periods!$E$5:$E$57,$B294),'Time Off Log'!$C$5:$C$504,"&lt;="&amp;INDEX(Periods!$F$5:$F$57,$B294)))</f>
        <v/>
      </c>
      <c r="S294" s="51">
        <f>IF($B294=1,N(INDEX(Employees!$T$5:$T$29,$A294)),V293)</f>
        <v/>
      </c>
      <c r="T294" s="51">
        <f>IF(INDEX(Employees!$S$5:$S$29,$A294)="",Q294,MAX(0,MIN(Q294,INDEX(Employees!$S$5:$S$29,$A294)-(S294-R294))))</f>
        <v/>
      </c>
      <c r="U294" s="51">
        <f>Q294-T294</f>
        <v/>
      </c>
      <c r="V294" s="51">
        <f>S294-R294+T294</f>
        <v/>
      </c>
    </row>
    <row r="295">
      <c r="A295" s="50" t="n">
        <v>6</v>
      </c>
      <c r="B295" s="50" t="n">
        <v>26</v>
      </c>
      <c r="C295" s="51">
        <f>INDEX(Employees!$B$5:$B$29,$A295)&amp;""</f>
        <v/>
      </c>
      <c r="D295" s="52">
        <f>INDEX(Periods!$B$5:$B$57,$B295)</f>
        <v/>
      </c>
      <c r="E295" s="52">
        <f>INDEX(Periods!$C$5:$C$57,$B295)</f>
        <v/>
      </c>
      <c r="F295" s="50">
        <f>IF(AND($C295&lt;&gt;"",INDEX(Periods!$D$5:$D$57,$B295)=1),1,0)</f>
        <v/>
      </c>
      <c r="G295" s="50">
        <f>IF($F295=0,0,IF(AND(OR(INDEX(Employees!$D$5:$D$29,$A295)="",$E295&gt;=INDEX(Employees!$D$5:$D$29,$A295)+N(INDEX(Employees!$U$5:$U$29,$A295))),OR(INDEX(Employees!$E$5:$E$29,$A295)="",$D295&lt;=INDEX(Employees!$E$5:$E$29,$A295))),1,0))</f>
        <v/>
      </c>
      <c r="H295" s="50">
        <f>IF($G295=0,0,IF(INDEX(Employees!$D$5:$D$29,$A295)="",0,DATEDIF(INDEX(Employees!$D$5:$D$29,$A295),$E295,"y")))</f>
        <v/>
      </c>
      <c r="I295" s="51">
        <f>IF($G295=0,0,IF(INDEX('Hours Worked'!$D$5:$BD$29,$A295,$B295)="",N(INDEX(Employees!$H$5:$H$29,$A295)),INDEX('Hours Worked'!$D$5:$BD$29,$A295,$B295)))</f>
        <v/>
      </c>
      <c r="J295" s="51">
        <f>IF(OR($G295=0,INDEX(Employees!$O$5:$O$29,$A295)&lt;&gt;"Yes"),0,IF(COUNTIF(Settings!$D$4:$D$9,"&lt;="&amp;$H295)=0,0,INDEX(Settings!$E$4:$E$9,COUNTIF(Settings!$D$4:$D$9,"&lt;="&amp;$H295))))</f>
        <v/>
      </c>
      <c r="K295" s="51">
        <f>IF($G295=0,0,IF(INDEX(Employees!$I$5:$I$29,$A295)="Per pay period",(N(INDEX(Employees!$J$5:$J$29,$A295))+$J295)/Settings!$B$13,IF(INDEX(Employees!$I$5:$I$29,$A295)="Per hour worked",N(INDEX(Employees!$K$5:$K$29,$A295))*$I295,IF(INDEX(Employees!$I$5:$I$29,$A295)="Front-loaded",IF(OR($B295=1,N($G294)=0),N(INDEX(Employees!$J$5:$J$29,$A295))+$J295,0),0))))</f>
        <v/>
      </c>
      <c r="L295" s="51">
        <f>IF($F295=0,0,SUMIFS('Time Off Log'!$H$5:$H$504,'Time Off Log'!$A$5:$A$504,$C295,'Time Off Log'!$B$5:$B$504,"PTO",'Time Off Log'!$E$5:$E$504,"Approved",'Time Off Log'!$C$5:$C$504,"&gt;="&amp;INDEX(Periods!$E$5:$E$57,$B295),'Time Off Log'!$C$5:$C$504,"&lt;="&amp;INDEX(Periods!$F$5:$F$57,$B295)))</f>
        <v/>
      </c>
      <c r="M295" s="51">
        <f>IF($B295=1,N(INDEX(Employees!$N$5:$N$29,$A295)),P294)</f>
        <v/>
      </c>
      <c r="N295" s="51">
        <f>IF(INDEX(Employees!$L$5:$L$29,$A295)="",K295,MAX(0,MIN(K295,INDEX(Employees!$L$5:$L$29,$A295)-(M295-L295))))</f>
        <v/>
      </c>
      <c r="O295" s="51">
        <f>K295-N295</f>
        <v/>
      </c>
      <c r="P295" s="51">
        <f>M295-L295+N295</f>
        <v/>
      </c>
      <c r="Q295" s="51">
        <f>IF($G295=0,0,IF(INDEX(Employees!$P$5:$P$29,$A295)="Per pay period",(N(INDEX(Employees!$Q$5:$Q$29,$A295)))/Settings!$B$13,IF(INDEX(Employees!$P$5:$P$29,$A295)="Per hour worked",N(INDEX(Employees!$R$5:$R$29,$A295))*$I295,IF(INDEX(Employees!$P$5:$P$29,$A295)="Front-loaded",IF(OR($B295=1,N($G294)=0),N(INDEX(Employees!$Q$5:$Q$29,$A295)),0),0))))</f>
        <v/>
      </c>
      <c r="R295" s="51">
        <f>IF($F295=0,0,SUMIFS('Time Off Log'!$H$5:$H$504,'Time Off Log'!$A$5:$A$504,$C295,'Time Off Log'!$B$5:$B$504,"Sick",'Time Off Log'!$E$5:$E$504,"Approved",'Time Off Log'!$C$5:$C$504,"&gt;="&amp;INDEX(Periods!$E$5:$E$57,$B295),'Time Off Log'!$C$5:$C$504,"&lt;="&amp;INDEX(Periods!$F$5:$F$57,$B295)))</f>
        <v/>
      </c>
      <c r="S295" s="51">
        <f>IF($B295=1,N(INDEX(Employees!$T$5:$T$29,$A295)),V294)</f>
        <v/>
      </c>
      <c r="T295" s="51">
        <f>IF(INDEX(Employees!$S$5:$S$29,$A295)="",Q295,MAX(0,MIN(Q295,INDEX(Employees!$S$5:$S$29,$A295)-(S295-R295))))</f>
        <v/>
      </c>
      <c r="U295" s="51">
        <f>Q295-T295</f>
        <v/>
      </c>
      <c r="V295" s="51">
        <f>S295-R295+T295</f>
        <v/>
      </c>
    </row>
    <row r="296">
      <c r="A296" s="50" t="n">
        <v>6</v>
      </c>
      <c r="B296" s="50" t="n">
        <v>27</v>
      </c>
      <c r="C296" s="51">
        <f>INDEX(Employees!$B$5:$B$29,$A296)&amp;""</f>
        <v/>
      </c>
      <c r="D296" s="52">
        <f>INDEX(Periods!$B$5:$B$57,$B296)</f>
        <v/>
      </c>
      <c r="E296" s="52">
        <f>INDEX(Periods!$C$5:$C$57,$B296)</f>
        <v/>
      </c>
      <c r="F296" s="50">
        <f>IF(AND($C296&lt;&gt;"",INDEX(Periods!$D$5:$D$57,$B296)=1),1,0)</f>
        <v/>
      </c>
      <c r="G296" s="50">
        <f>IF($F296=0,0,IF(AND(OR(INDEX(Employees!$D$5:$D$29,$A296)="",$E296&gt;=INDEX(Employees!$D$5:$D$29,$A296)+N(INDEX(Employees!$U$5:$U$29,$A296))),OR(INDEX(Employees!$E$5:$E$29,$A296)="",$D296&lt;=INDEX(Employees!$E$5:$E$29,$A296))),1,0))</f>
        <v/>
      </c>
      <c r="H296" s="50">
        <f>IF($G296=0,0,IF(INDEX(Employees!$D$5:$D$29,$A296)="",0,DATEDIF(INDEX(Employees!$D$5:$D$29,$A296),$E296,"y")))</f>
        <v/>
      </c>
      <c r="I296" s="51">
        <f>IF($G296=0,0,IF(INDEX('Hours Worked'!$D$5:$BD$29,$A296,$B296)="",N(INDEX(Employees!$H$5:$H$29,$A296)),INDEX('Hours Worked'!$D$5:$BD$29,$A296,$B296)))</f>
        <v/>
      </c>
      <c r="J296" s="51">
        <f>IF(OR($G296=0,INDEX(Employees!$O$5:$O$29,$A296)&lt;&gt;"Yes"),0,IF(COUNTIF(Settings!$D$4:$D$9,"&lt;="&amp;$H296)=0,0,INDEX(Settings!$E$4:$E$9,COUNTIF(Settings!$D$4:$D$9,"&lt;="&amp;$H296))))</f>
        <v/>
      </c>
      <c r="K296" s="51">
        <f>IF($G296=0,0,IF(INDEX(Employees!$I$5:$I$29,$A296)="Per pay period",(N(INDEX(Employees!$J$5:$J$29,$A296))+$J296)/Settings!$B$13,IF(INDEX(Employees!$I$5:$I$29,$A296)="Per hour worked",N(INDEX(Employees!$K$5:$K$29,$A296))*$I296,IF(INDEX(Employees!$I$5:$I$29,$A296)="Front-loaded",IF(OR($B296=1,N($G295)=0),N(INDEX(Employees!$J$5:$J$29,$A296))+$J296,0),0))))</f>
        <v/>
      </c>
      <c r="L296" s="51">
        <f>IF($F296=0,0,SUMIFS('Time Off Log'!$H$5:$H$504,'Time Off Log'!$A$5:$A$504,$C296,'Time Off Log'!$B$5:$B$504,"PTO",'Time Off Log'!$E$5:$E$504,"Approved",'Time Off Log'!$C$5:$C$504,"&gt;="&amp;INDEX(Periods!$E$5:$E$57,$B296),'Time Off Log'!$C$5:$C$504,"&lt;="&amp;INDEX(Periods!$F$5:$F$57,$B296)))</f>
        <v/>
      </c>
      <c r="M296" s="51">
        <f>IF($B296=1,N(INDEX(Employees!$N$5:$N$29,$A296)),P295)</f>
        <v/>
      </c>
      <c r="N296" s="51">
        <f>IF(INDEX(Employees!$L$5:$L$29,$A296)="",K296,MAX(0,MIN(K296,INDEX(Employees!$L$5:$L$29,$A296)-(M296-L296))))</f>
        <v/>
      </c>
      <c r="O296" s="51">
        <f>K296-N296</f>
        <v/>
      </c>
      <c r="P296" s="51">
        <f>M296-L296+N296</f>
        <v/>
      </c>
      <c r="Q296" s="51">
        <f>IF($G296=0,0,IF(INDEX(Employees!$P$5:$P$29,$A296)="Per pay period",(N(INDEX(Employees!$Q$5:$Q$29,$A296)))/Settings!$B$13,IF(INDEX(Employees!$P$5:$P$29,$A296)="Per hour worked",N(INDEX(Employees!$R$5:$R$29,$A296))*$I296,IF(INDEX(Employees!$P$5:$P$29,$A296)="Front-loaded",IF(OR($B296=1,N($G295)=0),N(INDEX(Employees!$Q$5:$Q$29,$A296)),0),0))))</f>
        <v/>
      </c>
      <c r="R296" s="51">
        <f>IF($F296=0,0,SUMIFS('Time Off Log'!$H$5:$H$504,'Time Off Log'!$A$5:$A$504,$C296,'Time Off Log'!$B$5:$B$504,"Sick",'Time Off Log'!$E$5:$E$504,"Approved",'Time Off Log'!$C$5:$C$504,"&gt;="&amp;INDEX(Periods!$E$5:$E$57,$B296),'Time Off Log'!$C$5:$C$504,"&lt;="&amp;INDEX(Periods!$F$5:$F$57,$B296)))</f>
        <v/>
      </c>
      <c r="S296" s="51">
        <f>IF($B296=1,N(INDEX(Employees!$T$5:$T$29,$A296)),V295)</f>
        <v/>
      </c>
      <c r="T296" s="51">
        <f>IF(INDEX(Employees!$S$5:$S$29,$A296)="",Q296,MAX(0,MIN(Q296,INDEX(Employees!$S$5:$S$29,$A296)-(S296-R296))))</f>
        <v/>
      </c>
      <c r="U296" s="51">
        <f>Q296-T296</f>
        <v/>
      </c>
      <c r="V296" s="51">
        <f>S296-R296+T296</f>
        <v/>
      </c>
    </row>
    <row r="297">
      <c r="A297" s="50" t="n">
        <v>6</v>
      </c>
      <c r="B297" s="50" t="n">
        <v>28</v>
      </c>
      <c r="C297" s="51">
        <f>INDEX(Employees!$B$5:$B$29,$A297)&amp;""</f>
        <v/>
      </c>
      <c r="D297" s="52">
        <f>INDEX(Periods!$B$5:$B$57,$B297)</f>
        <v/>
      </c>
      <c r="E297" s="52">
        <f>INDEX(Periods!$C$5:$C$57,$B297)</f>
        <v/>
      </c>
      <c r="F297" s="50">
        <f>IF(AND($C297&lt;&gt;"",INDEX(Periods!$D$5:$D$57,$B297)=1),1,0)</f>
        <v/>
      </c>
      <c r="G297" s="50">
        <f>IF($F297=0,0,IF(AND(OR(INDEX(Employees!$D$5:$D$29,$A297)="",$E297&gt;=INDEX(Employees!$D$5:$D$29,$A297)+N(INDEX(Employees!$U$5:$U$29,$A297))),OR(INDEX(Employees!$E$5:$E$29,$A297)="",$D297&lt;=INDEX(Employees!$E$5:$E$29,$A297))),1,0))</f>
        <v/>
      </c>
      <c r="H297" s="50">
        <f>IF($G297=0,0,IF(INDEX(Employees!$D$5:$D$29,$A297)="",0,DATEDIF(INDEX(Employees!$D$5:$D$29,$A297),$E297,"y")))</f>
        <v/>
      </c>
      <c r="I297" s="51">
        <f>IF($G297=0,0,IF(INDEX('Hours Worked'!$D$5:$BD$29,$A297,$B297)="",N(INDEX(Employees!$H$5:$H$29,$A297)),INDEX('Hours Worked'!$D$5:$BD$29,$A297,$B297)))</f>
        <v/>
      </c>
      <c r="J297" s="51">
        <f>IF(OR($G297=0,INDEX(Employees!$O$5:$O$29,$A297)&lt;&gt;"Yes"),0,IF(COUNTIF(Settings!$D$4:$D$9,"&lt;="&amp;$H297)=0,0,INDEX(Settings!$E$4:$E$9,COUNTIF(Settings!$D$4:$D$9,"&lt;="&amp;$H297))))</f>
        <v/>
      </c>
      <c r="K297" s="51">
        <f>IF($G297=0,0,IF(INDEX(Employees!$I$5:$I$29,$A297)="Per pay period",(N(INDEX(Employees!$J$5:$J$29,$A297))+$J297)/Settings!$B$13,IF(INDEX(Employees!$I$5:$I$29,$A297)="Per hour worked",N(INDEX(Employees!$K$5:$K$29,$A297))*$I297,IF(INDEX(Employees!$I$5:$I$29,$A297)="Front-loaded",IF(OR($B297=1,N($G296)=0),N(INDEX(Employees!$J$5:$J$29,$A297))+$J297,0),0))))</f>
        <v/>
      </c>
      <c r="L297" s="51">
        <f>IF($F297=0,0,SUMIFS('Time Off Log'!$H$5:$H$504,'Time Off Log'!$A$5:$A$504,$C297,'Time Off Log'!$B$5:$B$504,"PTO",'Time Off Log'!$E$5:$E$504,"Approved",'Time Off Log'!$C$5:$C$504,"&gt;="&amp;INDEX(Periods!$E$5:$E$57,$B297),'Time Off Log'!$C$5:$C$504,"&lt;="&amp;INDEX(Periods!$F$5:$F$57,$B297)))</f>
        <v/>
      </c>
      <c r="M297" s="51">
        <f>IF($B297=1,N(INDEX(Employees!$N$5:$N$29,$A297)),P296)</f>
        <v/>
      </c>
      <c r="N297" s="51">
        <f>IF(INDEX(Employees!$L$5:$L$29,$A297)="",K297,MAX(0,MIN(K297,INDEX(Employees!$L$5:$L$29,$A297)-(M297-L297))))</f>
        <v/>
      </c>
      <c r="O297" s="51">
        <f>K297-N297</f>
        <v/>
      </c>
      <c r="P297" s="51">
        <f>M297-L297+N297</f>
        <v/>
      </c>
      <c r="Q297" s="51">
        <f>IF($G297=0,0,IF(INDEX(Employees!$P$5:$P$29,$A297)="Per pay period",(N(INDEX(Employees!$Q$5:$Q$29,$A297)))/Settings!$B$13,IF(INDEX(Employees!$P$5:$P$29,$A297)="Per hour worked",N(INDEX(Employees!$R$5:$R$29,$A297))*$I297,IF(INDEX(Employees!$P$5:$P$29,$A297)="Front-loaded",IF(OR($B297=1,N($G296)=0),N(INDEX(Employees!$Q$5:$Q$29,$A297)),0),0))))</f>
        <v/>
      </c>
      <c r="R297" s="51">
        <f>IF($F297=0,0,SUMIFS('Time Off Log'!$H$5:$H$504,'Time Off Log'!$A$5:$A$504,$C297,'Time Off Log'!$B$5:$B$504,"Sick",'Time Off Log'!$E$5:$E$504,"Approved",'Time Off Log'!$C$5:$C$504,"&gt;="&amp;INDEX(Periods!$E$5:$E$57,$B297),'Time Off Log'!$C$5:$C$504,"&lt;="&amp;INDEX(Periods!$F$5:$F$57,$B297)))</f>
        <v/>
      </c>
      <c r="S297" s="51">
        <f>IF($B297=1,N(INDEX(Employees!$T$5:$T$29,$A297)),V296)</f>
        <v/>
      </c>
      <c r="T297" s="51">
        <f>IF(INDEX(Employees!$S$5:$S$29,$A297)="",Q297,MAX(0,MIN(Q297,INDEX(Employees!$S$5:$S$29,$A297)-(S297-R297))))</f>
        <v/>
      </c>
      <c r="U297" s="51">
        <f>Q297-T297</f>
        <v/>
      </c>
      <c r="V297" s="51">
        <f>S297-R297+T297</f>
        <v/>
      </c>
    </row>
    <row r="298">
      <c r="A298" s="50" t="n">
        <v>6</v>
      </c>
      <c r="B298" s="50" t="n">
        <v>29</v>
      </c>
      <c r="C298" s="51">
        <f>INDEX(Employees!$B$5:$B$29,$A298)&amp;""</f>
        <v/>
      </c>
      <c r="D298" s="52">
        <f>INDEX(Periods!$B$5:$B$57,$B298)</f>
        <v/>
      </c>
      <c r="E298" s="52">
        <f>INDEX(Periods!$C$5:$C$57,$B298)</f>
        <v/>
      </c>
      <c r="F298" s="50">
        <f>IF(AND($C298&lt;&gt;"",INDEX(Periods!$D$5:$D$57,$B298)=1),1,0)</f>
        <v/>
      </c>
      <c r="G298" s="50">
        <f>IF($F298=0,0,IF(AND(OR(INDEX(Employees!$D$5:$D$29,$A298)="",$E298&gt;=INDEX(Employees!$D$5:$D$29,$A298)+N(INDEX(Employees!$U$5:$U$29,$A298))),OR(INDEX(Employees!$E$5:$E$29,$A298)="",$D298&lt;=INDEX(Employees!$E$5:$E$29,$A298))),1,0))</f>
        <v/>
      </c>
      <c r="H298" s="50">
        <f>IF($G298=0,0,IF(INDEX(Employees!$D$5:$D$29,$A298)="",0,DATEDIF(INDEX(Employees!$D$5:$D$29,$A298),$E298,"y")))</f>
        <v/>
      </c>
      <c r="I298" s="51">
        <f>IF($G298=0,0,IF(INDEX('Hours Worked'!$D$5:$BD$29,$A298,$B298)="",N(INDEX(Employees!$H$5:$H$29,$A298)),INDEX('Hours Worked'!$D$5:$BD$29,$A298,$B298)))</f>
        <v/>
      </c>
      <c r="J298" s="51">
        <f>IF(OR($G298=0,INDEX(Employees!$O$5:$O$29,$A298)&lt;&gt;"Yes"),0,IF(COUNTIF(Settings!$D$4:$D$9,"&lt;="&amp;$H298)=0,0,INDEX(Settings!$E$4:$E$9,COUNTIF(Settings!$D$4:$D$9,"&lt;="&amp;$H298))))</f>
        <v/>
      </c>
      <c r="K298" s="51">
        <f>IF($G298=0,0,IF(INDEX(Employees!$I$5:$I$29,$A298)="Per pay period",(N(INDEX(Employees!$J$5:$J$29,$A298))+$J298)/Settings!$B$13,IF(INDEX(Employees!$I$5:$I$29,$A298)="Per hour worked",N(INDEX(Employees!$K$5:$K$29,$A298))*$I298,IF(INDEX(Employees!$I$5:$I$29,$A298)="Front-loaded",IF(OR($B298=1,N($G297)=0),N(INDEX(Employees!$J$5:$J$29,$A298))+$J298,0),0))))</f>
        <v/>
      </c>
      <c r="L298" s="51">
        <f>IF($F298=0,0,SUMIFS('Time Off Log'!$H$5:$H$504,'Time Off Log'!$A$5:$A$504,$C298,'Time Off Log'!$B$5:$B$504,"PTO",'Time Off Log'!$E$5:$E$504,"Approved",'Time Off Log'!$C$5:$C$504,"&gt;="&amp;INDEX(Periods!$E$5:$E$57,$B298),'Time Off Log'!$C$5:$C$504,"&lt;="&amp;INDEX(Periods!$F$5:$F$57,$B298)))</f>
        <v/>
      </c>
      <c r="M298" s="51">
        <f>IF($B298=1,N(INDEX(Employees!$N$5:$N$29,$A298)),P297)</f>
        <v/>
      </c>
      <c r="N298" s="51">
        <f>IF(INDEX(Employees!$L$5:$L$29,$A298)="",K298,MAX(0,MIN(K298,INDEX(Employees!$L$5:$L$29,$A298)-(M298-L298))))</f>
        <v/>
      </c>
      <c r="O298" s="51">
        <f>K298-N298</f>
        <v/>
      </c>
      <c r="P298" s="51">
        <f>M298-L298+N298</f>
        <v/>
      </c>
      <c r="Q298" s="51">
        <f>IF($G298=0,0,IF(INDEX(Employees!$P$5:$P$29,$A298)="Per pay period",(N(INDEX(Employees!$Q$5:$Q$29,$A298)))/Settings!$B$13,IF(INDEX(Employees!$P$5:$P$29,$A298)="Per hour worked",N(INDEX(Employees!$R$5:$R$29,$A298))*$I298,IF(INDEX(Employees!$P$5:$P$29,$A298)="Front-loaded",IF(OR($B298=1,N($G297)=0),N(INDEX(Employees!$Q$5:$Q$29,$A298)),0),0))))</f>
        <v/>
      </c>
      <c r="R298" s="51">
        <f>IF($F298=0,0,SUMIFS('Time Off Log'!$H$5:$H$504,'Time Off Log'!$A$5:$A$504,$C298,'Time Off Log'!$B$5:$B$504,"Sick",'Time Off Log'!$E$5:$E$504,"Approved",'Time Off Log'!$C$5:$C$504,"&gt;="&amp;INDEX(Periods!$E$5:$E$57,$B298),'Time Off Log'!$C$5:$C$504,"&lt;="&amp;INDEX(Periods!$F$5:$F$57,$B298)))</f>
        <v/>
      </c>
      <c r="S298" s="51">
        <f>IF($B298=1,N(INDEX(Employees!$T$5:$T$29,$A298)),V297)</f>
        <v/>
      </c>
      <c r="T298" s="51">
        <f>IF(INDEX(Employees!$S$5:$S$29,$A298)="",Q298,MAX(0,MIN(Q298,INDEX(Employees!$S$5:$S$29,$A298)-(S298-R298))))</f>
        <v/>
      </c>
      <c r="U298" s="51">
        <f>Q298-T298</f>
        <v/>
      </c>
      <c r="V298" s="51">
        <f>S298-R298+T298</f>
        <v/>
      </c>
    </row>
    <row r="299">
      <c r="A299" s="50" t="n">
        <v>6</v>
      </c>
      <c r="B299" s="50" t="n">
        <v>30</v>
      </c>
      <c r="C299" s="51">
        <f>INDEX(Employees!$B$5:$B$29,$A299)&amp;""</f>
        <v/>
      </c>
      <c r="D299" s="52">
        <f>INDEX(Periods!$B$5:$B$57,$B299)</f>
        <v/>
      </c>
      <c r="E299" s="52">
        <f>INDEX(Periods!$C$5:$C$57,$B299)</f>
        <v/>
      </c>
      <c r="F299" s="50">
        <f>IF(AND($C299&lt;&gt;"",INDEX(Periods!$D$5:$D$57,$B299)=1),1,0)</f>
        <v/>
      </c>
      <c r="G299" s="50">
        <f>IF($F299=0,0,IF(AND(OR(INDEX(Employees!$D$5:$D$29,$A299)="",$E299&gt;=INDEX(Employees!$D$5:$D$29,$A299)+N(INDEX(Employees!$U$5:$U$29,$A299))),OR(INDEX(Employees!$E$5:$E$29,$A299)="",$D299&lt;=INDEX(Employees!$E$5:$E$29,$A299))),1,0))</f>
        <v/>
      </c>
      <c r="H299" s="50">
        <f>IF($G299=0,0,IF(INDEX(Employees!$D$5:$D$29,$A299)="",0,DATEDIF(INDEX(Employees!$D$5:$D$29,$A299),$E299,"y")))</f>
        <v/>
      </c>
      <c r="I299" s="51">
        <f>IF($G299=0,0,IF(INDEX('Hours Worked'!$D$5:$BD$29,$A299,$B299)="",N(INDEX(Employees!$H$5:$H$29,$A299)),INDEX('Hours Worked'!$D$5:$BD$29,$A299,$B299)))</f>
        <v/>
      </c>
      <c r="J299" s="51">
        <f>IF(OR($G299=0,INDEX(Employees!$O$5:$O$29,$A299)&lt;&gt;"Yes"),0,IF(COUNTIF(Settings!$D$4:$D$9,"&lt;="&amp;$H299)=0,0,INDEX(Settings!$E$4:$E$9,COUNTIF(Settings!$D$4:$D$9,"&lt;="&amp;$H299))))</f>
        <v/>
      </c>
      <c r="K299" s="51">
        <f>IF($G299=0,0,IF(INDEX(Employees!$I$5:$I$29,$A299)="Per pay period",(N(INDEX(Employees!$J$5:$J$29,$A299))+$J299)/Settings!$B$13,IF(INDEX(Employees!$I$5:$I$29,$A299)="Per hour worked",N(INDEX(Employees!$K$5:$K$29,$A299))*$I299,IF(INDEX(Employees!$I$5:$I$29,$A299)="Front-loaded",IF(OR($B299=1,N($G298)=0),N(INDEX(Employees!$J$5:$J$29,$A299))+$J299,0),0))))</f>
        <v/>
      </c>
      <c r="L299" s="51">
        <f>IF($F299=0,0,SUMIFS('Time Off Log'!$H$5:$H$504,'Time Off Log'!$A$5:$A$504,$C299,'Time Off Log'!$B$5:$B$504,"PTO",'Time Off Log'!$E$5:$E$504,"Approved",'Time Off Log'!$C$5:$C$504,"&gt;="&amp;INDEX(Periods!$E$5:$E$57,$B299),'Time Off Log'!$C$5:$C$504,"&lt;="&amp;INDEX(Periods!$F$5:$F$57,$B299)))</f>
        <v/>
      </c>
      <c r="M299" s="51">
        <f>IF($B299=1,N(INDEX(Employees!$N$5:$N$29,$A299)),P298)</f>
        <v/>
      </c>
      <c r="N299" s="51">
        <f>IF(INDEX(Employees!$L$5:$L$29,$A299)="",K299,MAX(0,MIN(K299,INDEX(Employees!$L$5:$L$29,$A299)-(M299-L299))))</f>
        <v/>
      </c>
      <c r="O299" s="51">
        <f>K299-N299</f>
        <v/>
      </c>
      <c r="P299" s="51">
        <f>M299-L299+N299</f>
        <v/>
      </c>
      <c r="Q299" s="51">
        <f>IF($G299=0,0,IF(INDEX(Employees!$P$5:$P$29,$A299)="Per pay period",(N(INDEX(Employees!$Q$5:$Q$29,$A299)))/Settings!$B$13,IF(INDEX(Employees!$P$5:$P$29,$A299)="Per hour worked",N(INDEX(Employees!$R$5:$R$29,$A299))*$I299,IF(INDEX(Employees!$P$5:$P$29,$A299)="Front-loaded",IF(OR($B299=1,N($G298)=0),N(INDEX(Employees!$Q$5:$Q$29,$A299)),0),0))))</f>
        <v/>
      </c>
      <c r="R299" s="51">
        <f>IF($F299=0,0,SUMIFS('Time Off Log'!$H$5:$H$504,'Time Off Log'!$A$5:$A$504,$C299,'Time Off Log'!$B$5:$B$504,"Sick",'Time Off Log'!$E$5:$E$504,"Approved",'Time Off Log'!$C$5:$C$504,"&gt;="&amp;INDEX(Periods!$E$5:$E$57,$B299),'Time Off Log'!$C$5:$C$504,"&lt;="&amp;INDEX(Periods!$F$5:$F$57,$B299)))</f>
        <v/>
      </c>
      <c r="S299" s="51">
        <f>IF($B299=1,N(INDEX(Employees!$T$5:$T$29,$A299)),V298)</f>
        <v/>
      </c>
      <c r="T299" s="51">
        <f>IF(INDEX(Employees!$S$5:$S$29,$A299)="",Q299,MAX(0,MIN(Q299,INDEX(Employees!$S$5:$S$29,$A299)-(S299-R299))))</f>
        <v/>
      </c>
      <c r="U299" s="51">
        <f>Q299-T299</f>
        <v/>
      </c>
      <c r="V299" s="51">
        <f>S299-R299+T299</f>
        <v/>
      </c>
    </row>
    <row r="300">
      <c r="A300" s="50" t="n">
        <v>6</v>
      </c>
      <c r="B300" s="50" t="n">
        <v>31</v>
      </c>
      <c r="C300" s="51">
        <f>INDEX(Employees!$B$5:$B$29,$A300)&amp;""</f>
        <v/>
      </c>
      <c r="D300" s="52">
        <f>INDEX(Periods!$B$5:$B$57,$B300)</f>
        <v/>
      </c>
      <c r="E300" s="52">
        <f>INDEX(Periods!$C$5:$C$57,$B300)</f>
        <v/>
      </c>
      <c r="F300" s="50">
        <f>IF(AND($C300&lt;&gt;"",INDEX(Periods!$D$5:$D$57,$B300)=1),1,0)</f>
        <v/>
      </c>
      <c r="G300" s="50">
        <f>IF($F300=0,0,IF(AND(OR(INDEX(Employees!$D$5:$D$29,$A300)="",$E300&gt;=INDEX(Employees!$D$5:$D$29,$A300)+N(INDEX(Employees!$U$5:$U$29,$A300))),OR(INDEX(Employees!$E$5:$E$29,$A300)="",$D300&lt;=INDEX(Employees!$E$5:$E$29,$A300))),1,0))</f>
        <v/>
      </c>
      <c r="H300" s="50">
        <f>IF($G300=0,0,IF(INDEX(Employees!$D$5:$D$29,$A300)="",0,DATEDIF(INDEX(Employees!$D$5:$D$29,$A300),$E300,"y")))</f>
        <v/>
      </c>
      <c r="I300" s="51">
        <f>IF($G300=0,0,IF(INDEX('Hours Worked'!$D$5:$BD$29,$A300,$B300)="",N(INDEX(Employees!$H$5:$H$29,$A300)),INDEX('Hours Worked'!$D$5:$BD$29,$A300,$B300)))</f>
        <v/>
      </c>
      <c r="J300" s="51">
        <f>IF(OR($G300=0,INDEX(Employees!$O$5:$O$29,$A300)&lt;&gt;"Yes"),0,IF(COUNTIF(Settings!$D$4:$D$9,"&lt;="&amp;$H300)=0,0,INDEX(Settings!$E$4:$E$9,COUNTIF(Settings!$D$4:$D$9,"&lt;="&amp;$H300))))</f>
        <v/>
      </c>
      <c r="K300" s="51">
        <f>IF($G300=0,0,IF(INDEX(Employees!$I$5:$I$29,$A300)="Per pay period",(N(INDEX(Employees!$J$5:$J$29,$A300))+$J300)/Settings!$B$13,IF(INDEX(Employees!$I$5:$I$29,$A300)="Per hour worked",N(INDEX(Employees!$K$5:$K$29,$A300))*$I300,IF(INDEX(Employees!$I$5:$I$29,$A300)="Front-loaded",IF(OR($B300=1,N($G299)=0),N(INDEX(Employees!$J$5:$J$29,$A300))+$J300,0),0))))</f>
        <v/>
      </c>
      <c r="L300" s="51">
        <f>IF($F300=0,0,SUMIFS('Time Off Log'!$H$5:$H$504,'Time Off Log'!$A$5:$A$504,$C300,'Time Off Log'!$B$5:$B$504,"PTO",'Time Off Log'!$E$5:$E$504,"Approved",'Time Off Log'!$C$5:$C$504,"&gt;="&amp;INDEX(Periods!$E$5:$E$57,$B300),'Time Off Log'!$C$5:$C$504,"&lt;="&amp;INDEX(Periods!$F$5:$F$57,$B300)))</f>
        <v/>
      </c>
      <c r="M300" s="51">
        <f>IF($B300=1,N(INDEX(Employees!$N$5:$N$29,$A300)),P299)</f>
        <v/>
      </c>
      <c r="N300" s="51">
        <f>IF(INDEX(Employees!$L$5:$L$29,$A300)="",K300,MAX(0,MIN(K300,INDEX(Employees!$L$5:$L$29,$A300)-(M300-L300))))</f>
        <v/>
      </c>
      <c r="O300" s="51">
        <f>K300-N300</f>
        <v/>
      </c>
      <c r="P300" s="51">
        <f>M300-L300+N300</f>
        <v/>
      </c>
      <c r="Q300" s="51">
        <f>IF($G300=0,0,IF(INDEX(Employees!$P$5:$P$29,$A300)="Per pay period",(N(INDEX(Employees!$Q$5:$Q$29,$A300)))/Settings!$B$13,IF(INDEX(Employees!$P$5:$P$29,$A300)="Per hour worked",N(INDEX(Employees!$R$5:$R$29,$A300))*$I300,IF(INDEX(Employees!$P$5:$P$29,$A300)="Front-loaded",IF(OR($B300=1,N($G299)=0),N(INDEX(Employees!$Q$5:$Q$29,$A300)),0),0))))</f>
        <v/>
      </c>
      <c r="R300" s="51">
        <f>IF($F300=0,0,SUMIFS('Time Off Log'!$H$5:$H$504,'Time Off Log'!$A$5:$A$504,$C300,'Time Off Log'!$B$5:$B$504,"Sick",'Time Off Log'!$E$5:$E$504,"Approved",'Time Off Log'!$C$5:$C$504,"&gt;="&amp;INDEX(Periods!$E$5:$E$57,$B300),'Time Off Log'!$C$5:$C$504,"&lt;="&amp;INDEX(Periods!$F$5:$F$57,$B300)))</f>
        <v/>
      </c>
      <c r="S300" s="51">
        <f>IF($B300=1,N(INDEX(Employees!$T$5:$T$29,$A300)),V299)</f>
        <v/>
      </c>
      <c r="T300" s="51">
        <f>IF(INDEX(Employees!$S$5:$S$29,$A300)="",Q300,MAX(0,MIN(Q300,INDEX(Employees!$S$5:$S$29,$A300)-(S300-R300))))</f>
        <v/>
      </c>
      <c r="U300" s="51">
        <f>Q300-T300</f>
        <v/>
      </c>
      <c r="V300" s="51">
        <f>S300-R300+T300</f>
        <v/>
      </c>
    </row>
    <row r="301">
      <c r="A301" s="50" t="n">
        <v>6</v>
      </c>
      <c r="B301" s="50" t="n">
        <v>32</v>
      </c>
      <c r="C301" s="51">
        <f>INDEX(Employees!$B$5:$B$29,$A301)&amp;""</f>
        <v/>
      </c>
      <c r="D301" s="52">
        <f>INDEX(Periods!$B$5:$B$57,$B301)</f>
        <v/>
      </c>
      <c r="E301" s="52">
        <f>INDEX(Periods!$C$5:$C$57,$B301)</f>
        <v/>
      </c>
      <c r="F301" s="50">
        <f>IF(AND($C301&lt;&gt;"",INDEX(Periods!$D$5:$D$57,$B301)=1),1,0)</f>
        <v/>
      </c>
      <c r="G301" s="50">
        <f>IF($F301=0,0,IF(AND(OR(INDEX(Employees!$D$5:$D$29,$A301)="",$E301&gt;=INDEX(Employees!$D$5:$D$29,$A301)+N(INDEX(Employees!$U$5:$U$29,$A301))),OR(INDEX(Employees!$E$5:$E$29,$A301)="",$D301&lt;=INDEX(Employees!$E$5:$E$29,$A301))),1,0))</f>
        <v/>
      </c>
      <c r="H301" s="50">
        <f>IF($G301=0,0,IF(INDEX(Employees!$D$5:$D$29,$A301)="",0,DATEDIF(INDEX(Employees!$D$5:$D$29,$A301),$E301,"y")))</f>
        <v/>
      </c>
      <c r="I301" s="51">
        <f>IF($G301=0,0,IF(INDEX('Hours Worked'!$D$5:$BD$29,$A301,$B301)="",N(INDEX(Employees!$H$5:$H$29,$A301)),INDEX('Hours Worked'!$D$5:$BD$29,$A301,$B301)))</f>
        <v/>
      </c>
      <c r="J301" s="51">
        <f>IF(OR($G301=0,INDEX(Employees!$O$5:$O$29,$A301)&lt;&gt;"Yes"),0,IF(COUNTIF(Settings!$D$4:$D$9,"&lt;="&amp;$H301)=0,0,INDEX(Settings!$E$4:$E$9,COUNTIF(Settings!$D$4:$D$9,"&lt;="&amp;$H301))))</f>
        <v/>
      </c>
      <c r="K301" s="51">
        <f>IF($G301=0,0,IF(INDEX(Employees!$I$5:$I$29,$A301)="Per pay period",(N(INDEX(Employees!$J$5:$J$29,$A301))+$J301)/Settings!$B$13,IF(INDEX(Employees!$I$5:$I$29,$A301)="Per hour worked",N(INDEX(Employees!$K$5:$K$29,$A301))*$I301,IF(INDEX(Employees!$I$5:$I$29,$A301)="Front-loaded",IF(OR($B301=1,N($G300)=0),N(INDEX(Employees!$J$5:$J$29,$A301))+$J301,0),0))))</f>
        <v/>
      </c>
      <c r="L301" s="51">
        <f>IF($F301=0,0,SUMIFS('Time Off Log'!$H$5:$H$504,'Time Off Log'!$A$5:$A$504,$C301,'Time Off Log'!$B$5:$B$504,"PTO",'Time Off Log'!$E$5:$E$504,"Approved",'Time Off Log'!$C$5:$C$504,"&gt;="&amp;INDEX(Periods!$E$5:$E$57,$B301),'Time Off Log'!$C$5:$C$504,"&lt;="&amp;INDEX(Periods!$F$5:$F$57,$B301)))</f>
        <v/>
      </c>
      <c r="M301" s="51">
        <f>IF($B301=1,N(INDEX(Employees!$N$5:$N$29,$A301)),P300)</f>
        <v/>
      </c>
      <c r="N301" s="51">
        <f>IF(INDEX(Employees!$L$5:$L$29,$A301)="",K301,MAX(0,MIN(K301,INDEX(Employees!$L$5:$L$29,$A301)-(M301-L301))))</f>
        <v/>
      </c>
      <c r="O301" s="51">
        <f>K301-N301</f>
        <v/>
      </c>
      <c r="P301" s="51">
        <f>M301-L301+N301</f>
        <v/>
      </c>
      <c r="Q301" s="51">
        <f>IF($G301=0,0,IF(INDEX(Employees!$P$5:$P$29,$A301)="Per pay period",(N(INDEX(Employees!$Q$5:$Q$29,$A301)))/Settings!$B$13,IF(INDEX(Employees!$P$5:$P$29,$A301)="Per hour worked",N(INDEX(Employees!$R$5:$R$29,$A301))*$I301,IF(INDEX(Employees!$P$5:$P$29,$A301)="Front-loaded",IF(OR($B301=1,N($G300)=0),N(INDEX(Employees!$Q$5:$Q$29,$A301)),0),0))))</f>
        <v/>
      </c>
      <c r="R301" s="51">
        <f>IF($F301=0,0,SUMIFS('Time Off Log'!$H$5:$H$504,'Time Off Log'!$A$5:$A$504,$C301,'Time Off Log'!$B$5:$B$504,"Sick",'Time Off Log'!$E$5:$E$504,"Approved",'Time Off Log'!$C$5:$C$504,"&gt;="&amp;INDEX(Periods!$E$5:$E$57,$B301),'Time Off Log'!$C$5:$C$504,"&lt;="&amp;INDEX(Periods!$F$5:$F$57,$B301)))</f>
        <v/>
      </c>
      <c r="S301" s="51">
        <f>IF($B301=1,N(INDEX(Employees!$T$5:$T$29,$A301)),V300)</f>
        <v/>
      </c>
      <c r="T301" s="51">
        <f>IF(INDEX(Employees!$S$5:$S$29,$A301)="",Q301,MAX(0,MIN(Q301,INDEX(Employees!$S$5:$S$29,$A301)-(S301-R301))))</f>
        <v/>
      </c>
      <c r="U301" s="51">
        <f>Q301-T301</f>
        <v/>
      </c>
      <c r="V301" s="51">
        <f>S301-R301+T301</f>
        <v/>
      </c>
    </row>
    <row r="302">
      <c r="A302" s="50" t="n">
        <v>6</v>
      </c>
      <c r="B302" s="50" t="n">
        <v>33</v>
      </c>
      <c r="C302" s="51">
        <f>INDEX(Employees!$B$5:$B$29,$A302)&amp;""</f>
        <v/>
      </c>
      <c r="D302" s="52">
        <f>INDEX(Periods!$B$5:$B$57,$B302)</f>
        <v/>
      </c>
      <c r="E302" s="52">
        <f>INDEX(Periods!$C$5:$C$57,$B302)</f>
        <v/>
      </c>
      <c r="F302" s="50">
        <f>IF(AND($C302&lt;&gt;"",INDEX(Periods!$D$5:$D$57,$B302)=1),1,0)</f>
        <v/>
      </c>
      <c r="G302" s="50">
        <f>IF($F302=0,0,IF(AND(OR(INDEX(Employees!$D$5:$D$29,$A302)="",$E302&gt;=INDEX(Employees!$D$5:$D$29,$A302)+N(INDEX(Employees!$U$5:$U$29,$A302))),OR(INDEX(Employees!$E$5:$E$29,$A302)="",$D302&lt;=INDEX(Employees!$E$5:$E$29,$A302))),1,0))</f>
        <v/>
      </c>
      <c r="H302" s="50">
        <f>IF($G302=0,0,IF(INDEX(Employees!$D$5:$D$29,$A302)="",0,DATEDIF(INDEX(Employees!$D$5:$D$29,$A302),$E302,"y")))</f>
        <v/>
      </c>
      <c r="I302" s="51">
        <f>IF($G302=0,0,IF(INDEX('Hours Worked'!$D$5:$BD$29,$A302,$B302)="",N(INDEX(Employees!$H$5:$H$29,$A302)),INDEX('Hours Worked'!$D$5:$BD$29,$A302,$B302)))</f>
        <v/>
      </c>
      <c r="J302" s="51">
        <f>IF(OR($G302=0,INDEX(Employees!$O$5:$O$29,$A302)&lt;&gt;"Yes"),0,IF(COUNTIF(Settings!$D$4:$D$9,"&lt;="&amp;$H302)=0,0,INDEX(Settings!$E$4:$E$9,COUNTIF(Settings!$D$4:$D$9,"&lt;="&amp;$H302))))</f>
        <v/>
      </c>
      <c r="K302" s="51">
        <f>IF($G302=0,0,IF(INDEX(Employees!$I$5:$I$29,$A302)="Per pay period",(N(INDEX(Employees!$J$5:$J$29,$A302))+$J302)/Settings!$B$13,IF(INDEX(Employees!$I$5:$I$29,$A302)="Per hour worked",N(INDEX(Employees!$K$5:$K$29,$A302))*$I302,IF(INDEX(Employees!$I$5:$I$29,$A302)="Front-loaded",IF(OR($B302=1,N($G301)=0),N(INDEX(Employees!$J$5:$J$29,$A302))+$J302,0),0))))</f>
        <v/>
      </c>
      <c r="L302" s="51">
        <f>IF($F302=0,0,SUMIFS('Time Off Log'!$H$5:$H$504,'Time Off Log'!$A$5:$A$504,$C302,'Time Off Log'!$B$5:$B$504,"PTO",'Time Off Log'!$E$5:$E$504,"Approved",'Time Off Log'!$C$5:$C$504,"&gt;="&amp;INDEX(Periods!$E$5:$E$57,$B302),'Time Off Log'!$C$5:$C$504,"&lt;="&amp;INDEX(Periods!$F$5:$F$57,$B302)))</f>
        <v/>
      </c>
      <c r="M302" s="51">
        <f>IF($B302=1,N(INDEX(Employees!$N$5:$N$29,$A302)),P301)</f>
        <v/>
      </c>
      <c r="N302" s="51">
        <f>IF(INDEX(Employees!$L$5:$L$29,$A302)="",K302,MAX(0,MIN(K302,INDEX(Employees!$L$5:$L$29,$A302)-(M302-L302))))</f>
        <v/>
      </c>
      <c r="O302" s="51">
        <f>K302-N302</f>
        <v/>
      </c>
      <c r="P302" s="51">
        <f>M302-L302+N302</f>
        <v/>
      </c>
      <c r="Q302" s="51">
        <f>IF($G302=0,0,IF(INDEX(Employees!$P$5:$P$29,$A302)="Per pay period",(N(INDEX(Employees!$Q$5:$Q$29,$A302)))/Settings!$B$13,IF(INDEX(Employees!$P$5:$P$29,$A302)="Per hour worked",N(INDEX(Employees!$R$5:$R$29,$A302))*$I302,IF(INDEX(Employees!$P$5:$P$29,$A302)="Front-loaded",IF(OR($B302=1,N($G301)=0),N(INDEX(Employees!$Q$5:$Q$29,$A302)),0),0))))</f>
        <v/>
      </c>
      <c r="R302" s="51">
        <f>IF($F302=0,0,SUMIFS('Time Off Log'!$H$5:$H$504,'Time Off Log'!$A$5:$A$504,$C302,'Time Off Log'!$B$5:$B$504,"Sick",'Time Off Log'!$E$5:$E$504,"Approved",'Time Off Log'!$C$5:$C$504,"&gt;="&amp;INDEX(Periods!$E$5:$E$57,$B302),'Time Off Log'!$C$5:$C$504,"&lt;="&amp;INDEX(Periods!$F$5:$F$57,$B302)))</f>
        <v/>
      </c>
      <c r="S302" s="51">
        <f>IF($B302=1,N(INDEX(Employees!$T$5:$T$29,$A302)),V301)</f>
        <v/>
      </c>
      <c r="T302" s="51">
        <f>IF(INDEX(Employees!$S$5:$S$29,$A302)="",Q302,MAX(0,MIN(Q302,INDEX(Employees!$S$5:$S$29,$A302)-(S302-R302))))</f>
        <v/>
      </c>
      <c r="U302" s="51">
        <f>Q302-T302</f>
        <v/>
      </c>
      <c r="V302" s="51">
        <f>S302-R302+T302</f>
        <v/>
      </c>
    </row>
    <row r="303">
      <c r="A303" s="50" t="n">
        <v>6</v>
      </c>
      <c r="B303" s="50" t="n">
        <v>34</v>
      </c>
      <c r="C303" s="51">
        <f>INDEX(Employees!$B$5:$B$29,$A303)&amp;""</f>
        <v/>
      </c>
      <c r="D303" s="52">
        <f>INDEX(Periods!$B$5:$B$57,$B303)</f>
        <v/>
      </c>
      <c r="E303" s="52">
        <f>INDEX(Periods!$C$5:$C$57,$B303)</f>
        <v/>
      </c>
      <c r="F303" s="50">
        <f>IF(AND($C303&lt;&gt;"",INDEX(Periods!$D$5:$D$57,$B303)=1),1,0)</f>
        <v/>
      </c>
      <c r="G303" s="50">
        <f>IF($F303=0,0,IF(AND(OR(INDEX(Employees!$D$5:$D$29,$A303)="",$E303&gt;=INDEX(Employees!$D$5:$D$29,$A303)+N(INDEX(Employees!$U$5:$U$29,$A303))),OR(INDEX(Employees!$E$5:$E$29,$A303)="",$D303&lt;=INDEX(Employees!$E$5:$E$29,$A303))),1,0))</f>
        <v/>
      </c>
      <c r="H303" s="50">
        <f>IF($G303=0,0,IF(INDEX(Employees!$D$5:$D$29,$A303)="",0,DATEDIF(INDEX(Employees!$D$5:$D$29,$A303),$E303,"y")))</f>
        <v/>
      </c>
      <c r="I303" s="51">
        <f>IF($G303=0,0,IF(INDEX('Hours Worked'!$D$5:$BD$29,$A303,$B303)="",N(INDEX(Employees!$H$5:$H$29,$A303)),INDEX('Hours Worked'!$D$5:$BD$29,$A303,$B303)))</f>
        <v/>
      </c>
      <c r="J303" s="51">
        <f>IF(OR($G303=0,INDEX(Employees!$O$5:$O$29,$A303)&lt;&gt;"Yes"),0,IF(COUNTIF(Settings!$D$4:$D$9,"&lt;="&amp;$H303)=0,0,INDEX(Settings!$E$4:$E$9,COUNTIF(Settings!$D$4:$D$9,"&lt;="&amp;$H303))))</f>
        <v/>
      </c>
      <c r="K303" s="51">
        <f>IF($G303=0,0,IF(INDEX(Employees!$I$5:$I$29,$A303)="Per pay period",(N(INDEX(Employees!$J$5:$J$29,$A303))+$J303)/Settings!$B$13,IF(INDEX(Employees!$I$5:$I$29,$A303)="Per hour worked",N(INDEX(Employees!$K$5:$K$29,$A303))*$I303,IF(INDEX(Employees!$I$5:$I$29,$A303)="Front-loaded",IF(OR($B303=1,N($G302)=0),N(INDEX(Employees!$J$5:$J$29,$A303))+$J303,0),0))))</f>
        <v/>
      </c>
      <c r="L303" s="51">
        <f>IF($F303=0,0,SUMIFS('Time Off Log'!$H$5:$H$504,'Time Off Log'!$A$5:$A$504,$C303,'Time Off Log'!$B$5:$B$504,"PTO",'Time Off Log'!$E$5:$E$504,"Approved",'Time Off Log'!$C$5:$C$504,"&gt;="&amp;INDEX(Periods!$E$5:$E$57,$B303),'Time Off Log'!$C$5:$C$504,"&lt;="&amp;INDEX(Periods!$F$5:$F$57,$B303)))</f>
        <v/>
      </c>
      <c r="M303" s="51">
        <f>IF($B303=1,N(INDEX(Employees!$N$5:$N$29,$A303)),P302)</f>
        <v/>
      </c>
      <c r="N303" s="51">
        <f>IF(INDEX(Employees!$L$5:$L$29,$A303)="",K303,MAX(0,MIN(K303,INDEX(Employees!$L$5:$L$29,$A303)-(M303-L303))))</f>
        <v/>
      </c>
      <c r="O303" s="51">
        <f>K303-N303</f>
        <v/>
      </c>
      <c r="P303" s="51">
        <f>M303-L303+N303</f>
        <v/>
      </c>
      <c r="Q303" s="51">
        <f>IF($G303=0,0,IF(INDEX(Employees!$P$5:$P$29,$A303)="Per pay period",(N(INDEX(Employees!$Q$5:$Q$29,$A303)))/Settings!$B$13,IF(INDEX(Employees!$P$5:$P$29,$A303)="Per hour worked",N(INDEX(Employees!$R$5:$R$29,$A303))*$I303,IF(INDEX(Employees!$P$5:$P$29,$A303)="Front-loaded",IF(OR($B303=1,N($G302)=0),N(INDEX(Employees!$Q$5:$Q$29,$A303)),0),0))))</f>
        <v/>
      </c>
      <c r="R303" s="51">
        <f>IF($F303=0,0,SUMIFS('Time Off Log'!$H$5:$H$504,'Time Off Log'!$A$5:$A$504,$C303,'Time Off Log'!$B$5:$B$504,"Sick",'Time Off Log'!$E$5:$E$504,"Approved",'Time Off Log'!$C$5:$C$504,"&gt;="&amp;INDEX(Periods!$E$5:$E$57,$B303),'Time Off Log'!$C$5:$C$504,"&lt;="&amp;INDEX(Periods!$F$5:$F$57,$B303)))</f>
        <v/>
      </c>
      <c r="S303" s="51">
        <f>IF($B303=1,N(INDEX(Employees!$T$5:$T$29,$A303)),V302)</f>
        <v/>
      </c>
      <c r="T303" s="51">
        <f>IF(INDEX(Employees!$S$5:$S$29,$A303)="",Q303,MAX(0,MIN(Q303,INDEX(Employees!$S$5:$S$29,$A303)-(S303-R303))))</f>
        <v/>
      </c>
      <c r="U303" s="51">
        <f>Q303-T303</f>
        <v/>
      </c>
      <c r="V303" s="51">
        <f>S303-R303+T303</f>
        <v/>
      </c>
    </row>
    <row r="304">
      <c r="A304" s="50" t="n">
        <v>6</v>
      </c>
      <c r="B304" s="50" t="n">
        <v>35</v>
      </c>
      <c r="C304" s="51">
        <f>INDEX(Employees!$B$5:$B$29,$A304)&amp;""</f>
        <v/>
      </c>
      <c r="D304" s="52">
        <f>INDEX(Periods!$B$5:$B$57,$B304)</f>
        <v/>
      </c>
      <c r="E304" s="52">
        <f>INDEX(Periods!$C$5:$C$57,$B304)</f>
        <v/>
      </c>
      <c r="F304" s="50">
        <f>IF(AND($C304&lt;&gt;"",INDEX(Periods!$D$5:$D$57,$B304)=1),1,0)</f>
        <v/>
      </c>
      <c r="G304" s="50">
        <f>IF($F304=0,0,IF(AND(OR(INDEX(Employees!$D$5:$D$29,$A304)="",$E304&gt;=INDEX(Employees!$D$5:$D$29,$A304)+N(INDEX(Employees!$U$5:$U$29,$A304))),OR(INDEX(Employees!$E$5:$E$29,$A304)="",$D304&lt;=INDEX(Employees!$E$5:$E$29,$A304))),1,0))</f>
        <v/>
      </c>
      <c r="H304" s="50">
        <f>IF($G304=0,0,IF(INDEX(Employees!$D$5:$D$29,$A304)="",0,DATEDIF(INDEX(Employees!$D$5:$D$29,$A304),$E304,"y")))</f>
        <v/>
      </c>
      <c r="I304" s="51">
        <f>IF($G304=0,0,IF(INDEX('Hours Worked'!$D$5:$BD$29,$A304,$B304)="",N(INDEX(Employees!$H$5:$H$29,$A304)),INDEX('Hours Worked'!$D$5:$BD$29,$A304,$B304)))</f>
        <v/>
      </c>
      <c r="J304" s="51">
        <f>IF(OR($G304=0,INDEX(Employees!$O$5:$O$29,$A304)&lt;&gt;"Yes"),0,IF(COUNTIF(Settings!$D$4:$D$9,"&lt;="&amp;$H304)=0,0,INDEX(Settings!$E$4:$E$9,COUNTIF(Settings!$D$4:$D$9,"&lt;="&amp;$H304))))</f>
        <v/>
      </c>
      <c r="K304" s="51">
        <f>IF($G304=0,0,IF(INDEX(Employees!$I$5:$I$29,$A304)="Per pay period",(N(INDEX(Employees!$J$5:$J$29,$A304))+$J304)/Settings!$B$13,IF(INDEX(Employees!$I$5:$I$29,$A304)="Per hour worked",N(INDEX(Employees!$K$5:$K$29,$A304))*$I304,IF(INDEX(Employees!$I$5:$I$29,$A304)="Front-loaded",IF(OR($B304=1,N($G303)=0),N(INDEX(Employees!$J$5:$J$29,$A304))+$J304,0),0))))</f>
        <v/>
      </c>
      <c r="L304" s="51">
        <f>IF($F304=0,0,SUMIFS('Time Off Log'!$H$5:$H$504,'Time Off Log'!$A$5:$A$504,$C304,'Time Off Log'!$B$5:$B$504,"PTO",'Time Off Log'!$E$5:$E$504,"Approved",'Time Off Log'!$C$5:$C$504,"&gt;="&amp;INDEX(Periods!$E$5:$E$57,$B304),'Time Off Log'!$C$5:$C$504,"&lt;="&amp;INDEX(Periods!$F$5:$F$57,$B304)))</f>
        <v/>
      </c>
      <c r="M304" s="51">
        <f>IF($B304=1,N(INDEX(Employees!$N$5:$N$29,$A304)),P303)</f>
        <v/>
      </c>
      <c r="N304" s="51">
        <f>IF(INDEX(Employees!$L$5:$L$29,$A304)="",K304,MAX(0,MIN(K304,INDEX(Employees!$L$5:$L$29,$A304)-(M304-L304))))</f>
        <v/>
      </c>
      <c r="O304" s="51">
        <f>K304-N304</f>
        <v/>
      </c>
      <c r="P304" s="51">
        <f>M304-L304+N304</f>
        <v/>
      </c>
      <c r="Q304" s="51">
        <f>IF($G304=0,0,IF(INDEX(Employees!$P$5:$P$29,$A304)="Per pay period",(N(INDEX(Employees!$Q$5:$Q$29,$A304)))/Settings!$B$13,IF(INDEX(Employees!$P$5:$P$29,$A304)="Per hour worked",N(INDEX(Employees!$R$5:$R$29,$A304))*$I304,IF(INDEX(Employees!$P$5:$P$29,$A304)="Front-loaded",IF(OR($B304=1,N($G303)=0),N(INDEX(Employees!$Q$5:$Q$29,$A304)),0),0))))</f>
        <v/>
      </c>
      <c r="R304" s="51">
        <f>IF($F304=0,0,SUMIFS('Time Off Log'!$H$5:$H$504,'Time Off Log'!$A$5:$A$504,$C304,'Time Off Log'!$B$5:$B$504,"Sick",'Time Off Log'!$E$5:$E$504,"Approved",'Time Off Log'!$C$5:$C$504,"&gt;="&amp;INDEX(Periods!$E$5:$E$57,$B304),'Time Off Log'!$C$5:$C$504,"&lt;="&amp;INDEX(Periods!$F$5:$F$57,$B304)))</f>
        <v/>
      </c>
      <c r="S304" s="51">
        <f>IF($B304=1,N(INDEX(Employees!$T$5:$T$29,$A304)),V303)</f>
        <v/>
      </c>
      <c r="T304" s="51">
        <f>IF(INDEX(Employees!$S$5:$S$29,$A304)="",Q304,MAX(0,MIN(Q304,INDEX(Employees!$S$5:$S$29,$A304)-(S304-R304))))</f>
        <v/>
      </c>
      <c r="U304" s="51">
        <f>Q304-T304</f>
        <v/>
      </c>
      <c r="V304" s="51">
        <f>S304-R304+T304</f>
        <v/>
      </c>
    </row>
    <row r="305">
      <c r="A305" s="50" t="n">
        <v>6</v>
      </c>
      <c r="B305" s="50" t="n">
        <v>36</v>
      </c>
      <c r="C305" s="51">
        <f>INDEX(Employees!$B$5:$B$29,$A305)&amp;""</f>
        <v/>
      </c>
      <c r="D305" s="52">
        <f>INDEX(Periods!$B$5:$B$57,$B305)</f>
        <v/>
      </c>
      <c r="E305" s="52">
        <f>INDEX(Periods!$C$5:$C$57,$B305)</f>
        <v/>
      </c>
      <c r="F305" s="50">
        <f>IF(AND($C305&lt;&gt;"",INDEX(Periods!$D$5:$D$57,$B305)=1),1,0)</f>
        <v/>
      </c>
      <c r="G305" s="50">
        <f>IF($F305=0,0,IF(AND(OR(INDEX(Employees!$D$5:$D$29,$A305)="",$E305&gt;=INDEX(Employees!$D$5:$D$29,$A305)+N(INDEX(Employees!$U$5:$U$29,$A305))),OR(INDEX(Employees!$E$5:$E$29,$A305)="",$D305&lt;=INDEX(Employees!$E$5:$E$29,$A305))),1,0))</f>
        <v/>
      </c>
      <c r="H305" s="50">
        <f>IF($G305=0,0,IF(INDEX(Employees!$D$5:$D$29,$A305)="",0,DATEDIF(INDEX(Employees!$D$5:$D$29,$A305),$E305,"y")))</f>
        <v/>
      </c>
      <c r="I305" s="51">
        <f>IF($G305=0,0,IF(INDEX('Hours Worked'!$D$5:$BD$29,$A305,$B305)="",N(INDEX(Employees!$H$5:$H$29,$A305)),INDEX('Hours Worked'!$D$5:$BD$29,$A305,$B305)))</f>
        <v/>
      </c>
      <c r="J305" s="51">
        <f>IF(OR($G305=0,INDEX(Employees!$O$5:$O$29,$A305)&lt;&gt;"Yes"),0,IF(COUNTIF(Settings!$D$4:$D$9,"&lt;="&amp;$H305)=0,0,INDEX(Settings!$E$4:$E$9,COUNTIF(Settings!$D$4:$D$9,"&lt;="&amp;$H305))))</f>
        <v/>
      </c>
      <c r="K305" s="51">
        <f>IF($G305=0,0,IF(INDEX(Employees!$I$5:$I$29,$A305)="Per pay period",(N(INDEX(Employees!$J$5:$J$29,$A305))+$J305)/Settings!$B$13,IF(INDEX(Employees!$I$5:$I$29,$A305)="Per hour worked",N(INDEX(Employees!$K$5:$K$29,$A305))*$I305,IF(INDEX(Employees!$I$5:$I$29,$A305)="Front-loaded",IF(OR($B305=1,N($G304)=0),N(INDEX(Employees!$J$5:$J$29,$A305))+$J305,0),0))))</f>
        <v/>
      </c>
      <c r="L305" s="51">
        <f>IF($F305=0,0,SUMIFS('Time Off Log'!$H$5:$H$504,'Time Off Log'!$A$5:$A$504,$C305,'Time Off Log'!$B$5:$B$504,"PTO",'Time Off Log'!$E$5:$E$504,"Approved",'Time Off Log'!$C$5:$C$504,"&gt;="&amp;INDEX(Periods!$E$5:$E$57,$B305),'Time Off Log'!$C$5:$C$504,"&lt;="&amp;INDEX(Periods!$F$5:$F$57,$B305)))</f>
        <v/>
      </c>
      <c r="M305" s="51">
        <f>IF($B305=1,N(INDEX(Employees!$N$5:$N$29,$A305)),P304)</f>
        <v/>
      </c>
      <c r="N305" s="51">
        <f>IF(INDEX(Employees!$L$5:$L$29,$A305)="",K305,MAX(0,MIN(K305,INDEX(Employees!$L$5:$L$29,$A305)-(M305-L305))))</f>
        <v/>
      </c>
      <c r="O305" s="51">
        <f>K305-N305</f>
        <v/>
      </c>
      <c r="P305" s="51">
        <f>M305-L305+N305</f>
        <v/>
      </c>
      <c r="Q305" s="51">
        <f>IF($G305=0,0,IF(INDEX(Employees!$P$5:$P$29,$A305)="Per pay period",(N(INDEX(Employees!$Q$5:$Q$29,$A305)))/Settings!$B$13,IF(INDEX(Employees!$P$5:$P$29,$A305)="Per hour worked",N(INDEX(Employees!$R$5:$R$29,$A305))*$I305,IF(INDEX(Employees!$P$5:$P$29,$A305)="Front-loaded",IF(OR($B305=1,N($G304)=0),N(INDEX(Employees!$Q$5:$Q$29,$A305)),0),0))))</f>
        <v/>
      </c>
      <c r="R305" s="51">
        <f>IF($F305=0,0,SUMIFS('Time Off Log'!$H$5:$H$504,'Time Off Log'!$A$5:$A$504,$C305,'Time Off Log'!$B$5:$B$504,"Sick",'Time Off Log'!$E$5:$E$504,"Approved",'Time Off Log'!$C$5:$C$504,"&gt;="&amp;INDEX(Periods!$E$5:$E$57,$B305),'Time Off Log'!$C$5:$C$504,"&lt;="&amp;INDEX(Periods!$F$5:$F$57,$B305)))</f>
        <v/>
      </c>
      <c r="S305" s="51">
        <f>IF($B305=1,N(INDEX(Employees!$T$5:$T$29,$A305)),V304)</f>
        <v/>
      </c>
      <c r="T305" s="51">
        <f>IF(INDEX(Employees!$S$5:$S$29,$A305)="",Q305,MAX(0,MIN(Q305,INDEX(Employees!$S$5:$S$29,$A305)-(S305-R305))))</f>
        <v/>
      </c>
      <c r="U305" s="51">
        <f>Q305-T305</f>
        <v/>
      </c>
      <c r="V305" s="51">
        <f>S305-R305+T305</f>
        <v/>
      </c>
    </row>
    <row r="306">
      <c r="A306" s="50" t="n">
        <v>6</v>
      </c>
      <c r="B306" s="50" t="n">
        <v>37</v>
      </c>
      <c r="C306" s="51">
        <f>INDEX(Employees!$B$5:$B$29,$A306)&amp;""</f>
        <v/>
      </c>
      <c r="D306" s="52">
        <f>INDEX(Periods!$B$5:$B$57,$B306)</f>
        <v/>
      </c>
      <c r="E306" s="52">
        <f>INDEX(Periods!$C$5:$C$57,$B306)</f>
        <v/>
      </c>
      <c r="F306" s="50">
        <f>IF(AND($C306&lt;&gt;"",INDEX(Periods!$D$5:$D$57,$B306)=1),1,0)</f>
        <v/>
      </c>
      <c r="G306" s="50">
        <f>IF($F306=0,0,IF(AND(OR(INDEX(Employees!$D$5:$D$29,$A306)="",$E306&gt;=INDEX(Employees!$D$5:$D$29,$A306)+N(INDEX(Employees!$U$5:$U$29,$A306))),OR(INDEX(Employees!$E$5:$E$29,$A306)="",$D306&lt;=INDEX(Employees!$E$5:$E$29,$A306))),1,0))</f>
        <v/>
      </c>
      <c r="H306" s="50">
        <f>IF($G306=0,0,IF(INDEX(Employees!$D$5:$D$29,$A306)="",0,DATEDIF(INDEX(Employees!$D$5:$D$29,$A306),$E306,"y")))</f>
        <v/>
      </c>
      <c r="I306" s="51">
        <f>IF($G306=0,0,IF(INDEX('Hours Worked'!$D$5:$BD$29,$A306,$B306)="",N(INDEX(Employees!$H$5:$H$29,$A306)),INDEX('Hours Worked'!$D$5:$BD$29,$A306,$B306)))</f>
        <v/>
      </c>
      <c r="J306" s="51">
        <f>IF(OR($G306=0,INDEX(Employees!$O$5:$O$29,$A306)&lt;&gt;"Yes"),0,IF(COUNTIF(Settings!$D$4:$D$9,"&lt;="&amp;$H306)=0,0,INDEX(Settings!$E$4:$E$9,COUNTIF(Settings!$D$4:$D$9,"&lt;="&amp;$H306))))</f>
        <v/>
      </c>
      <c r="K306" s="51">
        <f>IF($G306=0,0,IF(INDEX(Employees!$I$5:$I$29,$A306)="Per pay period",(N(INDEX(Employees!$J$5:$J$29,$A306))+$J306)/Settings!$B$13,IF(INDEX(Employees!$I$5:$I$29,$A306)="Per hour worked",N(INDEX(Employees!$K$5:$K$29,$A306))*$I306,IF(INDEX(Employees!$I$5:$I$29,$A306)="Front-loaded",IF(OR($B306=1,N($G305)=0),N(INDEX(Employees!$J$5:$J$29,$A306))+$J306,0),0))))</f>
        <v/>
      </c>
      <c r="L306" s="51">
        <f>IF($F306=0,0,SUMIFS('Time Off Log'!$H$5:$H$504,'Time Off Log'!$A$5:$A$504,$C306,'Time Off Log'!$B$5:$B$504,"PTO",'Time Off Log'!$E$5:$E$504,"Approved",'Time Off Log'!$C$5:$C$504,"&gt;="&amp;INDEX(Periods!$E$5:$E$57,$B306),'Time Off Log'!$C$5:$C$504,"&lt;="&amp;INDEX(Periods!$F$5:$F$57,$B306)))</f>
        <v/>
      </c>
      <c r="M306" s="51">
        <f>IF($B306=1,N(INDEX(Employees!$N$5:$N$29,$A306)),P305)</f>
        <v/>
      </c>
      <c r="N306" s="51">
        <f>IF(INDEX(Employees!$L$5:$L$29,$A306)="",K306,MAX(0,MIN(K306,INDEX(Employees!$L$5:$L$29,$A306)-(M306-L306))))</f>
        <v/>
      </c>
      <c r="O306" s="51">
        <f>K306-N306</f>
        <v/>
      </c>
      <c r="P306" s="51">
        <f>M306-L306+N306</f>
        <v/>
      </c>
      <c r="Q306" s="51">
        <f>IF($G306=0,0,IF(INDEX(Employees!$P$5:$P$29,$A306)="Per pay period",(N(INDEX(Employees!$Q$5:$Q$29,$A306)))/Settings!$B$13,IF(INDEX(Employees!$P$5:$P$29,$A306)="Per hour worked",N(INDEX(Employees!$R$5:$R$29,$A306))*$I306,IF(INDEX(Employees!$P$5:$P$29,$A306)="Front-loaded",IF(OR($B306=1,N($G305)=0),N(INDEX(Employees!$Q$5:$Q$29,$A306)),0),0))))</f>
        <v/>
      </c>
      <c r="R306" s="51">
        <f>IF($F306=0,0,SUMIFS('Time Off Log'!$H$5:$H$504,'Time Off Log'!$A$5:$A$504,$C306,'Time Off Log'!$B$5:$B$504,"Sick",'Time Off Log'!$E$5:$E$504,"Approved",'Time Off Log'!$C$5:$C$504,"&gt;="&amp;INDEX(Periods!$E$5:$E$57,$B306),'Time Off Log'!$C$5:$C$504,"&lt;="&amp;INDEX(Periods!$F$5:$F$57,$B306)))</f>
        <v/>
      </c>
      <c r="S306" s="51">
        <f>IF($B306=1,N(INDEX(Employees!$T$5:$T$29,$A306)),V305)</f>
        <v/>
      </c>
      <c r="T306" s="51">
        <f>IF(INDEX(Employees!$S$5:$S$29,$A306)="",Q306,MAX(0,MIN(Q306,INDEX(Employees!$S$5:$S$29,$A306)-(S306-R306))))</f>
        <v/>
      </c>
      <c r="U306" s="51">
        <f>Q306-T306</f>
        <v/>
      </c>
      <c r="V306" s="51">
        <f>S306-R306+T306</f>
        <v/>
      </c>
    </row>
    <row r="307">
      <c r="A307" s="50" t="n">
        <v>6</v>
      </c>
      <c r="B307" s="50" t="n">
        <v>38</v>
      </c>
      <c r="C307" s="51">
        <f>INDEX(Employees!$B$5:$B$29,$A307)&amp;""</f>
        <v/>
      </c>
      <c r="D307" s="52">
        <f>INDEX(Periods!$B$5:$B$57,$B307)</f>
        <v/>
      </c>
      <c r="E307" s="52">
        <f>INDEX(Periods!$C$5:$C$57,$B307)</f>
        <v/>
      </c>
      <c r="F307" s="50">
        <f>IF(AND($C307&lt;&gt;"",INDEX(Periods!$D$5:$D$57,$B307)=1),1,0)</f>
        <v/>
      </c>
      <c r="G307" s="50">
        <f>IF($F307=0,0,IF(AND(OR(INDEX(Employees!$D$5:$D$29,$A307)="",$E307&gt;=INDEX(Employees!$D$5:$D$29,$A307)+N(INDEX(Employees!$U$5:$U$29,$A307))),OR(INDEX(Employees!$E$5:$E$29,$A307)="",$D307&lt;=INDEX(Employees!$E$5:$E$29,$A307))),1,0))</f>
        <v/>
      </c>
      <c r="H307" s="50">
        <f>IF($G307=0,0,IF(INDEX(Employees!$D$5:$D$29,$A307)="",0,DATEDIF(INDEX(Employees!$D$5:$D$29,$A307),$E307,"y")))</f>
        <v/>
      </c>
      <c r="I307" s="51">
        <f>IF($G307=0,0,IF(INDEX('Hours Worked'!$D$5:$BD$29,$A307,$B307)="",N(INDEX(Employees!$H$5:$H$29,$A307)),INDEX('Hours Worked'!$D$5:$BD$29,$A307,$B307)))</f>
        <v/>
      </c>
      <c r="J307" s="51">
        <f>IF(OR($G307=0,INDEX(Employees!$O$5:$O$29,$A307)&lt;&gt;"Yes"),0,IF(COUNTIF(Settings!$D$4:$D$9,"&lt;="&amp;$H307)=0,0,INDEX(Settings!$E$4:$E$9,COUNTIF(Settings!$D$4:$D$9,"&lt;="&amp;$H307))))</f>
        <v/>
      </c>
      <c r="K307" s="51">
        <f>IF($G307=0,0,IF(INDEX(Employees!$I$5:$I$29,$A307)="Per pay period",(N(INDEX(Employees!$J$5:$J$29,$A307))+$J307)/Settings!$B$13,IF(INDEX(Employees!$I$5:$I$29,$A307)="Per hour worked",N(INDEX(Employees!$K$5:$K$29,$A307))*$I307,IF(INDEX(Employees!$I$5:$I$29,$A307)="Front-loaded",IF(OR($B307=1,N($G306)=0),N(INDEX(Employees!$J$5:$J$29,$A307))+$J307,0),0))))</f>
        <v/>
      </c>
      <c r="L307" s="51">
        <f>IF($F307=0,0,SUMIFS('Time Off Log'!$H$5:$H$504,'Time Off Log'!$A$5:$A$504,$C307,'Time Off Log'!$B$5:$B$504,"PTO",'Time Off Log'!$E$5:$E$504,"Approved",'Time Off Log'!$C$5:$C$504,"&gt;="&amp;INDEX(Periods!$E$5:$E$57,$B307),'Time Off Log'!$C$5:$C$504,"&lt;="&amp;INDEX(Periods!$F$5:$F$57,$B307)))</f>
        <v/>
      </c>
      <c r="M307" s="51">
        <f>IF($B307=1,N(INDEX(Employees!$N$5:$N$29,$A307)),P306)</f>
        <v/>
      </c>
      <c r="N307" s="51">
        <f>IF(INDEX(Employees!$L$5:$L$29,$A307)="",K307,MAX(0,MIN(K307,INDEX(Employees!$L$5:$L$29,$A307)-(M307-L307))))</f>
        <v/>
      </c>
      <c r="O307" s="51">
        <f>K307-N307</f>
        <v/>
      </c>
      <c r="P307" s="51">
        <f>M307-L307+N307</f>
        <v/>
      </c>
      <c r="Q307" s="51">
        <f>IF($G307=0,0,IF(INDEX(Employees!$P$5:$P$29,$A307)="Per pay period",(N(INDEX(Employees!$Q$5:$Q$29,$A307)))/Settings!$B$13,IF(INDEX(Employees!$P$5:$P$29,$A307)="Per hour worked",N(INDEX(Employees!$R$5:$R$29,$A307))*$I307,IF(INDEX(Employees!$P$5:$P$29,$A307)="Front-loaded",IF(OR($B307=1,N($G306)=0),N(INDEX(Employees!$Q$5:$Q$29,$A307)),0),0))))</f>
        <v/>
      </c>
      <c r="R307" s="51">
        <f>IF($F307=0,0,SUMIFS('Time Off Log'!$H$5:$H$504,'Time Off Log'!$A$5:$A$504,$C307,'Time Off Log'!$B$5:$B$504,"Sick",'Time Off Log'!$E$5:$E$504,"Approved",'Time Off Log'!$C$5:$C$504,"&gt;="&amp;INDEX(Periods!$E$5:$E$57,$B307),'Time Off Log'!$C$5:$C$504,"&lt;="&amp;INDEX(Periods!$F$5:$F$57,$B307)))</f>
        <v/>
      </c>
      <c r="S307" s="51">
        <f>IF($B307=1,N(INDEX(Employees!$T$5:$T$29,$A307)),V306)</f>
        <v/>
      </c>
      <c r="T307" s="51">
        <f>IF(INDEX(Employees!$S$5:$S$29,$A307)="",Q307,MAX(0,MIN(Q307,INDEX(Employees!$S$5:$S$29,$A307)-(S307-R307))))</f>
        <v/>
      </c>
      <c r="U307" s="51">
        <f>Q307-T307</f>
        <v/>
      </c>
      <c r="V307" s="51">
        <f>S307-R307+T307</f>
        <v/>
      </c>
    </row>
    <row r="308">
      <c r="A308" s="50" t="n">
        <v>6</v>
      </c>
      <c r="B308" s="50" t="n">
        <v>39</v>
      </c>
      <c r="C308" s="51">
        <f>INDEX(Employees!$B$5:$B$29,$A308)&amp;""</f>
        <v/>
      </c>
      <c r="D308" s="52">
        <f>INDEX(Periods!$B$5:$B$57,$B308)</f>
        <v/>
      </c>
      <c r="E308" s="52">
        <f>INDEX(Periods!$C$5:$C$57,$B308)</f>
        <v/>
      </c>
      <c r="F308" s="50">
        <f>IF(AND($C308&lt;&gt;"",INDEX(Periods!$D$5:$D$57,$B308)=1),1,0)</f>
        <v/>
      </c>
      <c r="G308" s="50">
        <f>IF($F308=0,0,IF(AND(OR(INDEX(Employees!$D$5:$D$29,$A308)="",$E308&gt;=INDEX(Employees!$D$5:$D$29,$A308)+N(INDEX(Employees!$U$5:$U$29,$A308))),OR(INDEX(Employees!$E$5:$E$29,$A308)="",$D308&lt;=INDEX(Employees!$E$5:$E$29,$A308))),1,0))</f>
        <v/>
      </c>
      <c r="H308" s="50">
        <f>IF($G308=0,0,IF(INDEX(Employees!$D$5:$D$29,$A308)="",0,DATEDIF(INDEX(Employees!$D$5:$D$29,$A308),$E308,"y")))</f>
        <v/>
      </c>
      <c r="I308" s="51">
        <f>IF($G308=0,0,IF(INDEX('Hours Worked'!$D$5:$BD$29,$A308,$B308)="",N(INDEX(Employees!$H$5:$H$29,$A308)),INDEX('Hours Worked'!$D$5:$BD$29,$A308,$B308)))</f>
        <v/>
      </c>
      <c r="J308" s="51">
        <f>IF(OR($G308=0,INDEX(Employees!$O$5:$O$29,$A308)&lt;&gt;"Yes"),0,IF(COUNTIF(Settings!$D$4:$D$9,"&lt;="&amp;$H308)=0,0,INDEX(Settings!$E$4:$E$9,COUNTIF(Settings!$D$4:$D$9,"&lt;="&amp;$H308))))</f>
        <v/>
      </c>
      <c r="K308" s="51">
        <f>IF($G308=0,0,IF(INDEX(Employees!$I$5:$I$29,$A308)="Per pay period",(N(INDEX(Employees!$J$5:$J$29,$A308))+$J308)/Settings!$B$13,IF(INDEX(Employees!$I$5:$I$29,$A308)="Per hour worked",N(INDEX(Employees!$K$5:$K$29,$A308))*$I308,IF(INDEX(Employees!$I$5:$I$29,$A308)="Front-loaded",IF(OR($B308=1,N($G307)=0),N(INDEX(Employees!$J$5:$J$29,$A308))+$J308,0),0))))</f>
        <v/>
      </c>
      <c r="L308" s="51">
        <f>IF($F308=0,0,SUMIFS('Time Off Log'!$H$5:$H$504,'Time Off Log'!$A$5:$A$504,$C308,'Time Off Log'!$B$5:$B$504,"PTO",'Time Off Log'!$E$5:$E$504,"Approved",'Time Off Log'!$C$5:$C$504,"&gt;="&amp;INDEX(Periods!$E$5:$E$57,$B308),'Time Off Log'!$C$5:$C$504,"&lt;="&amp;INDEX(Periods!$F$5:$F$57,$B308)))</f>
        <v/>
      </c>
      <c r="M308" s="51">
        <f>IF($B308=1,N(INDEX(Employees!$N$5:$N$29,$A308)),P307)</f>
        <v/>
      </c>
      <c r="N308" s="51">
        <f>IF(INDEX(Employees!$L$5:$L$29,$A308)="",K308,MAX(0,MIN(K308,INDEX(Employees!$L$5:$L$29,$A308)-(M308-L308))))</f>
        <v/>
      </c>
      <c r="O308" s="51">
        <f>K308-N308</f>
        <v/>
      </c>
      <c r="P308" s="51">
        <f>M308-L308+N308</f>
        <v/>
      </c>
      <c r="Q308" s="51">
        <f>IF($G308=0,0,IF(INDEX(Employees!$P$5:$P$29,$A308)="Per pay period",(N(INDEX(Employees!$Q$5:$Q$29,$A308)))/Settings!$B$13,IF(INDEX(Employees!$P$5:$P$29,$A308)="Per hour worked",N(INDEX(Employees!$R$5:$R$29,$A308))*$I308,IF(INDEX(Employees!$P$5:$P$29,$A308)="Front-loaded",IF(OR($B308=1,N($G307)=0),N(INDEX(Employees!$Q$5:$Q$29,$A308)),0),0))))</f>
        <v/>
      </c>
      <c r="R308" s="51">
        <f>IF($F308=0,0,SUMIFS('Time Off Log'!$H$5:$H$504,'Time Off Log'!$A$5:$A$504,$C308,'Time Off Log'!$B$5:$B$504,"Sick",'Time Off Log'!$E$5:$E$504,"Approved",'Time Off Log'!$C$5:$C$504,"&gt;="&amp;INDEX(Periods!$E$5:$E$57,$B308),'Time Off Log'!$C$5:$C$504,"&lt;="&amp;INDEX(Periods!$F$5:$F$57,$B308)))</f>
        <v/>
      </c>
      <c r="S308" s="51">
        <f>IF($B308=1,N(INDEX(Employees!$T$5:$T$29,$A308)),V307)</f>
        <v/>
      </c>
      <c r="T308" s="51">
        <f>IF(INDEX(Employees!$S$5:$S$29,$A308)="",Q308,MAX(0,MIN(Q308,INDEX(Employees!$S$5:$S$29,$A308)-(S308-R308))))</f>
        <v/>
      </c>
      <c r="U308" s="51">
        <f>Q308-T308</f>
        <v/>
      </c>
      <c r="V308" s="51">
        <f>S308-R308+T308</f>
        <v/>
      </c>
    </row>
    <row r="309">
      <c r="A309" s="50" t="n">
        <v>6</v>
      </c>
      <c r="B309" s="50" t="n">
        <v>40</v>
      </c>
      <c r="C309" s="51">
        <f>INDEX(Employees!$B$5:$B$29,$A309)&amp;""</f>
        <v/>
      </c>
      <c r="D309" s="52">
        <f>INDEX(Periods!$B$5:$B$57,$B309)</f>
        <v/>
      </c>
      <c r="E309" s="52">
        <f>INDEX(Periods!$C$5:$C$57,$B309)</f>
        <v/>
      </c>
      <c r="F309" s="50">
        <f>IF(AND($C309&lt;&gt;"",INDEX(Periods!$D$5:$D$57,$B309)=1),1,0)</f>
        <v/>
      </c>
      <c r="G309" s="50">
        <f>IF($F309=0,0,IF(AND(OR(INDEX(Employees!$D$5:$D$29,$A309)="",$E309&gt;=INDEX(Employees!$D$5:$D$29,$A309)+N(INDEX(Employees!$U$5:$U$29,$A309))),OR(INDEX(Employees!$E$5:$E$29,$A309)="",$D309&lt;=INDEX(Employees!$E$5:$E$29,$A309))),1,0))</f>
        <v/>
      </c>
      <c r="H309" s="50">
        <f>IF($G309=0,0,IF(INDEX(Employees!$D$5:$D$29,$A309)="",0,DATEDIF(INDEX(Employees!$D$5:$D$29,$A309),$E309,"y")))</f>
        <v/>
      </c>
      <c r="I309" s="51">
        <f>IF($G309=0,0,IF(INDEX('Hours Worked'!$D$5:$BD$29,$A309,$B309)="",N(INDEX(Employees!$H$5:$H$29,$A309)),INDEX('Hours Worked'!$D$5:$BD$29,$A309,$B309)))</f>
        <v/>
      </c>
      <c r="J309" s="51">
        <f>IF(OR($G309=0,INDEX(Employees!$O$5:$O$29,$A309)&lt;&gt;"Yes"),0,IF(COUNTIF(Settings!$D$4:$D$9,"&lt;="&amp;$H309)=0,0,INDEX(Settings!$E$4:$E$9,COUNTIF(Settings!$D$4:$D$9,"&lt;="&amp;$H309))))</f>
        <v/>
      </c>
      <c r="K309" s="51">
        <f>IF($G309=0,0,IF(INDEX(Employees!$I$5:$I$29,$A309)="Per pay period",(N(INDEX(Employees!$J$5:$J$29,$A309))+$J309)/Settings!$B$13,IF(INDEX(Employees!$I$5:$I$29,$A309)="Per hour worked",N(INDEX(Employees!$K$5:$K$29,$A309))*$I309,IF(INDEX(Employees!$I$5:$I$29,$A309)="Front-loaded",IF(OR($B309=1,N($G308)=0),N(INDEX(Employees!$J$5:$J$29,$A309))+$J309,0),0))))</f>
        <v/>
      </c>
      <c r="L309" s="51">
        <f>IF($F309=0,0,SUMIFS('Time Off Log'!$H$5:$H$504,'Time Off Log'!$A$5:$A$504,$C309,'Time Off Log'!$B$5:$B$504,"PTO",'Time Off Log'!$E$5:$E$504,"Approved",'Time Off Log'!$C$5:$C$504,"&gt;="&amp;INDEX(Periods!$E$5:$E$57,$B309),'Time Off Log'!$C$5:$C$504,"&lt;="&amp;INDEX(Periods!$F$5:$F$57,$B309)))</f>
        <v/>
      </c>
      <c r="M309" s="51">
        <f>IF($B309=1,N(INDEX(Employees!$N$5:$N$29,$A309)),P308)</f>
        <v/>
      </c>
      <c r="N309" s="51">
        <f>IF(INDEX(Employees!$L$5:$L$29,$A309)="",K309,MAX(0,MIN(K309,INDEX(Employees!$L$5:$L$29,$A309)-(M309-L309))))</f>
        <v/>
      </c>
      <c r="O309" s="51">
        <f>K309-N309</f>
        <v/>
      </c>
      <c r="P309" s="51">
        <f>M309-L309+N309</f>
        <v/>
      </c>
      <c r="Q309" s="51">
        <f>IF($G309=0,0,IF(INDEX(Employees!$P$5:$P$29,$A309)="Per pay period",(N(INDEX(Employees!$Q$5:$Q$29,$A309)))/Settings!$B$13,IF(INDEX(Employees!$P$5:$P$29,$A309)="Per hour worked",N(INDEX(Employees!$R$5:$R$29,$A309))*$I309,IF(INDEX(Employees!$P$5:$P$29,$A309)="Front-loaded",IF(OR($B309=1,N($G308)=0),N(INDEX(Employees!$Q$5:$Q$29,$A309)),0),0))))</f>
        <v/>
      </c>
      <c r="R309" s="51">
        <f>IF($F309=0,0,SUMIFS('Time Off Log'!$H$5:$H$504,'Time Off Log'!$A$5:$A$504,$C309,'Time Off Log'!$B$5:$B$504,"Sick",'Time Off Log'!$E$5:$E$504,"Approved",'Time Off Log'!$C$5:$C$504,"&gt;="&amp;INDEX(Periods!$E$5:$E$57,$B309),'Time Off Log'!$C$5:$C$504,"&lt;="&amp;INDEX(Periods!$F$5:$F$57,$B309)))</f>
        <v/>
      </c>
      <c r="S309" s="51">
        <f>IF($B309=1,N(INDEX(Employees!$T$5:$T$29,$A309)),V308)</f>
        <v/>
      </c>
      <c r="T309" s="51">
        <f>IF(INDEX(Employees!$S$5:$S$29,$A309)="",Q309,MAX(0,MIN(Q309,INDEX(Employees!$S$5:$S$29,$A309)-(S309-R309))))</f>
        <v/>
      </c>
      <c r="U309" s="51">
        <f>Q309-T309</f>
        <v/>
      </c>
      <c r="V309" s="51">
        <f>S309-R309+T309</f>
        <v/>
      </c>
    </row>
    <row r="310">
      <c r="A310" s="50" t="n">
        <v>6</v>
      </c>
      <c r="B310" s="50" t="n">
        <v>41</v>
      </c>
      <c r="C310" s="51">
        <f>INDEX(Employees!$B$5:$B$29,$A310)&amp;""</f>
        <v/>
      </c>
      <c r="D310" s="52">
        <f>INDEX(Periods!$B$5:$B$57,$B310)</f>
        <v/>
      </c>
      <c r="E310" s="52">
        <f>INDEX(Periods!$C$5:$C$57,$B310)</f>
        <v/>
      </c>
      <c r="F310" s="50">
        <f>IF(AND($C310&lt;&gt;"",INDEX(Periods!$D$5:$D$57,$B310)=1),1,0)</f>
        <v/>
      </c>
      <c r="G310" s="50">
        <f>IF($F310=0,0,IF(AND(OR(INDEX(Employees!$D$5:$D$29,$A310)="",$E310&gt;=INDEX(Employees!$D$5:$D$29,$A310)+N(INDEX(Employees!$U$5:$U$29,$A310))),OR(INDEX(Employees!$E$5:$E$29,$A310)="",$D310&lt;=INDEX(Employees!$E$5:$E$29,$A310))),1,0))</f>
        <v/>
      </c>
      <c r="H310" s="50">
        <f>IF($G310=0,0,IF(INDEX(Employees!$D$5:$D$29,$A310)="",0,DATEDIF(INDEX(Employees!$D$5:$D$29,$A310),$E310,"y")))</f>
        <v/>
      </c>
      <c r="I310" s="51">
        <f>IF($G310=0,0,IF(INDEX('Hours Worked'!$D$5:$BD$29,$A310,$B310)="",N(INDEX(Employees!$H$5:$H$29,$A310)),INDEX('Hours Worked'!$D$5:$BD$29,$A310,$B310)))</f>
        <v/>
      </c>
      <c r="J310" s="51">
        <f>IF(OR($G310=0,INDEX(Employees!$O$5:$O$29,$A310)&lt;&gt;"Yes"),0,IF(COUNTIF(Settings!$D$4:$D$9,"&lt;="&amp;$H310)=0,0,INDEX(Settings!$E$4:$E$9,COUNTIF(Settings!$D$4:$D$9,"&lt;="&amp;$H310))))</f>
        <v/>
      </c>
      <c r="K310" s="51">
        <f>IF($G310=0,0,IF(INDEX(Employees!$I$5:$I$29,$A310)="Per pay period",(N(INDEX(Employees!$J$5:$J$29,$A310))+$J310)/Settings!$B$13,IF(INDEX(Employees!$I$5:$I$29,$A310)="Per hour worked",N(INDEX(Employees!$K$5:$K$29,$A310))*$I310,IF(INDEX(Employees!$I$5:$I$29,$A310)="Front-loaded",IF(OR($B310=1,N($G309)=0),N(INDEX(Employees!$J$5:$J$29,$A310))+$J310,0),0))))</f>
        <v/>
      </c>
      <c r="L310" s="51">
        <f>IF($F310=0,0,SUMIFS('Time Off Log'!$H$5:$H$504,'Time Off Log'!$A$5:$A$504,$C310,'Time Off Log'!$B$5:$B$504,"PTO",'Time Off Log'!$E$5:$E$504,"Approved",'Time Off Log'!$C$5:$C$504,"&gt;="&amp;INDEX(Periods!$E$5:$E$57,$B310),'Time Off Log'!$C$5:$C$504,"&lt;="&amp;INDEX(Periods!$F$5:$F$57,$B310)))</f>
        <v/>
      </c>
      <c r="M310" s="51">
        <f>IF($B310=1,N(INDEX(Employees!$N$5:$N$29,$A310)),P309)</f>
        <v/>
      </c>
      <c r="N310" s="51">
        <f>IF(INDEX(Employees!$L$5:$L$29,$A310)="",K310,MAX(0,MIN(K310,INDEX(Employees!$L$5:$L$29,$A310)-(M310-L310))))</f>
        <v/>
      </c>
      <c r="O310" s="51">
        <f>K310-N310</f>
        <v/>
      </c>
      <c r="P310" s="51">
        <f>M310-L310+N310</f>
        <v/>
      </c>
      <c r="Q310" s="51">
        <f>IF($G310=0,0,IF(INDEX(Employees!$P$5:$P$29,$A310)="Per pay period",(N(INDEX(Employees!$Q$5:$Q$29,$A310)))/Settings!$B$13,IF(INDEX(Employees!$P$5:$P$29,$A310)="Per hour worked",N(INDEX(Employees!$R$5:$R$29,$A310))*$I310,IF(INDEX(Employees!$P$5:$P$29,$A310)="Front-loaded",IF(OR($B310=1,N($G309)=0),N(INDEX(Employees!$Q$5:$Q$29,$A310)),0),0))))</f>
        <v/>
      </c>
      <c r="R310" s="51">
        <f>IF($F310=0,0,SUMIFS('Time Off Log'!$H$5:$H$504,'Time Off Log'!$A$5:$A$504,$C310,'Time Off Log'!$B$5:$B$504,"Sick",'Time Off Log'!$E$5:$E$504,"Approved",'Time Off Log'!$C$5:$C$504,"&gt;="&amp;INDEX(Periods!$E$5:$E$57,$B310),'Time Off Log'!$C$5:$C$504,"&lt;="&amp;INDEX(Periods!$F$5:$F$57,$B310)))</f>
        <v/>
      </c>
      <c r="S310" s="51">
        <f>IF($B310=1,N(INDEX(Employees!$T$5:$T$29,$A310)),V309)</f>
        <v/>
      </c>
      <c r="T310" s="51">
        <f>IF(INDEX(Employees!$S$5:$S$29,$A310)="",Q310,MAX(0,MIN(Q310,INDEX(Employees!$S$5:$S$29,$A310)-(S310-R310))))</f>
        <v/>
      </c>
      <c r="U310" s="51">
        <f>Q310-T310</f>
        <v/>
      </c>
      <c r="V310" s="51">
        <f>S310-R310+T310</f>
        <v/>
      </c>
    </row>
    <row r="311">
      <c r="A311" s="50" t="n">
        <v>6</v>
      </c>
      <c r="B311" s="50" t="n">
        <v>42</v>
      </c>
      <c r="C311" s="51">
        <f>INDEX(Employees!$B$5:$B$29,$A311)&amp;""</f>
        <v/>
      </c>
      <c r="D311" s="52">
        <f>INDEX(Periods!$B$5:$B$57,$B311)</f>
        <v/>
      </c>
      <c r="E311" s="52">
        <f>INDEX(Periods!$C$5:$C$57,$B311)</f>
        <v/>
      </c>
      <c r="F311" s="50">
        <f>IF(AND($C311&lt;&gt;"",INDEX(Periods!$D$5:$D$57,$B311)=1),1,0)</f>
        <v/>
      </c>
      <c r="G311" s="50">
        <f>IF($F311=0,0,IF(AND(OR(INDEX(Employees!$D$5:$D$29,$A311)="",$E311&gt;=INDEX(Employees!$D$5:$D$29,$A311)+N(INDEX(Employees!$U$5:$U$29,$A311))),OR(INDEX(Employees!$E$5:$E$29,$A311)="",$D311&lt;=INDEX(Employees!$E$5:$E$29,$A311))),1,0))</f>
        <v/>
      </c>
      <c r="H311" s="50">
        <f>IF($G311=0,0,IF(INDEX(Employees!$D$5:$D$29,$A311)="",0,DATEDIF(INDEX(Employees!$D$5:$D$29,$A311),$E311,"y")))</f>
        <v/>
      </c>
      <c r="I311" s="51">
        <f>IF($G311=0,0,IF(INDEX('Hours Worked'!$D$5:$BD$29,$A311,$B311)="",N(INDEX(Employees!$H$5:$H$29,$A311)),INDEX('Hours Worked'!$D$5:$BD$29,$A311,$B311)))</f>
        <v/>
      </c>
      <c r="J311" s="51">
        <f>IF(OR($G311=0,INDEX(Employees!$O$5:$O$29,$A311)&lt;&gt;"Yes"),0,IF(COUNTIF(Settings!$D$4:$D$9,"&lt;="&amp;$H311)=0,0,INDEX(Settings!$E$4:$E$9,COUNTIF(Settings!$D$4:$D$9,"&lt;="&amp;$H311))))</f>
        <v/>
      </c>
      <c r="K311" s="51">
        <f>IF($G311=0,0,IF(INDEX(Employees!$I$5:$I$29,$A311)="Per pay period",(N(INDEX(Employees!$J$5:$J$29,$A311))+$J311)/Settings!$B$13,IF(INDEX(Employees!$I$5:$I$29,$A311)="Per hour worked",N(INDEX(Employees!$K$5:$K$29,$A311))*$I311,IF(INDEX(Employees!$I$5:$I$29,$A311)="Front-loaded",IF(OR($B311=1,N($G310)=0),N(INDEX(Employees!$J$5:$J$29,$A311))+$J311,0),0))))</f>
        <v/>
      </c>
      <c r="L311" s="51">
        <f>IF($F311=0,0,SUMIFS('Time Off Log'!$H$5:$H$504,'Time Off Log'!$A$5:$A$504,$C311,'Time Off Log'!$B$5:$B$504,"PTO",'Time Off Log'!$E$5:$E$504,"Approved",'Time Off Log'!$C$5:$C$504,"&gt;="&amp;INDEX(Periods!$E$5:$E$57,$B311),'Time Off Log'!$C$5:$C$504,"&lt;="&amp;INDEX(Periods!$F$5:$F$57,$B311)))</f>
        <v/>
      </c>
      <c r="M311" s="51">
        <f>IF($B311=1,N(INDEX(Employees!$N$5:$N$29,$A311)),P310)</f>
        <v/>
      </c>
      <c r="N311" s="51">
        <f>IF(INDEX(Employees!$L$5:$L$29,$A311)="",K311,MAX(0,MIN(K311,INDEX(Employees!$L$5:$L$29,$A311)-(M311-L311))))</f>
        <v/>
      </c>
      <c r="O311" s="51">
        <f>K311-N311</f>
        <v/>
      </c>
      <c r="P311" s="51">
        <f>M311-L311+N311</f>
        <v/>
      </c>
      <c r="Q311" s="51">
        <f>IF($G311=0,0,IF(INDEX(Employees!$P$5:$P$29,$A311)="Per pay period",(N(INDEX(Employees!$Q$5:$Q$29,$A311)))/Settings!$B$13,IF(INDEX(Employees!$P$5:$P$29,$A311)="Per hour worked",N(INDEX(Employees!$R$5:$R$29,$A311))*$I311,IF(INDEX(Employees!$P$5:$P$29,$A311)="Front-loaded",IF(OR($B311=1,N($G310)=0),N(INDEX(Employees!$Q$5:$Q$29,$A311)),0),0))))</f>
        <v/>
      </c>
      <c r="R311" s="51">
        <f>IF($F311=0,0,SUMIFS('Time Off Log'!$H$5:$H$504,'Time Off Log'!$A$5:$A$504,$C311,'Time Off Log'!$B$5:$B$504,"Sick",'Time Off Log'!$E$5:$E$504,"Approved",'Time Off Log'!$C$5:$C$504,"&gt;="&amp;INDEX(Periods!$E$5:$E$57,$B311),'Time Off Log'!$C$5:$C$504,"&lt;="&amp;INDEX(Periods!$F$5:$F$57,$B311)))</f>
        <v/>
      </c>
      <c r="S311" s="51">
        <f>IF($B311=1,N(INDEX(Employees!$T$5:$T$29,$A311)),V310)</f>
        <v/>
      </c>
      <c r="T311" s="51">
        <f>IF(INDEX(Employees!$S$5:$S$29,$A311)="",Q311,MAX(0,MIN(Q311,INDEX(Employees!$S$5:$S$29,$A311)-(S311-R311))))</f>
        <v/>
      </c>
      <c r="U311" s="51">
        <f>Q311-T311</f>
        <v/>
      </c>
      <c r="V311" s="51">
        <f>S311-R311+T311</f>
        <v/>
      </c>
    </row>
    <row r="312">
      <c r="A312" s="50" t="n">
        <v>6</v>
      </c>
      <c r="B312" s="50" t="n">
        <v>43</v>
      </c>
      <c r="C312" s="51">
        <f>INDEX(Employees!$B$5:$B$29,$A312)&amp;""</f>
        <v/>
      </c>
      <c r="D312" s="52">
        <f>INDEX(Periods!$B$5:$B$57,$B312)</f>
        <v/>
      </c>
      <c r="E312" s="52">
        <f>INDEX(Periods!$C$5:$C$57,$B312)</f>
        <v/>
      </c>
      <c r="F312" s="50">
        <f>IF(AND($C312&lt;&gt;"",INDEX(Periods!$D$5:$D$57,$B312)=1),1,0)</f>
        <v/>
      </c>
      <c r="G312" s="50">
        <f>IF($F312=0,0,IF(AND(OR(INDEX(Employees!$D$5:$D$29,$A312)="",$E312&gt;=INDEX(Employees!$D$5:$D$29,$A312)+N(INDEX(Employees!$U$5:$U$29,$A312))),OR(INDEX(Employees!$E$5:$E$29,$A312)="",$D312&lt;=INDEX(Employees!$E$5:$E$29,$A312))),1,0))</f>
        <v/>
      </c>
      <c r="H312" s="50">
        <f>IF($G312=0,0,IF(INDEX(Employees!$D$5:$D$29,$A312)="",0,DATEDIF(INDEX(Employees!$D$5:$D$29,$A312),$E312,"y")))</f>
        <v/>
      </c>
      <c r="I312" s="51">
        <f>IF($G312=0,0,IF(INDEX('Hours Worked'!$D$5:$BD$29,$A312,$B312)="",N(INDEX(Employees!$H$5:$H$29,$A312)),INDEX('Hours Worked'!$D$5:$BD$29,$A312,$B312)))</f>
        <v/>
      </c>
      <c r="J312" s="51">
        <f>IF(OR($G312=0,INDEX(Employees!$O$5:$O$29,$A312)&lt;&gt;"Yes"),0,IF(COUNTIF(Settings!$D$4:$D$9,"&lt;="&amp;$H312)=0,0,INDEX(Settings!$E$4:$E$9,COUNTIF(Settings!$D$4:$D$9,"&lt;="&amp;$H312))))</f>
        <v/>
      </c>
      <c r="K312" s="51">
        <f>IF($G312=0,0,IF(INDEX(Employees!$I$5:$I$29,$A312)="Per pay period",(N(INDEX(Employees!$J$5:$J$29,$A312))+$J312)/Settings!$B$13,IF(INDEX(Employees!$I$5:$I$29,$A312)="Per hour worked",N(INDEX(Employees!$K$5:$K$29,$A312))*$I312,IF(INDEX(Employees!$I$5:$I$29,$A312)="Front-loaded",IF(OR($B312=1,N($G311)=0),N(INDEX(Employees!$J$5:$J$29,$A312))+$J312,0),0))))</f>
        <v/>
      </c>
      <c r="L312" s="51">
        <f>IF($F312=0,0,SUMIFS('Time Off Log'!$H$5:$H$504,'Time Off Log'!$A$5:$A$504,$C312,'Time Off Log'!$B$5:$B$504,"PTO",'Time Off Log'!$E$5:$E$504,"Approved",'Time Off Log'!$C$5:$C$504,"&gt;="&amp;INDEX(Periods!$E$5:$E$57,$B312),'Time Off Log'!$C$5:$C$504,"&lt;="&amp;INDEX(Periods!$F$5:$F$57,$B312)))</f>
        <v/>
      </c>
      <c r="M312" s="51">
        <f>IF($B312=1,N(INDEX(Employees!$N$5:$N$29,$A312)),P311)</f>
        <v/>
      </c>
      <c r="N312" s="51">
        <f>IF(INDEX(Employees!$L$5:$L$29,$A312)="",K312,MAX(0,MIN(K312,INDEX(Employees!$L$5:$L$29,$A312)-(M312-L312))))</f>
        <v/>
      </c>
      <c r="O312" s="51">
        <f>K312-N312</f>
        <v/>
      </c>
      <c r="P312" s="51">
        <f>M312-L312+N312</f>
        <v/>
      </c>
      <c r="Q312" s="51">
        <f>IF($G312=0,0,IF(INDEX(Employees!$P$5:$P$29,$A312)="Per pay period",(N(INDEX(Employees!$Q$5:$Q$29,$A312)))/Settings!$B$13,IF(INDEX(Employees!$P$5:$P$29,$A312)="Per hour worked",N(INDEX(Employees!$R$5:$R$29,$A312))*$I312,IF(INDEX(Employees!$P$5:$P$29,$A312)="Front-loaded",IF(OR($B312=1,N($G311)=0),N(INDEX(Employees!$Q$5:$Q$29,$A312)),0),0))))</f>
        <v/>
      </c>
      <c r="R312" s="51">
        <f>IF($F312=0,0,SUMIFS('Time Off Log'!$H$5:$H$504,'Time Off Log'!$A$5:$A$504,$C312,'Time Off Log'!$B$5:$B$504,"Sick",'Time Off Log'!$E$5:$E$504,"Approved",'Time Off Log'!$C$5:$C$504,"&gt;="&amp;INDEX(Periods!$E$5:$E$57,$B312),'Time Off Log'!$C$5:$C$504,"&lt;="&amp;INDEX(Periods!$F$5:$F$57,$B312)))</f>
        <v/>
      </c>
      <c r="S312" s="51">
        <f>IF($B312=1,N(INDEX(Employees!$T$5:$T$29,$A312)),V311)</f>
        <v/>
      </c>
      <c r="T312" s="51">
        <f>IF(INDEX(Employees!$S$5:$S$29,$A312)="",Q312,MAX(0,MIN(Q312,INDEX(Employees!$S$5:$S$29,$A312)-(S312-R312))))</f>
        <v/>
      </c>
      <c r="U312" s="51">
        <f>Q312-T312</f>
        <v/>
      </c>
      <c r="V312" s="51">
        <f>S312-R312+T312</f>
        <v/>
      </c>
    </row>
    <row r="313">
      <c r="A313" s="50" t="n">
        <v>6</v>
      </c>
      <c r="B313" s="50" t="n">
        <v>44</v>
      </c>
      <c r="C313" s="51">
        <f>INDEX(Employees!$B$5:$B$29,$A313)&amp;""</f>
        <v/>
      </c>
      <c r="D313" s="52">
        <f>INDEX(Periods!$B$5:$B$57,$B313)</f>
        <v/>
      </c>
      <c r="E313" s="52">
        <f>INDEX(Periods!$C$5:$C$57,$B313)</f>
        <v/>
      </c>
      <c r="F313" s="50">
        <f>IF(AND($C313&lt;&gt;"",INDEX(Periods!$D$5:$D$57,$B313)=1),1,0)</f>
        <v/>
      </c>
      <c r="G313" s="50">
        <f>IF($F313=0,0,IF(AND(OR(INDEX(Employees!$D$5:$D$29,$A313)="",$E313&gt;=INDEX(Employees!$D$5:$D$29,$A313)+N(INDEX(Employees!$U$5:$U$29,$A313))),OR(INDEX(Employees!$E$5:$E$29,$A313)="",$D313&lt;=INDEX(Employees!$E$5:$E$29,$A313))),1,0))</f>
        <v/>
      </c>
      <c r="H313" s="50">
        <f>IF($G313=0,0,IF(INDEX(Employees!$D$5:$D$29,$A313)="",0,DATEDIF(INDEX(Employees!$D$5:$D$29,$A313),$E313,"y")))</f>
        <v/>
      </c>
      <c r="I313" s="51">
        <f>IF($G313=0,0,IF(INDEX('Hours Worked'!$D$5:$BD$29,$A313,$B313)="",N(INDEX(Employees!$H$5:$H$29,$A313)),INDEX('Hours Worked'!$D$5:$BD$29,$A313,$B313)))</f>
        <v/>
      </c>
      <c r="J313" s="51">
        <f>IF(OR($G313=0,INDEX(Employees!$O$5:$O$29,$A313)&lt;&gt;"Yes"),0,IF(COUNTIF(Settings!$D$4:$D$9,"&lt;="&amp;$H313)=0,0,INDEX(Settings!$E$4:$E$9,COUNTIF(Settings!$D$4:$D$9,"&lt;="&amp;$H313))))</f>
        <v/>
      </c>
      <c r="K313" s="51">
        <f>IF($G313=0,0,IF(INDEX(Employees!$I$5:$I$29,$A313)="Per pay period",(N(INDEX(Employees!$J$5:$J$29,$A313))+$J313)/Settings!$B$13,IF(INDEX(Employees!$I$5:$I$29,$A313)="Per hour worked",N(INDEX(Employees!$K$5:$K$29,$A313))*$I313,IF(INDEX(Employees!$I$5:$I$29,$A313)="Front-loaded",IF(OR($B313=1,N($G312)=0),N(INDEX(Employees!$J$5:$J$29,$A313))+$J313,0),0))))</f>
        <v/>
      </c>
      <c r="L313" s="51">
        <f>IF($F313=0,0,SUMIFS('Time Off Log'!$H$5:$H$504,'Time Off Log'!$A$5:$A$504,$C313,'Time Off Log'!$B$5:$B$504,"PTO",'Time Off Log'!$E$5:$E$504,"Approved",'Time Off Log'!$C$5:$C$504,"&gt;="&amp;INDEX(Periods!$E$5:$E$57,$B313),'Time Off Log'!$C$5:$C$504,"&lt;="&amp;INDEX(Periods!$F$5:$F$57,$B313)))</f>
        <v/>
      </c>
      <c r="M313" s="51">
        <f>IF($B313=1,N(INDEX(Employees!$N$5:$N$29,$A313)),P312)</f>
        <v/>
      </c>
      <c r="N313" s="51">
        <f>IF(INDEX(Employees!$L$5:$L$29,$A313)="",K313,MAX(0,MIN(K313,INDEX(Employees!$L$5:$L$29,$A313)-(M313-L313))))</f>
        <v/>
      </c>
      <c r="O313" s="51">
        <f>K313-N313</f>
        <v/>
      </c>
      <c r="P313" s="51">
        <f>M313-L313+N313</f>
        <v/>
      </c>
      <c r="Q313" s="51">
        <f>IF($G313=0,0,IF(INDEX(Employees!$P$5:$P$29,$A313)="Per pay period",(N(INDEX(Employees!$Q$5:$Q$29,$A313)))/Settings!$B$13,IF(INDEX(Employees!$P$5:$P$29,$A313)="Per hour worked",N(INDEX(Employees!$R$5:$R$29,$A313))*$I313,IF(INDEX(Employees!$P$5:$P$29,$A313)="Front-loaded",IF(OR($B313=1,N($G312)=0),N(INDEX(Employees!$Q$5:$Q$29,$A313)),0),0))))</f>
        <v/>
      </c>
      <c r="R313" s="51">
        <f>IF($F313=0,0,SUMIFS('Time Off Log'!$H$5:$H$504,'Time Off Log'!$A$5:$A$504,$C313,'Time Off Log'!$B$5:$B$504,"Sick",'Time Off Log'!$E$5:$E$504,"Approved",'Time Off Log'!$C$5:$C$504,"&gt;="&amp;INDEX(Periods!$E$5:$E$57,$B313),'Time Off Log'!$C$5:$C$504,"&lt;="&amp;INDEX(Periods!$F$5:$F$57,$B313)))</f>
        <v/>
      </c>
      <c r="S313" s="51">
        <f>IF($B313=1,N(INDEX(Employees!$T$5:$T$29,$A313)),V312)</f>
        <v/>
      </c>
      <c r="T313" s="51">
        <f>IF(INDEX(Employees!$S$5:$S$29,$A313)="",Q313,MAX(0,MIN(Q313,INDEX(Employees!$S$5:$S$29,$A313)-(S313-R313))))</f>
        <v/>
      </c>
      <c r="U313" s="51">
        <f>Q313-T313</f>
        <v/>
      </c>
      <c r="V313" s="51">
        <f>S313-R313+T313</f>
        <v/>
      </c>
    </row>
    <row r="314">
      <c r="A314" s="50" t="n">
        <v>6</v>
      </c>
      <c r="B314" s="50" t="n">
        <v>45</v>
      </c>
      <c r="C314" s="51">
        <f>INDEX(Employees!$B$5:$B$29,$A314)&amp;""</f>
        <v/>
      </c>
      <c r="D314" s="52">
        <f>INDEX(Periods!$B$5:$B$57,$B314)</f>
        <v/>
      </c>
      <c r="E314" s="52">
        <f>INDEX(Periods!$C$5:$C$57,$B314)</f>
        <v/>
      </c>
      <c r="F314" s="50">
        <f>IF(AND($C314&lt;&gt;"",INDEX(Periods!$D$5:$D$57,$B314)=1),1,0)</f>
        <v/>
      </c>
      <c r="G314" s="50">
        <f>IF($F314=0,0,IF(AND(OR(INDEX(Employees!$D$5:$D$29,$A314)="",$E314&gt;=INDEX(Employees!$D$5:$D$29,$A314)+N(INDEX(Employees!$U$5:$U$29,$A314))),OR(INDEX(Employees!$E$5:$E$29,$A314)="",$D314&lt;=INDEX(Employees!$E$5:$E$29,$A314))),1,0))</f>
        <v/>
      </c>
      <c r="H314" s="50">
        <f>IF($G314=0,0,IF(INDEX(Employees!$D$5:$D$29,$A314)="",0,DATEDIF(INDEX(Employees!$D$5:$D$29,$A314),$E314,"y")))</f>
        <v/>
      </c>
      <c r="I314" s="51">
        <f>IF($G314=0,0,IF(INDEX('Hours Worked'!$D$5:$BD$29,$A314,$B314)="",N(INDEX(Employees!$H$5:$H$29,$A314)),INDEX('Hours Worked'!$D$5:$BD$29,$A314,$B314)))</f>
        <v/>
      </c>
      <c r="J314" s="51">
        <f>IF(OR($G314=0,INDEX(Employees!$O$5:$O$29,$A314)&lt;&gt;"Yes"),0,IF(COUNTIF(Settings!$D$4:$D$9,"&lt;="&amp;$H314)=0,0,INDEX(Settings!$E$4:$E$9,COUNTIF(Settings!$D$4:$D$9,"&lt;="&amp;$H314))))</f>
        <v/>
      </c>
      <c r="K314" s="51">
        <f>IF($G314=0,0,IF(INDEX(Employees!$I$5:$I$29,$A314)="Per pay period",(N(INDEX(Employees!$J$5:$J$29,$A314))+$J314)/Settings!$B$13,IF(INDEX(Employees!$I$5:$I$29,$A314)="Per hour worked",N(INDEX(Employees!$K$5:$K$29,$A314))*$I314,IF(INDEX(Employees!$I$5:$I$29,$A314)="Front-loaded",IF(OR($B314=1,N($G313)=0),N(INDEX(Employees!$J$5:$J$29,$A314))+$J314,0),0))))</f>
        <v/>
      </c>
      <c r="L314" s="51">
        <f>IF($F314=0,0,SUMIFS('Time Off Log'!$H$5:$H$504,'Time Off Log'!$A$5:$A$504,$C314,'Time Off Log'!$B$5:$B$504,"PTO",'Time Off Log'!$E$5:$E$504,"Approved",'Time Off Log'!$C$5:$C$504,"&gt;="&amp;INDEX(Periods!$E$5:$E$57,$B314),'Time Off Log'!$C$5:$C$504,"&lt;="&amp;INDEX(Periods!$F$5:$F$57,$B314)))</f>
        <v/>
      </c>
      <c r="M314" s="51">
        <f>IF($B314=1,N(INDEX(Employees!$N$5:$N$29,$A314)),P313)</f>
        <v/>
      </c>
      <c r="N314" s="51">
        <f>IF(INDEX(Employees!$L$5:$L$29,$A314)="",K314,MAX(0,MIN(K314,INDEX(Employees!$L$5:$L$29,$A314)-(M314-L314))))</f>
        <v/>
      </c>
      <c r="O314" s="51">
        <f>K314-N314</f>
        <v/>
      </c>
      <c r="P314" s="51">
        <f>M314-L314+N314</f>
        <v/>
      </c>
      <c r="Q314" s="51">
        <f>IF($G314=0,0,IF(INDEX(Employees!$P$5:$P$29,$A314)="Per pay period",(N(INDEX(Employees!$Q$5:$Q$29,$A314)))/Settings!$B$13,IF(INDEX(Employees!$P$5:$P$29,$A314)="Per hour worked",N(INDEX(Employees!$R$5:$R$29,$A314))*$I314,IF(INDEX(Employees!$P$5:$P$29,$A314)="Front-loaded",IF(OR($B314=1,N($G313)=0),N(INDEX(Employees!$Q$5:$Q$29,$A314)),0),0))))</f>
        <v/>
      </c>
      <c r="R314" s="51">
        <f>IF($F314=0,0,SUMIFS('Time Off Log'!$H$5:$H$504,'Time Off Log'!$A$5:$A$504,$C314,'Time Off Log'!$B$5:$B$504,"Sick",'Time Off Log'!$E$5:$E$504,"Approved",'Time Off Log'!$C$5:$C$504,"&gt;="&amp;INDEX(Periods!$E$5:$E$57,$B314),'Time Off Log'!$C$5:$C$504,"&lt;="&amp;INDEX(Periods!$F$5:$F$57,$B314)))</f>
        <v/>
      </c>
      <c r="S314" s="51">
        <f>IF($B314=1,N(INDEX(Employees!$T$5:$T$29,$A314)),V313)</f>
        <v/>
      </c>
      <c r="T314" s="51">
        <f>IF(INDEX(Employees!$S$5:$S$29,$A314)="",Q314,MAX(0,MIN(Q314,INDEX(Employees!$S$5:$S$29,$A314)-(S314-R314))))</f>
        <v/>
      </c>
      <c r="U314" s="51">
        <f>Q314-T314</f>
        <v/>
      </c>
      <c r="V314" s="51">
        <f>S314-R314+T314</f>
        <v/>
      </c>
    </row>
    <row r="315">
      <c r="A315" s="50" t="n">
        <v>6</v>
      </c>
      <c r="B315" s="50" t="n">
        <v>46</v>
      </c>
      <c r="C315" s="51">
        <f>INDEX(Employees!$B$5:$B$29,$A315)&amp;""</f>
        <v/>
      </c>
      <c r="D315" s="52">
        <f>INDEX(Periods!$B$5:$B$57,$B315)</f>
        <v/>
      </c>
      <c r="E315" s="52">
        <f>INDEX(Periods!$C$5:$C$57,$B315)</f>
        <v/>
      </c>
      <c r="F315" s="50">
        <f>IF(AND($C315&lt;&gt;"",INDEX(Periods!$D$5:$D$57,$B315)=1),1,0)</f>
        <v/>
      </c>
      <c r="G315" s="50">
        <f>IF($F315=0,0,IF(AND(OR(INDEX(Employees!$D$5:$D$29,$A315)="",$E315&gt;=INDEX(Employees!$D$5:$D$29,$A315)+N(INDEX(Employees!$U$5:$U$29,$A315))),OR(INDEX(Employees!$E$5:$E$29,$A315)="",$D315&lt;=INDEX(Employees!$E$5:$E$29,$A315))),1,0))</f>
        <v/>
      </c>
      <c r="H315" s="50">
        <f>IF($G315=0,0,IF(INDEX(Employees!$D$5:$D$29,$A315)="",0,DATEDIF(INDEX(Employees!$D$5:$D$29,$A315),$E315,"y")))</f>
        <v/>
      </c>
      <c r="I315" s="51">
        <f>IF($G315=0,0,IF(INDEX('Hours Worked'!$D$5:$BD$29,$A315,$B315)="",N(INDEX(Employees!$H$5:$H$29,$A315)),INDEX('Hours Worked'!$D$5:$BD$29,$A315,$B315)))</f>
        <v/>
      </c>
      <c r="J315" s="51">
        <f>IF(OR($G315=0,INDEX(Employees!$O$5:$O$29,$A315)&lt;&gt;"Yes"),0,IF(COUNTIF(Settings!$D$4:$D$9,"&lt;="&amp;$H315)=0,0,INDEX(Settings!$E$4:$E$9,COUNTIF(Settings!$D$4:$D$9,"&lt;="&amp;$H315))))</f>
        <v/>
      </c>
      <c r="K315" s="51">
        <f>IF($G315=0,0,IF(INDEX(Employees!$I$5:$I$29,$A315)="Per pay period",(N(INDEX(Employees!$J$5:$J$29,$A315))+$J315)/Settings!$B$13,IF(INDEX(Employees!$I$5:$I$29,$A315)="Per hour worked",N(INDEX(Employees!$K$5:$K$29,$A315))*$I315,IF(INDEX(Employees!$I$5:$I$29,$A315)="Front-loaded",IF(OR($B315=1,N($G314)=0),N(INDEX(Employees!$J$5:$J$29,$A315))+$J315,0),0))))</f>
        <v/>
      </c>
      <c r="L315" s="51">
        <f>IF($F315=0,0,SUMIFS('Time Off Log'!$H$5:$H$504,'Time Off Log'!$A$5:$A$504,$C315,'Time Off Log'!$B$5:$B$504,"PTO",'Time Off Log'!$E$5:$E$504,"Approved",'Time Off Log'!$C$5:$C$504,"&gt;="&amp;INDEX(Periods!$E$5:$E$57,$B315),'Time Off Log'!$C$5:$C$504,"&lt;="&amp;INDEX(Periods!$F$5:$F$57,$B315)))</f>
        <v/>
      </c>
      <c r="M315" s="51">
        <f>IF($B315=1,N(INDEX(Employees!$N$5:$N$29,$A315)),P314)</f>
        <v/>
      </c>
      <c r="N315" s="51">
        <f>IF(INDEX(Employees!$L$5:$L$29,$A315)="",K315,MAX(0,MIN(K315,INDEX(Employees!$L$5:$L$29,$A315)-(M315-L315))))</f>
        <v/>
      </c>
      <c r="O315" s="51">
        <f>K315-N315</f>
        <v/>
      </c>
      <c r="P315" s="51">
        <f>M315-L315+N315</f>
        <v/>
      </c>
      <c r="Q315" s="51">
        <f>IF($G315=0,0,IF(INDEX(Employees!$P$5:$P$29,$A315)="Per pay period",(N(INDEX(Employees!$Q$5:$Q$29,$A315)))/Settings!$B$13,IF(INDEX(Employees!$P$5:$P$29,$A315)="Per hour worked",N(INDEX(Employees!$R$5:$R$29,$A315))*$I315,IF(INDEX(Employees!$P$5:$P$29,$A315)="Front-loaded",IF(OR($B315=1,N($G314)=0),N(INDEX(Employees!$Q$5:$Q$29,$A315)),0),0))))</f>
        <v/>
      </c>
      <c r="R315" s="51">
        <f>IF($F315=0,0,SUMIFS('Time Off Log'!$H$5:$H$504,'Time Off Log'!$A$5:$A$504,$C315,'Time Off Log'!$B$5:$B$504,"Sick",'Time Off Log'!$E$5:$E$504,"Approved",'Time Off Log'!$C$5:$C$504,"&gt;="&amp;INDEX(Periods!$E$5:$E$57,$B315),'Time Off Log'!$C$5:$C$504,"&lt;="&amp;INDEX(Periods!$F$5:$F$57,$B315)))</f>
        <v/>
      </c>
      <c r="S315" s="51">
        <f>IF($B315=1,N(INDEX(Employees!$T$5:$T$29,$A315)),V314)</f>
        <v/>
      </c>
      <c r="T315" s="51">
        <f>IF(INDEX(Employees!$S$5:$S$29,$A315)="",Q315,MAX(0,MIN(Q315,INDEX(Employees!$S$5:$S$29,$A315)-(S315-R315))))</f>
        <v/>
      </c>
      <c r="U315" s="51">
        <f>Q315-T315</f>
        <v/>
      </c>
      <c r="V315" s="51">
        <f>S315-R315+T315</f>
        <v/>
      </c>
    </row>
    <row r="316">
      <c r="A316" s="50" t="n">
        <v>6</v>
      </c>
      <c r="B316" s="50" t="n">
        <v>47</v>
      </c>
      <c r="C316" s="51">
        <f>INDEX(Employees!$B$5:$B$29,$A316)&amp;""</f>
        <v/>
      </c>
      <c r="D316" s="52">
        <f>INDEX(Periods!$B$5:$B$57,$B316)</f>
        <v/>
      </c>
      <c r="E316" s="52">
        <f>INDEX(Periods!$C$5:$C$57,$B316)</f>
        <v/>
      </c>
      <c r="F316" s="50">
        <f>IF(AND($C316&lt;&gt;"",INDEX(Periods!$D$5:$D$57,$B316)=1),1,0)</f>
        <v/>
      </c>
      <c r="G316" s="50">
        <f>IF($F316=0,0,IF(AND(OR(INDEX(Employees!$D$5:$D$29,$A316)="",$E316&gt;=INDEX(Employees!$D$5:$D$29,$A316)+N(INDEX(Employees!$U$5:$U$29,$A316))),OR(INDEX(Employees!$E$5:$E$29,$A316)="",$D316&lt;=INDEX(Employees!$E$5:$E$29,$A316))),1,0))</f>
        <v/>
      </c>
      <c r="H316" s="50">
        <f>IF($G316=0,0,IF(INDEX(Employees!$D$5:$D$29,$A316)="",0,DATEDIF(INDEX(Employees!$D$5:$D$29,$A316),$E316,"y")))</f>
        <v/>
      </c>
      <c r="I316" s="51">
        <f>IF($G316=0,0,IF(INDEX('Hours Worked'!$D$5:$BD$29,$A316,$B316)="",N(INDEX(Employees!$H$5:$H$29,$A316)),INDEX('Hours Worked'!$D$5:$BD$29,$A316,$B316)))</f>
        <v/>
      </c>
      <c r="J316" s="51">
        <f>IF(OR($G316=0,INDEX(Employees!$O$5:$O$29,$A316)&lt;&gt;"Yes"),0,IF(COUNTIF(Settings!$D$4:$D$9,"&lt;="&amp;$H316)=0,0,INDEX(Settings!$E$4:$E$9,COUNTIF(Settings!$D$4:$D$9,"&lt;="&amp;$H316))))</f>
        <v/>
      </c>
      <c r="K316" s="51">
        <f>IF($G316=0,0,IF(INDEX(Employees!$I$5:$I$29,$A316)="Per pay period",(N(INDEX(Employees!$J$5:$J$29,$A316))+$J316)/Settings!$B$13,IF(INDEX(Employees!$I$5:$I$29,$A316)="Per hour worked",N(INDEX(Employees!$K$5:$K$29,$A316))*$I316,IF(INDEX(Employees!$I$5:$I$29,$A316)="Front-loaded",IF(OR($B316=1,N($G315)=0),N(INDEX(Employees!$J$5:$J$29,$A316))+$J316,0),0))))</f>
        <v/>
      </c>
      <c r="L316" s="51">
        <f>IF($F316=0,0,SUMIFS('Time Off Log'!$H$5:$H$504,'Time Off Log'!$A$5:$A$504,$C316,'Time Off Log'!$B$5:$B$504,"PTO",'Time Off Log'!$E$5:$E$504,"Approved",'Time Off Log'!$C$5:$C$504,"&gt;="&amp;INDEX(Periods!$E$5:$E$57,$B316),'Time Off Log'!$C$5:$C$504,"&lt;="&amp;INDEX(Periods!$F$5:$F$57,$B316)))</f>
        <v/>
      </c>
      <c r="M316" s="51">
        <f>IF($B316=1,N(INDEX(Employees!$N$5:$N$29,$A316)),P315)</f>
        <v/>
      </c>
      <c r="N316" s="51">
        <f>IF(INDEX(Employees!$L$5:$L$29,$A316)="",K316,MAX(0,MIN(K316,INDEX(Employees!$L$5:$L$29,$A316)-(M316-L316))))</f>
        <v/>
      </c>
      <c r="O316" s="51">
        <f>K316-N316</f>
        <v/>
      </c>
      <c r="P316" s="51">
        <f>M316-L316+N316</f>
        <v/>
      </c>
      <c r="Q316" s="51">
        <f>IF($G316=0,0,IF(INDEX(Employees!$P$5:$P$29,$A316)="Per pay period",(N(INDEX(Employees!$Q$5:$Q$29,$A316)))/Settings!$B$13,IF(INDEX(Employees!$P$5:$P$29,$A316)="Per hour worked",N(INDEX(Employees!$R$5:$R$29,$A316))*$I316,IF(INDEX(Employees!$P$5:$P$29,$A316)="Front-loaded",IF(OR($B316=1,N($G315)=0),N(INDEX(Employees!$Q$5:$Q$29,$A316)),0),0))))</f>
        <v/>
      </c>
      <c r="R316" s="51">
        <f>IF($F316=0,0,SUMIFS('Time Off Log'!$H$5:$H$504,'Time Off Log'!$A$5:$A$504,$C316,'Time Off Log'!$B$5:$B$504,"Sick",'Time Off Log'!$E$5:$E$504,"Approved",'Time Off Log'!$C$5:$C$504,"&gt;="&amp;INDEX(Periods!$E$5:$E$57,$B316),'Time Off Log'!$C$5:$C$504,"&lt;="&amp;INDEX(Periods!$F$5:$F$57,$B316)))</f>
        <v/>
      </c>
      <c r="S316" s="51">
        <f>IF($B316=1,N(INDEX(Employees!$T$5:$T$29,$A316)),V315)</f>
        <v/>
      </c>
      <c r="T316" s="51">
        <f>IF(INDEX(Employees!$S$5:$S$29,$A316)="",Q316,MAX(0,MIN(Q316,INDEX(Employees!$S$5:$S$29,$A316)-(S316-R316))))</f>
        <v/>
      </c>
      <c r="U316" s="51">
        <f>Q316-T316</f>
        <v/>
      </c>
      <c r="V316" s="51">
        <f>S316-R316+T316</f>
        <v/>
      </c>
    </row>
    <row r="317">
      <c r="A317" s="50" t="n">
        <v>6</v>
      </c>
      <c r="B317" s="50" t="n">
        <v>48</v>
      </c>
      <c r="C317" s="51">
        <f>INDEX(Employees!$B$5:$B$29,$A317)&amp;""</f>
        <v/>
      </c>
      <c r="D317" s="52">
        <f>INDEX(Periods!$B$5:$B$57,$B317)</f>
        <v/>
      </c>
      <c r="E317" s="52">
        <f>INDEX(Periods!$C$5:$C$57,$B317)</f>
        <v/>
      </c>
      <c r="F317" s="50">
        <f>IF(AND($C317&lt;&gt;"",INDEX(Periods!$D$5:$D$57,$B317)=1),1,0)</f>
        <v/>
      </c>
      <c r="G317" s="50">
        <f>IF($F317=0,0,IF(AND(OR(INDEX(Employees!$D$5:$D$29,$A317)="",$E317&gt;=INDEX(Employees!$D$5:$D$29,$A317)+N(INDEX(Employees!$U$5:$U$29,$A317))),OR(INDEX(Employees!$E$5:$E$29,$A317)="",$D317&lt;=INDEX(Employees!$E$5:$E$29,$A317))),1,0))</f>
        <v/>
      </c>
      <c r="H317" s="50">
        <f>IF($G317=0,0,IF(INDEX(Employees!$D$5:$D$29,$A317)="",0,DATEDIF(INDEX(Employees!$D$5:$D$29,$A317),$E317,"y")))</f>
        <v/>
      </c>
      <c r="I317" s="51">
        <f>IF($G317=0,0,IF(INDEX('Hours Worked'!$D$5:$BD$29,$A317,$B317)="",N(INDEX(Employees!$H$5:$H$29,$A317)),INDEX('Hours Worked'!$D$5:$BD$29,$A317,$B317)))</f>
        <v/>
      </c>
      <c r="J317" s="51">
        <f>IF(OR($G317=0,INDEX(Employees!$O$5:$O$29,$A317)&lt;&gt;"Yes"),0,IF(COUNTIF(Settings!$D$4:$D$9,"&lt;="&amp;$H317)=0,0,INDEX(Settings!$E$4:$E$9,COUNTIF(Settings!$D$4:$D$9,"&lt;="&amp;$H317))))</f>
        <v/>
      </c>
      <c r="K317" s="51">
        <f>IF($G317=0,0,IF(INDEX(Employees!$I$5:$I$29,$A317)="Per pay period",(N(INDEX(Employees!$J$5:$J$29,$A317))+$J317)/Settings!$B$13,IF(INDEX(Employees!$I$5:$I$29,$A317)="Per hour worked",N(INDEX(Employees!$K$5:$K$29,$A317))*$I317,IF(INDEX(Employees!$I$5:$I$29,$A317)="Front-loaded",IF(OR($B317=1,N($G316)=0),N(INDEX(Employees!$J$5:$J$29,$A317))+$J317,0),0))))</f>
        <v/>
      </c>
      <c r="L317" s="51">
        <f>IF($F317=0,0,SUMIFS('Time Off Log'!$H$5:$H$504,'Time Off Log'!$A$5:$A$504,$C317,'Time Off Log'!$B$5:$B$504,"PTO",'Time Off Log'!$E$5:$E$504,"Approved",'Time Off Log'!$C$5:$C$504,"&gt;="&amp;INDEX(Periods!$E$5:$E$57,$B317),'Time Off Log'!$C$5:$C$504,"&lt;="&amp;INDEX(Periods!$F$5:$F$57,$B317)))</f>
        <v/>
      </c>
      <c r="M317" s="51">
        <f>IF($B317=1,N(INDEX(Employees!$N$5:$N$29,$A317)),P316)</f>
        <v/>
      </c>
      <c r="N317" s="51">
        <f>IF(INDEX(Employees!$L$5:$L$29,$A317)="",K317,MAX(0,MIN(K317,INDEX(Employees!$L$5:$L$29,$A317)-(M317-L317))))</f>
        <v/>
      </c>
      <c r="O317" s="51">
        <f>K317-N317</f>
        <v/>
      </c>
      <c r="P317" s="51">
        <f>M317-L317+N317</f>
        <v/>
      </c>
      <c r="Q317" s="51">
        <f>IF($G317=0,0,IF(INDEX(Employees!$P$5:$P$29,$A317)="Per pay period",(N(INDEX(Employees!$Q$5:$Q$29,$A317)))/Settings!$B$13,IF(INDEX(Employees!$P$5:$P$29,$A317)="Per hour worked",N(INDEX(Employees!$R$5:$R$29,$A317))*$I317,IF(INDEX(Employees!$P$5:$P$29,$A317)="Front-loaded",IF(OR($B317=1,N($G316)=0),N(INDEX(Employees!$Q$5:$Q$29,$A317)),0),0))))</f>
        <v/>
      </c>
      <c r="R317" s="51">
        <f>IF($F317=0,0,SUMIFS('Time Off Log'!$H$5:$H$504,'Time Off Log'!$A$5:$A$504,$C317,'Time Off Log'!$B$5:$B$504,"Sick",'Time Off Log'!$E$5:$E$504,"Approved",'Time Off Log'!$C$5:$C$504,"&gt;="&amp;INDEX(Periods!$E$5:$E$57,$B317),'Time Off Log'!$C$5:$C$504,"&lt;="&amp;INDEX(Periods!$F$5:$F$57,$B317)))</f>
        <v/>
      </c>
      <c r="S317" s="51">
        <f>IF($B317=1,N(INDEX(Employees!$T$5:$T$29,$A317)),V316)</f>
        <v/>
      </c>
      <c r="T317" s="51">
        <f>IF(INDEX(Employees!$S$5:$S$29,$A317)="",Q317,MAX(0,MIN(Q317,INDEX(Employees!$S$5:$S$29,$A317)-(S317-R317))))</f>
        <v/>
      </c>
      <c r="U317" s="51">
        <f>Q317-T317</f>
        <v/>
      </c>
      <c r="V317" s="51">
        <f>S317-R317+T317</f>
        <v/>
      </c>
    </row>
    <row r="318">
      <c r="A318" s="50" t="n">
        <v>6</v>
      </c>
      <c r="B318" s="50" t="n">
        <v>49</v>
      </c>
      <c r="C318" s="51">
        <f>INDEX(Employees!$B$5:$B$29,$A318)&amp;""</f>
        <v/>
      </c>
      <c r="D318" s="52">
        <f>INDEX(Periods!$B$5:$B$57,$B318)</f>
        <v/>
      </c>
      <c r="E318" s="52">
        <f>INDEX(Periods!$C$5:$C$57,$B318)</f>
        <v/>
      </c>
      <c r="F318" s="50">
        <f>IF(AND($C318&lt;&gt;"",INDEX(Periods!$D$5:$D$57,$B318)=1),1,0)</f>
        <v/>
      </c>
      <c r="G318" s="50">
        <f>IF($F318=0,0,IF(AND(OR(INDEX(Employees!$D$5:$D$29,$A318)="",$E318&gt;=INDEX(Employees!$D$5:$D$29,$A318)+N(INDEX(Employees!$U$5:$U$29,$A318))),OR(INDEX(Employees!$E$5:$E$29,$A318)="",$D318&lt;=INDEX(Employees!$E$5:$E$29,$A318))),1,0))</f>
        <v/>
      </c>
      <c r="H318" s="50">
        <f>IF($G318=0,0,IF(INDEX(Employees!$D$5:$D$29,$A318)="",0,DATEDIF(INDEX(Employees!$D$5:$D$29,$A318),$E318,"y")))</f>
        <v/>
      </c>
      <c r="I318" s="51">
        <f>IF($G318=0,0,IF(INDEX('Hours Worked'!$D$5:$BD$29,$A318,$B318)="",N(INDEX(Employees!$H$5:$H$29,$A318)),INDEX('Hours Worked'!$D$5:$BD$29,$A318,$B318)))</f>
        <v/>
      </c>
      <c r="J318" s="51">
        <f>IF(OR($G318=0,INDEX(Employees!$O$5:$O$29,$A318)&lt;&gt;"Yes"),0,IF(COUNTIF(Settings!$D$4:$D$9,"&lt;="&amp;$H318)=0,0,INDEX(Settings!$E$4:$E$9,COUNTIF(Settings!$D$4:$D$9,"&lt;="&amp;$H318))))</f>
        <v/>
      </c>
      <c r="K318" s="51">
        <f>IF($G318=0,0,IF(INDEX(Employees!$I$5:$I$29,$A318)="Per pay period",(N(INDEX(Employees!$J$5:$J$29,$A318))+$J318)/Settings!$B$13,IF(INDEX(Employees!$I$5:$I$29,$A318)="Per hour worked",N(INDEX(Employees!$K$5:$K$29,$A318))*$I318,IF(INDEX(Employees!$I$5:$I$29,$A318)="Front-loaded",IF(OR($B318=1,N($G317)=0),N(INDEX(Employees!$J$5:$J$29,$A318))+$J318,0),0))))</f>
        <v/>
      </c>
      <c r="L318" s="51">
        <f>IF($F318=0,0,SUMIFS('Time Off Log'!$H$5:$H$504,'Time Off Log'!$A$5:$A$504,$C318,'Time Off Log'!$B$5:$B$504,"PTO",'Time Off Log'!$E$5:$E$504,"Approved",'Time Off Log'!$C$5:$C$504,"&gt;="&amp;INDEX(Periods!$E$5:$E$57,$B318),'Time Off Log'!$C$5:$C$504,"&lt;="&amp;INDEX(Periods!$F$5:$F$57,$B318)))</f>
        <v/>
      </c>
      <c r="M318" s="51">
        <f>IF($B318=1,N(INDEX(Employees!$N$5:$N$29,$A318)),P317)</f>
        <v/>
      </c>
      <c r="N318" s="51">
        <f>IF(INDEX(Employees!$L$5:$L$29,$A318)="",K318,MAX(0,MIN(K318,INDEX(Employees!$L$5:$L$29,$A318)-(M318-L318))))</f>
        <v/>
      </c>
      <c r="O318" s="51">
        <f>K318-N318</f>
        <v/>
      </c>
      <c r="P318" s="51">
        <f>M318-L318+N318</f>
        <v/>
      </c>
      <c r="Q318" s="51">
        <f>IF($G318=0,0,IF(INDEX(Employees!$P$5:$P$29,$A318)="Per pay period",(N(INDEX(Employees!$Q$5:$Q$29,$A318)))/Settings!$B$13,IF(INDEX(Employees!$P$5:$P$29,$A318)="Per hour worked",N(INDEX(Employees!$R$5:$R$29,$A318))*$I318,IF(INDEX(Employees!$P$5:$P$29,$A318)="Front-loaded",IF(OR($B318=1,N($G317)=0),N(INDEX(Employees!$Q$5:$Q$29,$A318)),0),0))))</f>
        <v/>
      </c>
      <c r="R318" s="51">
        <f>IF($F318=0,0,SUMIFS('Time Off Log'!$H$5:$H$504,'Time Off Log'!$A$5:$A$504,$C318,'Time Off Log'!$B$5:$B$504,"Sick",'Time Off Log'!$E$5:$E$504,"Approved",'Time Off Log'!$C$5:$C$504,"&gt;="&amp;INDEX(Periods!$E$5:$E$57,$B318),'Time Off Log'!$C$5:$C$504,"&lt;="&amp;INDEX(Periods!$F$5:$F$57,$B318)))</f>
        <v/>
      </c>
      <c r="S318" s="51">
        <f>IF($B318=1,N(INDEX(Employees!$T$5:$T$29,$A318)),V317)</f>
        <v/>
      </c>
      <c r="T318" s="51">
        <f>IF(INDEX(Employees!$S$5:$S$29,$A318)="",Q318,MAX(0,MIN(Q318,INDEX(Employees!$S$5:$S$29,$A318)-(S318-R318))))</f>
        <v/>
      </c>
      <c r="U318" s="51">
        <f>Q318-T318</f>
        <v/>
      </c>
      <c r="V318" s="51">
        <f>S318-R318+T318</f>
        <v/>
      </c>
    </row>
    <row r="319">
      <c r="A319" s="50" t="n">
        <v>6</v>
      </c>
      <c r="B319" s="50" t="n">
        <v>50</v>
      </c>
      <c r="C319" s="51">
        <f>INDEX(Employees!$B$5:$B$29,$A319)&amp;""</f>
        <v/>
      </c>
      <c r="D319" s="52">
        <f>INDEX(Periods!$B$5:$B$57,$B319)</f>
        <v/>
      </c>
      <c r="E319" s="52">
        <f>INDEX(Periods!$C$5:$C$57,$B319)</f>
        <v/>
      </c>
      <c r="F319" s="50">
        <f>IF(AND($C319&lt;&gt;"",INDEX(Periods!$D$5:$D$57,$B319)=1),1,0)</f>
        <v/>
      </c>
      <c r="G319" s="50">
        <f>IF($F319=0,0,IF(AND(OR(INDEX(Employees!$D$5:$D$29,$A319)="",$E319&gt;=INDEX(Employees!$D$5:$D$29,$A319)+N(INDEX(Employees!$U$5:$U$29,$A319))),OR(INDEX(Employees!$E$5:$E$29,$A319)="",$D319&lt;=INDEX(Employees!$E$5:$E$29,$A319))),1,0))</f>
        <v/>
      </c>
      <c r="H319" s="50">
        <f>IF($G319=0,0,IF(INDEX(Employees!$D$5:$D$29,$A319)="",0,DATEDIF(INDEX(Employees!$D$5:$D$29,$A319),$E319,"y")))</f>
        <v/>
      </c>
      <c r="I319" s="51">
        <f>IF($G319=0,0,IF(INDEX('Hours Worked'!$D$5:$BD$29,$A319,$B319)="",N(INDEX(Employees!$H$5:$H$29,$A319)),INDEX('Hours Worked'!$D$5:$BD$29,$A319,$B319)))</f>
        <v/>
      </c>
      <c r="J319" s="51">
        <f>IF(OR($G319=0,INDEX(Employees!$O$5:$O$29,$A319)&lt;&gt;"Yes"),0,IF(COUNTIF(Settings!$D$4:$D$9,"&lt;="&amp;$H319)=0,0,INDEX(Settings!$E$4:$E$9,COUNTIF(Settings!$D$4:$D$9,"&lt;="&amp;$H319))))</f>
        <v/>
      </c>
      <c r="K319" s="51">
        <f>IF($G319=0,0,IF(INDEX(Employees!$I$5:$I$29,$A319)="Per pay period",(N(INDEX(Employees!$J$5:$J$29,$A319))+$J319)/Settings!$B$13,IF(INDEX(Employees!$I$5:$I$29,$A319)="Per hour worked",N(INDEX(Employees!$K$5:$K$29,$A319))*$I319,IF(INDEX(Employees!$I$5:$I$29,$A319)="Front-loaded",IF(OR($B319=1,N($G318)=0),N(INDEX(Employees!$J$5:$J$29,$A319))+$J319,0),0))))</f>
        <v/>
      </c>
      <c r="L319" s="51">
        <f>IF($F319=0,0,SUMIFS('Time Off Log'!$H$5:$H$504,'Time Off Log'!$A$5:$A$504,$C319,'Time Off Log'!$B$5:$B$504,"PTO",'Time Off Log'!$E$5:$E$504,"Approved",'Time Off Log'!$C$5:$C$504,"&gt;="&amp;INDEX(Periods!$E$5:$E$57,$B319),'Time Off Log'!$C$5:$C$504,"&lt;="&amp;INDEX(Periods!$F$5:$F$57,$B319)))</f>
        <v/>
      </c>
      <c r="M319" s="51">
        <f>IF($B319=1,N(INDEX(Employees!$N$5:$N$29,$A319)),P318)</f>
        <v/>
      </c>
      <c r="N319" s="51">
        <f>IF(INDEX(Employees!$L$5:$L$29,$A319)="",K319,MAX(0,MIN(K319,INDEX(Employees!$L$5:$L$29,$A319)-(M319-L319))))</f>
        <v/>
      </c>
      <c r="O319" s="51">
        <f>K319-N319</f>
        <v/>
      </c>
      <c r="P319" s="51">
        <f>M319-L319+N319</f>
        <v/>
      </c>
      <c r="Q319" s="51">
        <f>IF($G319=0,0,IF(INDEX(Employees!$P$5:$P$29,$A319)="Per pay period",(N(INDEX(Employees!$Q$5:$Q$29,$A319)))/Settings!$B$13,IF(INDEX(Employees!$P$5:$P$29,$A319)="Per hour worked",N(INDEX(Employees!$R$5:$R$29,$A319))*$I319,IF(INDEX(Employees!$P$5:$P$29,$A319)="Front-loaded",IF(OR($B319=1,N($G318)=0),N(INDEX(Employees!$Q$5:$Q$29,$A319)),0),0))))</f>
        <v/>
      </c>
      <c r="R319" s="51">
        <f>IF($F319=0,0,SUMIFS('Time Off Log'!$H$5:$H$504,'Time Off Log'!$A$5:$A$504,$C319,'Time Off Log'!$B$5:$B$504,"Sick",'Time Off Log'!$E$5:$E$504,"Approved",'Time Off Log'!$C$5:$C$504,"&gt;="&amp;INDEX(Periods!$E$5:$E$57,$B319),'Time Off Log'!$C$5:$C$504,"&lt;="&amp;INDEX(Periods!$F$5:$F$57,$B319)))</f>
        <v/>
      </c>
      <c r="S319" s="51">
        <f>IF($B319=1,N(INDEX(Employees!$T$5:$T$29,$A319)),V318)</f>
        <v/>
      </c>
      <c r="T319" s="51">
        <f>IF(INDEX(Employees!$S$5:$S$29,$A319)="",Q319,MAX(0,MIN(Q319,INDEX(Employees!$S$5:$S$29,$A319)-(S319-R319))))</f>
        <v/>
      </c>
      <c r="U319" s="51">
        <f>Q319-T319</f>
        <v/>
      </c>
      <c r="V319" s="51">
        <f>S319-R319+T319</f>
        <v/>
      </c>
    </row>
    <row r="320">
      <c r="A320" s="50" t="n">
        <v>6</v>
      </c>
      <c r="B320" s="50" t="n">
        <v>51</v>
      </c>
      <c r="C320" s="51">
        <f>INDEX(Employees!$B$5:$B$29,$A320)&amp;""</f>
        <v/>
      </c>
      <c r="D320" s="52">
        <f>INDEX(Periods!$B$5:$B$57,$B320)</f>
        <v/>
      </c>
      <c r="E320" s="52">
        <f>INDEX(Periods!$C$5:$C$57,$B320)</f>
        <v/>
      </c>
      <c r="F320" s="50">
        <f>IF(AND($C320&lt;&gt;"",INDEX(Periods!$D$5:$D$57,$B320)=1),1,0)</f>
        <v/>
      </c>
      <c r="G320" s="50">
        <f>IF($F320=0,0,IF(AND(OR(INDEX(Employees!$D$5:$D$29,$A320)="",$E320&gt;=INDEX(Employees!$D$5:$D$29,$A320)+N(INDEX(Employees!$U$5:$U$29,$A320))),OR(INDEX(Employees!$E$5:$E$29,$A320)="",$D320&lt;=INDEX(Employees!$E$5:$E$29,$A320))),1,0))</f>
        <v/>
      </c>
      <c r="H320" s="50">
        <f>IF($G320=0,0,IF(INDEX(Employees!$D$5:$D$29,$A320)="",0,DATEDIF(INDEX(Employees!$D$5:$D$29,$A320),$E320,"y")))</f>
        <v/>
      </c>
      <c r="I320" s="51">
        <f>IF($G320=0,0,IF(INDEX('Hours Worked'!$D$5:$BD$29,$A320,$B320)="",N(INDEX(Employees!$H$5:$H$29,$A320)),INDEX('Hours Worked'!$D$5:$BD$29,$A320,$B320)))</f>
        <v/>
      </c>
      <c r="J320" s="51">
        <f>IF(OR($G320=0,INDEX(Employees!$O$5:$O$29,$A320)&lt;&gt;"Yes"),0,IF(COUNTIF(Settings!$D$4:$D$9,"&lt;="&amp;$H320)=0,0,INDEX(Settings!$E$4:$E$9,COUNTIF(Settings!$D$4:$D$9,"&lt;="&amp;$H320))))</f>
        <v/>
      </c>
      <c r="K320" s="51">
        <f>IF($G320=0,0,IF(INDEX(Employees!$I$5:$I$29,$A320)="Per pay period",(N(INDEX(Employees!$J$5:$J$29,$A320))+$J320)/Settings!$B$13,IF(INDEX(Employees!$I$5:$I$29,$A320)="Per hour worked",N(INDEX(Employees!$K$5:$K$29,$A320))*$I320,IF(INDEX(Employees!$I$5:$I$29,$A320)="Front-loaded",IF(OR($B320=1,N($G319)=0),N(INDEX(Employees!$J$5:$J$29,$A320))+$J320,0),0))))</f>
        <v/>
      </c>
      <c r="L320" s="51">
        <f>IF($F320=0,0,SUMIFS('Time Off Log'!$H$5:$H$504,'Time Off Log'!$A$5:$A$504,$C320,'Time Off Log'!$B$5:$B$504,"PTO",'Time Off Log'!$E$5:$E$504,"Approved",'Time Off Log'!$C$5:$C$504,"&gt;="&amp;INDEX(Periods!$E$5:$E$57,$B320),'Time Off Log'!$C$5:$C$504,"&lt;="&amp;INDEX(Periods!$F$5:$F$57,$B320)))</f>
        <v/>
      </c>
      <c r="M320" s="51">
        <f>IF($B320=1,N(INDEX(Employees!$N$5:$N$29,$A320)),P319)</f>
        <v/>
      </c>
      <c r="N320" s="51">
        <f>IF(INDEX(Employees!$L$5:$L$29,$A320)="",K320,MAX(0,MIN(K320,INDEX(Employees!$L$5:$L$29,$A320)-(M320-L320))))</f>
        <v/>
      </c>
      <c r="O320" s="51">
        <f>K320-N320</f>
        <v/>
      </c>
      <c r="P320" s="51">
        <f>M320-L320+N320</f>
        <v/>
      </c>
      <c r="Q320" s="51">
        <f>IF($G320=0,0,IF(INDEX(Employees!$P$5:$P$29,$A320)="Per pay period",(N(INDEX(Employees!$Q$5:$Q$29,$A320)))/Settings!$B$13,IF(INDEX(Employees!$P$5:$P$29,$A320)="Per hour worked",N(INDEX(Employees!$R$5:$R$29,$A320))*$I320,IF(INDEX(Employees!$P$5:$P$29,$A320)="Front-loaded",IF(OR($B320=1,N($G319)=0),N(INDEX(Employees!$Q$5:$Q$29,$A320)),0),0))))</f>
        <v/>
      </c>
      <c r="R320" s="51">
        <f>IF($F320=0,0,SUMIFS('Time Off Log'!$H$5:$H$504,'Time Off Log'!$A$5:$A$504,$C320,'Time Off Log'!$B$5:$B$504,"Sick",'Time Off Log'!$E$5:$E$504,"Approved",'Time Off Log'!$C$5:$C$504,"&gt;="&amp;INDEX(Periods!$E$5:$E$57,$B320),'Time Off Log'!$C$5:$C$504,"&lt;="&amp;INDEX(Periods!$F$5:$F$57,$B320)))</f>
        <v/>
      </c>
      <c r="S320" s="51">
        <f>IF($B320=1,N(INDEX(Employees!$T$5:$T$29,$A320)),V319)</f>
        <v/>
      </c>
      <c r="T320" s="51">
        <f>IF(INDEX(Employees!$S$5:$S$29,$A320)="",Q320,MAX(0,MIN(Q320,INDEX(Employees!$S$5:$S$29,$A320)-(S320-R320))))</f>
        <v/>
      </c>
      <c r="U320" s="51">
        <f>Q320-T320</f>
        <v/>
      </c>
      <c r="V320" s="51">
        <f>S320-R320+T320</f>
        <v/>
      </c>
    </row>
    <row r="321">
      <c r="A321" s="50" t="n">
        <v>6</v>
      </c>
      <c r="B321" s="50" t="n">
        <v>52</v>
      </c>
      <c r="C321" s="51">
        <f>INDEX(Employees!$B$5:$B$29,$A321)&amp;""</f>
        <v/>
      </c>
      <c r="D321" s="52">
        <f>INDEX(Periods!$B$5:$B$57,$B321)</f>
        <v/>
      </c>
      <c r="E321" s="52">
        <f>INDEX(Periods!$C$5:$C$57,$B321)</f>
        <v/>
      </c>
      <c r="F321" s="50">
        <f>IF(AND($C321&lt;&gt;"",INDEX(Periods!$D$5:$D$57,$B321)=1),1,0)</f>
        <v/>
      </c>
      <c r="G321" s="50">
        <f>IF($F321=0,0,IF(AND(OR(INDEX(Employees!$D$5:$D$29,$A321)="",$E321&gt;=INDEX(Employees!$D$5:$D$29,$A321)+N(INDEX(Employees!$U$5:$U$29,$A321))),OR(INDEX(Employees!$E$5:$E$29,$A321)="",$D321&lt;=INDEX(Employees!$E$5:$E$29,$A321))),1,0))</f>
        <v/>
      </c>
      <c r="H321" s="50">
        <f>IF($G321=0,0,IF(INDEX(Employees!$D$5:$D$29,$A321)="",0,DATEDIF(INDEX(Employees!$D$5:$D$29,$A321),$E321,"y")))</f>
        <v/>
      </c>
      <c r="I321" s="51">
        <f>IF($G321=0,0,IF(INDEX('Hours Worked'!$D$5:$BD$29,$A321,$B321)="",N(INDEX(Employees!$H$5:$H$29,$A321)),INDEX('Hours Worked'!$D$5:$BD$29,$A321,$B321)))</f>
        <v/>
      </c>
      <c r="J321" s="51">
        <f>IF(OR($G321=0,INDEX(Employees!$O$5:$O$29,$A321)&lt;&gt;"Yes"),0,IF(COUNTIF(Settings!$D$4:$D$9,"&lt;="&amp;$H321)=0,0,INDEX(Settings!$E$4:$E$9,COUNTIF(Settings!$D$4:$D$9,"&lt;="&amp;$H321))))</f>
        <v/>
      </c>
      <c r="K321" s="51">
        <f>IF($G321=0,0,IF(INDEX(Employees!$I$5:$I$29,$A321)="Per pay period",(N(INDEX(Employees!$J$5:$J$29,$A321))+$J321)/Settings!$B$13,IF(INDEX(Employees!$I$5:$I$29,$A321)="Per hour worked",N(INDEX(Employees!$K$5:$K$29,$A321))*$I321,IF(INDEX(Employees!$I$5:$I$29,$A321)="Front-loaded",IF(OR($B321=1,N($G320)=0),N(INDEX(Employees!$J$5:$J$29,$A321))+$J321,0),0))))</f>
        <v/>
      </c>
      <c r="L321" s="51">
        <f>IF($F321=0,0,SUMIFS('Time Off Log'!$H$5:$H$504,'Time Off Log'!$A$5:$A$504,$C321,'Time Off Log'!$B$5:$B$504,"PTO",'Time Off Log'!$E$5:$E$504,"Approved",'Time Off Log'!$C$5:$C$504,"&gt;="&amp;INDEX(Periods!$E$5:$E$57,$B321),'Time Off Log'!$C$5:$C$504,"&lt;="&amp;INDEX(Periods!$F$5:$F$57,$B321)))</f>
        <v/>
      </c>
      <c r="M321" s="51">
        <f>IF($B321=1,N(INDEX(Employees!$N$5:$N$29,$A321)),P320)</f>
        <v/>
      </c>
      <c r="N321" s="51">
        <f>IF(INDEX(Employees!$L$5:$L$29,$A321)="",K321,MAX(0,MIN(K321,INDEX(Employees!$L$5:$L$29,$A321)-(M321-L321))))</f>
        <v/>
      </c>
      <c r="O321" s="51">
        <f>K321-N321</f>
        <v/>
      </c>
      <c r="P321" s="51">
        <f>M321-L321+N321</f>
        <v/>
      </c>
      <c r="Q321" s="51">
        <f>IF($G321=0,0,IF(INDEX(Employees!$P$5:$P$29,$A321)="Per pay period",(N(INDEX(Employees!$Q$5:$Q$29,$A321)))/Settings!$B$13,IF(INDEX(Employees!$P$5:$P$29,$A321)="Per hour worked",N(INDEX(Employees!$R$5:$R$29,$A321))*$I321,IF(INDEX(Employees!$P$5:$P$29,$A321)="Front-loaded",IF(OR($B321=1,N($G320)=0),N(INDEX(Employees!$Q$5:$Q$29,$A321)),0),0))))</f>
        <v/>
      </c>
      <c r="R321" s="51">
        <f>IF($F321=0,0,SUMIFS('Time Off Log'!$H$5:$H$504,'Time Off Log'!$A$5:$A$504,$C321,'Time Off Log'!$B$5:$B$504,"Sick",'Time Off Log'!$E$5:$E$504,"Approved",'Time Off Log'!$C$5:$C$504,"&gt;="&amp;INDEX(Periods!$E$5:$E$57,$B321),'Time Off Log'!$C$5:$C$504,"&lt;="&amp;INDEX(Periods!$F$5:$F$57,$B321)))</f>
        <v/>
      </c>
      <c r="S321" s="51">
        <f>IF($B321=1,N(INDEX(Employees!$T$5:$T$29,$A321)),V320)</f>
        <v/>
      </c>
      <c r="T321" s="51">
        <f>IF(INDEX(Employees!$S$5:$S$29,$A321)="",Q321,MAX(0,MIN(Q321,INDEX(Employees!$S$5:$S$29,$A321)-(S321-R321))))</f>
        <v/>
      </c>
      <c r="U321" s="51">
        <f>Q321-T321</f>
        <v/>
      </c>
      <c r="V321" s="51">
        <f>S321-R321+T321</f>
        <v/>
      </c>
    </row>
    <row r="322">
      <c r="A322" s="50" t="n">
        <v>6</v>
      </c>
      <c r="B322" s="50" t="n">
        <v>53</v>
      </c>
      <c r="C322" s="51">
        <f>INDEX(Employees!$B$5:$B$29,$A322)&amp;""</f>
        <v/>
      </c>
      <c r="D322" s="52">
        <f>INDEX(Periods!$B$5:$B$57,$B322)</f>
        <v/>
      </c>
      <c r="E322" s="52">
        <f>INDEX(Periods!$C$5:$C$57,$B322)</f>
        <v/>
      </c>
      <c r="F322" s="50">
        <f>IF(AND($C322&lt;&gt;"",INDEX(Periods!$D$5:$D$57,$B322)=1),1,0)</f>
        <v/>
      </c>
      <c r="G322" s="50">
        <f>IF($F322=0,0,IF(AND(OR(INDEX(Employees!$D$5:$D$29,$A322)="",$E322&gt;=INDEX(Employees!$D$5:$D$29,$A322)+N(INDEX(Employees!$U$5:$U$29,$A322))),OR(INDEX(Employees!$E$5:$E$29,$A322)="",$D322&lt;=INDEX(Employees!$E$5:$E$29,$A322))),1,0))</f>
        <v/>
      </c>
      <c r="H322" s="50">
        <f>IF($G322=0,0,IF(INDEX(Employees!$D$5:$D$29,$A322)="",0,DATEDIF(INDEX(Employees!$D$5:$D$29,$A322),$E322,"y")))</f>
        <v/>
      </c>
      <c r="I322" s="51">
        <f>IF($G322=0,0,IF(INDEX('Hours Worked'!$D$5:$BD$29,$A322,$B322)="",N(INDEX(Employees!$H$5:$H$29,$A322)),INDEX('Hours Worked'!$D$5:$BD$29,$A322,$B322)))</f>
        <v/>
      </c>
      <c r="J322" s="51">
        <f>IF(OR($G322=0,INDEX(Employees!$O$5:$O$29,$A322)&lt;&gt;"Yes"),0,IF(COUNTIF(Settings!$D$4:$D$9,"&lt;="&amp;$H322)=0,0,INDEX(Settings!$E$4:$E$9,COUNTIF(Settings!$D$4:$D$9,"&lt;="&amp;$H322))))</f>
        <v/>
      </c>
      <c r="K322" s="51">
        <f>IF($G322=0,0,IF(INDEX(Employees!$I$5:$I$29,$A322)="Per pay period",(N(INDEX(Employees!$J$5:$J$29,$A322))+$J322)/Settings!$B$13,IF(INDEX(Employees!$I$5:$I$29,$A322)="Per hour worked",N(INDEX(Employees!$K$5:$K$29,$A322))*$I322,IF(INDEX(Employees!$I$5:$I$29,$A322)="Front-loaded",IF(OR($B322=1,N($G321)=0),N(INDEX(Employees!$J$5:$J$29,$A322))+$J322,0),0))))</f>
        <v/>
      </c>
      <c r="L322" s="51">
        <f>IF($F322=0,0,SUMIFS('Time Off Log'!$H$5:$H$504,'Time Off Log'!$A$5:$A$504,$C322,'Time Off Log'!$B$5:$B$504,"PTO",'Time Off Log'!$E$5:$E$504,"Approved",'Time Off Log'!$C$5:$C$504,"&gt;="&amp;INDEX(Periods!$E$5:$E$57,$B322),'Time Off Log'!$C$5:$C$504,"&lt;="&amp;INDEX(Periods!$F$5:$F$57,$B322)))</f>
        <v/>
      </c>
      <c r="M322" s="51">
        <f>IF($B322=1,N(INDEX(Employees!$N$5:$N$29,$A322)),P321)</f>
        <v/>
      </c>
      <c r="N322" s="51">
        <f>IF(INDEX(Employees!$L$5:$L$29,$A322)="",K322,MAX(0,MIN(K322,INDEX(Employees!$L$5:$L$29,$A322)-(M322-L322))))</f>
        <v/>
      </c>
      <c r="O322" s="51">
        <f>K322-N322</f>
        <v/>
      </c>
      <c r="P322" s="51">
        <f>M322-L322+N322</f>
        <v/>
      </c>
      <c r="Q322" s="51">
        <f>IF($G322=0,0,IF(INDEX(Employees!$P$5:$P$29,$A322)="Per pay period",(N(INDEX(Employees!$Q$5:$Q$29,$A322)))/Settings!$B$13,IF(INDEX(Employees!$P$5:$P$29,$A322)="Per hour worked",N(INDEX(Employees!$R$5:$R$29,$A322))*$I322,IF(INDEX(Employees!$P$5:$P$29,$A322)="Front-loaded",IF(OR($B322=1,N($G321)=0),N(INDEX(Employees!$Q$5:$Q$29,$A322)),0),0))))</f>
        <v/>
      </c>
      <c r="R322" s="51">
        <f>IF($F322=0,0,SUMIFS('Time Off Log'!$H$5:$H$504,'Time Off Log'!$A$5:$A$504,$C322,'Time Off Log'!$B$5:$B$504,"Sick",'Time Off Log'!$E$5:$E$504,"Approved",'Time Off Log'!$C$5:$C$504,"&gt;="&amp;INDEX(Periods!$E$5:$E$57,$B322),'Time Off Log'!$C$5:$C$504,"&lt;="&amp;INDEX(Periods!$F$5:$F$57,$B322)))</f>
        <v/>
      </c>
      <c r="S322" s="51">
        <f>IF($B322=1,N(INDEX(Employees!$T$5:$T$29,$A322)),V321)</f>
        <v/>
      </c>
      <c r="T322" s="51">
        <f>IF(INDEX(Employees!$S$5:$S$29,$A322)="",Q322,MAX(0,MIN(Q322,INDEX(Employees!$S$5:$S$29,$A322)-(S322-R322))))</f>
        <v/>
      </c>
      <c r="U322" s="51">
        <f>Q322-T322</f>
        <v/>
      </c>
      <c r="V322" s="51">
        <f>S322-R322+T322</f>
        <v/>
      </c>
    </row>
    <row r="323">
      <c r="A323" s="47" t="n">
        <v>7</v>
      </c>
      <c r="B323" s="47" t="n">
        <v>1</v>
      </c>
      <c r="C323" s="48">
        <f>INDEX(Employees!$B$5:$B$29,$A323)&amp;""</f>
        <v/>
      </c>
      <c r="D323" s="49">
        <f>INDEX(Periods!$B$5:$B$57,$B323)</f>
        <v/>
      </c>
      <c r="E323" s="49">
        <f>INDEX(Periods!$C$5:$C$57,$B323)</f>
        <v/>
      </c>
      <c r="F323" s="47">
        <f>IF(AND($C323&lt;&gt;"",INDEX(Periods!$D$5:$D$57,$B323)=1),1,0)</f>
        <v/>
      </c>
      <c r="G323" s="47">
        <f>IF($F323=0,0,IF(AND(OR(INDEX(Employees!$D$5:$D$29,$A323)="",$E323&gt;=INDEX(Employees!$D$5:$D$29,$A323)+N(INDEX(Employees!$U$5:$U$29,$A323))),OR(INDEX(Employees!$E$5:$E$29,$A323)="",$D323&lt;=INDEX(Employees!$E$5:$E$29,$A323))),1,0))</f>
        <v/>
      </c>
      <c r="H323" s="47">
        <f>IF($G323=0,0,IF(INDEX(Employees!$D$5:$D$29,$A323)="",0,DATEDIF(INDEX(Employees!$D$5:$D$29,$A323),$E323,"y")))</f>
        <v/>
      </c>
      <c r="I323" s="48">
        <f>IF($G323=0,0,IF(INDEX('Hours Worked'!$D$5:$BD$29,$A323,$B323)="",N(INDEX(Employees!$H$5:$H$29,$A323)),INDEX('Hours Worked'!$D$5:$BD$29,$A323,$B323)))</f>
        <v/>
      </c>
      <c r="J323" s="48">
        <f>IF(OR($G323=0,INDEX(Employees!$O$5:$O$29,$A323)&lt;&gt;"Yes"),0,IF(COUNTIF(Settings!$D$4:$D$9,"&lt;="&amp;$H323)=0,0,INDEX(Settings!$E$4:$E$9,COUNTIF(Settings!$D$4:$D$9,"&lt;="&amp;$H323))))</f>
        <v/>
      </c>
      <c r="K323" s="48">
        <f>IF($G323=0,0,IF(INDEX(Employees!$I$5:$I$29,$A323)="Per pay period",(N(INDEX(Employees!$J$5:$J$29,$A323))+$J323)/Settings!$B$13,IF(INDEX(Employees!$I$5:$I$29,$A323)="Per hour worked",N(INDEX(Employees!$K$5:$K$29,$A323))*$I323,IF(INDEX(Employees!$I$5:$I$29,$A323)="Front-loaded",IF(OR($B323=1,N($G322)=0),N(INDEX(Employees!$J$5:$J$29,$A323))+$J323,0),0))))</f>
        <v/>
      </c>
      <c r="L323" s="48">
        <f>IF($F323=0,0,SUMIFS('Time Off Log'!$H$5:$H$504,'Time Off Log'!$A$5:$A$504,$C323,'Time Off Log'!$B$5:$B$504,"PTO",'Time Off Log'!$E$5:$E$504,"Approved",'Time Off Log'!$C$5:$C$504,"&gt;="&amp;INDEX(Periods!$E$5:$E$57,$B323),'Time Off Log'!$C$5:$C$504,"&lt;="&amp;INDEX(Periods!$F$5:$F$57,$B323)))</f>
        <v/>
      </c>
      <c r="M323" s="48">
        <f>N(INDEX(Employees!$N$5:$N$29,$A323))</f>
        <v/>
      </c>
      <c r="N323" s="48">
        <f>IF(INDEX(Employees!$L$5:$L$29,$A323)="",K323,MAX(0,MIN(K323,INDEX(Employees!$L$5:$L$29,$A323)-(M323-L323))))</f>
        <v/>
      </c>
      <c r="O323" s="48">
        <f>K323-N323</f>
        <v/>
      </c>
      <c r="P323" s="48">
        <f>M323-L323+N323</f>
        <v/>
      </c>
      <c r="Q323" s="48">
        <f>IF($G323=0,0,IF(INDEX(Employees!$P$5:$P$29,$A323)="Per pay period",(N(INDEX(Employees!$Q$5:$Q$29,$A323)))/Settings!$B$13,IF(INDEX(Employees!$P$5:$P$29,$A323)="Per hour worked",N(INDEX(Employees!$R$5:$R$29,$A323))*$I323,IF(INDEX(Employees!$P$5:$P$29,$A323)="Front-loaded",IF(OR($B323=1,N($G322)=0),N(INDEX(Employees!$Q$5:$Q$29,$A323)),0),0))))</f>
        <v/>
      </c>
      <c r="R323" s="48">
        <f>IF($F323=0,0,SUMIFS('Time Off Log'!$H$5:$H$504,'Time Off Log'!$A$5:$A$504,$C323,'Time Off Log'!$B$5:$B$504,"Sick",'Time Off Log'!$E$5:$E$504,"Approved",'Time Off Log'!$C$5:$C$504,"&gt;="&amp;INDEX(Periods!$E$5:$E$57,$B323),'Time Off Log'!$C$5:$C$504,"&lt;="&amp;INDEX(Periods!$F$5:$F$57,$B323)))</f>
        <v/>
      </c>
      <c r="S323" s="48">
        <f>N(INDEX(Employees!$T$5:$T$29,$A323))</f>
        <v/>
      </c>
      <c r="T323" s="48">
        <f>IF(INDEX(Employees!$S$5:$S$29,$A323)="",Q323,MAX(0,MIN(Q323,INDEX(Employees!$S$5:$S$29,$A323)-(S323-R323))))</f>
        <v/>
      </c>
      <c r="U323" s="48">
        <f>Q323-T323</f>
        <v/>
      </c>
      <c r="V323" s="48">
        <f>S323-R323+T323</f>
        <v/>
      </c>
    </row>
    <row r="324">
      <c r="A324" s="47" t="n">
        <v>7</v>
      </c>
      <c r="B324" s="47" t="n">
        <v>2</v>
      </c>
      <c r="C324" s="48">
        <f>INDEX(Employees!$B$5:$B$29,$A324)&amp;""</f>
        <v/>
      </c>
      <c r="D324" s="49">
        <f>INDEX(Periods!$B$5:$B$57,$B324)</f>
        <v/>
      </c>
      <c r="E324" s="49">
        <f>INDEX(Periods!$C$5:$C$57,$B324)</f>
        <v/>
      </c>
      <c r="F324" s="47">
        <f>IF(AND($C324&lt;&gt;"",INDEX(Periods!$D$5:$D$57,$B324)=1),1,0)</f>
        <v/>
      </c>
      <c r="G324" s="47">
        <f>IF($F324=0,0,IF(AND(OR(INDEX(Employees!$D$5:$D$29,$A324)="",$E324&gt;=INDEX(Employees!$D$5:$D$29,$A324)+N(INDEX(Employees!$U$5:$U$29,$A324))),OR(INDEX(Employees!$E$5:$E$29,$A324)="",$D324&lt;=INDEX(Employees!$E$5:$E$29,$A324))),1,0))</f>
        <v/>
      </c>
      <c r="H324" s="47">
        <f>IF($G324=0,0,IF(INDEX(Employees!$D$5:$D$29,$A324)="",0,DATEDIF(INDEX(Employees!$D$5:$D$29,$A324),$E324,"y")))</f>
        <v/>
      </c>
      <c r="I324" s="48">
        <f>IF($G324=0,0,IF(INDEX('Hours Worked'!$D$5:$BD$29,$A324,$B324)="",N(INDEX(Employees!$H$5:$H$29,$A324)),INDEX('Hours Worked'!$D$5:$BD$29,$A324,$B324)))</f>
        <v/>
      </c>
      <c r="J324" s="48">
        <f>IF(OR($G324=0,INDEX(Employees!$O$5:$O$29,$A324)&lt;&gt;"Yes"),0,IF(COUNTIF(Settings!$D$4:$D$9,"&lt;="&amp;$H324)=0,0,INDEX(Settings!$E$4:$E$9,COUNTIF(Settings!$D$4:$D$9,"&lt;="&amp;$H324))))</f>
        <v/>
      </c>
      <c r="K324" s="48">
        <f>IF($G324=0,0,IF(INDEX(Employees!$I$5:$I$29,$A324)="Per pay period",(N(INDEX(Employees!$J$5:$J$29,$A324))+$J324)/Settings!$B$13,IF(INDEX(Employees!$I$5:$I$29,$A324)="Per hour worked",N(INDEX(Employees!$K$5:$K$29,$A324))*$I324,IF(INDEX(Employees!$I$5:$I$29,$A324)="Front-loaded",IF(OR($B324=1,N($G323)=0),N(INDEX(Employees!$J$5:$J$29,$A324))+$J324,0),0))))</f>
        <v/>
      </c>
      <c r="L324" s="48">
        <f>IF($F324=0,0,SUMIFS('Time Off Log'!$H$5:$H$504,'Time Off Log'!$A$5:$A$504,$C324,'Time Off Log'!$B$5:$B$504,"PTO",'Time Off Log'!$E$5:$E$504,"Approved",'Time Off Log'!$C$5:$C$504,"&gt;="&amp;INDEX(Periods!$E$5:$E$57,$B324),'Time Off Log'!$C$5:$C$504,"&lt;="&amp;INDEX(Periods!$F$5:$F$57,$B324)))</f>
        <v/>
      </c>
      <c r="M324" s="48">
        <f>IF($B324=1,N(INDEX(Employees!$N$5:$N$29,$A324)),P323)</f>
        <v/>
      </c>
      <c r="N324" s="48">
        <f>IF(INDEX(Employees!$L$5:$L$29,$A324)="",K324,MAX(0,MIN(K324,INDEX(Employees!$L$5:$L$29,$A324)-(M324-L324))))</f>
        <v/>
      </c>
      <c r="O324" s="48">
        <f>K324-N324</f>
        <v/>
      </c>
      <c r="P324" s="48">
        <f>M324-L324+N324</f>
        <v/>
      </c>
      <c r="Q324" s="48">
        <f>IF($G324=0,0,IF(INDEX(Employees!$P$5:$P$29,$A324)="Per pay period",(N(INDEX(Employees!$Q$5:$Q$29,$A324)))/Settings!$B$13,IF(INDEX(Employees!$P$5:$P$29,$A324)="Per hour worked",N(INDEX(Employees!$R$5:$R$29,$A324))*$I324,IF(INDEX(Employees!$P$5:$P$29,$A324)="Front-loaded",IF(OR($B324=1,N($G323)=0),N(INDEX(Employees!$Q$5:$Q$29,$A324)),0),0))))</f>
        <v/>
      </c>
      <c r="R324" s="48">
        <f>IF($F324=0,0,SUMIFS('Time Off Log'!$H$5:$H$504,'Time Off Log'!$A$5:$A$504,$C324,'Time Off Log'!$B$5:$B$504,"Sick",'Time Off Log'!$E$5:$E$504,"Approved",'Time Off Log'!$C$5:$C$504,"&gt;="&amp;INDEX(Periods!$E$5:$E$57,$B324),'Time Off Log'!$C$5:$C$504,"&lt;="&amp;INDEX(Periods!$F$5:$F$57,$B324)))</f>
        <v/>
      </c>
      <c r="S324" s="48">
        <f>IF($B324=1,N(INDEX(Employees!$T$5:$T$29,$A324)),V323)</f>
        <v/>
      </c>
      <c r="T324" s="48">
        <f>IF(INDEX(Employees!$S$5:$S$29,$A324)="",Q324,MAX(0,MIN(Q324,INDEX(Employees!$S$5:$S$29,$A324)-(S324-R324))))</f>
        <v/>
      </c>
      <c r="U324" s="48">
        <f>Q324-T324</f>
        <v/>
      </c>
      <c r="V324" s="48">
        <f>S324-R324+T324</f>
        <v/>
      </c>
    </row>
    <row r="325">
      <c r="A325" s="47" t="n">
        <v>7</v>
      </c>
      <c r="B325" s="47" t="n">
        <v>3</v>
      </c>
      <c r="C325" s="48">
        <f>INDEX(Employees!$B$5:$B$29,$A325)&amp;""</f>
        <v/>
      </c>
      <c r="D325" s="49">
        <f>INDEX(Periods!$B$5:$B$57,$B325)</f>
        <v/>
      </c>
      <c r="E325" s="49">
        <f>INDEX(Periods!$C$5:$C$57,$B325)</f>
        <v/>
      </c>
      <c r="F325" s="47">
        <f>IF(AND($C325&lt;&gt;"",INDEX(Periods!$D$5:$D$57,$B325)=1),1,0)</f>
        <v/>
      </c>
      <c r="G325" s="47">
        <f>IF($F325=0,0,IF(AND(OR(INDEX(Employees!$D$5:$D$29,$A325)="",$E325&gt;=INDEX(Employees!$D$5:$D$29,$A325)+N(INDEX(Employees!$U$5:$U$29,$A325))),OR(INDEX(Employees!$E$5:$E$29,$A325)="",$D325&lt;=INDEX(Employees!$E$5:$E$29,$A325))),1,0))</f>
        <v/>
      </c>
      <c r="H325" s="47">
        <f>IF($G325=0,0,IF(INDEX(Employees!$D$5:$D$29,$A325)="",0,DATEDIF(INDEX(Employees!$D$5:$D$29,$A325),$E325,"y")))</f>
        <v/>
      </c>
      <c r="I325" s="48">
        <f>IF($G325=0,0,IF(INDEX('Hours Worked'!$D$5:$BD$29,$A325,$B325)="",N(INDEX(Employees!$H$5:$H$29,$A325)),INDEX('Hours Worked'!$D$5:$BD$29,$A325,$B325)))</f>
        <v/>
      </c>
      <c r="J325" s="48">
        <f>IF(OR($G325=0,INDEX(Employees!$O$5:$O$29,$A325)&lt;&gt;"Yes"),0,IF(COUNTIF(Settings!$D$4:$D$9,"&lt;="&amp;$H325)=0,0,INDEX(Settings!$E$4:$E$9,COUNTIF(Settings!$D$4:$D$9,"&lt;="&amp;$H325))))</f>
        <v/>
      </c>
      <c r="K325" s="48">
        <f>IF($G325=0,0,IF(INDEX(Employees!$I$5:$I$29,$A325)="Per pay period",(N(INDEX(Employees!$J$5:$J$29,$A325))+$J325)/Settings!$B$13,IF(INDEX(Employees!$I$5:$I$29,$A325)="Per hour worked",N(INDEX(Employees!$K$5:$K$29,$A325))*$I325,IF(INDEX(Employees!$I$5:$I$29,$A325)="Front-loaded",IF(OR($B325=1,N($G324)=0),N(INDEX(Employees!$J$5:$J$29,$A325))+$J325,0),0))))</f>
        <v/>
      </c>
      <c r="L325" s="48">
        <f>IF($F325=0,0,SUMIFS('Time Off Log'!$H$5:$H$504,'Time Off Log'!$A$5:$A$504,$C325,'Time Off Log'!$B$5:$B$504,"PTO",'Time Off Log'!$E$5:$E$504,"Approved",'Time Off Log'!$C$5:$C$504,"&gt;="&amp;INDEX(Periods!$E$5:$E$57,$B325),'Time Off Log'!$C$5:$C$504,"&lt;="&amp;INDEX(Periods!$F$5:$F$57,$B325)))</f>
        <v/>
      </c>
      <c r="M325" s="48">
        <f>IF($B325=1,N(INDEX(Employees!$N$5:$N$29,$A325)),P324)</f>
        <v/>
      </c>
      <c r="N325" s="48">
        <f>IF(INDEX(Employees!$L$5:$L$29,$A325)="",K325,MAX(0,MIN(K325,INDEX(Employees!$L$5:$L$29,$A325)-(M325-L325))))</f>
        <v/>
      </c>
      <c r="O325" s="48">
        <f>K325-N325</f>
        <v/>
      </c>
      <c r="P325" s="48">
        <f>M325-L325+N325</f>
        <v/>
      </c>
      <c r="Q325" s="48">
        <f>IF($G325=0,0,IF(INDEX(Employees!$P$5:$P$29,$A325)="Per pay period",(N(INDEX(Employees!$Q$5:$Q$29,$A325)))/Settings!$B$13,IF(INDEX(Employees!$P$5:$P$29,$A325)="Per hour worked",N(INDEX(Employees!$R$5:$R$29,$A325))*$I325,IF(INDEX(Employees!$P$5:$P$29,$A325)="Front-loaded",IF(OR($B325=1,N($G324)=0),N(INDEX(Employees!$Q$5:$Q$29,$A325)),0),0))))</f>
        <v/>
      </c>
      <c r="R325" s="48">
        <f>IF($F325=0,0,SUMIFS('Time Off Log'!$H$5:$H$504,'Time Off Log'!$A$5:$A$504,$C325,'Time Off Log'!$B$5:$B$504,"Sick",'Time Off Log'!$E$5:$E$504,"Approved",'Time Off Log'!$C$5:$C$504,"&gt;="&amp;INDEX(Periods!$E$5:$E$57,$B325),'Time Off Log'!$C$5:$C$504,"&lt;="&amp;INDEX(Periods!$F$5:$F$57,$B325)))</f>
        <v/>
      </c>
      <c r="S325" s="48">
        <f>IF($B325=1,N(INDEX(Employees!$T$5:$T$29,$A325)),V324)</f>
        <v/>
      </c>
      <c r="T325" s="48">
        <f>IF(INDEX(Employees!$S$5:$S$29,$A325)="",Q325,MAX(0,MIN(Q325,INDEX(Employees!$S$5:$S$29,$A325)-(S325-R325))))</f>
        <v/>
      </c>
      <c r="U325" s="48">
        <f>Q325-T325</f>
        <v/>
      </c>
      <c r="V325" s="48">
        <f>S325-R325+T325</f>
        <v/>
      </c>
    </row>
    <row r="326">
      <c r="A326" s="47" t="n">
        <v>7</v>
      </c>
      <c r="B326" s="47" t="n">
        <v>4</v>
      </c>
      <c r="C326" s="48">
        <f>INDEX(Employees!$B$5:$B$29,$A326)&amp;""</f>
        <v/>
      </c>
      <c r="D326" s="49">
        <f>INDEX(Periods!$B$5:$B$57,$B326)</f>
        <v/>
      </c>
      <c r="E326" s="49">
        <f>INDEX(Periods!$C$5:$C$57,$B326)</f>
        <v/>
      </c>
      <c r="F326" s="47">
        <f>IF(AND($C326&lt;&gt;"",INDEX(Periods!$D$5:$D$57,$B326)=1),1,0)</f>
        <v/>
      </c>
      <c r="G326" s="47">
        <f>IF($F326=0,0,IF(AND(OR(INDEX(Employees!$D$5:$D$29,$A326)="",$E326&gt;=INDEX(Employees!$D$5:$D$29,$A326)+N(INDEX(Employees!$U$5:$U$29,$A326))),OR(INDEX(Employees!$E$5:$E$29,$A326)="",$D326&lt;=INDEX(Employees!$E$5:$E$29,$A326))),1,0))</f>
        <v/>
      </c>
      <c r="H326" s="47">
        <f>IF($G326=0,0,IF(INDEX(Employees!$D$5:$D$29,$A326)="",0,DATEDIF(INDEX(Employees!$D$5:$D$29,$A326),$E326,"y")))</f>
        <v/>
      </c>
      <c r="I326" s="48">
        <f>IF($G326=0,0,IF(INDEX('Hours Worked'!$D$5:$BD$29,$A326,$B326)="",N(INDEX(Employees!$H$5:$H$29,$A326)),INDEX('Hours Worked'!$D$5:$BD$29,$A326,$B326)))</f>
        <v/>
      </c>
      <c r="J326" s="48">
        <f>IF(OR($G326=0,INDEX(Employees!$O$5:$O$29,$A326)&lt;&gt;"Yes"),0,IF(COUNTIF(Settings!$D$4:$D$9,"&lt;="&amp;$H326)=0,0,INDEX(Settings!$E$4:$E$9,COUNTIF(Settings!$D$4:$D$9,"&lt;="&amp;$H326))))</f>
        <v/>
      </c>
      <c r="K326" s="48">
        <f>IF($G326=0,0,IF(INDEX(Employees!$I$5:$I$29,$A326)="Per pay period",(N(INDEX(Employees!$J$5:$J$29,$A326))+$J326)/Settings!$B$13,IF(INDEX(Employees!$I$5:$I$29,$A326)="Per hour worked",N(INDEX(Employees!$K$5:$K$29,$A326))*$I326,IF(INDEX(Employees!$I$5:$I$29,$A326)="Front-loaded",IF(OR($B326=1,N($G325)=0),N(INDEX(Employees!$J$5:$J$29,$A326))+$J326,0),0))))</f>
        <v/>
      </c>
      <c r="L326" s="48">
        <f>IF($F326=0,0,SUMIFS('Time Off Log'!$H$5:$H$504,'Time Off Log'!$A$5:$A$504,$C326,'Time Off Log'!$B$5:$B$504,"PTO",'Time Off Log'!$E$5:$E$504,"Approved",'Time Off Log'!$C$5:$C$504,"&gt;="&amp;INDEX(Periods!$E$5:$E$57,$B326),'Time Off Log'!$C$5:$C$504,"&lt;="&amp;INDEX(Periods!$F$5:$F$57,$B326)))</f>
        <v/>
      </c>
      <c r="M326" s="48">
        <f>IF($B326=1,N(INDEX(Employees!$N$5:$N$29,$A326)),P325)</f>
        <v/>
      </c>
      <c r="N326" s="48">
        <f>IF(INDEX(Employees!$L$5:$L$29,$A326)="",K326,MAX(0,MIN(K326,INDEX(Employees!$L$5:$L$29,$A326)-(M326-L326))))</f>
        <v/>
      </c>
      <c r="O326" s="48">
        <f>K326-N326</f>
        <v/>
      </c>
      <c r="P326" s="48">
        <f>M326-L326+N326</f>
        <v/>
      </c>
      <c r="Q326" s="48">
        <f>IF($G326=0,0,IF(INDEX(Employees!$P$5:$P$29,$A326)="Per pay period",(N(INDEX(Employees!$Q$5:$Q$29,$A326)))/Settings!$B$13,IF(INDEX(Employees!$P$5:$P$29,$A326)="Per hour worked",N(INDEX(Employees!$R$5:$R$29,$A326))*$I326,IF(INDEX(Employees!$P$5:$P$29,$A326)="Front-loaded",IF(OR($B326=1,N($G325)=0),N(INDEX(Employees!$Q$5:$Q$29,$A326)),0),0))))</f>
        <v/>
      </c>
      <c r="R326" s="48">
        <f>IF($F326=0,0,SUMIFS('Time Off Log'!$H$5:$H$504,'Time Off Log'!$A$5:$A$504,$C326,'Time Off Log'!$B$5:$B$504,"Sick",'Time Off Log'!$E$5:$E$504,"Approved",'Time Off Log'!$C$5:$C$504,"&gt;="&amp;INDEX(Periods!$E$5:$E$57,$B326),'Time Off Log'!$C$5:$C$504,"&lt;="&amp;INDEX(Periods!$F$5:$F$57,$B326)))</f>
        <v/>
      </c>
      <c r="S326" s="48">
        <f>IF($B326=1,N(INDEX(Employees!$T$5:$T$29,$A326)),V325)</f>
        <v/>
      </c>
      <c r="T326" s="48">
        <f>IF(INDEX(Employees!$S$5:$S$29,$A326)="",Q326,MAX(0,MIN(Q326,INDEX(Employees!$S$5:$S$29,$A326)-(S326-R326))))</f>
        <v/>
      </c>
      <c r="U326" s="48">
        <f>Q326-T326</f>
        <v/>
      </c>
      <c r="V326" s="48">
        <f>S326-R326+T326</f>
        <v/>
      </c>
    </row>
    <row r="327">
      <c r="A327" s="47" t="n">
        <v>7</v>
      </c>
      <c r="B327" s="47" t="n">
        <v>5</v>
      </c>
      <c r="C327" s="48">
        <f>INDEX(Employees!$B$5:$B$29,$A327)&amp;""</f>
        <v/>
      </c>
      <c r="D327" s="49">
        <f>INDEX(Periods!$B$5:$B$57,$B327)</f>
        <v/>
      </c>
      <c r="E327" s="49">
        <f>INDEX(Periods!$C$5:$C$57,$B327)</f>
        <v/>
      </c>
      <c r="F327" s="47">
        <f>IF(AND($C327&lt;&gt;"",INDEX(Periods!$D$5:$D$57,$B327)=1),1,0)</f>
        <v/>
      </c>
      <c r="G327" s="47">
        <f>IF($F327=0,0,IF(AND(OR(INDEX(Employees!$D$5:$D$29,$A327)="",$E327&gt;=INDEX(Employees!$D$5:$D$29,$A327)+N(INDEX(Employees!$U$5:$U$29,$A327))),OR(INDEX(Employees!$E$5:$E$29,$A327)="",$D327&lt;=INDEX(Employees!$E$5:$E$29,$A327))),1,0))</f>
        <v/>
      </c>
      <c r="H327" s="47">
        <f>IF($G327=0,0,IF(INDEX(Employees!$D$5:$D$29,$A327)="",0,DATEDIF(INDEX(Employees!$D$5:$D$29,$A327),$E327,"y")))</f>
        <v/>
      </c>
      <c r="I327" s="48">
        <f>IF($G327=0,0,IF(INDEX('Hours Worked'!$D$5:$BD$29,$A327,$B327)="",N(INDEX(Employees!$H$5:$H$29,$A327)),INDEX('Hours Worked'!$D$5:$BD$29,$A327,$B327)))</f>
        <v/>
      </c>
      <c r="J327" s="48">
        <f>IF(OR($G327=0,INDEX(Employees!$O$5:$O$29,$A327)&lt;&gt;"Yes"),0,IF(COUNTIF(Settings!$D$4:$D$9,"&lt;="&amp;$H327)=0,0,INDEX(Settings!$E$4:$E$9,COUNTIF(Settings!$D$4:$D$9,"&lt;="&amp;$H327))))</f>
        <v/>
      </c>
      <c r="K327" s="48">
        <f>IF($G327=0,0,IF(INDEX(Employees!$I$5:$I$29,$A327)="Per pay period",(N(INDEX(Employees!$J$5:$J$29,$A327))+$J327)/Settings!$B$13,IF(INDEX(Employees!$I$5:$I$29,$A327)="Per hour worked",N(INDEX(Employees!$K$5:$K$29,$A327))*$I327,IF(INDEX(Employees!$I$5:$I$29,$A327)="Front-loaded",IF(OR($B327=1,N($G326)=0),N(INDEX(Employees!$J$5:$J$29,$A327))+$J327,0),0))))</f>
        <v/>
      </c>
      <c r="L327" s="48">
        <f>IF($F327=0,0,SUMIFS('Time Off Log'!$H$5:$H$504,'Time Off Log'!$A$5:$A$504,$C327,'Time Off Log'!$B$5:$B$504,"PTO",'Time Off Log'!$E$5:$E$504,"Approved",'Time Off Log'!$C$5:$C$504,"&gt;="&amp;INDEX(Periods!$E$5:$E$57,$B327),'Time Off Log'!$C$5:$C$504,"&lt;="&amp;INDEX(Periods!$F$5:$F$57,$B327)))</f>
        <v/>
      </c>
      <c r="M327" s="48">
        <f>IF($B327=1,N(INDEX(Employees!$N$5:$N$29,$A327)),P326)</f>
        <v/>
      </c>
      <c r="N327" s="48">
        <f>IF(INDEX(Employees!$L$5:$L$29,$A327)="",K327,MAX(0,MIN(K327,INDEX(Employees!$L$5:$L$29,$A327)-(M327-L327))))</f>
        <v/>
      </c>
      <c r="O327" s="48">
        <f>K327-N327</f>
        <v/>
      </c>
      <c r="P327" s="48">
        <f>M327-L327+N327</f>
        <v/>
      </c>
      <c r="Q327" s="48">
        <f>IF($G327=0,0,IF(INDEX(Employees!$P$5:$P$29,$A327)="Per pay period",(N(INDEX(Employees!$Q$5:$Q$29,$A327)))/Settings!$B$13,IF(INDEX(Employees!$P$5:$P$29,$A327)="Per hour worked",N(INDEX(Employees!$R$5:$R$29,$A327))*$I327,IF(INDEX(Employees!$P$5:$P$29,$A327)="Front-loaded",IF(OR($B327=1,N($G326)=0),N(INDEX(Employees!$Q$5:$Q$29,$A327)),0),0))))</f>
        <v/>
      </c>
      <c r="R327" s="48">
        <f>IF($F327=0,0,SUMIFS('Time Off Log'!$H$5:$H$504,'Time Off Log'!$A$5:$A$504,$C327,'Time Off Log'!$B$5:$B$504,"Sick",'Time Off Log'!$E$5:$E$504,"Approved",'Time Off Log'!$C$5:$C$504,"&gt;="&amp;INDEX(Periods!$E$5:$E$57,$B327),'Time Off Log'!$C$5:$C$504,"&lt;="&amp;INDEX(Periods!$F$5:$F$57,$B327)))</f>
        <v/>
      </c>
      <c r="S327" s="48">
        <f>IF($B327=1,N(INDEX(Employees!$T$5:$T$29,$A327)),V326)</f>
        <v/>
      </c>
      <c r="T327" s="48">
        <f>IF(INDEX(Employees!$S$5:$S$29,$A327)="",Q327,MAX(0,MIN(Q327,INDEX(Employees!$S$5:$S$29,$A327)-(S327-R327))))</f>
        <v/>
      </c>
      <c r="U327" s="48">
        <f>Q327-T327</f>
        <v/>
      </c>
      <c r="V327" s="48">
        <f>S327-R327+T327</f>
        <v/>
      </c>
    </row>
    <row r="328">
      <c r="A328" s="47" t="n">
        <v>7</v>
      </c>
      <c r="B328" s="47" t="n">
        <v>6</v>
      </c>
      <c r="C328" s="48">
        <f>INDEX(Employees!$B$5:$B$29,$A328)&amp;""</f>
        <v/>
      </c>
      <c r="D328" s="49">
        <f>INDEX(Periods!$B$5:$B$57,$B328)</f>
        <v/>
      </c>
      <c r="E328" s="49">
        <f>INDEX(Periods!$C$5:$C$57,$B328)</f>
        <v/>
      </c>
      <c r="F328" s="47">
        <f>IF(AND($C328&lt;&gt;"",INDEX(Periods!$D$5:$D$57,$B328)=1),1,0)</f>
        <v/>
      </c>
      <c r="G328" s="47">
        <f>IF($F328=0,0,IF(AND(OR(INDEX(Employees!$D$5:$D$29,$A328)="",$E328&gt;=INDEX(Employees!$D$5:$D$29,$A328)+N(INDEX(Employees!$U$5:$U$29,$A328))),OR(INDEX(Employees!$E$5:$E$29,$A328)="",$D328&lt;=INDEX(Employees!$E$5:$E$29,$A328))),1,0))</f>
        <v/>
      </c>
      <c r="H328" s="47">
        <f>IF($G328=0,0,IF(INDEX(Employees!$D$5:$D$29,$A328)="",0,DATEDIF(INDEX(Employees!$D$5:$D$29,$A328),$E328,"y")))</f>
        <v/>
      </c>
      <c r="I328" s="48">
        <f>IF($G328=0,0,IF(INDEX('Hours Worked'!$D$5:$BD$29,$A328,$B328)="",N(INDEX(Employees!$H$5:$H$29,$A328)),INDEX('Hours Worked'!$D$5:$BD$29,$A328,$B328)))</f>
        <v/>
      </c>
      <c r="J328" s="48">
        <f>IF(OR($G328=0,INDEX(Employees!$O$5:$O$29,$A328)&lt;&gt;"Yes"),0,IF(COUNTIF(Settings!$D$4:$D$9,"&lt;="&amp;$H328)=0,0,INDEX(Settings!$E$4:$E$9,COUNTIF(Settings!$D$4:$D$9,"&lt;="&amp;$H328))))</f>
        <v/>
      </c>
      <c r="K328" s="48">
        <f>IF($G328=0,0,IF(INDEX(Employees!$I$5:$I$29,$A328)="Per pay period",(N(INDEX(Employees!$J$5:$J$29,$A328))+$J328)/Settings!$B$13,IF(INDEX(Employees!$I$5:$I$29,$A328)="Per hour worked",N(INDEX(Employees!$K$5:$K$29,$A328))*$I328,IF(INDEX(Employees!$I$5:$I$29,$A328)="Front-loaded",IF(OR($B328=1,N($G327)=0),N(INDEX(Employees!$J$5:$J$29,$A328))+$J328,0),0))))</f>
        <v/>
      </c>
      <c r="L328" s="48">
        <f>IF($F328=0,0,SUMIFS('Time Off Log'!$H$5:$H$504,'Time Off Log'!$A$5:$A$504,$C328,'Time Off Log'!$B$5:$B$504,"PTO",'Time Off Log'!$E$5:$E$504,"Approved",'Time Off Log'!$C$5:$C$504,"&gt;="&amp;INDEX(Periods!$E$5:$E$57,$B328),'Time Off Log'!$C$5:$C$504,"&lt;="&amp;INDEX(Periods!$F$5:$F$57,$B328)))</f>
        <v/>
      </c>
      <c r="M328" s="48">
        <f>IF($B328=1,N(INDEX(Employees!$N$5:$N$29,$A328)),P327)</f>
        <v/>
      </c>
      <c r="N328" s="48">
        <f>IF(INDEX(Employees!$L$5:$L$29,$A328)="",K328,MAX(0,MIN(K328,INDEX(Employees!$L$5:$L$29,$A328)-(M328-L328))))</f>
        <v/>
      </c>
      <c r="O328" s="48">
        <f>K328-N328</f>
        <v/>
      </c>
      <c r="P328" s="48">
        <f>M328-L328+N328</f>
        <v/>
      </c>
      <c r="Q328" s="48">
        <f>IF($G328=0,0,IF(INDEX(Employees!$P$5:$P$29,$A328)="Per pay period",(N(INDEX(Employees!$Q$5:$Q$29,$A328)))/Settings!$B$13,IF(INDEX(Employees!$P$5:$P$29,$A328)="Per hour worked",N(INDEX(Employees!$R$5:$R$29,$A328))*$I328,IF(INDEX(Employees!$P$5:$P$29,$A328)="Front-loaded",IF(OR($B328=1,N($G327)=0),N(INDEX(Employees!$Q$5:$Q$29,$A328)),0),0))))</f>
        <v/>
      </c>
      <c r="R328" s="48">
        <f>IF($F328=0,0,SUMIFS('Time Off Log'!$H$5:$H$504,'Time Off Log'!$A$5:$A$504,$C328,'Time Off Log'!$B$5:$B$504,"Sick",'Time Off Log'!$E$5:$E$504,"Approved",'Time Off Log'!$C$5:$C$504,"&gt;="&amp;INDEX(Periods!$E$5:$E$57,$B328),'Time Off Log'!$C$5:$C$504,"&lt;="&amp;INDEX(Periods!$F$5:$F$57,$B328)))</f>
        <v/>
      </c>
      <c r="S328" s="48">
        <f>IF($B328=1,N(INDEX(Employees!$T$5:$T$29,$A328)),V327)</f>
        <v/>
      </c>
      <c r="T328" s="48">
        <f>IF(INDEX(Employees!$S$5:$S$29,$A328)="",Q328,MAX(0,MIN(Q328,INDEX(Employees!$S$5:$S$29,$A328)-(S328-R328))))</f>
        <v/>
      </c>
      <c r="U328" s="48">
        <f>Q328-T328</f>
        <v/>
      </c>
      <c r="V328" s="48">
        <f>S328-R328+T328</f>
        <v/>
      </c>
    </row>
    <row r="329">
      <c r="A329" s="47" t="n">
        <v>7</v>
      </c>
      <c r="B329" s="47" t="n">
        <v>7</v>
      </c>
      <c r="C329" s="48">
        <f>INDEX(Employees!$B$5:$B$29,$A329)&amp;""</f>
        <v/>
      </c>
      <c r="D329" s="49">
        <f>INDEX(Periods!$B$5:$B$57,$B329)</f>
        <v/>
      </c>
      <c r="E329" s="49">
        <f>INDEX(Periods!$C$5:$C$57,$B329)</f>
        <v/>
      </c>
      <c r="F329" s="47">
        <f>IF(AND($C329&lt;&gt;"",INDEX(Periods!$D$5:$D$57,$B329)=1),1,0)</f>
        <v/>
      </c>
      <c r="G329" s="47">
        <f>IF($F329=0,0,IF(AND(OR(INDEX(Employees!$D$5:$D$29,$A329)="",$E329&gt;=INDEX(Employees!$D$5:$D$29,$A329)+N(INDEX(Employees!$U$5:$U$29,$A329))),OR(INDEX(Employees!$E$5:$E$29,$A329)="",$D329&lt;=INDEX(Employees!$E$5:$E$29,$A329))),1,0))</f>
        <v/>
      </c>
      <c r="H329" s="47">
        <f>IF($G329=0,0,IF(INDEX(Employees!$D$5:$D$29,$A329)="",0,DATEDIF(INDEX(Employees!$D$5:$D$29,$A329),$E329,"y")))</f>
        <v/>
      </c>
      <c r="I329" s="48">
        <f>IF($G329=0,0,IF(INDEX('Hours Worked'!$D$5:$BD$29,$A329,$B329)="",N(INDEX(Employees!$H$5:$H$29,$A329)),INDEX('Hours Worked'!$D$5:$BD$29,$A329,$B329)))</f>
        <v/>
      </c>
      <c r="J329" s="48">
        <f>IF(OR($G329=0,INDEX(Employees!$O$5:$O$29,$A329)&lt;&gt;"Yes"),0,IF(COUNTIF(Settings!$D$4:$D$9,"&lt;="&amp;$H329)=0,0,INDEX(Settings!$E$4:$E$9,COUNTIF(Settings!$D$4:$D$9,"&lt;="&amp;$H329))))</f>
        <v/>
      </c>
      <c r="K329" s="48">
        <f>IF($G329=0,0,IF(INDEX(Employees!$I$5:$I$29,$A329)="Per pay period",(N(INDEX(Employees!$J$5:$J$29,$A329))+$J329)/Settings!$B$13,IF(INDEX(Employees!$I$5:$I$29,$A329)="Per hour worked",N(INDEX(Employees!$K$5:$K$29,$A329))*$I329,IF(INDEX(Employees!$I$5:$I$29,$A329)="Front-loaded",IF(OR($B329=1,N($G328)=0),N(INDEX(Employees!$J$5:$J$29,$A329))+$J329,0),0))))</f>
        <v/>
      </c>
      <c r="L329" s="48">
        <f>IF($F329=0,0,SUMIFS('Time Off Log'!$H$5:$H$504,'Time Off Log'!$A$5:$A$504,$C329,'Time Off Log'!$B$5:$B$504,"PTO",'Time Off Log'!$E$5:$E$504,"Approved",'Time Off Log'!$C$5:$C$504,"&gt;="&amp;INDEX(Periods!$E$5:$E$57,$B329),'Time Off Log'!$C$5:$C$504,"&lt;="&amp;INDEX(Periods!$F$5:$F$57,$B329)))</f>
        <v/>
      </c>
      <c r="M329" s="48">
        <f>IF($B329=1,N(INDEX(Employees!$N$5:$N$29,$A329)),P328)</f>
        <v/>
      </c>
      <c r="N329" s="48">
        <f>IF(INDEX(Employees!$L$5:$L$29,$A329)="",K329,MAX(0,MIN(K329,INDEX(Employees!$L$5:$L$29,$A329)-(M329-L329))))</f>
        <v/>
      </c>
      <c r="O329" s="48">
        <f>K329-N329</f>
        <v/>
      </c>
      <c r="P329" s="48">
        <f>M329-L329+N329</f>
        <v/>
      </c>
      <c r="Q329" s="48">
        <f>IF($G329=0,0,IF(INDEX(Employees!$P$5:$P$29,$A329)="Per pay period",(N(INDEX(Employees!$Q$5:$Q$29,$A329)))/Settings!$B$13,IF(INDEX(Employees!$P$5:$P$29,$A329)="Per hour worked",N(INDEX(Employees!$R$5:$R$29,$A329))*$I329,IF(INDEX(Employees!$P$5:$P$29,$A329)="Front-loaded",IF(OR($B329=1,N($G328)=0),N(INDEX(Employees!$Q$5:$Q$29,$A329)),0),0))))</f>
        <v/>
      </c>
      <c r="R329" s="48">
        <f>IF($F329=0,0,SUMIFS('Time Off Log'!$H$5:$H$504,'Time Off Log'!$A$5:$A$504,$C329,'Time Off Log'!$B$5:$B$504,"Sick",'Time Off Log'!$E$5:$E$504,"Approved",'Time Off Log'!$C$5:$C$504,"&gt;="&amp;INDEX(Periods!$E$5:$E$57,$B329),'Time Off Log'!$C$5:$C$504,"&lt;="&amp;INDEX(Periods!$F$5:$F$57,$B329)))</f>
        <v/>
      </c>
      <c r="S329" s="48">
        <f>IF($B329=1,N(INDEX(Employees!$T$5:$T$29,$A329)),V328)</f>
        <v/>
      </c>
      <c r="T329" s="48">
        <f>IF(INDEX(Employees!$S$5:$S$29,$A329)="",Q329,MAX(0,MIN(Q329,INDEX(Employees!$S$5:$S$29,$A329)-(S329-R329))))</f>
        <v/>
      </c>
      <c r="U329" s="48">
        <f>Q329-T329</f>
        <v/>
      </c>
      <c r="V329" s="48">
        <f>S329-R329+T329</f>
        <v/>
      </c>
    </row>
    <row r="330">
      <c r="A330" s="47" t="n">
        <v>7</v>
      </c>
      <c r="B330" s="47" t="n">
        <v>8</v>
      </c>
      <c r="C330" s="48">
        <f>INDEX(Employees!$B$5:$B$29,$A330)&amp;""</f>
        <v/>
      </c>
      <c r="D330" s="49">
        <f>INDEX(Periods!$B$5:$B$57,$B330)</f>
        <v/>
      </c>
      <c r="E330" s="49">
        <f>INDEX(Periods!$C$5:$C$57,$B330)</f>
        <v/>
      </c>
      <c r="F330" s="47">
        <f>IF(AND($C330&lt;&gt;"",INDEX(Periods!$D$5:$D$57,$B330)=1),1,0)</f>
        <v/>
      </c>
      <c r="G330" s="47">
        <f>IF($F330=0,0,IF(AND(OR(INDEX(Employees!$D$5:$D$29,$A330)="",$E330&gt;=INDEX(Employees!$D$5:$D$29,$A330)+N(INDEX(Employees!$U$5:$U$29,$A330))),OR(INDEX(Employees!$E$5:$E$29,$A330)="",$D330&lt;=INDEX(Employees!$E$5:$E$29,$A330))),1,0))</f>
        <v/>
      </c>
      <c r="H330" s="47">
        <f>IF($G330=0,0,IF(INDEX(Employees!$D$5:$D$29,$A330)="",0,DATEDIF(INDEX(Employees!$D$5:$D$29,$A330),$E330,"y")))</f>
        <v/>
      </c>
      <c r="I330" s="48">
        <f>IF($G330=0,0,IF(INDEX('Hours Worked'!$D$5:$BD$29,$A330,$B330)="",N(INDEX(Employees!$H$5:$H$29,$A330)),INDEX('Hours Worked'!$D$5:$BD$29,$A330,$B330)))</f>
        <v/>
      </c>
      <c r="J330" s="48">
        <f>IF(OR($G330=0,INDEX(Employees!$O$5:$O$29,$A330)&lt;&gt;"Yes"),0,IF(COUNTIF(Settings!$D$4:$D$9,"&lt;="&amp;$H330)=0,0,INDEX(Settings!$E$4:$E$9,COUNTIF(Settings!$D$4:$D$9,"&lt;="&amp;$H330))))</f>
        <v/>
      </c>
      <c r="K330" s="48">
        <f>IF($G330=0,0,IF(INDEX(Employees!$I$5:$I$29,$A330)="Per pay period",(N(INDEX(Employees!$J$5:$J$29,$A330))+$J330)/Settings!$B$13,IF(INDEX(Employees!$I$5:$I$29,$A330)="Per hour worked",N(INDEX(Employees!$K$5:$K$29,$A330))*$I330,IF(INDEX(Employees!$I$5:$I$29,$A330)="Front-loaded",IF(OR($B330=1,N($G329)=0),N(INDEX(Employees!$J$5:$J$29,$A330))+$J330,0),0))))</f>
        <v/>
      </c>
      <c r="L330" s="48">
        <f>IF($F330=0,0,SUMIFS('Time Off Log'!$H$5:$H$504,'Time Off Log'!$A$5:$A$504,$C330,'Time Off Log'!$B$5:$B$504,"PTO",'Time Off Log'!$E$5:$E$504,"Approved",'Time Off Log'!$C$5:$C$504,"&gt;="&amp;INDEX(Periods!$E$5:$E$57,$B330),'Time Off Log'!$C$5:$C$504,"&lt;="&amp;INDEX(Periods!$F$5:$F$57,$B330)))</f>
        <v/>
      </c>
      <c r="M330" s="48">
        <f>IF($B330=1,N(INDEX(Employees!$N$5:$N$29,$A330)),P329)</f>
        <v/>
      </c>
      <c r="N330" s="48">
        <f>IF(INDEX(Employees!$L$5:$L$29,$A330)="",K330,MAX(0,MIN(K330,INDEX(Employees!$L$5:$L$29,$A330)-(M330-L330))))</f>
        <v/>
      </c>
      <c r="O330" s="48">
        <f>K330-N330</f>
        <v/>
      </c>
      <c r="P330" s="48">
        <f>M330-L330+N330</f>
        <v/>
      </c>
      <c r="Q330" s="48">
        <f>IF($G330=0,0,IF(INDEX(Employees!$P$5:$P$29,$A330)="Per pay period",(N(INDEX(Employees!$Q$5:$Q$29,$A330)))/Settings!$B$13,IF(INDEX(Employees!$P$5:$P$29,$A330)="Per hour worked",N(INDEX(Employees!$R$5:$R$29,$A330))*$I330,IF(INDEX(Employees!$P$5:$P$29,$A330)="Front-loaded",IF(OR($B330=1,N($G329)=0),N(INDEX(Employees!$Q$5:$Q$29,$A330)),0),0))))</f>
        <v/>
      </c>
      <c r="R330" s="48">
        <f>IF($F330=0,0,SUMIFS('Time Off Log'!$H$5:$H$504,'Time Off Log'!$A$5:$A$504,$C330,'Time Off Log'!$B$5:$B$504,"Sick",'Time Off Log'!$E$5:$E$504,"Approved",'Time Off Log'!$C$5:$C$504,"&gt;="&amp;INDEX(Periods!$E$5:$E$57,$B330),'Time Off Log'!$C$5:$C$504,"&lt;="&amp;INDEX(Periods!$F$5:$F$57,$B330)))</f>
        <v/>
      </c>
      <c r="S330" s="48">
        <f>IF($B330=1,N(INDEX(Employees!$T$5:$T$29,$A330)),V329)</f>
        <v/>
      </c>
      <c r="T330" s="48">
        <f>IF(INDEX(Employees!$S$5:$S$29,$A330)="",Q330,MAX(0,MIN(Q330,INDEX(Employees!$S$5:$S$29,$A330)-(S330-R330))))</f>
        <v/>
      </c>
      <c r="U330" s="48">
        <f>Q330-T330</f>
        <v/>
      </c>
      <c r="V330" s="48">
        <f>S330-R330+T330</f>
        <v/>
      </c>
    </row>
    <row r="331">
      <c r="A331" s="47" t="n">
        <v>7</v>
      </c>
      <c r="B331" s="47" t="n">
        <v>9</v>
      </c>
      <c r="C331" s="48">
        <f>INDEX(Employees!$B$5:$B$29,$A331)&amp;""</f>
        <v/>
      </c>
      <c r="D331" s="49">
        <f>INDEX(Periods!$B$5:$B$57,$B331)</f>
        <v/>
      </c>
      <c r="E331" s="49">
        <f>INDEX(Periods!$C$5:$C$57,$B331)</f>
        <v/>
      </c>
      <c r="F331" s="47">
        <f>IF(AND($C331&lt;&gt;"",INDEX(Periods!$D$5:$D$57,$B331)=1),1,0)</f>
        <v/>
      </c>
      <c r="G331" s="47">
        <f>IF($F331=0,0,IF(AND(OR(INDEX(Employees!$D$5:$D$29,$A331)="",$E331&gt;=INDEX(Employees!$D$5:$D$29,$A331)+N(INDEX(Employees!$U$5:$U$29,$A331))),OR(INDEX(Employees!$E$5:$E$29,$A331)="",$D331&lt;=INDEX(Employees!$E$5:$E$29,$A331))),1,0))</f>
        <v/>
      </c>
      <c r="H331" s="47">
        <f>IF($G331=0,0,IF(INDEX(Employees!$D$5:$D$29,$A331)="",0,DATEDIF(INDEX(Employees!$D$5:$D$29,$A331),$E331,"y")))</f>
        <v/>
      </c>
      <c r="I331" s="48">
        <f>IF($G331=0,0,IF(INDEX('Hours Worked'!$D$5:$BD$29,$A331,$B331)="",N(INDEX(Employees!$H$5:$H$29,$A331)),INDEX('Hours Worked'!$D$5:$BD$29,$A331,$B331)))</f>
        <v/>
      </c>
      <c r="J331" s="48">
        <f>IF(OR($G331=0,INDEX(Employees!$O$5:$O$29,$A331)&lt;&gt;"Yes"),0,IF(COUNTIF(Settings!$D$4:$D$9,"&lt;="&amp;$H331)=0,0,INDEX(Settings!$E$4:$E$9,COUNTIF(Settings!$D$4:$D$9,"&lt;="&amp;$H331))))</f>
        <v/>
      </c>
      <c r="K331" s="48">
        <f>IF($G331=0,0,IF(INDEX(Employees!$I$5:$I$29,$A331)="Per pay period",(N(INDEX(Employees!$J$5:$J$29,$A331))+$J331)/Settings!$B$13,IF(INDEX(Employees!$I$5:$I$29,$A331)="Per hour worked",N(INDEX(Employees!$K$5:$K$29,$A331))*$I331,IF(INDEX(Employees!$I$5:$I$29,$A331)="Front-loaded",IF(OR($B331=1,N($G330)=0),N(INDEX(Employees!$J$5:$J$29,$A331))+$J331,0),0))))</f>
        <v/>
      </c>
      <c r="L331" s="48">
        <f>IF($F331=0,0,SUMIFS('Time Off Log'!$H$5:$H$504,'Time Off Log'!$A$5:$A$504,$C331,'Time Off Log'!$B$5:$B$504,"PTO",'Time Off Log'!$E$5:$E$504,"Approved",'Time Off Log'!$C$5:$C$504,"&gt;="&amp;INDEX(Periods!$E$5:$E$57,$B331),'Time Off Log'!$C$5:$C$504,"&lt;="&amp;INDEX(Periods!$F$5:$F$57,$B331)))</f>
        <v/>
      </c>
      <c r="M331" s="48">
        <f>IF($B331=1,N(INDEX(Employees!$N$5:$N$29,$A331)),P330)</f>
        <v/>
      </c>
      <c r="N331" s="48">
        <f>IF(INDEX(Employees!$L$5:$L$29,$A331)="",K331,MAX(0,MIN(K331,INDEX(Employees!$L$5:$L$29,$A331)-(M331-L331))))</f>
        <v/>
      </c>
      <c r="O331" s="48">
        <f>K331-N331</f>
        <v/>
      </c>
      <c r="P331" s="48">
        <f>M331-L331+N331</f>
        <v/>
      </c>
      <c r="Q331" s="48">
        <f>IF($G331=0,0,IF(INDEX(Employees!$P$5:$P$29,$A331)="Per pay period",(N(INDEX(Employees!$Q$5:$Q$29,$A331)))/Settings!$B$13,IF(INDEX(Employees!$P$5:$P$29,$A331)="Per hour worked",N(INDEX(Employees!$R$5:$R$29,$A331))*$I331,IF(INDEX(Employees!$P$5:$P$29,$A331)="Front-loaded",IF(OR($B331=1,N($G330)=0),N(INDEX(Employees!$Q$5:$Q$29,$A331)),0),0))))</f>
        <v/>
      </c>
      <c r="R331" s="48">
        <f>IF($F331=0,0,SUMIFS('Time Off Log'!$H$5:$H$504,'Time Off Log'!$A$5:$A$504,$C331,'Time Off Log'!$B$5:$B$504,"Sick",'Time Off Log'!$E$5:$E$504,"Approved",'Time Off Log'!$C$5:$C$504,"&gt;="&amp;INDEX(Periods!$E$5:$E$57,$B331),'Time Off Log'!$C$5:$C$504,"&lt;="&amp;INDEX(Periods!$F$5:$F$57,$B331)))</f>
        <v/>
      </c>
      <c r="S331" s="48">
        <f>IF($B331=1,N(INDEX(Employees!$T$5:$T$29,$A331)),V330)</f>
        <v/>
      </c>
      <c r="T331" s="48">
        <f>IF(INDEX(Employees!$S$5:$S$29,$A331)="",Q331,MAX(0,MIN(Q331,INDEX(Employees!$S$5:$S$29,$A331)-(S331-R331))))</f>
        <v/>
      </c>
      <c r="U331" s="48">
        <f>Q331-T331</f>
        <v/>
      </c>
      <c r="V331" s="48">
        <f>S331-R331+T331</f>
        <v/>
      </c>
    </row>
    <row r="332">
      <c r="A332" s="47" t="n">
        <v>7</v>
      </c>
      <c r="B332" s="47" t="n">
        <v>10</v>
      </c>
      <c r="C332" s="48">
        <f>INDEX(Employees!$B$5:$B$29,$A332)&amp;""</f>
        <v/>
      </c>
      <c r="D332" s="49">
        <f>INDEX(Periods!$B$5:$B$57,$B332)</f>
        <v/>
      </c>
      <c r="E332" s="49">
        <f>INDEX(Periods!$C$5:$C$57,$B332)</f>
        <v/>
      </c>
      <c r="F332" s="47">
        <f>IF(AND($C332&lt;&gt;"",INDEX(Periods!$D$5:$D$57,$B332)=1),1,0)</f>
        <v/>
      </c>
      <c r="G332" s="47">
        <f>IF($F332=0,0,IF(AND(OR(INDEX(Employees!$D$5:$D$29,$A332)="",$E332&gt;=INDEX(Employees!$D$5:$D$29,$A332)+N(INDEX(Employees!$U$5:$U$29,$A332))),OR(INDEX(Employees!$E$5:$E$29,$A332)="",$D332&lt;=INDEX(Employees!$E$5:$E$29,$A332))),1,0))</f>
        <v/>
      </c>
      <c r="H332" s="47">
        <f>IF($G332=0,0,IF(INDEX(Employees!$D$5:$D$29,$A332)="",0,DATEDIF(INDEX(Employees!$D$5:$D$29,$A332),$E332,"y")))</f>
        <v/>
      </c>
      <c r="I332" s="48">
        <f>IF($G332=0,0,IF(INDEX('Hours Worked'!$D$5:$BD$29,$A332,$B332)="",N(INDEX(Employees!$H$5:$H$29,$A332)),INDEX('Hours Worked'!$D$5:$BD$29,$A332,$B332)))</f>
        <v/>
      </c>
      <c r="J332" s="48">
        <f>IF(OR($G332=0,INDEX(Employees!$O$5:$O$29,$A332)&lt;&gt;"Yes"),0,IF(COUNTIF(Settings!$D$4:$D$9,"&lt;="&amp;$H332)=0,0,INDEX(Settings!$E$4:$E$9,COUNTIF(Settings!$D$4:$D$9,"&lt;="&amp;$H332))))</f>
        <v/>
      </c>
      <c r="K332" s="48">
        <f>IF($G332=0,0,IF(INDEX(Employees!$I$5:$I$29,$A332)="Per pay period",(N(INDEX(Employees!$J$5:$J$29,$A332))+$J332)/Settings!$B$13,IF(INDEX(Employees!$I$5:$I$29,$A332)="Per hour worked",N(INDEX(Employees!$K$5:$K$29,$A332))*$I332,IF(INDEX(Employees!$I$5:$I$29,$A332)="Front-loaded",IF(OR($B332=1,N($G331)=0),N(INDEX(Employees!$J$5:$J$29,$A332))+$J332,0),0))))</f>
        <v/>
      </c>
      <c r="L332" s="48">
        <f>IF($F332=0,0,SUMIFS('Time Off Log'!$H$5:$H$504,'Time Off Log'!$A$5:$A$504,$C332,'Time Off Log'!$B$5:$B$504,"PTO",'Time Off Log'!$E$5:$E$504,"Approved",'Time Off Log'!$C$5:$C$504,"&gt;="&amp;INDEX(Periods!$E$5:$E$57,$B332),'Time Off Log'!$C$5:$C$504,"&lt;="&amp;INDEX(Periods!$F$5:$F$57,$B332)))</f>
        <v/>
      </c>
      <c r="M332" s="48">
        <f>IF($B332=1,N(INDEX(Employees!$N$5:$N$29,$A332)),P331)</f>
        <v/>
      </c>
      <c r="N332" s="48">
        <f>IF(INDEX(Employees!$L$5:$L$29,$A332)="",K332,MAX(0,MIN(K332,INDEX(Employees!$L$5:$L$29,$A332)-(M332-L332))))</f>
        <v/>
      </c>
      <c r="O332" s="48">
        <f>K332-N332</f>
        <v/>
      </c>
      <c r="P332" s="48">
        <f>M332-L332+N332</f>
        <v/>
      </c>
      <c r="Q332" s="48">
        <f>IF($G332=0,0,IF(INDEX(Employees!$P$5:$P$29,$A332)="Per pay period",(N(INDEX(Employees!$Q$5:$Q$29,$A332)))/Settings!$B$13,IF(INDEX(Employees!$P$5:$P$29,$A332)="Per hour worked",N(INDEX(Employees!$R$5:$R$29,$A332))*$I332,IF(INDEX(Employees!$P$5:$P$29,$A332)="Front-loaded",IF(OR($B332=1,N($G331)=0),N(INDEX(Employees!$Q$5:$Q$29,$A332)),0),0))))</f>
        <v/>
      </c>
      <c r="R332" s="48">
        <f>IF($F332=0,0,SUMIFS('Time Off Log'!$H$5:$H$504,'Time Off Log'!$A$5:$A$504,$C332,'Time Off Log'!$B$5:$B$504,"Sick",'Time Off Log'!$E$5:$E$504,"Approved",'Time Off Log'!$C$5:$C$504,"&gt;="&amp;INDEX(Periods!$E$5:$E$57,$B332),'Time Off Log'!$C$5:$C$504,"&lt;="&amp;INDEX(Periods!$F$5:$F$57,$B332)))</f>
        <v/>
      </c>
      <c r="S332" s="48">
        <f>IF($B332=1,N(INDEX(Employees!$T$5:$T$29,$A332)),V331)</f>
        <v/>
      </c>
      <c r="T332" s="48">
        <f>IF(INDEX(Employees!$S$5:$S$29,$A332)="",Q332,MAX(0,MIN(Q332,INDEX(Employees!$S$5:$S$29,$A332)-(S332-R332))))</f>
        <v/>
      </c>
      <c r="U332" s="48">
        <f>Q332-T332</f>
        <v/>
      </c>
      <c r="V332" s="48">
        <f>S332-R332+T332</f>
        <v/>
      </c>
    </row>
    <row r="333">
      <c r="A333" s="47" t="n">
        <v>7</v>
      </c>
      <c r="B333" s="47" t="n">
        <v>11</v>
      </c>
      <c r="C333" s="48">
        <f>INDEX(Employees!$B$5:$B$29,$A333)&amp;""</f>
        <v/>
      </c>
      <c r="D333" s="49">
        <f>INDEX(Periods!$B$5:$B$57,$B333)</f>
        <v/>
      </c>
      <c r="E333" s="49">
        <f>INDEX(Periods!$C$5:$C$57,$B333)</f>
        <v/>
      </c>
      <c r="F333" s="47">
        <f>IF(AND($C333&lt;&gt;"",INDEX(Periods!$D$5:$D$57,$B333)=1),1,0)</f>
        <v/>
      </c>
      <c r="G333" s="47">
        <f>IF($F333=0,0,IF(AND(OR(INDEX(Employees!$D$5:$D$29,$A333)="",$E333&gt;=INDEX(Employees!$D$5:$D$29,$A333)+N(INDEX(Employees!$U$5:$U$29,$A333))),OR(INDEX(Employees!$E$5:$E$29,$A333)="",$D333&lt;=INDEX(Employees!$E$5:$E$29,$A333))),1,0))</f>
        <v/>
      </c>
      <c r="H333" s="47">
        <f>IF($G333=0,0,IF(INDEX(Employees!$D$5:$D$29,$A333)="",0,DATEDIF(INDEX(Employees!$D$5:$D$29,$A333),$E333,"y")))</f>
        <v/>
      </c>
      <c r="I333" s="48">
        <f>IF($G333=0,0,IF(INDEX('Hours Worked'!$D$5:$BD$29,$A333,$B333)="",N(INDEX(Employees!$H$5:$H$29,$A333)),INDEX('Hours Worked'!$D$5:$BD$29,$A333,$B333)))</f>
        <v/>
      </c>
      <c r="J333" s="48">
        <f>IF(OR($G333=0,INDEX(Employees!$O$5:$O$29,$A333)&lt;&gt;"Yes"),0,IF(COUNTIF(Settings!$D$4:$D$9,"&lt;="&amp;$H333)=0,0,INDEX(Settings!$E$4:$E$9,COUNTIF(Settings!$D$4:$D$9,"&lt;="&amp;$H333))))</f>
        <v/>
      </c>
      <c r="K333" s="48">
        <f>IF($G333=0,0,IF(INDEX(Employees!$I$5:$I$29,$A333)="Per pay period",(N(INDEX(Employees!$J$5:$J$29,$A333))+$J333)/Settings!$B$13,IF(INDEX(Employees!$I$5:$I$29,$A333)="Per hour worked",N(INDEX(Employees!$K$5:$K$29,$A333))*$I333,IF(INDEX(Employees!$I$5:$I$29,$A333)="Front-loaded",IF(OR($B333=1,N($G332)=0),N(INDEX(Employees!$J$5:$J$29,$A333))+$J333,0),0))))</f>
        <v/>
      </c>
      <c r="L333" s="48">
        <f>IF($F333=0,0,SUMIFS('Time Off Log'!$H$5:$H$504,'Time Off Log'!$A$5:$A$504,$C333,'Time Off Log'!$B$5:$B$504,"PTO",'Time Off Log'!$E$5:$E$504,"Approved",'Time Off Log'!$C$5:$C$504,"&gt;="&amp;INDEX(Periods!$E$5:$E$57,$B333),'Time Off Log'!$C$5:$C$504,"&lt;="&amp;INDEX(Periods!$F$5:$F$57,$B333)))</f>
        <v/>
      </c>
      <c r="M333" s="48">
        <f>IF($B333=1,N(INDEX(Employees!$N$5:$N$29,$A333)),P332)</f>
        <v/>
      </c>
      <c r="N333" s="48">
        <f>IF(INDEX(Employees!$L$5:$L$29,$A333)="",K333,MAX(0,MIN(K333,INDEX(Employees!$L$5:$L$29,$A333)-(M333-L333))))</f>
        <v/>
      </c>
      <c r="O333" s="48">
        <f>K333-N333</f>
        <v/>
      </c>
      <c r="P333" s="48">
        <f>M333-L333+N333</f>
        <v/>
      </c>
      <c r="Q333" s="48">
        <f>IF($G333=0,0,IF(INDEX(Employees!$P$5:$P$29,$A333)="Per pay period",(N(INDEX(Employees!$Q$5:$Q$29,$A333)))/Settings!$B$13,IF(INDEX(Employees!$P$5:$P$29,$A333)="Per hour worked",N(INDEX(Employees!$R$5:$R$29,$A333))*$I333,IF(INDEX(Employees!$P$5:$P$29,$A333)="Front-loaded",IF(OR($B333=1,N($G332)=0),N(INDEX(Employees!$Q$5:$Q$29,$A333)),0),0))))</f>
        <v/>
      </c>
      <c r="R333" s="48">
        <f>IF($F333=0,0,SUMIFS('Time Off Log'!$H$5:$H$504,'Time Off Log'!$A$5:$A$504,$C333,'Time Off Log'!$B$5:$B$504,"Sick",'Time Off Log'!$E$5:$E$504,"Approved",'Time Off Log'!$C$5:$C$504,"&gt;="&amp;INDEX(Periods!$E$5:$E$57,$B333),'Time Off Log'!$C$5:$C$504,"&lt;="&amp;INDEX(Periods!$F$5:$F$57,$B333)))</f>
        <v/>
      </c>
      <c r="S333" s="48">
        <f>IF($B333=1,N(INDEX(Employees!$T$5:$T$29,$A333)),V332)</f>
        <v/>
      </c>
      <c r="T333" s="48">
        <f>IF(INDEX(Employees!$S$5:$S$29,$A333)="",Q333,MAX(0,MIN(Q333,INDEX(Employees!$S$5:$S$29,$A333)-(S333-R333))))</f>
        <v/>
      </c>
      <c r="U333" s="48">
        <f>Q333-T333</f>
        <v/>
      </c>
      <c r="V333" s="48">
        <f>S333-R333+T333</f>
        <v/>
      </c>
    </row>
    <row r="334">
      <c r="A334" s="47" t="n">
        <v>7</v>
      </c>
      <c r="B334" s="47" t="n">
        <v>12</v>
      </c>
      <c r="C334" s="48">
        <f>INDEX(Employees!$B$5:$B$29,$A334)&amp;""</f>
        <v/>
      </c>
      <c r="D334" s="49">
        <f>INDEX(Periods!$B$5:$B$57,$B334)</f>
        <v/>
      </c>
      <c r="E334" s="49">
        <f>INDEX(Periods!$C$5:$C$57,$B334)</f>
        <v/>
      </c>
      <c r="F334" s="47">
        <f>IF(AND($C334&lt;&gt;"",INDEX(Periods!$D$5:$D$57,$B334)=1),1,0)</f>
        <v/>
      </c>
      <c r="G334" s="47">
        <f>IF($F334=0,0,IF(AND(OR(INDEX(Employees!$D$5:$D$29,$A334)="",$E334&gt;=INDEX(Employees!$D$5:$D$29,$A334)+N(INDEX(Employees!$U$5:$U$29,$A334))),OR(INDEX(Employees!$E$5:$E$29,$A334)="",$D334&lt;=INDEX(Employees!$E$5:$E$29,$A334))),1,0))</f>
        <v/>
      </c>
      <c r="H334" s="47">
        <f>IF($G334=0,0,IF(INDEX(Employees!$D$5:$D$29,$A334)="",0,DATEDIF(INDEX(Employees!$D$5:$D$29,$A334),$E334,"y")))</f>
        <v/>
      </c>
      <c r="I334" s="48">
        <f>IF($G334=0,0,IF(INDEX('Hours Worked'!$D$5:$BD$29,$A334,$B334)="",N(INDEX(Employees!$H$5:$H$29,$A334)),INDEX('Hours Worked'!$D$5:$BD$29,$A334,$B334)))</f>
        <v/>
      </c>
      <c r="J334" s="48">
        <f>IF(OR($G334=0,INDEX(Employees!$O$5:$O$29,$A334)&lt;&gt;"Yes"),0,IF(COUNTIF(Settings!$D$4:$D$9,"&lt;="&amp;$H334)=0,0,INDEX(Settings!$E$4:$E$9,COUNTIF(Settings!$D$4:$D$9,"&lt;="&amp;$H334))))</f>
        <v/>
      </c>
      <c r="K334" s="48">
        <f>IF($G334=0,0,IF(INDEX(Employees!$I$5:$I$29,$A334)="Per pay period",(N(INDEX(Employees!$J$5:$J$29,$A334))+$J334)/Settings!$B$13,IF(INDEX(Employees!$I$5:$I$29,$A334)="Per hour worked",N(INDEX(Employees!$K$5:$K$29,$A334))*$I334,IF(INDEX(Employees!$I$5:$I$29,$A334)="Front-loaded",IF(OR($B334=1,N($G333)=0),N(INDEX(Employees!$J$5:$J$29,$A334))+$J334,0),0))))</f>
        <v/>
      </c>
      <c r="L334" s="48">
        <f>IF($F334=0,0,SUMIFS('Time Off Log'!$H$5:$H$504,'Time Off Log'!$A$5:$A$504,$C334,'Time Off Log'!$B$5:$B$504,"PTO",'Time Off Log'!$E$5:$E$504,"Approved",'Time Off Log'!$C$5:$C$504,"&gt;="&amp;INDEX(Periods!$E$5:$E$57,$B334),'Time Off Log'!$C$5:$C$504,"&lt;="&amp;INDEX(Periods!$F$5:$F$57,$B334)))</f>
        <v/>
      </c>
      <c r="M334" s="48">
        <f>IF($B334=1,N(INDEX(Employees!$N$5:$N$29,$A334)),P333)</f>
        <v/>
      </c>
      <c r="N334" s="48">
        <f>IF(INDEX(Employees!$L$5:$L$29,$A334)="",K334,MAX(0,MIN(K334,INDEX(Employees!$L$5:$L$29,$A334)-(M334-L334))))</f>
        <v/>
      </c>
      <c r="O334" s="48">
        <f>K334-N334</f>
        <v/>
      </c>
      <c r="P334" s="48">
        <f>M334-L334+N334</f>
        <v/>
      </c>
      <c r="Q334" s="48">
        <f>IF($G334=0,0,IF(INDEX(Employees!$P$5:$P$29,$A334)="Per pay period",(N(INDEX(Employees!$Q$5:$Q$29,$A334)))/Settings!$B$13,IF(INDEX(Employees!$P$5:$P$29,$A334)="Per hour worked",N(INDEX(Employees!$R$5:$R$29,$A334))*$I334,IF(INDEX(Employees!$P$5:$P$29,$A334)="Front-loaded",IF(OR($B334=1,N($G333)=0),N(INDEX(Employees!$Q$5:$Q$29,$A334)),0),0))))</f>
        <v/>
      </c>
      <c r="R334" s="48">
        <f>IF($F334=0,0,SUMIFS('Time Off Log'!$H$5:$H$504,'Time Off Log'!$A$5:$A$504,$C334,'Time Off Log'!$B$5:$B$504,"Sick",'Time Off Log'!$E$5:$E$504,"Approved",'Time Off Log'!$C$5:$C$504,"&gt;="&amp;INDEX(Periods!$E$5:$E$57,$B334),'Time Off Log'!$C$5:$C$504,"&lt;="&amp;INDEX(Periods!$F$5:$F$57,$B334)))</f>
        <v/>
      </c>
      <c r="S334" s="48">
        <f>IF($B334=1,N(INDEX(Employees!$T$5:$T$29,$A334)),V333)</f>
        <v/>
      </c>
      <c r="T334" s="48">
        <f>IF(INDEX(Employees!$S$5:$S$29,$A334)="",Q334,MAX(0,MIN(Q334,INDEX(Employees!$S$5:$S$29,$A334)-(S334-R334))))</f>
        <v/>
      </c>
      <c r="U334" s="48">
        <f>Q334-T334</f>
        <v/>
      </c>
      <c r="V334" s="48">
        <f>S334-R334+T334</f>
        <v/>
      </c>
    </row>
    <row r="335">
      <c r="A335" s="47" t="n">
        <v>7</v>
      </c>
      <c r="B335" s="47" t="n">
        <v>13</v>
      </c>
      <c r="C335" s="48">
        <f>INDEX(Employees!$B$5:$B$29,$A335)&amp;""</f>
        <v/>
      </c>
      <c r="D335" s="49">
        <f>INDEX(Periods!$B$5:$B$57,$B335)</f>
        <v/>
      </c>
      <c r="E335" s="49">
        <f>INDEX(Periods!$C$5:$C$57,$B335)</f>
        <v/>
      </c>
      <c r="F335" s="47">
        <f>IF(AND($C335&lt;&gt;"",INDEX(Periods!$D$5:$D$57,$B335)=1),1,0)</f>
        <v/>
      </c>
      <c r="G335" s="47">
        <f>IF($F335=0,0,IF(AND(OR(INDEX(Employees!$D$5:$D$29,$A335)="",$E335&gt;=INDEX(Employees!$D$5:$D$29,$A335)+N(INDEX(Employees!$U$5:$U$29,$A335))),OR(INDEX(Employees!$E$5:$E$29,$A335)="",$D335&lt;=INDEX(Employees!$E$5:$E$29,$A335))),1,0))</f>
        <v/>
      </c>
      <c r="H335" s="47">
        <f>IF($G335=0,0,IF(INDEX(Employees!$D$5:$D$29,$A335)="",0,DATEDIF(INDEX(Employees!$D$5:$D$29,$A335),$E335,"y")))</f>
        <v/>
      </c>
      <c r="I335" s="48">
        <f>IF($G335=0,0,IF(INDEX('Hours Worked'!$D$5:$BD$29,$A335,$B335)="",N(INDEX(Employees!$H$5:$H$29,$A335)),INDEX('Hours Worked'!$D$5:$BD$29,$A335,$B335)))</f>
        <v/>
      </c>
      <c r="J335" s="48">
        <f>IF(OR($G335=0,INDEX(Employees!$O$5:$O$29,$A335)&lt;&gt;"Yes"),0,IF(COUNTIF(Settings!$D$4:$D$9,"&lt;="&amp;$H335)=0,0,INDEX(Settings!$E$4:$E$9,COUNTIF(Settings!$D$4:$D$9,"&lt;="&amp;$H335))))</f>
        <v/>
      </c>
      <c r="K335" s="48">
        <f>IF($G335=0,0,IF(INDEX(Employees!$I$5:$I$29,$A335)="Per pay period",(N(INDEX(Employees!$J$5:$J$29,$A335))+$J335)/Settings!$B$13,IF(INDEX(Employees!$I$5:$I$29,$A335)="Per hour worked",N(INDEX(Employees!$K$5:$K$29,$A335))*$I335,IF(INDEX(Employees!$I$5:$I$29,$A335)="Front-loaded",IF(OR($B335=1,N($G334)=0),N(INDEX(Employees!$J$5:$J$29,$A335))+$J335,0),0))))</f>
        <v/>
      </c>
      <c r="L335" s="48">
        <f>IF($F335=0,0,SUMIFS('Time Off Log'!$H$5:$H$504,'Time Off Log'!$A$5:$A$504,$C335,'Time Off Log'!$B$5:$B$504,"PTO",'Time Off Log'!$E$5:$E$504,"Approved",'Time Off Log'!$C$5:$C$504,"&gt;="&amp;INDEX(Periods!$E$5:$E$57,$B335),'Time Off Log'!$C$5:$C$504,"&lt;="&amp;INDEX(Periods!$F$5:$F$57,$B335)))</f>
        <v/>
      </c>
      <c r="M335" s="48">
        <f>IF($B335=1,N(INDEX(Employees!$N$5:$N$29,$A335)),P334)</f>
        <v/>
      </c>
      <c r="N335" s="48">
        <f>IF(INDEX(Employees!$L$5:$L$29,$A335)="",K335,MAX(0,MIN(K335,INDEX(Employees!$L$5:$L$29,$A335)-(M335-L335))))</f>
        <v/>
      </c>
      <c r="O335" s="48">
        <f>K335-N335</f>
        <v/>
      </c>
      <c r="P335" s="48">
        <f>M335-L335+N335</f>
        <v/>
      </c>
      <c r="Q335" s="48">
        <f>IF($G335=0,0,IF(INDEX(Employees!$P$5:$P$29,$A335)="Per pay period",(N(INDEX(Employees!$Q$5:$Q$29,$A335)))/Settings!$B$13,IF(INDEX(Employees!$P$5:$P$29,$A335)="Per hour worked",N(INDEX(Employees!$R$5:$R$29,$A335))*$I335,IF(INDEX(Employees!$P$5:$P$29,$A335)="Front-loaded",IF(OR($B335=1,N($G334)=0),N(INDEX(Employees!$Q$5:$Q$29,$A335)),0),0))))</f>
        <v/>
      </c>
      <c r="R335" s="48">
        <f>IF($F335=0,0,SUMIFS('Time Off Log'!$H$5:$H$504,'Time Off Log'!$A$5:$A$504,$C335,'Time Off Log'!$B$5:$B$504,"Sick",'Time Off Log'!$E$5:$E$504,"Approved",'Time Off Log'!$C$5:$C$504,"&gt;="&amp;INDEX(Periods!$E$5:$E$57,$B335),'Time Off Log'!$C$5:$C$504,"&lt;="&amp;INDEX(Periods!$F$5:$F$57,$B335)))</f>
        <v/>
      </c>
      <c r="S335" s="48">
        <f>IF($B335=1,N(INDEX(Employees!$T$5:$T$29,$A335)),V334)</f>
        <v/>
      </c>
      <c r="T335" s="48">
        <f>IF(INDEX(Employees!$S$5:$S$29,$A335)="",Q335,MAX(0,MIN(Q335,INDEX(Employees!$S$5:$S$29,$A335)-(S335-R335))))</f>
        <v/>
      </c>
      <c r="U335" s="48">
        <f>Q335-T335</f>
        <v/>
      </c>
      <c r="V335" s="48">
        <f>S335-R335+T335</f>
        <v/>
      </c>
    </row>
    <row r="336">
      <c r="A336" s="47" t="n">
        <v>7</v>
      </c>
      <c r="B336" s="47" t="n">
        <v>14</v>
      </c>
      <c r="C336" s="48">
        <f>INDEX(Employees!$B$5:$B$29,$A336)&amp;""</f>
        <v/>
      </c>
      <c r="D336" s="49">
        <f>INDEX(Periods!$B$5:$B$57,$B336)</f>
        <v/>
      </c>
      <c r="E336" s="49">
        <f>INDEX(Periods!$C$5:$C$57,$B336)</f>
        <v/>
      </c>
      <c r="F336" s="47">
        <f>IF(AND($C336&lt;&gt;"",INDEX(Periods!$D$5:$D$57,$B336)=1),1,0)</f>
        <v/>
      </c>
      <c r="G336" s="47">
        <f>IF($F336=0,0,IF(AND(OR(INDEX(Employees!$D$5:$D$29,$A336)="",$E336&gt;=INDEX(Employees!$D$5:$D$29,$A336)+N(INDEX(Employees!$U$5:$U$29,$A336))),OR(INDEX(Employees!$E$5:$E$29,$A336)="",$D336&lt;=INDEX(Employees!$E$5:$E$29,$A336))),1,0))</f>
        <v/>
      </c>
      <c r="H336" s="47">
        <f>IF($G336=0,0,IF(INDEX(Employees!$D$5:$D$29,$A336)="",0,DATEDIF(INDEX(Employees!$D$5:$D$29,$A336),$E336,"y")))</f>
        <v/>
      </c>
      <c r="I336" s="48">
        <f>IF($G336=0,0,IF(INDEX('Hours Worked'!$D$5:$BD$29,$A336,$B336)="",N(INDEX(Employees!$H$5:$H$29,$A336)),INDEX('Hours Worked'!$D$5:$BD$29,$A336,$B336)))</f>
        <v/>
      </c>
      <c r="J336" s="48">
        <f>IF(OR($G336=0,INDEX(Employees!$O$5:$O$29,$A336)&lt;&gt;"Yes"),0,IF(COUNTIF(Settings!$D$4:$D$9,"&lt;="&amp;$H336)=0,0,INDEX(Settings!$E$4:$E$9,COUNTIF(Settings!$D$4:$D$9,"&lt;="&amp;$H336))))</f>
        <v/>
      </c>
      <c r="K336" s="48">
        <f>IF($G336=0,0,IF(INDEX(Employees!$I$5:$I$29,$A336)="Per pay period",(N(INDEX(Employees!$J$5:$J$29,$A336))+$J336)/Settings!$B$13,IF(INDEX(Employees!$I$5:$I$29,$A336)="Per hour worked",N(INDEX(Employees!$K$5:$K$29,$A336))*$I336,IF(INDEX(Employees!$I$5:$I$29,$A336)="Front-loaded",IF(OR($B336=1,N($G335)=0),N(INDEX(Employees!$J$5:$J$29,$A336))+$J336,0),0))))</f>
        <v/>
      </c>
      <c r="L336" s="48">
        <f>IF($F336=0,0,SUMIFS('Time Off Log'!$H$5:$H$504,'Time Off Log'!$A$5:$A$504,$C336,'Time Off Log'!$B$5:$B$504,"PTO",'Time Off Log'!$E$5:$E$504,"Approved",'Time Off Log'!$C$5:$C$504,"&gt;="&amp;INDEX(Periods!$E$5:$E$57,$B336),'Time Off Log'!$C$5:$C$504,"&lt;="&amp;INDEX(Periods!$F$5:$F$57,$B336)))</f>
        <v/>
      </c>
      <c r="M336" s="48">
        <f>IF($B336=1,N(INDEX(Employees!$N$5:$N$29,$A336)),P335)</f>
        <v/>
      </c>
      <c r="N336" s="48">
        <f>IF(INDEX(Employees!$L$5:$L$29,$A336)="",K336,MAX(0,MIN(K336,INDEX(Employees!$L$5:$L$29,$A336)-(M336-L336))))</f>
        <v/>
      </c>
      <c r="O336" s="48">
        <f>K336-N336</f>
        <v/>
      </c>
      <c r="P336" s="48">
        <f>M336-L336+N336</f>
        <v/>
      </c>
      <c r="Q336" s="48">
        <f>IF($G336=0,0,IF(INDEX(Employees!$P$5:$P$29,$A336)="Per pay period",(N(INDEX(Employees!$Q$5:$Q$29,$A336)))/Settings!$B$13,IF(INDEX(Employees!$P$5:$P$29,$A336)="Per hour worked",N(INDEX(Employees!$R$5:$R$29,$A336))*$I336,IF(INDEX(Employees!$P$5:$P$29,$A336)="Front-loaded",IF(OR($B336=1,N($G335)=0),N(INDEX(Employees!$Q$5:$Q$29,$A336)),0),0))))</f>
        <v/>
      </c>
      <c r="R336" s="48">
        <f>IF($F336=0,0,SUMIFS('Time Off Log'!$H$5:$H$504,'Time Off Log'!$A$5:$A$504,$C336,'Time Off Log'!$B$5:$B$504,"Sick",'Time Off Log'!$E$5:$E$504,"Approved",'Time Off Log'!$C$5:$C$504,"&gt;="&amp;INDEX(Periods!$E$5:$E$57,$B336),'Time Off Log'!$C$5:$C$504,"&lt;="&amp;INDEX(Periods!$F$5:$F$57,$B336)))</f>
        <v/>
      </c>
      <c r="S336" s="48">
        <f>IF($B336=1,N(INDEX(Employees!$T$5:$T$29,$A336)),V335)</f>
        <v/>
      </c>
      <c r="T336" s="48">
        <f>IF(INDEX(Employees!$S$5:$S$29,$A336)="",Q336,MAX(0,MIN(Q336,INDEX(Employees!$S$5:$S$29,$A336)-(S336-R336))))</f>
        <v/>
      </c>
      <c r="U336" s="48">
        <f>Q336-T336</f>
        <v/>
      </c>
      <c r="V336" s="48">
        <f>S336-R336+T336</f>
        <v/>
      </c>
    </row>
    <row r="337">
      <c r="A337" s="47" t="n">
        <v>7</v>
      </c>
      <c r="B337" s="47" t="n">
        <v>15</v>
      </c>
      <c r="C337" s="48">
        <f>INDEX(Employees!$B$5:$B$29,$A337)&amp;""</f>
        <v/>
      </c>
      <c r="D337" s="49">
        <f>INDEX(Periods!$B$5:$B$57,$B337)</f>
        <v/>
      </c>
      <c r="E337" s="49">
        <f>INDEX(Periods!$C$5:$C$57,$B337)</f>
        <v/>
      </c>
      <c r="F337" s="47">
        <f>IF(AND($C337&lt;&gt;"",INDEX(Periods!$D$5:$D$57,$B337)=1),1,0)</f>
        <v/>
      </c>
      <c r="G337" s="47">
        <f>IF($F337=0,0,IF(AND(OR(INDEX(Employees!$D$5:$D$29,$A337)="",$E337&gt;=INDEX(Employees!$D$5:$D$29,$A337)+N(INDEX(Employees!$U$5:$U$29,$A337))),OR(INDEX(Employees!$E$5:$E$29,$A337)="",$D337&lt;=INDEX(Employees!$E$5:$E$29,$A337))),1,0))</f>
        <v/>
      </c>
      <c r="H337" s="47">
        <f>IF($G337=0,0,IF(INDEX(Employees!$D$5:$D$29,$A337)="",0,DATEDIF(INDEX(Employees!$D$5:$D$29,$A337),$E337,"y")))</f>
        <v/>
      </c>
      <c r="I337" s="48">
        <f>IF($G337=0,0,IF(INDEX('Hours Worked'!$D$5:$BD$29,$A337,$B337)="",N(INDEX(Employees!$H$5:$H$29,$A337)),INDEX('Hours Worked'!$D$5:$BD$29,$A337,$B337)))</f>
        <v/>
      </c>
      <c r="J337" s="48">
        <f>IF(OR($G337=0,INDEX(Employees!$O$5:$O$29,$A337)&lt;&gt;"Yes"),0,IF(COUNTIF(Settings!$D$4:$D$9,"&lt;="&amp;$H337)=0,0,INDEX(Settings!$E$4:$E$9,COUNTIF(Settings!$D$4:$D$9,"&lt;="&amp;$H337))))</f>
        <v/>
      </c>
      <c r="K337" s="48">
        <f>IF($G337=0,0,IF(INDEX(Employees!$I$5:$I$29,$A337)="Per pay period",(N(INDEX(Employees!$J$5:$J$29,$A337))+$J337)/Settings!$B$13,IF(INDEX(Employees!$I$5:$I$29,$A337)="Per hour worked",N(INDEX(Employees!$K$5:$K$29,$A337))*$I337,IF(INDEX(Employees!$I$5:$I$29,$A337)="Front-loaded",IF(OR($B337=1,N($G336)=0),N(INDEX(Employees!$J$5:$J$29,$A337))+$J337,0),0))))</f>
        <v/>
      </c>
      <c r="L337" s="48">
        <f>IF($F337=0,0,SUMIFS('Time Off Log'!$H$5:$H$504,'Time Off Log'!$A$5:$A$504,$C337,'Time Off Log'!$B$5:$B$504,"PTO",'Time Off Log'!$E$5:$E$504,"Approved",'Time Off Log'!$C$5:$C$504,"&gt;="&amp;INDEX(Periods!$E$5:$E$57,$B337),'Time Off Log'!$C$5:$C$504,"&lt;="&amp;INDEX(Periods!$F$5:$F$57,$B337)))</f>
        <v/>
      </c>
      <c r="M337" s="48">
        <f>IF($B337=1,N(INDEX(Employees!$N$5:$N$29,$A337)),P336)</f>
        <v/>
      </c>
      <c r="N337" s="48">
        <f>IF(INDEX(Employees!$L$5:$L$29,$A337)="",K337,MAX(0,MIN(K337,INDEX(Employees!$L$5:$L$29,$A337)-(M337-L337))))</f>
        <v/>
      </c>
      <c r="O337" s="48">
        <f>K337-N337</f>
        <v/>
      </c>
      <c r="P337" s="48">
        <f>M337-L337+N337</f>
        <v/>
      </c>
      <c r="Q337" s="48">
        <f>IF($G337=0,0,IF(INDEX(Employees!$P$5:$P$29,$A337)="Per pay period",(N(INDEX(Employees!$Q$5:$Q$29,$A337)))/Settings!$B$13,IF(INDEX(Employees!$P$5:$P$29,$A337)="Per hour worked",N(INDEX(Employees!$R$5:$R$29,$A337))*$I337,IF(INDEX(Employees!$P$5:$P$29,$A337)="Front-loaded",IF(OR($B337=1,N($G336)=0),N(INDEX(Employees!$Q$5:$Q$29,$A337)),0),0))))</f>
        <v/>
      </c>
      <c r="R337" s="48">
        <f>IF($F337=0,0,SUMIFS('Time Off Log'!$H$5:$H$504,'Time Off Log'!$A$5:$A$504,$C337,'Time Off Log'!$B$5:$B$504,"Sick",'Time Off Log'!$E$5:$E$504,"Approved",'Time Off Log'!$C$5:$C$504,"&gt;="&amp;INDEX(Periods!$E$5:$E$57,$B337),'Time Off Log'!$C$5:$C$504,"&lt;="&amp;INDEX(Periods!$F$5:$F$57,$B337)))</f>
        <v/>
      </c>
      <c r="S337" s="48">
        <f>IF($B337=1,N(INDEX(Employees!$T$5:$T$29,$A337)),V336)</f>
        <v/>
      </c>
      <c r="T337" s="48">
        <f>IF(INDEX(Employees!$S$5:$S$29,$A337)="",Q337,MAX(0,MIN(Q337,INDEX(Employees!$S$5:$S$29,$A337)-(S337-R337))))</f>
        <v/>
      </c>
      <c r="U337" s="48">
        <f>Q337-T337</f>
        <v/>
      </c>
      <c r="V337" s="48">
        <f>S337-R337+T337</f>
        <v/>
      </c>
    </row>
    <row r="338">
      <c r="A338" s="47" t="n">
        <v>7</v>
      </c>
      <c r="B338" s="47" t="n">
        <v>16</v>
      </c>
      <c r="C338" s="48">
        <f>INDEX(Employees!$B$5:$B$29,$A338)&amp;""</f>
        <v/>
      </c>
      <c r="D338" s="49">
        <f>INDEX(Periods!$B$5:$B$57,$B338)</f>
        <v/>
      </c>
      <c r="E338" s="49">
        <f>INDEX(Periods!$C$5:$C$57,$B338)</f>
        <v/>
      </c>
      <c r="F338" s="47">
        <f>IF(AND($C338&lt;&gt;"",INDEX(Periods!$D$5:$D$57,$B338)=1),1,0)</f>
        <v/>
      </c>
      <c r="G338" s="47">
        <f>IF($F338=0,0,IF(AND(OR(INDEX(Employees!$D$5:$D$29,$A338)="",$E338&gt;=INDEX(Employees!$D$5:$D$29,$A338)+N(INDEX(Employees!$U$5:$U$29,$A338))),OR(INDEX(Employees!$E$5:$E$29,$A338)="",$D338&lt;=INDEX(Employees!$E$5:$E$29,$A338))),1,0))</f>
        <v/>
      </c>
      <c r="H338" s="47">
        <f>IF($G338=0,0,IF(INDEX(Employees!$D$5:$D$29,$A338)="",0,DATEDIF(INDEX(Employees!$D$5:$D$29,$A338),$E338,"y")))</f>
        <v/>
      </c>
      <c r="I338" s="48">
        <f>IF($G338=0,0,IF(INDEX('Hours Worked'!$D$5:$BD$29,$A338,$B338)="",N(INDEX(Employees!$H$5:$H$29,$A338)),INDEX('Hours Worked'!$D$5:$BD$29,$A338,$B338)))</f>
        <v/>
      </c>
      <c r="J338" s="48">
        <f>IF(OR($G338=0,INDEX(Employees!$O$5:$O$29,$A338)&lt;&gt;"Yes"),0,IF(COUNTIF(Settings!$D$4:$D$9,"&lt;="&amp;$H338)=0,0,INDEX(Settings!$E$4:$E$9,COUNTIF(Settings!$D$4:$D$9,"&lt;="&amp;$H338))))</f>
        <v/>
      </c>
      <c r="K338" s="48">
        <f>IF($G338=0,0,IF(INDEX(Employees!$I$5:$I$29,$A338)="Per pay period",(N(INDEX(Employees!$J$5:$J$29,$A338))+$J338)/Settings!$B$13,IF(INDEX(Employees!$I$5:$I$29,$A338)="Per hour worked",N(INDEX(Employees!$K$5:$K$29,$A338))*$I338,IF(INDEX(Employees!$I$5:$I$29,$A338)="Front-loaded",IF(OR($B338=1,N($G337)=0),N(INDEX(Employees!$J$5:$J$29,$A338))+$J338,0),0))))</f>
        <v/>
      </c>
      <c r="L338" s="48">
        <f>IF($F338=0,0,SUMIFS('Time Off Log'!$H$5:$H$504,'Time Off Log'!$A$5:$A$504,$C338,'Time Off Log'!$B$5:$B$504,"PTO",'Time Off Log'!$E$5:$E$504,"Approved",'Time Off Log'!$C$5:$C$504,"&gt;="&amp;INDEX(Periods!$E$5:$E$57,$B338),'Time Off Log'!$C$5:$C$504,"&lt;="&amp;INDEX(Periods!$F$5:$F$57,$B338)))</f>
        <v/>
      </c>
      <c r="M338" s="48">
        <f>IF($B338=1,N(INDEX(Employees!$N$5:$N$29,$A338)),P337)</f>
        <v/>
      </c>
      <c r="N338" s="48">
        <f>IF(INDEX(Employees!$L$5:$L$29,$A338)="",K338,MAX(0,MIN(K338,INDEX(Employees!$L$5:$L$29,$A338)-(M338-L338))))</f>
        <v/>
      </c>
      <c r="O338" s="48">
        <f>K338-N338</f>
        <v/>
      </c>
      <c r="P338" s="48">
        <f>M338-L338+N338</f>
        <v/>
      </c>
      <c r="Q338" s="48">
        <f>IF($G338=0,0,IF(INDEX(Employees!$P$5:$P$29,$A338)="Per pay period",(N(INDEX(Employees!$Q$5:$Q$29,$A338)))/Settings!$B$13,IF(INDEX(Employees!$P$5:$P$29,$A338)="Per hour worked",N(INDEX(Employees!$R$5:$R$29,$A338))*$I338,IF(INDEX(Employees!$P$5:$P$29,$A338)="Front-loaded",IF(OR($B338=1,N($G337)=0),N(INDEX(Employees!$Q$5:$Q$29,$A338)),0),0))))</f>
        <v/>
      </c>
      <c r="R338" s="48">
        <f>IF($F338=0,0,SUMIFS('Time Off Log'!$H$5:$H$504,'Time Off Log'!$A$5:$A$504,$C338,'Time Off Log'!$B$5:$B$504,"Sick",'Time Off Log'!$E$5:$E$504,"Approved",'Time Off Log'!$C$5:$C$504,"&gt;="&amp;INDEX(Periods!$E$5:$E$57,$B338),'Time Off Log'!$C$5:$C$504,"&lt;="&amp;INDEX(Periods!$F$5:$F$57,$B338)))</f>
        <v/>
      </c>
      <c r="S338" s="48">
        <f>IF($B338=1,N(INDEX(Employees!$T$5:$T$29,$A338)),V337)</f>
        <v/>
      </c>
      <c r="T338" s="48">
        <f>IF(INDEX(Employees!$S$5:$S$29,$A338)="",Q338,MAX(0,MIN(Q338,INDEX(Employees!$S$5:$S$29,$A338)-(S338-R338))))</f>
        <v/>
      </c>
      <c r="U338" s="48">
        <f>Q338-T338</f>
        <v/>
      </c>
      <c r="V338" s="48">
        <f>S338-R338+T338</f>
        <v/>
      </c>
    </row>
    <row r="339">
      <c r="A339" s="47" t="n">
        <v>7</v>
      </c>
      <c r="B339" s="47" t="n">
        <v>17</v>
      </c>
      <c r="C339" s="48">
        <f>INDEX(Employees!$B$5:$B$29,$A339)&amp;""</f>
        <v/>
      </c>
      <c r="D339" s="49">
        <f>INDEX(Periods!$B$5:$B$57,$B339)</f>
        <v/>
      </c>
      <c r="E339" s="49">
        <f>INDEX(Periods!$C$5:$C$57,$B339)</f>
        <v/>
      </c>
      <c r="F339" s="47">
        <f>IF(AND($C339&lt;&gt;"",INDEX(Periods!$D$5:$D$57,$B339)=1),1,0)</f>
        <v/>
      </c>
      <c r="G339" s="47">
        <f>IF($F339=0,0,IF(AND(OR(INDEX(Employees!$D$5:$D$29,$A339)="",$E339&gt;=INDEX(Employees!$D$5:$D$29,$A339)+N(INDEX(Employees!$U$5:$U$29,$A339))),OR(INDEX(Employees!$E$5:$E$29,$A339)="",$D339&lt;=INDEX(Employees!$E$5:$E$29,$A339))),1,0))</f>
        <v/>
      </c>
      <c r="H339" s="47">
        <f>IF($G339=0,0,IF(INDEX(Employees!$D$5:$D$29,$A339)="",0,DATEDIF(INDEX(Employees!$D$5:$D$29,$A339),$E339,"y")))</f>
        <v/>
      </c>
      <c r="I339" s="48">
        <f>IF($G339=0,0,IF(INDEX('Hours Worked'!$D$5:$BD$29,$A339,$B339)="",N(INDEX(Employees!$H$5:$H$29,$A339)),INDEX('Hours Worked'!$D$5:$BD$29,$A339,$B339)))</f>
        <v/>
      </c>
      <c r="J339" s="48">
        <f>IF(OR($G339=0,INDEX(Employees!$O$5:$O$29,$A339)&lt;&gt;"Yes"),0,IF(COUNTIF(Settings!$D$4:$D$9,"&lt;="&amp;$H339)=0,0,INDEX(Settings!$E$4:$E$9,COUNTIF(Settings!$D$4:$D$9,"&lt;="&amp;$H339))))</f>
        <v/>
      </c>
      <c r="K339" s="48">
        <f>IF($G339=0,0,IF(INDEX(Employees!$I$5:$I$29,$A339)="Per pay period",(N(INDEX(Employees!$J$5:$J$29,$A339))+$J339)/Settings!$B$13,IF(INDEX(Employees!$I$5:$I$29,$A339)="Per hour worked",N(INDEX(Employees!$K$5:$K$29,$A339))*$I339,IF(INDEX(Employees!$I$5:$I$29,$A339)="Front-loaded",IF(OR($B339=1,N($G338)=0),N(INDEX(Employees!$J$5:$J$29,$A339))+$J339,0),0))))</f>
        <v/>
      </c>
      <c r="L339" s="48">
        <f>IF($F339=0,0,SUMIFS('Time Off Log'!$H$5:$H$504,'Time Off Log'!$A$5:$A$504,$C339,'Time Off Log'!$B$5:$B$504,"PTO",'Time Off Log'!$E$5:$E$504,"Approved",'Time Off Log'!$C$5:$C$504,"&gt;="&amp;INDEX(Periods!$E$5:$E$57,$B339),'Time Off Log'!$C$5:$C$504,"&lt;="&amp;INDEX(Periods!$F$5:$F$57,$B339)))</f>
        <v/>
      </c>
      <c r="M339" s="48">
        <f>IF($B339=1,N(INDEX(Employees!$N$5:$N$29,$A339)),P338)</f>
        <v/>
      </c>
      <c r="N339" s="48">
        <f>IF(INDEX(Employees!$L$5:$L$29,$A339)="",K339,MAX(0,MIN(K339,INDEX(Employees!$L$5:$L$29,$A339)-(M339-L339))))</f>
        <v/>
      </c>
      <c r="O339" s="48">
        <f>K339-N339</f>
        <v/>
      </c>
      <c r="P339" s="48">
        <f>M339-L339+N339</f>
        <v/>
      </c>
      <c r="Q339" s="48">
        <f>IF($G339=0,0,IF(INDEX(Employees!$P$5:$P$29,$A339)="Per pay period",(N(INDEX(Employees!$Q$5:$Q$29,$A339)))/Settings!$B$13,IF(INDEX(Employees!$P$5:$P$29,$A339)="Per hour worked",N(INDEX(Employees!$R$5:$R$29,$A339))*$I339,IF(INDEX(Employees!$P$5:$P$29,$A339)="Front-loaded",IF(OR($B339=1,N($G338)=0),N(INDEX(Employees!$Q$5:$Q$29,$A339)),0),0))))</f>
        <v/>
      </c>
      <c r="R339" s="48">
        <f>IF($F339=0,0,SUMIFS('Time Off Log'!$H$5:$H$504,'Time Off Log'!$A$5:$A$504,$C339,'Time Off Log'!$B$5:$B$504,"Sick",'Time Off Log'!$E$5:$E$504,"Approved",'Time Off Log'!$C$5:$C$504,"&gt;="&amp;INDEX(Periods!$E$5:$E$57,$B339),'Time Off Log'!$C$5:$C$504,"&lt;="&amp;INDEX(Periods!$F$5:$F$57,$B339)))</f>
        <v/>
      </c>
      <c r="S339" s="48">
        <f>IF($B339=1,N(INDEX(Employees!$T$5:$T$29,$A339)),V338)</f>
        <v/>
      </c>
      <c r="T339" s="48">
        <f>IF(INDEX(Employees!$S$5:$S$29,$A339)="",Q339,MAX(0,MIN(Q339,INDEX(Employees!$S$5:$S$29,$A339)-(S339-R339))))</f>
        <v/>
      </c>
      <c r="U339" s="48">
        <f>Q339-T339</f>
        <v/>
      </c>
      <c r="V339" s="48">
        <f>S339-R339+T339</f>
        <v/>
      </c>
    </row>
    <row r="340">
      <c r="A340" s="47" t="n">
        <v>7</v>
      </c>
      <c r="B340" s="47" t="n">
        <v>18</v>
      </c>
      <c r="C340" s="48">
        <f>INDEX(Employees!$B$5:$B$29,$A340)&amp;""</f>
        <v/>
      </c>
      <c r="D340" s="49">
        <f>INDEX(Periods!$B$5:$B$57,$B340)</f>
        <v/>
      </c>
      <c r="E340" s="49">
        <f>INDEX(Periods!$C$5:$C$57,$B340)</f>
        <v/>
      </c>
      <c r="F340" s="47">
        <f>IF(AND($C340&lt;&gt;"",INDEX(Periods!$D$5:$D$57,$B340)=1),1,0)</f>
        <v/>
      </c>
      <c r="G340" s="47">
        <f>IF($F340=0,0,IF(AND(OR(INDEX(Employees!$D$5:$D$29,$A340)="",$E340&gt;=INDEX(Employees!$D$5:$D$29,$A340)+N(INDEX(Employees!$U$5:$U$29,$A340))),OR(INDEX(Employees!$E$5:$E$29,$A340)="",$D340&lt;=INDEX(Employees!$E$5:$E$29,$A340))),1,0))</f>
        <v/>
      </c>
      <c r="H340" s="47">
        <f>IF($G340=0,0,IF(INDEX(Employees!$D$5:$D$29,$A340)="",0,DATEDIF(INDEX(Employees!$D$5:$D$29,$A340),$E340,"y")))</f>
        <v/>
      </c>
      <c r="I340" s="48">
        <f>IF($G340=0,0,IF(INDEX('Hours Worked'!$D$5:$BD$29,$A340,$B340)="",N(INDEX(Employees!$H$5:$H$29,$A340)),INDEX('Hours Worked'!$D$5:$BD$29,$A340,$B340)))</f>
        <v/>
      </c>
      <c r="J340" s="48">
        <f>IF(OR($G340=0,INDEX(Employees!$O$5:$O$29,$A340)&lt;&gt;"Yes"),0,IF(COUNTIF(Settings!$D$4:$D$9,"&lt;="&amp;$H340)=0,0,INDEX(Settings!$E$4:$E$9,COUNTIF(Settings!$D$4:$D$9,"&lt;="&amp;$H340))))</f>
        <v/>
      </c>
      <c r="K340" s="48">
        <f>IF($G340=0,0,IF(INDEX(Employees!$I$5:$I$29,$A340)="Per pay period",(N(INDEX(Employees!$J$5:$J$29,$A340))+$J340)/Settings!$B$13,IF(INDEX(Employees!$I$5:$I$29,$A340)="Per hour worked",N(INDEX(Employees!$K$5:$K$29,$A340))*$I340,IF(INDEX(Employees!$I$5:$I$29,$A340)="Front-loaded",IF(OR($B340=1,N($G339)=0),N(INDEX(Employees!$J$5:$J$29,$A340))+$J340,0),0))))</f>
        <v/>
      </c>
      <c r="L340" s="48">
        <f>IF($F340=0,0,SUMIFS('Time Off Log'!$H$5:$H$504,'Time Off Log'!$A$5:$A$504,$C340,'Time Off Log'!$B$5:$B$504,"PTO",'Time Off Log'!$E$5:$E$504,"Approved",'Time Off Log'!$C$5:$C$504,"&gt;="&amp;INDEX(Periods!$E$5:$E$57,$B340),'Time Off Log'!$C$5:$C$504,"&lt;="&amp;INDEX(Periods!$F$5:$F$57,$B340)))</f>
        <v/>
      </c>
      <c r="M340" s="48">
        <f>IF($B340=1,N(INDEX(Employees!$N$5:$N$29,$A340)),P339)</f>
        <v/>
      </c>
      <c r="N340" s="48">
        <f>IF(INDEX(Employees!$L$5:$L$29,$A340)="",K340,MAX(0,MIN(K340,INDEX(Employees!$L$5:$L$29,$A340)-(M340-L340))))</f>
        <v/>
      </c>
      <c r="O340" s="48">
        <f>K340-N340</f>
        <v/>
      </c>
      <c r="P340" s="48">
        <f>M340-L340+N340</f>
        <v/>
      </c>
      <c r="Q340" s="48">
        <f>IF($G340=0,0,IF(INDEX(Employees!$P$5:$P$29,$A340)="Per pay period",(N(INDEX(Employees!$Q$5:$Q$29,$A340)))/Settings!$B$13,IF(INDEX(Employees!$P$5:$P$29,$A340)="Per hour worked",N(INDEX(Employees!$R$5:$R$29,$A340))*$I340,IF(INDEX(Employees!$P$5:$P$29,$A340)="Front-loaded",IF(OR($B340=1,N($G339)=0),N(INDEX(Employees!$Q$5:$Q$29,$A340)),0),0))))</f>
        <v/>
      </c>
      <c r="R340" s="48">
        <f>IF($F340=0,0,SUMIFS('Time Off Log'!$H$5:$H$504,'Time Off Log'!$A$5:$A$504,$C340,'Time Off Log'!$B$5:$B$504,"Sick",'Time Off Log'!$E$5:$E$504,"Approved",'Time Off Log'!$C$5:$C$504,"&gt;="&amp;INDEX(Periods!$E$5:$E$57,$B340),'Time Off Log'!$C$5:$C$504,"&lt;="&amp;INDEX(Periods!$F$5:$F$57,$B340)))</f>
        <v/>
      </c>
      <c r="S340" s="48">
        <f>IF($B340=1,N(INDEX(Employees!$T$5:$T$29,$A340)),V339)</f>
        <v/>
      </c>
      <c r="T340" s="48">
        <f>IF(INDEX(Employees!$S$5:$S$29,$A340)="",Q340,MAX(0,MIN(Q340,INDEX(Employees!$S$5:$S$29,$A340)-(S340-R340))))</f>
        <v/>
      </c>
      <c r="U340" s="48">
        <f>Q340-T340</f>
        <v/>
      </c>
      <c r="V340" s="48">
        <f>S340-R340+T340</f>
        <v/>
      </c>
    </row>
    <row r="341">
      <c r="A341" s="47" t="n">
        <v>7</v>
      </c>
      <c r="B341" s="47" t="n">
        <v>19</v>
      </c>
      <c r="C341" s="48">
        <f>INDEX(Employees!$B$5:$B$29,$A341)&amp;""</f>
        <v/>
      </c>
      <c r="D341" s="49">
        <f>INDEX(Periods!$B$5:$B$57,$B341)</f>
        <v/>
      </c>
      <c r="E341" s="49">
        <f>INDEX(Periods!$C$5:$C$57,$B341)</f>
        <v/>
      </c>
      <c r="F341" s="47">
        <f>IF(AND($C341&lt;&gt;"",INDEX(Periods!$D$5:$D$57,$B341)=1),1,0)</f>
        <v/>
      </c>
      <c r="G341" s="47">
        <f>IF($F341=0,0,IF(AND(OR(INDEX(Employees!$D$5:$D$29,$A341)="",$E341&gt;=INDEX(Employees!$D$5:$D$29,$A341)+N(INDEX(Employees!$U$5:$U$29,$A341))),OR(INDEX(Employees!$E$5:$E$29,$A341)="",$D341&lt;=INDEX(Employees!$E$5:$E$29,$A341))),1,0))</f>
        <v/>
      </c>
      <c r="H341" s="47">
        <f>IF($G341=0,0,IF(INDEX(Employees!$D$5:$D$29,$A341)="",0,DATEDIF(INDEX(Employees!$D$5:$D$29,$A341),$E341,"y")))</f>
        <v/>
      </c>
      <c r="I341" s="48">
        <f>IF($G341=0,0,IF(INDEX('Hours Worked'!$D$5:$BD$29,$A341,$B341)="",N(INDEX(Employees!$H$5:$H$29,$A341)),INDEX('Hours Worked'!$D$5:$BD$29,$A341,$B341)))</f>
        <v/>
      </c>
      <c r="J341" s="48">
        <f>IF(OR($G341=0,INDEX(Employees!$O$5:$O$29,$A341)&lt;&gt;"Yes"),0,IF(COUNTIF(Settings!$D$4:$D$9,"&lt;="&amp;$H341)=0,0,INDEX(Settings!$E$4:$E$9,COUNTIF(Settings!$D$4:$D$9,"&lt;="&amp;$H341))))</f>
        <v/>
      </c>
      <c r="K341" s="48">
        <f>IF($G341=0,0,IF(INDEX(Employees!$I$5:$I$29,$A341)="Per pay period",(N(INDEX(Employees!$J$5:$J$29,$A341))+$J341)/Settings!$B$13,IF(INDEX(Employees!$I$5:$I$29,$A341)="Per hour worked",N(INDEX(Employees!$K$5:$K$29,$A341))*$I341,IF(INDEX(Employees!$I$5:$I$29,$A341)="Front-loaded",IF(OR($B341=1,N($G340)=0),N(INDEX(Employees!$J$5:$J$29,$A341))+$J341,0),0))))</f>
        <v/>
      </c>
      <c r="L341" s="48">
        <f>IF($F341=0,0,SUMIFS('Time Off Log'!$H$5:$H$504,'Time Off Log'!$A$5:$A$504,$C341,'Time Off Log'!$B$5:$B$504,"PTO",'Time Off Log'!$E$5:$E$504,"Approved",'Time Off Log'!$C$5:$C$504,"&gt;="&amp;INDEX(Periods!$E$5:$E$57,$B341),'Time Off Log'!$C$5:$C$504,"&lt;="&amp;INDEX(Periods!$F$5:$F$57,$B341)))</f>
        <v/>
      </c>
      <c r="M341" s="48">
        <f>IF($B341=1,N(INDEX(Employees!$N$5:$N$29,$A341)),P340)</f>
        <v/>
      </c>
      <c r="N341" s="48">
        <f>IF(INDEX(Employees!$L$5:$L$29,$A341)="",K341,MAX(0,MIN(K341,INDEX(Employees!$L$5:$L$29,$A341)-(M341-L341))))</f>
        <v/>
      </c>
      <c r="O341" s="48">
        <f>K341-N341</f>
        <v/>
      </c>
      <c r="P341" s="48">
        <f>M341-L341+N341</f>
        <v/>
      </c>
      <c r="Q341" s="48">
        <f>IF($G341=0,0,IF(INDEX(Employees!$P$5:$P$29,$A341)="Per pay period",(N(INDEX(Employees!$Q$5:$Q$29,$A341)))/Settings!$B$13,IF(INDEX(Employees!$P$5:$P$29,$A341)="Per hour worked",N(INDEX(Employees!$R$5:$R$29,$A341))*$I341,IF(INDEX(Employees!$P$5:$P$29,$A341)="Front-loaded",IF(OR($B341=1,N($G340)=0),N(INDEX(Employees!$Q$5:$Q$29,$A341)),0),0))))</f>
        <v/>
      </c>
      <c r="R341" s="48">
        <f>IF($F341=0,0,SUMIFS('Time Off Log'!$H$5:$H$504,'Time Off Log'!$A$5:$A$504,$C341,'Time Off Log'!$B$5:$B$504,"Sick",'Time Off Log'!$E$5:$E$504,"Approved",'Time Off Log'!$C$5:$C$504,"&gt;="&amp;INDEX(Periods!$E$5:$E$57,$B341),'Time Off Log'!$C$5:$C$504,"&lt;="&amp;INDEX(Periods!$F$5:$F$57,$B341)))</f>
        <v/>
      </c>
      <c r="S341" s="48">
        <f>IF($B341=1,N(INDEX(Employees!$T$5:$T$29,$A341)),V340)</f>
        <v/>
      </c>
      <c r="T341" s="48">
        <f>IF(INDEX(Employees!$S$5:$S$29,$A341)="",Q341,MAX(0,MIN(Q341,INDEX(Employees!$S$5:$S$29,$A341)-(S341-R341))))</f>
        <v/>
      </c>
      <c r="U341" s="48">
        <f>Q341-T341</f>
        <v/>
      </c>
      <c r="V341" s="48">
        <f>S341-R341+T341</f>
        <v/>
      </c>
    </row>
    <row r="342">
      <c r="A342" s="47" t="n">
        <v>7</v>
      </c>
      <c r="B342" s="47" t="n">
        <v>20</v>
      </c>
      <c r="C342" s="48">
        <f>INDEX(Employees!$B$5:$B$29,$A342)&amp;""</f>
        <v/>
      </c>
      <c r="D342" s="49">
        <f>INDEX(Periods!$B$5:$B$57,$B342)</f>
        <v/>
      </c>
      <c r="E342" s="49">
        <f>INDEX(Periods!$C$5:$C$57,$B342)</f>
        <v/>
      </c>
      <c r="F342" s="47">
        <f>IF(AND($C342&lt;&gt;"",INDEX(Periods!$D$5:$D$57,$B342)=1),1,0)</f>
        <v/>
      </c>
      <c r="G342" s="47">
        <f>IF($F342=0,0,IF(AND(OR(INDEX(Employees!$D$5:$D$29,$A342)="",$E342&gt;=INDEX(Employees!$D$5:$D$29,$A342)+N(INDEX(Employees!$U$5:$U$29,$A342))),OR(INDEX(Employees!$E$5:$E$29,$A342)="",$D342&lt;=INDEX(Employees!$E$5:$E$29,$A342))),1,0))</f>
        <v/>
      </c>
      <c r="H342" s="47">
        <f>IF($G342=0,0,IF(INDEX(Employees!$D$5:$D$29,$A342)="",0,DATEDIF(INDEX(Employees!$D$5:$D$29,$A342),$E342,"y")))</f>
        <v/>
      </c>
      <c r="I342" s="48">
        <f>IF($G342=0,0,IF(INDEX('Hours Worked'!$D$5:$BD$29,$A342,$B342)="",N(INDEX(Employees!$H$5:$H$29,$A342)),INDEX('Hours Worked'!$D$5:$BD$29,$A342,$B342)))</f>
        <v/>
      </c>
      <c r="J342" s="48">
        <f>IF(OR($G342=0,INDEX(Employees!$O$5:$O$29,$A342)&lt;&gt;"Yes"),0,IF(COUNTIF(Settings!$D$4:$D$9,"&lt;="&amp;$H342)=0,0,INDEX(Settings!$E$4:$E$9,COUNTIF(Settings!$D$4:$D$9,"&lt;="&amp;$H342))))</f>
        <v/>
      </c>
      <c r="K342" s="48">
        <f>IF($G342=0,0,IF(INDEX(Employees!$I$5:$I$29,$A342)="Per pay period",(N(INDEX(Employees!$J$5:$J$29,$A342))+$J342)/Settings!$B$13,IF(INDEX(Employees!$I$5:$I$29,$A342)="Per hour worked",N(INDEX(Employees!$K$5:$K$29,$A342))*$I342,IF(INDEX(Employees!$I$5:$I$29,$A342)="Front-loaded",IF(OR($B342=1,N($G341)=0),N(INDEX(Employees!$J$5:$J$29,$A342))+$J342,0),0))))</f>
        <v/>
      </c>
      <c r="L342" s="48">
        <f>IF($F342=0,0,SUMIFS('Time Off Log'!$H$5:$H$504,'Time Off Log'!$A$5:$A$504,$C342,'Time Off Log'!$B$5:$B$504,"PTO",'Time Off Log'!$E$5:$E$504,"Approved",'Time Off Log'!$C$5:$C$504,"&gt;="&amp;INDEX(Periods!$E$5:$E$57,$B342),'Time Off Log'!$C$5:$C$504,"&lt;="&amp;INDEX(Periods!$F$5:$F$57,$B342)))</f>
        <v/>
      </c>
      <c r="M342" s="48">
        <f>IF($B342=1,N(INDEX(Employees!$N$5:$N$29,$A342)),P341)</f>
        <v/>
      </c>
      <c r="N342" s="48">
        <f>IF(INDEX(Employees!$L$5:$L$29,$A342)="",K342,MAX(0,MIN(K342,INDEX(Employees!$L$5:$L$29,$A342)-(M342-L342))))</f>
        <v/>
      </c>
      <c r="O342" s="48">
        <f>K342-N342</f>
        <v/>
      </c>
      <c r="P342" s="48">
        <f>M342-L342+N342</f>
        <v/>
      </c>
      <c r="Q342" s="48">
        <f>IF($G342=0,0,IF(INDEX(Employees!$P$5:$P$29,$A342)="Per pay period",(N(INDEX(Employees!$Q$5:$Q$29,$A342)))/Settings!$B$13,IF(INDEX(Employees!$P$5:$P$29,$A342)="Per hour worked",N(INDEX(Employees!$R$5:$R$29,$A342))*$I342,IF(INDEX(Employees!$P$5:$P$29,$A342)="Front-loaded",IF(OR($B342=1,N($G341)=0),N(INDEX(Employees!$Q$5:$Q$29,$A342)),0),0))))</f>
        <v/>
      </c>
      <c r="R342" s="48">
        <f>IF($F342=0,0,SUMIFS('Time Off Log'!$H$5:$H$504,'Time Off Log'!$A$5:$A$504,$C342,'Time Off Log'!$B$5:$B$504,"Sick",'Time Off Log'!$E$5:$E$504,"Approved",'Time Off Log'!$C$5:$C$504,"&gt;="&amp;INDEX(Periods!$E$5:$E$57,$B342),'Time Off Log'!$C$5:$C$504,"&lt;="&amp;INDEX(Periods!$F$5:$F$57,$B342)))</f>
        <v/>
      </c>
      <c r="S342" s="48">
        <f>IF($B342=1,N(INDEX(Employees!$T$5:$T$29,$A342)),V341)</f>
        <v/>
      </c>
      <c r="T342" s="48">
        <f>IF(INDEX(Employees!$S$5:$S$29,$A342)="",Q342,MAX(0,MIN(Q342,INDEX(Employees!$S$5:$S$29,$A342)-(S342-R342))))</f>
        <v/>
      </c>
      <c r="U342" s="48">
        <f>Q342-T342</f>
        <v/>
      </c>
      <c r="V342" s="48">
        <f>S342-R342+T342</f>
        <v/>
      </c>
    </row>
    <row r="343">
      <c r="A343" s="47" t="n">
        <v>7</v>
      </c>
      <c r="B343" s="47" t="n">
        <v>21</v>
      </c>
      <c r="C343" s="48">
        <f>INDEX(Employees!$B$5:$B$29,$A343)&amp;""</f>
        <v/>
      </c>
      <c r="D343" s="49">
        <f>INDEX(Periods!$B$5:$B$57,$B343)</f>
        <v/>
      </c>
      <c r="E343" s="49">
        <f>INDEX(Periods!$C$5:$C$57,$B343)</f>
        <v/>
      </c>
      <c r="F343" s="47">
        <f>IF(AND($C343&lt;&gt;"",INDEX(Periods!$D$5:$D$57,$B343)=1),1,0)</f>
        <v/>
      </c>
      <c r="G343" s="47">
        <f>IF($F343=0,0,IF(AND(OR(INDEX(Employees!$D$5:$D$29,$A343)="",$E343&gt;=INDEX(Employees!$D$5:$D$29,$A343)+N(INDEX(Employees!$U$5:$U$29,$A343))),OR(INDEX(Employees!$E$5:$E$29,$A343)="",$D343&lt;=INDEX(Employees!$E$5:$E$29,$A343))),1,0))</f>
        <v/>
      </c>
      <c r="H343" s="47">
        <f>IF($G343=0,0,IF(INDEX(Employees!$D$5:$D$29,$A343)="",0,DATEDIF(INDEX(Employees!$D$5:$D$29,$A343),$E343,"y")))</f>
        <v/>
      </c>
      <c r="I343" s="48">
        <f>IF($G343=0,0,IF(INDEX('Hours Worked'!$D$5:$BD$29,$A343,$B343)="",N(INDEX(Employees!$H$5:$H$29,$A343)),INDEX('Hours Worked'!$D$5:$BD$29,$A343,$B343)))</f>
        <v/>
      </c>
      <c r="J343" s="48">
        <f>IF(OR($G343=0,INDEX(Employees!$O$5:$O$29,$A343)&lt;&gt;"Yes"),0,IF(COUNTIF(Settings!$D$4:$D$9,"&lt;="&amp;$H343)=0,0,INDEX(Settings!$E$4:$E$9,COUNTIF(Settings!$D$4:$D$9,"&lt;="&amp;$H343))))</f>
        <v/>
      </c>
      <c r="K343" s="48">
        <f>IF($G343=0,0,IF(INDEX(Employees!$I$5:$I$29,$A343)="Per pay period",(N(INDEX(Employees!$J$5:$J$29,$A343))+$J343)/Settings!$B$13,IF(INDEX(Employees!$I$5:$I$29,$A343)="Per hour worked",N(INDEX(Employees!$K$5:$K$29,$A343))*$I343,IF(INDEX(Employees!$I$5:$I$29,$A343)="Front-loaded",IF(OR($B343=1,N($G342)=0),N(INDEX(Employees!$J$5:$J$29,$A343))+$J343,0),0))))</f>
        <v/>
      </c>
      <c r="L343" s="48">
        <f>IF($F343=0,0,SUMIFS('Time Off Log'!$H$5:$H$504,'Time Off Log'!$A$5:$A$504,$C343,'Time Off Log'!$B$5:$B$504,"PTO",'Time Off Log'!$E$5:$E$504,"Approved",'Time Off Log'!$C$5:$C$504,"&gt;="&amp;INDEX(Periods!$E$5:$E$57,$B343),'Time Off Log'!$C$5:$C$504,"&lt;="&amp;INDEX(Periods!$F$5:$F$57,$B343)))</f>
        <v/>
      </c>
      <c r="M343" s="48">
        <f>IF($B343=1,N(INDEX(Employees!$N$5:$N$29,$A343)),P342)</f>
        <v/>
      </c>
      <c r="N343" s="48">
        <f>IF(INDEX(Employees!$L$5:$L$29,$A343)="",K343,MAX(0,MIN(K343,INDEX(Employees!$L$5:$L$29,$A343)-(M343-L343))))</f>
        <v/>
      </c>
      <c r="O343" s="48">
        <f>K343-N343</f>
        <v/>
      </c>
      <c r="P343" s="48">
        <f>M343-L343+N343</f>
        <v/>
      </c>
      <c r="Q343" s="48">
        <f>IF($G343=0,0,IF(INDEX(Employees!$P$5:$P$29,$A343)="Per pay period",(N(INDEX(Employees!$Q$5:$Q$29,$A343)))/Settings!$B$13,IF(INDEX(Employees!$P$5:$P$29,$A343)="Per hour worked",N(INDEX(Employees!$R$5:$R$29,$A343))*$I343,IF(INDEX(Employees!$P$5:$P$29,$A343)="Front-loaded",IF(OR($B343=1,N($G342)=0),N(INDEX(Employees!$Q$5:$Q$29,$A343)),0),0))))</f>
        <v/>
      </c>
      <c r="R343" s="48">
        <f>IF($F343=0,0,SUMIFS('Time Off Log'!$H$5:$H$504,'Time Off Log'!$A$5:$A$504,$C343,'Time Off Log'!$B$5:$B$504,"Sick",'Time Off Log'!$E$5:$E$504,"Approved",'Time Off Log'!$C$5:$C$504,"&gt;="&amp;INDEX(Periods!$E$5:$E$57,$B343),'Time Off Log'!$C$5:$C$504,"&lt;="&amp;INDEX(Periods!$F$5:$F$57,$B343)))</f>
        <v/>
      </c>
      <c r="S343" s="48">
        <f>IF($B343=1,N(INDEX(Employees!$T$5:$T$29,$A343)),V342)</f>
        <v/>
      </c>
      <c r="T343" s="48">
        <f>IF(INDEX(Employees!$S$5:$S$29,$A343)="",Q343,MAX(0,MIN(Q343,INDEX(Employees!$S$5:$S$29,$A343)-(S343-R343))))</f>
        <v/>
      </c>
      <c r="U343" s="48">
        <f>Q343-T343</f>
        <v/>
      </c>
      <c r="V343" s="48">
        <f>S343-R343+T343</f>
        <v/>
      </c>
    </row>
    <row r="344">
      <c r="A344" s="47" t="n">
        <v>7</v>
      </c>
      <c r="B344" s="47" t="n">
        <v>22</v>
      </c>
      <c r="C344" s="48">
        <f>INDEX(Employees!$B$5:$B$29,$A344)&amp;""</f>
        <v/>
      </c>
      <c r="D344" s="49">
        <f>INDEX(Periods!$B$5:$B$57,$B344)</f>
        <v/>
      </c>
      <c r="E344" s="49">
        <f>INDEX(Periods!$C$5:$C$57,$B344)</f>
        <v/>
      </c>
      <c r="F344" s="47">
        <f>IF(AND($C344&lt;&gt;"",INDEX(Periods!$D$5:$D$57,$B344)=1),1,0)</f>
        <v/>
      </c>
      <c r="G344" s="47">
        <f>IF($F344=0,0,IF(AND(OR(INDEX(Employees!$D$5:$D$29,$A344)="",$E344&gt;=INDEX(Employees!$D$5:$D$29,$A344)+N(INDEX(Employees!$U$5:$U$29,$A344))),OR(INDEX(Employees!$E$5:$E$29,$A344)="",$D344&lt;=INDEX(Employees!$E$5:$E$29,$A344))),1,0))</f>
        <v/>
      </c>
      <c r="H344" s="47">
        <f>IF($G344=0,0,IF(INDEX(Employees!$D$5:$D$29,$A344)="",0,DATEDIF(INDEX(Employees!$D$5:$D$29,$A344),$E344,"y")))</f>
        <v/>
      </c>
      <c r="I344" s="48">
        <f>IF($G344=0,0,IF(INDEX('Hours Worked'!$D$5:$BD$29,$A344,$B344)="",N(INDEX(Employees!$H$5:$H$29,$A344)),INDEX('Hours Worked'!$D$5:$BD$29,$A344,$B344)))</f>
        <v/>
      </c>
      <c r="J344" s="48">
        <f>IF(OR($G344=0,INDEX(Employees!$O$5:$O$29,$A344)&lt;&gt;"Yes"),0,IF(COUNTIF(Settings!$D$4:$D$9,"&lt;="&amp;$H344)=0,0,INDEX(Settings!$E$4:$E$9,COUNTIF(Settings!$D$4:$D$9,"&lt;="&amp;$H344))))</f>
        <v/>
      </c>
      <c r="K344" s="48">
        <f>IF($G344=0,0,IF(INDEX(Employees!$I$5:$I$29,$A344)="Per pay period",(N(INDEX(Employees!$J$5:$J$29,$A344))+$J344)/Settings!$B$13,IF(INDEX(Employees!$I$5:$I$29,$A344)="Per hour worked",N(INDEX(Employees!$K$5:$K$29,$A344))*$I344,IF(INDEX(Employees!$I$5:$I$29,$A344)="Front-loaded",IF(OR($B344=1,N($G343)=0),N(INDEX(Employees!$J$5:$J$29,$A344))+$J344,0),0))))</f>
        <v/>
      </c>
      <c r="L344" s="48">
        <f>IF($F344=0,0,SUMIFS('Time Off Log'!$H$5:$H$504,'Time Off Log'!$A$5:$A$504,$C344,'Time Off Log'!$B$5:$B$504,"PTO",'Time Off Log'!$E$5:$E$504,"Approved",'Time Off Log'!$C$5:$C$504,"&gt;="&amp;INDEX(Periods!$E$5:$E$57,$B344),'Time Off Log'!$C$5:$C$504,"&lt;="&amp;INDEX(Periods!$F$5:$F$57,$B344)))</f>
        <v/>
      </c>
      <c r="M344" s="48">
        <f>IF($B344=1,N(INDEX(Employees!$N$5:$N$29,$A344)),P343)</f>
        <v/>
      </c>
      <c r="N344" s="48">
        <f>IF(INDEX(Employees!$L$5:$L$29,$A344)="",K344,MAX(0,MIN(K344,INDEX(Employees!$L$5:$L$29,$A344)-(M344-L344))))</f>
        <v/>
      </c>
      <c r="O344" s="48">
        <f>K344-N344</f>
        <v/>
      </c>
      <c r="P344" s="48">
        <f>M344-L344+N344</f>
        <v/>
      </c>
      <c r="Q344" s="48">
        <f>IF($G344=0,0,IF(INDEX(Employees!$P$5:$P$29,$A344)="Per pay period",(N(INDEX(Employees!$Q$5:$Q$29,$A344)))/Settings!$B$13,IF(INDEX(Employees!$P$5:$P$29,$A344)="Per hour worked",N(INDEX(Employees!$R$5:$R$29,$A344))*$I344,IF(INDEX(Employees!$P$5:$P$29,$A344)="Front-loaded",IF(OR($B344=1,N($G343)=0),N(INDEX(Employees!$Q$5:$Q$29,$A344)),0),0))))</f>
        <v/>
      </c>
      <c r="R344" s="48">
        <f>IF($F344=0,0,SUMIFS('Time Off Log'!$H$5:$H$504,'Time Off Log'!$A$5:$A$504,$C344,'Time Off Log'!$B$5:$B$504,"Sick",'Time Off Log'!$E$5:$E$504,"Approved",'Time Off Log'!$C$5:$C$504,"&gt;="&amp;INDEX(Periods!$E$5:$E$57,$B344),'Time Off Log'!$C$5:$C$504,"&lt;="&amp;INDEX(Periods!$F$5:$F$57,$B344)))</f>
        <v/>
      </c>
      <c r="S344" s="48">
        <f>IF($B344=1,N(INDEX(Employees!$T$5:$T$29,$A344)),V343)</f>
        <v/>
      </c>
      <c r="T344" s="48">
        <f>IF(INDEX(Employees!$S$5:$S$29,$A344)="",Q344,MAX(0,MIN(Q344,INDEX(Employees!$S$5:$S$29,$A344)-(S344-R344))))</f>
        <v/>
      </c>
      <c r="U344" s="48">
        <f>Q344-T344</f>
        <v/>
      </c>
      <c r="V344" s="48">
        <f>S344-R344+T344</f>
        <v/>
      </c>
    </row>
    <row r="345">
      <c r="A345" s="47" t="n">
        <v>7</v>
      </c>
      <c r="B345" s="47" t="n">
        <v>23</v>
      </c>
      <c r="C345" s="48">
        <f>INDEX(Employees!$B$5:$B$29,$A345)&amp;""</f>
        <v/>
      </c>
      <c r="D345" s="49">
        <f>INDEX(Periods!$B$5:$B$57,$B345)</f>
        <v/>
      </c>
      <c r="E345" s="49">
        <f>INDEX(Periods!$C$5:$C$57,$B345)</f>
        <v/>
      </c>
      <c r="F345" s="47">
        <f>IF(AND($C345&lt;&gt;"",INDEX(Periods!$D$5:$D$57,$B345)=1),1,0)</f>
        <v/>
      </c>
      <c r="G345" s="47">
        <f>IF($F345=0,0,IF(AND(OR(INDEX(Employees!$D$5:$D$29,$A345)="",$E345&gt;=INDEX(Employees!$D$5:$D$29,$A345)+N(INDEX(Employees!$U$5:$U$29,$A345))),OR(INDEX(Employees!$E$5:$E$29,$A345)="",$D345&lt;=INDEX(Employees!$E$5:$E$29,$A345))),1,0))</f>
        <v/>
      </c>
      <c r="H345" s="47">
        <f>IF($G345=0,0,IF(INDEX(Employees!$D$5:$D$29,$A345)="",0,DATEDIF(INDEX(Employees!$D$5:$D$29,$A345),$E345,"y")))</f>
        <v/>
      </c>
      <c r="I345" s="48">
        <f>IF($G345=0,0,IF(INDEX('Hours Worked'!$D$5:$BD$29,$A345,$B345)="",N(INDEX(Employees!$H$5:$H$29,$A345)),INDEX('Hours Worked'!$D$5:$BD$29,$A345,$B345)))</f>
        <v/>
      </c>
      <c r="J345" s="48">
        <f>IF(OR($G345=0,INDEX(Employees!$O$5:$O$29,$A345)&lt;&gt;"Yes"),0,IF(COUNTIF(Settings!$D$4:$D$9,"&lt;="&amp;$H345)=0,0,INDEX(Settings!$E$4:$E$9,COUNTIF(Settings!$D$4:$D$9,"&lt;="&amp;$H345))))</f>
        <v/>
      </c>
      <c r="K345" s="48">
        <f>IF($G345=0,0,IF(INDEX(Employees!$I$5:$I$29,$A345)="Per pay period",(N(INDEX(Employees!$J$5:$J$29,$A345))+$J345)/Settings!$B$13,IF(INDEX(Employees!$I$5:$I$29,$A345)="Per hour worked",N(INDEX(Employees!$K$5:$K$29,$A345))*$I345,IF(INDEX(Employees!$I$5:$I$29,$A345)="Front-loaded",IF(OR($B345=1,N($G344)=0),N(INDEX(Employees!$J$5:$J$29,$A345))+$J345,0),0))))</f>
        <v/>
      </c>
      <c r="L345" s="48">
        <f>IF($F345=0,0,SUMIFS('Time Off Log'!$H$5:$H$504,'Time Off Log'!$A$5:$A$504,$C345,'Time Off Log'!$B$5:$B$504,"PTO",'Time Off Log'!$E$5:$E$504,"Approved",'Time Off Log'!$C$5:$C$504,"&gt;="&amp;INDEX(Periods!$E$5:$E$57,$B345),'Time Off Log'!$C$5:$C$504,"&lt;="&amp;INDEX(Periods!$F$5:$F$57,$B345)))</f>
        <v/>
      </c>
      <c r="M345" s="48">
        <f>IF($B345=1,N(INDEX(Employees!$N$5:$N$29,$A345)),P344)</f>
        <v/>
      </c>
      <c r="N345" s="48">
        <f>IF(INDEX(Employees!$L$5:$L$29,$A345)="",K345,MAX(0,MIN(K345,INDEX(Employees!$L$5:$L$29,$A345)-(M345-L345))))</f>
        <v/>
      </c>
      <c r="O345" s="48">
        <f>K345-N345</f>
        <v/>
      </c>
      <c r="P345" s="48">
        <f>M345-L345+N345</f>
        <v/>
      </c>
      <c r="Q345" s="48">
        <f>IF($G345=0,0,IF(INDEX(Employees!$P$5:$P$29,$A345)="Per pay period",(N(INDEX(Employees!$Q$5:$Q$29,$A345)))/Settings!$B$13,IF(INDEX(Employees!$P$5:$P$29,$A345)="Per hour worked",N(INDEX(Employees!$R$5:$R$29,$A345))*$I345,IF(INDEX(Employees!$P$5:$P$29,$A345)="Front-loaded",IF(OR($B345=1,N($G344)=0),N(INDEX(Employees!$Q$5:$Q$29,$A345)),0),0))))</f>
        <v/>
      </c>
      <c r="R345" s="48">
        <f>IF($F345=0,0,SUMIFS('Time Off Log'!$H$5:$H$504,'Time Off Log'!$A$5:$A$504,$C345,'Time Off Log'!$B$5:$B$504,"Sick",'Time Off Log'!$E$5:$E$504,"Approved",'Time Off Log'!$C$5:$C$504,"&gt;="&amp;INDEX(Periods!$E$5:$E$57,$B345),'Time Off Log'!$C$5:$C$504,"&lt;="&amp;INDEX(Periods!$F$5:$F$57,$B345)))</f>
        <v/>
      </c>
      <c r="S345" s="48">
        <f>IF($B345=1,N(INDEX(Employees!$T$5:$T$29,$A345)),V344)</f>
        <v/>
      </c>
      <c r="T345" s="48">
        <f>IF(INDEX(Employees!$S$5:$S$29,$A345)="",Q345,MAX(0,MIN(Q345,INDEX(Employees!$S$5:$S$29,$A345)-(S345-R345))))</f>
        <v/>
      </c>
      <c r="U345" s="48">
        <f>Q345-T345</f>
        <v/>
      </c>
      <c r="V345" s="48">
        <f>S345-R345+T345</f>
        <v/>
      </c>
    </row>
    <row r="346">
      <c r="A346" s="47" t="n">
        <v>7</v>
      </c>
      <c r="B346" s="47" t="n">
        <v>24</v>
      </c>
      <c r="C346" s="48">
        <f>INDEX(Employees!$B$5:$B$29,$A346)&amp;""</f>
        <v/>
      </c>
      <c r="D346" s="49">
        <f>INDEX(Periods!$B$5:$B$57,$B346)</f>
        <v/>
      </c>
      <c r="E346" s="49">
        <f>INDEX(Periods!$C$5:$C$57,$B346)</f>
        <v/>
      </c>
      <c r="F346" s="47">
        <f>IF(AND($C346&lt;&gt;"",INDEX(Periods!$D$5:$D$57,$B346)=1),1,0)</f>
        <v/>
      </c>
      <c r="G346" s="47">
        <f>IF($F346=0,0,IF(AND(OR(INDEX(Employees!$D$5:$D$29,$A346)="",$E346&gt;=INDEX(Employees!$D$5:$D$29,$A346)+N(INDEX(Employees!$U$5:$U$29,$A346))),OR(INDEX(Employees!$E$5:$E$29,$A346)="",$D346&lt;=INDEX(Employees!$E$5:$E$29,$A346))),1,0))</f>
        <v/>
      </c>
      <c r="H346" s="47">
        <f>IF($G346=0,0,IF(INDEX(Employees!$D$5:$D$29,$A346)="",0,DATEDIF(INDEX(Employees!$D$5:$D$29,$A346),$E346,"y")))</f>
        <v/>
      </c>
      <c r="I346" s="48">
        <f>IF($G346=0,0,IF(INDEX('Hours Worked'!$D$5:$BD$29,$A346,$B346)="",N(INDEX(Employees!$H$5:$H$29,$A346)),INDEX('Hours Worked'!$D$5:$BD$29,$A346,$B346)))</f>
        <v/>
      </c>
      <c r="J346" s="48">
        <f>IF(OR($G346=0,INDEX(Employees!$O$5:$O$29,$A346)&lt;&gt;"Yes"),0,IF(COUNTIF(Settings!$D$4:$D$9,"&lt;="&amp;$H346)=0,0,INDEX(Settings!$E$4:$E$9,COUNTIF(Settings!$D$4:$D$9,"&lt;="&amp;$H346))))</f>
        <v/>
      </c>
      <c r="K346" s="48">
        <f>IF($G346=0,0,IF(INDEX(Employees!$I$5:$I$29,$A346)="Per pay period",(N(INDEX(Employees!$J$5:$J$29,$A346))+$J346)/Settings!$B$13,IF(INDEX(Employees!$I$5:$I$29,$A346)="Per hour worked",N(INDEX(Employees!$K$5:$K$29,$A346))*$I346,IF(INDEX(Employees!$I$5:$I$29,$A346)="Front-loaded",IF(OR($B346=1,N($G345)=0),N(INDEX(Employees!$J$5:$J$29,$A346))+$J346,0),0))))</f>
        <v/>
      </c>
      <c r="L346" s="48">
        <f>IF($F346=0,0,SUMIFS('Time Off Log'!$H$5:$H$504,'Time Off Log'!$A$5:$A$504,$C346,'Time Off Log'!$B$5:$B$504,"PTO",'Time Off Log'!$E$5:$E$504,"Approved",'Time Off Log'!$C$5:$C$504,"&gt;="&amp;INDEX(Periods!$E$5:$E$57,$B346),'Time Off Log'!$C$5:$C$504,"&lt;="&amp;INDEX(Periods!$F$5:$F$57,$B346)))</f>
        <v/>
      </c>
      <c r="M346" s="48">
        <f>IF($B346=1,N(INDEX(Employees!$N$5:$N$29,$A346)),P345)</f>
        <v/>
      </c>
      <c r="N346" s="48">
        <f>IF(INDEX(Employees!$L$5:$L$29,$A346)="",K346,MAX(0,MIN(K346,INDEX(Employees!$L$5:$L$29,$A346)-(M346-L346))))</f>
        <v/>
      </c>
      <c r="O346" s="48">
        <f>K346-N346</f>
        <v/>
      </c>
      <c r="P346" s="48">
        <f>M346-L346+N346</f>
        <v/>
      </c>
      <c r="Q346" s="48">
        <f>IF($G346=0,0,IF(INDEX(Employees!$P$5:$P$29,$A346)="Per pay period",(N(INDEX(Employees!$Q$5:$Q$29,$A346)))/Settings!$B$13,IF(INDEX(Employees!$P$5:$P$29,$A346)="Per hour worked",N(INDEX(Employees!$R$5:$R$29,$A346))*$I346,IF(INDEX(Employees!$P$5:$P$29,$A346)="Front-loaded",IF(OR($B346=1,N($G345)=0),N(INDEX(Employees!$Q$5:$Q$29,$A346)),0),0))))</f>
        <v/>
      </c>
      <c r="R346" s="48">
        <f>IF($F346=0,0,SUMIFS('Time Off Log'!$H$5:$H$504,'Time Off Log'!$A$5:$A$504,$C346,'Time Off Log'!$B$5:$B$504,"Sick",'Time Off Log'!$E$5:$E$504,"Approved",'Time Off Log'!$C$5:$C$504,"&gt;="&amp;INDEX(Periods!$E$5:$E$57,$B346),'Time Off Log'!$C$5:$C$504,"&lt;="&amp;INDEX(Periods!$F$5:$F$57,$B346)))</f>
        <v/>
      </c>
      <c r="S346" s="48">
        <f>IF($B346=1,N(INDEX(Employees!$T$5:$T$29,$A346)),V345)</f>
        <v/>
      </c>
      <c r="T346" s="48">
        <f>IF(INDEX(Employees!$S$5:$S$29,$A346)="",Q346,MAX(0,MIN(Q346,INDEX(Employees!$S$5:$S$29,$A346)-(S346-R346))))</f>
        <v/>
      </c>
      <c r="U346" s="48">
        <f>Q346-T346</f>
        <v/>
      </c>
      <c r="V346" s="48">
        <f>S346-R346+T346</f>
        <v/>
      </c>
    </row>
    <row r="347">
      <c r="A347" s="47" t="n">
        <v>7</v>
      </c>
      <c r="B347" s="47" t="n">
        <v>25</v>
      </c>
      <c r="C347" s="48">
        <f>INDEX(Employees!$B$5:$B$29,$A347)&amp;""</f>
        <v/>
      </c>
      <c r="D347" s="49">
        <f>INDEX(Periods!$B$5:$B$57,$B347)</f>
        <v/>
      </c>
      <c r="E347" s="49">
        <f>INDEX(Periods!$C$5:$C$57,$B347)</f>
        <v/>
      </c>
      <c r="F347" s="47">
        <f>IF(AND($C347&lt;&gt;"",INDEX(Periods!$D$5:$D$57,$B347)=1),1,0)</f>
        <v/>
      </c>
      <c r="G347" s="47">
        <f>IF($F347=0,0,IF(AND(OR(INDEX(Employees!$D$5:$D$29,$A347)="",$E347&gt;=INDEX(Employees!$D$5:$D$29,$A347)+N(INDEX(Employees!$U$5:$U$29,$A347))),OR(INDEX(Employees!$E$5:$E$29,$A347)="",$D347&lt;=INDEX(Employees!$E$5:$E$29,$A347))),1,0))</f>
        <v/>
      </c>
      <c r="H347" s="47">
        <f>IF($G347=0,0,IF(INDEX(Employees!$D$5:$D$29,$A347)="",0,DATEDIF(INDEX(Employees!$D$5:$D$29,$A347),$E347,"y")))</f>
        <v/>
      </c>
      <c r="I347" s="48">
        <f>IF($G347=0,0,IF(INDEX('Hours Worked'!$D$5:$BD$29,$A347,$B347)="",N(INDEX(Employees!$H$5:$H$29,$A347)),INDEX('Hours Worked'!$D$5:$BD$29,$A347,$B347)))</f>
        <v/>
      </c>
      <c r="J347" s="48">
        <f>IF(OR($G347=0,INDEX(Employees!$O$5:$O$29,$A347)&lt;&gt;"Yes"),0,IF(COUNTIF(Settings!$D$4:$D$9,"&lt;="&amp;$H347)=0,0,INDEX(Settings!$E$4:$E$9,COUNTIF(Settings!$D$4:$D$9,"&lt;="&amp;$H347))))</f>
        <v/>
      </c>
      <c r="K347" s="48">
        <f>IF($G347=0,0,IF(INDEX(Employees!$I$5:$I$29,$A347)="Per pay period",(N(INDEX(Employees!$J$5:$J$29,$A347))+$J347)/Settings!$B$13,IF(INDEX(Employees!$I$5:$I$29,$A347)="Per hour worked",N(INDEX(Employees!$K$5:$K$29,$A347))*$I347,IF(INDEX(Employees!$I$5:$I$29,$A347)="Front-loaded",IF(OR($B347=1,N($G346)=0),N(INDEX(Employees!$J$5:$J$29,$A347))+$J347,0),0))))</f>
        <v/>
      </c>
      <c r="L347" s="48">
        <f>IF($F347=0,0,SUMIFS('Time Off Log'!$H$5:$H$504,'Time Off Log'!$A$5:$A$504,$C347,'Time Off Log'!$B$5:$B$504,"PTO",'Time Off Log'!$E$5:$E$504,"Approved",'Time Off Log'!$C$5:$C$504,"&gt;="&amp;INDEX(Periods!$E$5:$E$57,$B347),'Time Off Log'!$C$5:$C$504,"&lt;="&amp;INDEX(Periods!$F$5:$F$57,$B347)))</f>
        <v/>
      </c>
      <c r="M347" s="48">
        <f>IF($B347=1,N(INDEX(Employees!$N$5:$N$29,$A347)),P346)</f>
        <v/>
      </c>
      <c r="N347" s="48">
        <f>IF(INDEX(Employees!$L$5:$L$29,$A347)="",K347,MAX(0,MIN(K347,INDEX(Employees!$L$5:$L$29,$A347)-(M347-L347))))</f>
        <v/>
      </c>
      <c r="O347" s="48">
        <f>K347-N347</f>
        <v/>
      </c>
      <c r="P347" s="48">
        <f>M347-L347+N347</f>
        <v/>
      </c>
      <c r="Q347" s="48">
        <f>IF($G347=0,0,IF(INDEX(Employees!$P$5:$P$29,$A347)="Per pay period",(N(INDEX(Employees!$Q$5:$Q$29,$A347)))/Settings!$B$13,IF(INDEX(Employees!$P$5:$P$29,$A347)="Per hour worked",N(INDEX(Employees!$R$5:$R$29,$A347))*$I347,IF(INDEX(Employees!$P$5:$P$29,$A347)="Front-loaded",IF(OR($B347=1,N($G346)=0),N(INDEX(Employees!$Q$5:$Q$29,$A347)),0),0))))</f>
        <v/>
      </c>
      <c r="R347" s="48">
        <f>IF($F347=0,0,SUMIFS('Time Off Log'!$H$5:$H$504,'Time Off Log'!$A$5:$A$504,$C347,'Time Off Log'!$B$5:$B$504,"Sick",'Time Off Log'!$E$5:$E$504,"Approved",'Time Off Log'!$C$5:$C$504,"&gt;="&amp;INDEX(Periods!$E$5:$E$57,$B347),'Time Off Log'!$C$5:$C$504,"&lt;="&amp;INDEX(Periods!$F$5:$F$57,$B347)))</f>
        <v/>
      </c>
      <c r="S347" s="48">
        <f>IF($B347=1,N(INDEX(Employees!$T$5:$T$29,$A347)),V346)</f>
        <v/>
      </c>
      <c r="T347" s="48">
        <f>IF(INDEX(Employees!$S$5:$S$29,$A347)="",Q347,MAX(0,MIN(Q347,INDEX(Employees!$S$5:$S$29,$A347)-(S347-R347))))</f>
        <v/>
      </c>
      <c r="U347" s="48">
        <f>Q347-T347</f>
        <v/>
      </c>
      <c r="V347" s="48">
        <f>S347-R347+T347</f>
        <v/>
      </c>
    </row>
    <row r="348">
      <c r="A348" s="47" t="n">
        <v>7</v>
      </c>
      <c r="B348" s="47" t="n">
        <v>26</v>
      </c>
      <c r="C348" s="48">
        <f>INDEX(Employees!$B$5:$B$29,$A348)&amp;""</f>
        <v/>
      </c>
      <c r="D348" s="49">
        <f>INDEX(Periods!$B$5:$B$57,$B348)</f>
        <v/>
      </c>
      <c r="E348" s="49">
        <f>INDEX(Periods!$C$5:$C$57,$B348)</f>
        <v/>
      </c>
      <c r="F348" s="47">
        <f>IF(AND($C348&lt;&gt;"",INDEX(Periods!$D$5:$D$57,$B348)=1),1,0)</f>
        <v/>
      </c>
      <c r="G348" s="47">
        <f>IF($F348=0,0,IF(AND(OR(INDEX(Employees!$D$5:$D$29,$A348)="",$E348&gt;=INDEX(Employees!$D$5:$D$29,$A348)+N(INDEX(Employees!$U$5:$U$29,$A348))),OR(INDEX(Employees!$E$5:$E$29,$A348)="",$D348&lt;=INDEX(Employees!$E$5:$E$29,$A348))),1,0))</f>
        <v/>
      </c>
      <c r="H348" s="47">
        <f>IF($G348=0,0,IF(INDEX(Employees!$D$5:$D$29,$A348)="",0,DATEDIF(INDEX(Employees!$D$5:$D$29,$A348),$E348,"y")))</f>
        <v/>
      </c>
      <c r="I348" s="48">
        <f>IF($G348=0,0,IF(INDEX('Hours Worked'!$D$5:$BD$29,$A348,$B348)="",N(INDEX(Employees!$H$5:$H$29,$A348)),INDEX('Hours Worked'!$D$5:$BD$29,$A348,$B348)))</f>
        <v/>
      </c>
      <c r="J348" s="48">
        <f>IF(OR($G348=0,INDEX(Employees!$O$5:$O$29,$A348)&lt;&gt;"Yes"),0,IF(COUNTIF(Settings!$D$4:$D$9,"&lt;="&amp;$H348)=0,0,INDEX(Settings!$E$4:$E$9,COUNTIF(Settings!$D$4:$D$9,"&lt;="&amp;$H348))))</f>
        <v/>
      </c>
      <c r="K348" s="48">
        <f>IF($G348=0,0,IF(INDEX(Employees!$I$5:$I$29,$A348)="Per pay period",(N(INDEX(Employees!$J$5:$J$29,$A348))+$J348)/Settings!$B$13,IF(INDEX(Employees!$I$5:$I$29,$A348)="Per hour worked",N(INDEX(Employees!$K$5:$K$29,$A348))*$I348,IF(INDEX(Employees!$I$5:$I$29,$A348)="Front-loaded",IF(OR($B348=1,N($G347)=0),N(INDEX(Employees!$J$5:$J$29,$A348))+$J348,0),0))))</f>
        <v/>
      </c>
      <c r="L348" s="48">
        <f>IF($F348=0,0,SUMIFS('Time Off Log'!$H$5:$H$504,'Time Off Log'!$A$5:$A$504,$C348,'Time Off Log'!$B$5:$B$504,"PTO",'Time Off Log'!$E$5:$E$504,"Approved",'Time Off Log'!$C$5:$C$504,"&gt;="&amp;INDEX(Periods!$E$5:$E$57,$B348),'Time Off Log'!$C$5:$C$504,"&lt;="&amp;INDEX(Periods!$F$5:$F$57,$B348)))</f>
        <v/>
      </c>
      <c r="M348" s="48">
        <f>IF($B348=1,N(INDEX(Employees!$N$5:$N$29,$A348)),P347)</f>
        <v/>
      </c>
      <c r="N348" s="48">
        <f>IF(INDEX(Employees!$L$5:$L$29,$A348)="",K348,MAX(0,MIN(K348,INDEX(Employees!$L$5:$L$29,$A348)-(M348-L348))))</f>
        <v/>
      </c>
      <c r="O348" s="48">
        <f>K348-N348</f>
        <v/>
      </c>
      <c r="P348" s="48">
        <f>M348-L348+N348</f>
        <v/>
      </c>
      <c r="Q348" s="48">
        <f>IF($G348=0,0,IF(INDEX(Employees!$P$5:$P$29,$A348)="Per pay period",(N(INDEX(Employees!$Q$5:$Q$29,$A348)))/Settings!$B$13,IF(INDEX(Employees!$P$5:$P$29,$A348)="Per hour worked",N(INDEX(Employees!$R$5:$R$29,$A348))*$I348,IF(INDEX(Employees!$P$5:$P$29,$A348)="Front-loaded",IF(OR($B348=1,N($G347)=0),N(INDEX(Employees!$Q$5:$Q$29,$A348)),0),0))))</f>
        <v/>
      </c>
      <c r="R348" s="48">
        <f>IF($F348=0,0,SUMIFS('Time Off Log'!$H$5:$H$504,'Time Off Log'!$A$5:$A$504,$C348,'Time Off Log'!$B$5:$B$504,"Sick",'Time Off Log'!$E$5:$E$504,"Approved",'Time Off Log'!$C$5:$C$504,"&gt;="&amp;INDEX(Periods!$E$5:$E$57,$B348),'Time Off Log'!$C$5:$C$504,"&lt;="&amp;INDEX(Periods!$F$5:$F$57,$B348)))</f>
        <v/>
      </c>
      <c r="S348" s="48">
        <f>IF($B348=1,N(INDEX(Employees!$T$5:$T$29,$A348)),V347)</f>
        <v/>
      </c>
      <c r="T348" s="48">
        <f>IF(INDEX(Employees!$S$5:$S$29,$A348)="",Q348,MAX(0,MIN(Q348,INDEX(Employees!$S$5:$S$29,$A348)-(S348-R348))))</f>
        <v/>
      </c>
      <c r="U348" s="48">
        <f>Q348-T348</f>
        <v/>
      </c>
      <c r="V348" s="48">
        <f>S348-R348+T348</f>
        <v/>
      </c>
    </row>
    <row r="349">
      <c r="A349" s="47" t="n">
        <v>7</v>
      </c>
      <c r="B349" s="47" t="n">
        <v>27</v>
      </c>
      <c r="C349" s="48">
        <f>INDEX(Employees!$B$5:$B$29,$A349)&amp;""</f>
        <v/>
      </c>
      <c r="D349" s="49">
        <f>INDEX(Periods!$B$5:$B$57,$B349)</f>
        <v/>
      </c>
      <c r="E349" s="49">
        <f>INDEX(Periods!$C$5:$C$57,$B349)</f>
        <v/>
      </c>
      <c r="F349" s="47">
        <f>IF(AND($C349&lt;&gt;"",INDEX(Periods!$D$5:$D$57,$B349)=1),1,0)</f>
        <v/>
      </c>
      <c r="G349" s="47">
        <f>IF($F349=0,0,IF(AND(OR(INDEX(Employees!$D$5:$D$29,$A349)="",$E349&gt;=INDEX(Employees!$D$5:$D$29,$A349)+N(INDEX(Employees!$U$5:$U$29,$A349))),OR(INDEX(Employees!$E$5:$E$29,$A349)="",$D349&lt;=INDEX(Employees!$E$5:$E$29,$A349))),1,0))</f>
        <v/>
      </c>
      <c r="H349" s="47">
        <f>IF($G349=0,0,IF(INDEX(Employees!$D$5:$D$29,$A349)="",0,DATEDIF(INDEX(Employees!$D$5:$D$29,$A349),$E349,"y")))</f>
        <v/>
      </c>
      <c r="I349" s="48">
        <f>IF($G349=0,0,IF(INDEX('Hours Worked'!$D$5:$BD$29,$A349,$B349)="",N(INDEX(Employees!$H$5:$H$29,$A349)),INDEX('Hours Worked'!$D$5:$BD$29,$A349,$B349)))</f>
        <v/>
      </c>
      <c r="J349" s="48">
        <f>IF(OR($G349=0,INDEX(Employees!$O$5:$O$29,$A349)&lt;&gt;"Yes"),0,IF(COUNTIF(Settings!$D$4:$D$9,"&lt;="&amp;$H349)=0,0,INDEX(Settings!$E$4:$E$9,COUNTIF(Settings!$D$4:$D$9,"&lt;="&amp;$H349))))</f>
        <v/>
      </c>
      <c r="K349" s="48">
        <f>IF($G349=0,0,IF(INDEX(Employees!$I$5:$I$29,$A349)="Per pay period",(N(INDEX(Employees!$J$5:$J$29,$A349))+$J349)/Settings!$B$13,IF(INDEX(Employees!$I$5:$I$29,$A349)="Per hour worked",N(INDEX(Employees!$K$5:$K$29,$A349))*$I349,IF(INDEX(Employees!$I$5:$I$29,$A349)="Front-loaded",IF(OR($B349=1,N($G348)=0),N(INDEX(Employees!$J$5:$J$29,$A349))+$J349,0),0))))</f>
        <v/>
      </c>
      <c r="L349" s="48">
        <f>IF($F349=0,0,SUMIFS('Time Off Log'!$H$5:$H$504,'Time Off Log'!$A$5:$A$504,$C349,'Time Off Log'!$B$5:$B$504,"PTO",'Time Off Log'!$E$5:$E$504,"Approved",'Time Off Log'!$C$5:$C$504,"&gt;="&amp;INDEX(Periods!$E$5:$E$57,$B349),'Time Off Log'!$C$5:$C$504,"&lt;="&amp;INDEX(Periods!$F$5:$F$57,$B349)))</f>
        <v/>
      </c>
      <c r="M349" s="48">
        <f>IF($B349=1,N(INDEX(Employees!$N$5:$N$29,$A349)),P348)</f>
        <v/>
      </c>
      <c r="N349" s="48">
        <f>IF(INDEX(Employees!$L$5:$L$29,$A349)="",K349,MAX(0,MIN(K349,INDEX(Employees!$L$5:$L$29,$A349)-(M349-L349))))</f>
        <v/>
      </c>
      <c r="O349" s="48">
        <f>K349-N349</f>
        <v/>
      </c>
      <c r="P349" s="48">
        <f>M349-L349+N349</f>
        <v/>
      </c>
      <c r="Q349" s="48">
        <f>IF($G349=0,0,IF(INDEX(Employees!$P$5:$P$29,$A349)="Per pay period",(N(INDEX(Employees!$Q$5:$Q$29,$A349)))/Settings!$B$13,IF(INDEX(Employees!$P$5:$P$29,$A349)="Per hour worked",N(INDEX(Employees!$R$5:$R$29,$A349))*$I349,IF(INDEX(Employees!$P$5:$P$29,$A349)="Front-loaded",IF(OR($B349=1,N($G348)=0),N(INDEX(Employees!$Q$5:$Q$29,$A349)),0),0))))</f>
        <v/>
      </c>
      <c r="R349" s="48">
        <f>IF($F349=0,0,SUMIFS('Time Off Log'!$H$5:$H$504,'Time Off Log'!$A$5:$A$504,$C349,'Time Off Log'!$B$5:$B$504,"Sick",'Time Off Log'!$E$5:$E$504,"Approved",'Time Off Log'!$C$5:$C$504,"&gt;="&amp;INDEX(Periods!$E$5:$E$57,$B349),'Time Off Log'!$C$5:$C$504,"&lt;="&amp;INDEX(Periods!$F$5:$F$57,$B349)))</f>
        <v/>
      </c>
      <c r="S349" s="48">
        <f>IF($B349=1,N(INDEX(Employees!$T$5:$T$29,$A349)),V348)</f>
        <v/>
      </c>
      <c r="T349" s="48">
        <f>IF(INDEX(Employees!$S$5:$S$29,$A349)="",Q349,MAX(0,MIN(Q349,INDEX(Employees!$S$5:$S$29,$A349)-(S349-R349))))</f>
        <v/>
      </c>
      <c r="U349" s="48">
        <f>Q349-T349</f>
        <v/>
      </c>
      <c r="V349" s="48">
        <f>S349-R349+T349</f>
        <v/>
      </c>
    </row>
    <row r="350">
      <c r="A350" s="47" t="n">
        <v>7</v>
      </c>
      <c r="B350" s="47" t="n">
        <v>28</v>
      </c>
      <c r="C350" s="48">
        <f>INDEX(Employees!$B$5:$B$29,$A350)&amp;""</f>
        <v/>
      </c>
      <c r="D350" s="49">
        <f>INDEX(Periods!$B$5:$B$57,$B350)</f>
        <v/>
      </c>
      <c r="E350" s="49">
        <f>INDEX(Periods!$C$5:$C$57,$B350)</f>
        <v/>
      </c>
      <c r="F350" s="47">
        <f>IF(AND($C350&lt;&gt;"",INDEX(Periods!$D$5:$D$57,$B350)=1),1,0)</f>
        <v/>
      </c>
      <c r="G350" s="47">
        <f>IF($F350=0,0,IF(AND(OR(INDEX(Employees!$D$5:$D$29,$A350)="",$E350&gt;=INDEX(Employees!$D$5:$D$29,$A350)+N(INDEX(Employees!$U$5:$U$29,$A350))),OR(INDEX(Employees!$E$5:$E$29,$A350)="",$D350&lt;=INDEX(Employees!$E$5:$E$29,$A350))),1,0))</f>
        <v/>
      </c>
      <c r="H350" s="47">
        <f>IF($G350=0,0,IF(INDEX(Employees!$D$5:$D$29,$A350)="",0,DATEDIF(INDEX(Employees!$D$5:$D$29,$A350),$E350,"y")))</f>
        <v/>
      </c>
      <c r="I350" s="48">
        <f>IF($G350=0,0,IF(INDEX('Hours Worked'!$D$5:$BD$29,$A350,$B350)="",N(INDEX(Employees!$H$5:$H$29,$A350)),INDEX('Hours Worked'!$D$5:$BD$29,$A350,$B350)))</f>
        <v/>
      </c>
      <c r="J350" s="48">
        <f>IF(OR($G350=0,INDEX(Employees!$O$5:$O$29,$A350)&lt;&gt;"Yes"),0,IF(COUNTIF(Settings!$D$4:$D$9,"&lt;="&amp;$H350)=0,0,INDEX(Settings!$E$4:$E$9,COUNTIF(Settings!$D$4:$D$9,"&lt;="&amp;$H350))))</f>
        <v/>
      </c>
      <c r="K350" s="48">
        <f>IF($G350=0,0,IF(INDEX(Employees!$I$5:$I$29,$A350)="Per pay period",(N(INDEX(Employees!$J$5:$J$29,$A350))+$J350)/Settings!$B$13,IF(INDEX(Employees!$I$5:$I$29,$A350)="Per hour worked",N(INDEX(Employees!$K$5:$K$29,$A350))*$I350,IF(INDEX(Employees!$I$5:$I$29,$A350)="Front-loaded",IF(OR($B350=1,N($G349)=0),N(INDEX(Employees!$J$5:$J$29,$A350))+$J350,0),0))))</f>
        <v/>
      </c>
      <c r="L350" s="48">
        <f>IF($F350=0,0,SUMIFS('Time Off Log'!$H$5:$H$504,'Time Off Log'!$A$5:$A$504,$C350,'Time Off Log'!$B$5:$B$504,"PTO",'Time Off Log'!$E$5:$E$504,"Approved",'Time Off Log'!$C$5:$C$504,"&gt;="&amp;INDEX(Periods!$E$5:$E$57,$B350),'Time Off Log'!$C$5:$C$504,"&lt;="&amp;INDEX(Periods!$F$5:$F$57,$B350)))</f>
        <v/>
      </c>
      <c r="M350" s="48">
        <f>IF($B350=1,N(INDEX(Employees!$N$5:$N$29,$A350)),P349)</f>
        <v/>
      </c>
      <c r="N350" s="48">
        <f>IF(INDEX(Employees!$L$5:$L$29,$A350)="",K350,MAX(0,MIN(K350,INDEX(Employees!$L$5:$L$29,$A350)-(M350-L350))))</f>
        <v/>
      </c>
      <c r="O350" s="48">
        <f>K350-N350</f>
        <v/>
      </c>
      <c r="P350" s="48">
        <f>M350-L350+N350</f>
        <v/>
      </c>
      <c r="Q350" s="48">
        <f>IF($G350=0,0,IF(INDEX(Employees!$P$5:$P$29,$A350)="Per pay period",(N(INDEX(Employees!$Q$5:$Q$29,$A350)))/Settings!$B$13,IF(INDEX(Employees!$P$5:$P$29,$A350)="Per hour worked",N(INDEX(Employees!$R$5:$R$29,$A350))*$I350,IF(INDEX(Employees!$P$5:$P$29,$A350)="Front-loaded",IF(OR($B350=1,N($G349)=0),N(INDEX(Employees!$Q$5:$Q$29,$A350)),0),0))))</f>
        <v/>
      </c>
      <c r="R350" s="48">
        <f>IF($F350=0,0,SUMIFS('Time Off Log'!$H$5:$H$504,'Time Off Log'!$A$5:$A$504,$C350,'Time Off Log'!$B$5:$B$504,"Sick",'Time Off Log'!$E$5:$E$504,"Approved",'Time Off Log'!$C$5:$C$504,"&gt;="&amp;INDEX(Periods!$E$5:$E$57,$B350),'Time Off Log'!$C$5:$C$504,"&lt;="&amp;INDEX(Periods!$F$5:$F$57,$B350)))</f>
        <v/>
      </c>
      <c r="S350" s="48">
        <f>IF($B350=1,N(INDEX(Employees!$T$5:$T$29,$A350)),V349)</f>
        <v/>
      </c>
      <c r="T350" s="48">
        <f>IF(INDEX(Employees!$S$5:$S$29,$A350)="",Q350,MAX(0,MIN(Q350,INDEX(Employees!$S$5:$S$29,$A350)-(S350-R350))))</f>
        <v/>
      </c>
      <c r="U350" s="48">
        <f>Q350-T350</f>
        <v/>
      </c>
      <c r="V350" s="48">
        <f>S350-R350+T350</f>
        <v/>
      </c>
    </row>
    <row r="351">
      <c r="A351" s="47" t="n">
        <v>7</v>
      </c>
      <c r="B351" s="47" t="n">
        <v>29</v>
      </c>
      <c r="C351" s="48">
        <f>INDEX(Employees!$B$5:$B$29,$A351)&amp;""</f>
        <v/>
      </c>
      <c r="D351" s="49">
        <f>INDEX(Periods!$B$5:$B$57,$B351)</f>
        <v/>
      </c>
      <c r="E351" s="49">
        <f>INDEX(Periods!$C$5:$C$57,$B351)</f>
        <v/>
      </c>
      <c r="F351" s="47">
        <f>IF(AND($C351&lt;&gt;"",INDEX(Periods!$D$5:$D$57,$B351)=1),1,0)</f>
        <v/>
      </c>
      <c r="G351" s="47">
        <f>IF($F351=0,0,IF(AND(OR(INDEX(Employees!$D$5:$D$29,$A351)="",$E351&gt;=INDEX(Employees!$D$5:$D$29,$A351)+N(INDEX(Employees!$U$5:$U$29,$A351))),OR(INDEX(Employees!$E$5:$E$29,$A351)="",$D351&lt;=INDEX(Employees!$E$5:$E$29,$A351))),1,0))</f>
        <v/>
      </c>
      <c r="H351" s="47">
        <f>IF($G351=0,0,IF(INDEX(Employees!$D$5:$D$29,$A351)="",0,DATEDIF(INDEX(Employees!$D$5:$D$29,$A351),$E351,"y")))</f>
        <v/>
      </c>
      <c r="I351" s="48">
        <f>IF($G351=0,0,IF(INDEX('Hours Worked'!$D$5:$BD$29,$A351,$B351)="",N(INDEX(Employees!$H$5:$H$29,$A351)),INDEX('Hours Worked'!$D$5:$BD$29,$A351,$B351)))</f>
        <v/>
      </c>
      <c r="J351" s="48">
        <f>IF(OR($G351=0,INDEX(Employees!$O$5:$O$29,$A351)&lt;&gt;"Yes"),0,IF(COUNTIF(Settings!$D$4:$D$9,"&lt;="&amp;$H351)=0,0,INDEX(Settings!$E$4:$E$9,COUNTIF(Settings!$D$4:$D$9,"&lt;="&amp;$H351))))</f>
        <v/>
      </c>
      <c r="K351" s="48">
        <f>IF($G351=0,0,IF(INDEX(Employees!$I$5:$I$29,$A351)="Per pay period",(N(INDEX(Employees!$J$5:$J$29,$A351))+$J351)/Settings!$B$13,IF(INDEX(Employees!$I$5:$I$29,$A351)="Per hour worked",N(INDEX(Employees!$K$5:$K$29,$A351))*$I351,IF(INDEX(Employees!$I$5:$I$29,$A351)="Front-loaded",IF(OR($B351=1,N($G350)=0),N(INDEX(Employees!$J$5:$J$29,$A351))+$J351,0),0))))</f>
        <v/>
      </c>
      <c r="L351" s="48">
        <f>IF($F351=0,0,SUMIFS('Time Off Log'!$H$5:$H$504,'Time Off Log'!$A$5:$A$504,$C351,'Time Off Log'!$B$5:$B$504,"PTO",'Time Off Log'!$E$5:$E$504,"Approved",'Time Off Log'!$C$5:$C$504,"&gt;="&amp;INDEX(Periods!$E$5:$E$57,$B351),'Time Off Log'!$C$5:$C$504,"&lt;="&amp;INDEX(Periods!$F$5:$F$57,$B351)))</f>
        <v/>
      </c>
      <c r="M351" s="48">
        <f>IF($B351=1,N(INDEX(Employees!$N$5:$N$29,$A351)),P350)</f>
        <v/>
      </c>
      <c r="N351" s="48">
        <f>IF(INDEX(Employees!$L$5:$L$29,$A351)="",K351,MAX(0,MIN(K351,INDEX(Employees!$L$5:$L$29,$A351)-(M351-L351))))</f>
        <v/>
      </c>
      <c r="O351" s="48">
        <f>K351-N351</f>
        <v/>
      </c>
      <c r="P351" s="48">
        <f>M351-L351+N351</f>
        <v/>
      </c>
      <c r="Q351" s="48">
        <f>IF($G351=0,0,IF(INDEX(Employees!$P$5:$P$29,$A351)="Per pay period",(N(INDEX(Employees!$Q$5:$Q$29,$A351)))/Settings!$B$13,IF(INDEX(Employees!$P$5:$P$29,$A351)="Per hour worked",N(INDEX(Employees!$R$5:$R$29,$A351))*$I351,IF(INDEX(Employees!$P$5:$P$29,$A351)="Front-loaded",IF(OR($B351=1,N($G350)=0),N(INDEX(Employees!$Q$5:$Q$29,$A351)),0),0))))</f>
        <v/>
      </c>
      <c r="R351" s="48">
        <f>IF($F351=0,0,SUMIFS('Time Off Log'!$H$5:$H$504,'Time Off Log'!$A$5:$A$504,$C351,'Time Off Log'!$B$5:$B$504,"Sick",'Time Off Log'!$E$5:$E$504,"Approved",'Time Off Log'!$C$5:$C$504,"&gt;="&amp;INDEX(Periods!$E$5:$E$57,$B351),'Time Off Log'!$C$5:$C$504,"&lt;="&amp;INDEX(Periods!$F$5:$F$57,$B351)))</f>
        <v/>
      </c>
      <c r="S351" s="48">
        <f>IF($B351=1,N(INDEX(Employees!$T$5:$T$29,$A351)),V350)</f>
        <v/>
      </c>
      <c r="T351" s="48">
        <f>IF(INDEX(Employees!$S$5:$S$29,$A351)="",Q351,MAX(0,MIN(Q351,INDEX(Employees!$S$5:$S$29,$A351)-(S351-R351))))</f>
        <v/>
      </c>
      <c r="U351" s="48">
        <f>Q351-T351</f>
        <v/>
      </c>
      <c r="V351" s="48">
        <f>S351-R351+T351</f>
        <v/>
      </c>
    </row>
    <row r="352">
      <c r="A352" s="47" t="n">
        <v>7</v>
      </c>
      <c r="B352" s="47" t="n">
        <v>30</v>
      </c>
      <c r="C352" s="48">
        <f>INDEX(Employees!$B$5:$B$29,$A352)&amp;""</f>
        <v/>
      </c>
      <c r="D352" s="49">
        <f>INDEX(Periods!$B$5:$B$57,$B352)</f>
        <v/>
      </c>
      <c r="E352" s="49">
        <f>INDEX(Periods!$C$5:$C$57,$B352)</f>
        <v/>
      </c>
      <c r="F352" s="47">
        <f>IF(AND($C352&lt;&gt;"",INDEX(Periods!$D$5:$D$57,$B352)=1),1,0)</f>
        <v/>
      </c>
      <c r="G352" s="47">
        <f>IF($F352=0,0,IF(AND(OR(INDEX(Employees!$D$5:$D$29,$A352)="",$E352&gt;=INDEX(Employees!$D$5:$D$29,$A352)+N(INDEX(Employees!$U$5:$U$29,$A352))),OR(INDEX(Employees!$E$5:$E$29,$A352)="",$D352&lt;=INDEX(Employees!$E$5:$E$29,$A352))),1,0))</f>
        <v/>
      </c>
      <c r="H352" s="47">
        <f>IF($G352=0,0,IF(INDEX(Employees!$D$5:$D$29,$A352)="",0,DATEDIF(INDEX(Employees!$D$5:$D$29,$A352),$E352,"y")))</f>
        <v/>
      </c>
      <c r="I352" s="48">
        <f>IF($G352=0,0,IF(INDEX('Hours Worked'!$D$5:$BD$29,$A352,$B352)="",N(INDEX(Employees!$H$5:$H$29,$A352)),INDEX('Hours Worked'!$D$5:$BD$29,$A352,$B352)))</f>
        <v/>
      </c>
      <c r="J352" s="48">
        <f>IF(OR($G352=0,INDEX(Employees!$O$5:$O$29,$A352)&lt;&gt;"Yes"),0,IF(COUNTIF(Settings!$D$4:$D$9,"&lt;="&amp;$H352)=0,0,INDEX(Settings!$E$4:$E$9,COUNTIF(Settings!$D$4:$D$9,"&lt;="&amp;$H352))))</f>
        <v/>
      </c>
      <c r="K352" s="48">
        <f>IF($G352=0,0,IF(INDEX(Employees!$I$5:$I$29,$A352)="Per pay period",(N(INDEX(Employees!$J$5:$J$29,$A352))+$J352)/Settings!$B$13,IF(INDEX(Employees!$I$5:$I$29,$A352)="Per hour worked",N(INDEX(Employees!$K$5:$K$29,$A352))*$I352,IF(INDEX(Employees!$I$5:$I$29,$A352)="Front-loaded",IF(OR($B352=1,N($G351)=0),N(INDEX(Employees!$J$5:$J$29,$A352))+$J352,0),0))))</f>
        <v/>
      </c>
      <c r="L352" s="48">
        <f>IF($F352=0,0,SUMIFS('Time Off Log'!$H$5:$H$504,'Time Off Log'!$A$5:$A$504,$C352,'Time Off Log'!$B$5:$B$504,"PTO",'Time Off Log'!$E$5:$E$504,"Approved",'Time Off Log'!$C$5:$C$504,"&gt;="&amp;INDEX(Periods!$E$5:$E$57,$B352),'Time Off Log'!$C$5:$C$504,"&lt;="&amp;INDEX(Periods!$F$5:$F$57,$B352)))</f>
        <v/>
      </c>
      <c r="M352" s="48">
        <f>IF($B352=1,N(INDEX(Employees!$N$5:$N$29,$A352)),P351)</f>
        <v/>
      </c>
      <c r="N352" s="48">
        <f>IF(INDEX(Employees!$L$5:$L$29,$A352)="",K352,MAX(0,MIN(K352,INDEX(Employees!$L$5:$L$29,$A352)-(M352-L352))))</f>
        <v/>
      </c>
      <c r="O352" s="48">
        <f>K352-N352</f>
        <v/>
      </c>
      <c r="P352" s="48">
        <f>M352-L352+N352</f>
        <v/>
      </c>
      <c r="Q352" s="48">
        <f>IF($G352=0,0,IF(INDEX(Employees!$P$5:$P$29,$A352)="Per pay period",(N(INDEX(Employees!$Q$5:$Q$29,$A352)))/Settings!$B$13,IF(INDEX(Employees!$P$5:$P$29,$A352)="Per hour worked",N(INDEX(Employees!$R$5:$R$29,$A352))*$I352,IF(INDEX(Employees!$P$5:$P$29,$A352)="Front-loaded",IF(OR($B352=1,N($G351)=0),N(INDEX(Employees!$Q$5:$Q$29,$A352)),0),0))))</f>
        <v/>
      </c>
      <c r="R352" s="48">
        <f>IF($F352=0,0,SUMIFS('Time Off Log'!$H$5:$H$504,'Time Off Log'!$A$5:$A$504,$C352,'Time Off Log'!$B$5:$B$504,"Sick",'Time Off Log'!$E$5:$E$504,"Approved",'Time Off Log'!$C$5:$C$504,"&gt;="&amp;INDEX(Periods!$E$5:$E$57,$B352),'Time Off Log'!$C$5:$C$504,"&lt;="&amp;INDEX(Periods!$F$5:$F$57,$B352)))</f>
        <v/>
      </c>
      <c r="S352" s="48">
        <f>IF($B352=1,N(INDEX(Employees!$T$5:$T$29,$A352)),V351)</f>
        <v/>
      </c>
      <c r="T352" s="48">
        <f>IF(INDEX(Employees!$S$5:$S$29,$A352)="",Q352,MAX(0,MIN(Q352,INDEX(Employees!$S$5:$S$29,$A352)-(S352-R352))))</f>
        <v/>
      </c>
      <c r="U352" s="48">
        <f>Q352-T352</f>
        <v/>
      </c>
      <c r="V352" s="48">
        <f>S352-R352+T352</f>
        <v/>
      </c>
    </row>
    <row r="353">
      <c r="A353" s="47" t="n">
        <v>7</v>
      </c>
      <c r="B353" s="47" t="n">
        <v>31</v>
      </c>
      <c r="C353" s="48">
        <f>INDEX(Employees!$B$5:$B$29,$A353)&amp;""</f>
        <v/>
      </c>
      <c r="D353" s="49">
        <f>INDEX(Periods!$B$5:$B$57,$B353)</f>
        <v/>
      </c>
      <c r="E353" s="49">
        <f>INDEX(Periods!$C$5:$C$57,$B353)</f>
        <v/>
      </c>
      <c r="F353" s="47">
        <f>IF(AND($C353&lt;&gt;"",INDEX(Periods!$D$5:$D$57,$B353)=1),1,0)</f>
        <v/>
      </c>
      <c r="G353" s="47">
        <f>IF($F353=0,0,IF(AND(OR(INDEX(Employees!$D$5:$D$29,$A353)="",$E353&gt;=INDEX(Employees!$D$5:$D$29,$A353)+N(INDEX(Employees!$U$5:$U$29,$A353))),OR(INDEX(Employees!$E$5:$E$29,$A353)="",$D353&lt;=INDEX(Employees!$E$5:$E$29,$A353))),1,0))</f>
        <v/>
      </c>
      <c r="H353" s="47">
        <f>IF($G353=0,0,IF(INDEX(Employees!$D$5:$D$29,$A353)="",0,DATEDIF(INDEX(Employees!$D$5:$D$29,$A353),$E353,"y")))</f>
        <v/>
      </c>
      <c r="I353" s="48">
        <f>IF($G353=0,0,IF(INDEX('Hours Worked'!$D$5:$BD$29,$A353,$B353)="",N(INDEX(Employees!$H$5:$H$29,$A353)),INDEX('Hours Worked'!$D$5:$BD$29,$A353,$B353)))</f>
        <v/>
      </c>
      <c r="J353" s="48">
        <f>IF(OR($G353=0,INDEX(Employees!$O$5:$O$29,$A353)&lt;&gt;"Yes"),0,IF(COUNTIF(Settings!$D$4:$D$9,"&lt;="&amp;$H353)=0,0,INDEX(Settings!$E$4:$E$9,COUNTIF(Settings!$D$4:$D$9,"&lt;="&amp;$H353))))</f>
        <v/>
      </c>
      <c r="K353" s="48">
        <f>IF($G353=0,0,IF(INDEX(Employees!$I$5:$I$29,$A353)="Per pay period",(N(INDEX(Employees!$J$5:$J$29,$A353))+$J353)/Settings!$B$13,IF(INDEX(Employees!$I$5:$I$29,$A353)="Per hour worked",N(INDEX(Employees!$K$5:$K$29,$A353))*$I353,IF(INDEX(Employees!$I$5:$I$29,$A353)="Front-loaded",IF(OR($B353=1,N($G352)=0),N(INDEX(Employees!$J$5:$J$29,$A353))+$J353,0),0))))</f>
        <v/>
      </c>
      <c r="L353" s="48">
        <f>IF($F353=0,0,SUMIFS('Time Off Log'!$H$5:$H$504,'Time Off Log'!$A$5:$A$504,$C353,'Time Off Log'!$B$5:$B$504,"PTO",'Time Off Log'!$E$5:$E$504,"Approved",'Time Off Log'!$C$5:$C$504,"&gt;="&amp;INDEX(Periods!$E$5:$E$57,$B353),'Time Off Log'!$C$5:$C$504,"&lt;="&amp;INDEX(Periods!$F$5:$F$57,$B353)))</f>
        <v/>
      </c>
      <c r="M353" s="48">
        <f>IF($B353=1,N(INDEX(Employees!$N$5:$N$29,$A353)),P352)</f>
        <v/>
      </c>
      <c r="N353" s="48">
        <f>IF(INDEX(Employees!$L$5:$L$29,$A353)="",K353,MAX(0,MIN(K353,INDEX(Employees!$L$5:$L$29,$A353)-(M353-L353))))</f>
        <v/>
      </c>
      <c r="O353" s="48">
        <f>K353-N353</f>
        <v/>
      </c>
      <c r="P353" s="48">
        <f>M353-L353+N353</f>
        <v/>
      </c>
      <c r="Q353" s="48">
        <f>IF($G353=0,0,IF(INDEX(Employees!$P$5:$P$29,$A353)="Per pay period",(N(INDEX(Employees!$Q$5:$Q$29,$A353)))/Settings!$B$13,IF(INDEX(Employees!$P$5:$P$29,$A353)="Per hour worked",N(INDEX(Employees!$R$5:$R$29,$A353))*$I353,IF(INDEX(Employees!$P$5:$P$29,$A353)="Front-loaded",IF(OR($B353=1,N($G352)=0),N(INDEX(Employees!$Q$5:$Q$29,$A353)),0),0))))</f>
        <v/>
      </c>
      <c r="R353" s="48">
        <f>IF($F353=0,0,SUMIFS('Time Off Log'!$H$5:$H$504,'Time Off Log'!$A$5:$A$504,$C353,'Time Off Log'!$B$5:$B$504,"Sick",'Time Off Log'!$E$5:$E$504,"Approved",'Time Off Log'!$C$5:$C$504,"&gt;="&amp;INDEX(Periods!$E$5:$E$57,$B353),'Time Off Log'!$C$5:$C$504,"&lt;="&amp;INDEX(Periods!$F$5:$F$57,$B353)))</f>
        <v/>
      </c>
      <c r="S353" s="48">
        <f>IF($B353=1,N(INDEX(Employees!$T$5:$T$29,$A353)),V352)</f>
        <v/>
      </c>
      <c r="T353" s="48">
        <f>IF(INDEX(Employees!$S$5:$S$29,$A353)="",Q353,MAX(0,MIN(Q353,INDEX(Employees!$S$5:$S$29,$A353)-(S353-R353))))</f>
        <v/>
      </c>
      <c r="U353" s="48">
        <f>Q353-T353</f>
        <v/>
      </c>
      <c r="V353" s="48">
        <f>S353-R353+T353</f>
        <v/>
      </c>
    </row>
    <row r="354">
      <c r="A354" s="47" t="n">
        <v>7</v>
      </c>
      <c r="B354" s="47" t="n">
        <v>32</v>
      </c>
      <c r="C354" s="48">
        <f>INDEX(Employees!$B$5:$B$29,$A354)&amp;""</f>
        <v/>
      </c>
      <c r="D354" s="49">
        <f>INDEX(Periods!$B$5:$B$57,$B354)</f>
        <v/>
      </c>
      <c r="E354" s="49">
        <f>INDEX(Periods!$C$5:$C$57,$B354)</f>
        <v/>
      </c>
      <c r="F354" s="47">
        <f>IF(AND($C354&lt;&gt;"",INDEX(Periods!$D$5:$D$57,$B354)=1),1,0)</f>
        <v/>
      </c>
      <c r="G354" s="47">
        <f>IF($F354=0,0,IF(AND(OR(INDEX(Employees!$D$5:$D$29,$A354)="",$E354&gt;=INDEX(Employees!$D$5:$D$29,$A354)+N(INDEX(Employees!$U$5:$U$29,$A354))),OR(INDEX(Employees!$E$5:$E$29,$A354)="",$D354&lt;=INDEX(Employees!$E$5:$E$29,$A354))),1,0))</f>
        <v/>
      </c>
      <c r="H354" s="47">
        <f>IF($G354=0,0,IF(INDEX(Employees!$D$5:$D$29,$A354)="",0,DATEDIF(INDEX(Employees!$D$5:$D$29,$A354),$E354,"y")))</f>
        <v/>
      </c>
      <c r="I354" s="48">
        <f>IF($G354=0,0,IF(INDEX('Hours Worked'!$D$5:$BD$29,$A354,$B354)="",N(INDEX(Employees!$H$5:$H$29,$A354)),INDEX('Hours Worked'!$D$5:$BD$29,$A354,$B354)))</f>
        <v/>
      </c>
      <c r="J354" s="48">
        <f>IF(OR($G354=0,INDEX(Employees!$O$5:$O$29,$A354)&lt;&gt;"Yes"),0,IF(COUNTIF(Settings!$D$4:$D$9,"&lt;="&amp;$H354)=0,0,INDEX(Settings!$E$4:$E$9,COUNTIF(Settings!$D$4:$D$9,"&lt;="&amp;$H354))))</f>
        <v/>
      </c>
      <c r="K354" s="48">
        <f>IF($G354=0,0,IF(INDEX(Employees!$I$5:$I$29,$A354)="Per pay period",(N(INDEX(Employees!$J$5:$J$29,$A354))+$J354)/Settings!$B$13,IF(INDEX(Employees!$I$5:$I$29,$A354)="Per hour worked",N(INDEX(Employees!$K$5:$K$29,$A354))*$I354,IF(INDEX(Employees!$I$5:$I$29,$A354)="Front-loaded",IF(OR($B354=1,N($G353)=0),N(INDEX(Employees!$J$5:$J$29,$A354))+$J354,0),0))))</f>
        <v/>
      </c>
      <c r="L354" s="48">
        <f>IF($F354=0,0,SUMIFS('Time Off Log'!$H$5:$H$504,'Time Off Log'!$A$5:$A$504,$C354,'Time Off Log'!$B$5:$B$504,"PTO",'Time Off Log'!$E$5:$E$504,"Approved",'Time Off Log'!$C$5:$C$504,"&gt;="&amp;INDEX(Periods!$E$5:$E$57,$B354),'Time Off Log'!$C$5:$C$504,"&lt;="&amp;INDEX(Periods!$F$5:$F$57,$B354)))</f>
        <v/>
      </c>
      <c r="M354" s="48">
        <f>IF($B354=1,N(INDEX(Employees!$N$5:$N$29,$A354)),P353)</f>
        <v/>
      </c>
      <c r="N354" s="48">
        <f>IF(INDEX(Employees!$L$5:$L$29,$A354)="",K354,MAX(0,MIN(K354,INDEX(Employees!$L$5:$L$29,$A354)-(M354-L354))))</f>
        <v/>
      </c>
      <c r="O354" s="48">
        <f>K354-N354</f>
        <v/>
      </c>
      <c r="P354" s="48">
        <f>M354-L354+N354</f>
        <v/>
      </c>
      <c r="Q354" s="48">
        <f>IF($G354=0,0,IF(INDEX(Employees!$P$5:$P$29,$A354)="Per pay period",(N(INDEX(Employees!$Q$5:$Q$29,$A354)))/Settings!$B$13,IF(INDEX(Employees!$P$5:$P$29,$A354)="Per hour worked",N(INDEX(Employees!$R$5:$R$29,$A354))*$I354,IF(INDEX(Employees!$P$5:$P$29,$A354)="Front-loaded",IF(OR($B354=1,N($G353)=0),N(INDEX(Employees!$Q$5:$Q$29,$A354)),0),0))))</f>
        <v/>
      </c>
      <c r="R354" s="48">
        <f>IF($F354=0,0,SUMIFS('Time Off Log'!$H$5:$H$504,'Time Off Log'!$A$5:$A$504,$C354,'Time Off Log'!$B$5:$B$504,"Sick",'Time Off Log'!$E$5:$E$504,"Approved",'Time Off Log'!$C$5:$C$504,"&gt;="&amp;INDEX(Periods!$E$5:$E$57,$B354),'Time Off Log'!$C$5:$C$504,"&lt;="&amp;INDEX(Periods!$F$5:$F$57,$B354)))</f>
        <v/>
      </c>
      <c r="S354" s="48">
        <f>IF($B354=1,N(INDEX(Employees!$T$5:$T$29,$A354)),V353)</f>
        <v/>
      </c>
      <c r="T354" s="48">
        <f>IF(INDEX(Employees!$S$5:$S$29,$A354)="",Q354,MAX(0,MIN(Q354,INDEX(Employees!$S$5:$S$29,$A354)-(S354-R354))))</f>
        <v/>
      </c>
      <c r="U354" s="48">
        <f>Q354-T354</f>
        <v/>
      </c>
      <c r="V354" s="48">
        <f>S354-R354+T354</f>
        <v/>
      </c>
    </row>
    <row r="355">
      <c r="A355" s="47" t="n">
        <v>7</v>
      </c>
      <c r="B355" s="47" t="n">
        <v>33</v>
      </c>
      <c r="C355" s="48">
        <f>INDEX(Employees!$B$5:$B$29,$A355)&amp;""</f>
        <v/>
      </c>
      <c r="D355" s="49">
        <f>INDEX(Periods!$B$5:$B$57,$B355)</f>
        <v/>
      </c>
      <c r="E355" s="49">
        <f>INDEX(Periods!$C$5:$C$57,$B355)</f>
        <v/>
      </c>
      <c r="F355" s="47">
        <f>IF(AND($C355&lt;&gt;"",INDEX(Periods!$D$5:$D$57,$B355)=1),1,0)</f>
        <v/>
      </c>
      <c r="G355" s="47">
        <f>IF($F355=0,0,IF(AND(OR(INDEX(Employees!$D$5:$D$29,$A355)="",$E355&gt;=INDEX(Employees!$D$5:$D$29,$A355)+N(INDEX(Employees!$U$5:$U$29,$A355))),OR(INDEX(Employees!$E$5:$E$29,$A355)="",$D355&lt;=INDEX(Employees!$E$5:$E$29,$A355))),1,0))</f>
        <v/>
      </c>
      <c r="H355" s="47">
        <f>IF($G355=0,0,IF(INDEX(Employees!$D$5:$D$29,$A355)="",0,DATEDIF(INDEX(Employees!$D$5:$D$29,$A355),$E355,"y")))</f>
        <v/>
      </c>
      <c r="I355" s="48">
        <f>IF($G355=0,0,IF(INDEX('Hours Worked'!$D$5:$BD$29,$A355,$B355)="",N(INDEX(Employees!$H$5:$H$29,$A355)),INDEX('Hours Worked'!$D$5:$BD$29,$A355,$B355)))</f>
        <v/>
      </c>
      <c r="J355" s="48">
        <f>IF(OR($G355=0,INDEX(Employees!$O$5:$O$29,$A355)&lt;&gt;"Yes"),0,IF(COUNTIF(Settings!$D$4:$D$9,"&lt;="&amp;$H355)=0,0,INDEX(Settings!$E$4:$E$9,COUNTIF(Settings!$D$4:$D$9,"&lt;="&amp;$H355))))</f>
        <v/>
      </c>
      <c r="K355" s="48">
        <f>IF($G355=0,0,IF(INDEX(Employees!$I$5:$I$29,$A355)="Per pay period",(N(INDEX(Employees!$J$5:$J$29,$A355))+$J355)/Settings!$B$13,IF(INDEX(Employees!$I$5:$I$29,$A355)="Per hour worked",N(INDEX(Employees!$K$5:$K$29,$A355))*$I355,IF(INDEX(Employees!$I$5:$I$29,$A355)="Front-loaded",IF(OR($B355=1,N($G354)=0),N(INDEX(Employees!$J$5:$J$29,$A355))+$J355,0),0))))</f>
        <v/>
      </c>
      <c r="L355" s="48">
        <f>IF($F355=0,0,SUMIFS('Time Off Log'!$H$5:$H$504,'Time Off Log'!$A$5:$A$504,$C355,'Time Off Log'!$B$5:$B$504,"PTO",'Time Off Log'!$E$5:$E$504,"Approved",'Time Off Log'!$C$5:$C$504,"&gt;="&amp;INDEX(Periods!$E$5:$E$57,$B355),'Time Off Log'!$C$5:$C$504,"&lt;="&amp;INDEX(Periods!$F$5:$F$57,$B355)))</f>
        <v/>
      </c>
      <c r="M355" s="48">
        <f>IF($B355=1,N(INDEX(Employees!$N$5:$N$29,$A355)),P354)</f>
        <v/>
      </c>
      <c r="N355" s="48">
        <f>IF(INDEX(Employees!$L$5:$L$29,$A355)="",K355,MAX(0,MIN(K355,INDEX(Employees!$L$5:$L$29,$A355)-(M355-L355))))</f>
        <v/>
      </c>
      <c r="O355" s="48">
        <f>K355-N355</f>
        <v/>
      </c>
      <c r="P355" s="48">
        <f>M355-L355+N355</f>
        <v/>
      </c>
      <c r="Q355" s="48">
        <f>IF($G355=0,0,IF(INDEX(Employees!$P$5:$P$29,$A355)="Per pay period",(N(INDEX(Employees!$Q$5:$Q$29,$A355)))/Settings!$B$13,IF(INDEX(Employees!$P$5:$P$29,$A355)="Per hour worked",N(INDEX(Employees!$R$5:$R$29,$A355))*$I355,IF(INDEX(Employees!$P$5:$P$29,$A355)="Front-loaded",IF(OR($B355=1,N($G354)=0),N(INDEX(Employees!$Q$5:$Q$29,$A355)),0),0))))</f>
        <v/>
      </c>
      <c r="R355" s="48">
        <f>IF($F355=0,0,SUMIFS('Time Off Log'!$H$5:$H$504,'Time Off Log'!$A$5:$A$504,$C355,'Time Off Log'!$B$5:$B$504,"Sick",'Time Off Log'!$E$5:$E$504,"Approved",'Time Off Log'!$C$5:$C$504,"&gt;="&amp;INDEX(Periods!$E$5:$E$57,$B355),'Time Off Log'!$C$5:$C$504,"&lt;="&amp;INDEX(Periods!$F$5:$F$57,$B355)))</f>
        <v/>
      </c>
      <c r="S355" s="48">
        <f>IF($B355=1,N(INDEX(Employees!$T$5:$T$29,$A355)),V354)</f>
        <v/>
      </c>
      <c r="T355" s="48">
        <f>IF(INDEX(Employees!$S$5:$S$29,$A355)="",Q355,MAX(0,MIN(Q355,INDEX(Employees!$S$5:$S$29,$A355)-(S355-R355))))</f>
        <v/>
      </c>
      <c r="U355" s="48">
        <f>Q355-T355</f>
        <v/>
      </c>
      <c r="V355" s="48">
        <f>S355-R355+T355</f>
        <v/>
      </c>
    </row>
    <row r="356">
      <c r="A356" s="47" t="n">
        <v>7</v>
      </c>
      <c r="B356" s="47" t="n">
        <v>34</v>
      </c>
      <c r="C356" s="48">
        <f>INDEX(Employees!$B$5:$B$29,$A356)&amp;""</f>
        <v/>
      </c>
      <c r="D356" s="49">
        <f>INDEX(Periods!$B$5:$B$57,$B356)</f>
        <v/>
      </c>
      <c r="E356" s="49">
        <f>INDEX(Periods!$C$5:$C$57,$B356)</f>
        <v/>
      </c>
      <c r="F356" s="47">
        <f>IF(AND($C356&lt;&gt;"",INDEX(Periods!$D$5:$D$57,$B356)=1),1,0)</f>
        <v/>
      </c>
      <c r="G356" s="47">
        <f>IF($F356=0,0,IF(AND(OR(INDEX(Employees!$D$5:$D$29,$A356)="",$E356&gt;=INDEX(Employees!$D$5:$D$29,$A356)+N(INDEX(Employees!$U$5:$U$29,$A356))),OR(INDEX(Employees!$E$5:$E$29,$A356)="",$D356&lt;=INDEX(Employees!$E$5:$E$29,$A356))),1,0))</f>
        <v/>
      </c>
      <c r="H356" s="47">
        <f>IF($G356=0,0,IF(INDEX(Employees!$D$5:$D$29,$A356)="",0,DATEDIF(INDEX(Employees!$D$5:$D$29,$A356),$E356,"y")))</f>
        <v/>
      </c>
      <c r="I356" s="48">
        <f>IF($G356=0,0,IF(INDEX('Hours Worked'!$D$5:$BD$29,$A356,$B356)="",N(INDEX(Employees!$H$5:$H$29,$A356)),INDEX('Hours Worked'!$D$5:$BD$29,$A356,$B356)))</f>
        <v/>
      </c>
      <c r="J356" s="48">
        <f>IF(OR($G356=0,INDEX(Employees!$O$5:$O$29,$A356)&lt;&gt;"Yes"),0,IF(COUNTIF(Settings!$D$4:$D$9,"&lt;="&amp;$H356)=0,0,INDEX(Settings!$E$4:$E$9,COUNTIF(Settings!$D$4:$D$9,"&lt;="&amp;$H356))))</f>
        <v/>
      </c>
      <c r="K356" s="48">
        <f>IF($G356=0,0,IF(INDEX(Employees!$I$5:$I$29,$A356)="Per pay period",(N(INDEX(Employees!$J$5:$J$29,$A356))+$J356)/Settings!$B$13,IF(INDEX(Employees!$I$5:$I$29,$A356)="Per hour worked",N(INDEX(Employees!$K$5:$K$29,$A356))*$I356,IF(INDEX(Employees!$I$5:$I$29,$A356)="Front-loaded",IF(OR($B356=1,N($G355)=0),N(INDEX(Employees!$J$5:$J$29,$A356))+$J356,0),0))))</f>
        <v/>
      </c>
      <c r="L356" s="48">
        <f>IF($F356=0,0,SUMIFS('Time Off Log'!$H$5:$H$504,'Time Off Log'!$A$5:$A$504,$C356,'Time Off Log'!$B$5:$B$504,"PTO",'Time Off Log'!$E$5:$E$504,"Approved",'Time Off Log'!$C$5:$C$504,"&gt;="&amp;INDEX(Periods!$E$5:$E$57,$B356),'Time Off Log'!$C$5:$C$504,"&lt;="&amp;INDEX(Periods!$F$5:$F$57,$B356)))</f>
        <v/>
      </c>
      <c r="M356" s="48">
        <f>IF($B356=1,N(INDEX(Employees!$N$5:$N$29,$A356)),P355)</f>
        <v/>
      </c>
      <c r="N356" s="48">
        <f>IF(INDEX(Employees!$L$5:$L$29,$A356)="",K356,MAX(0,MIN(K356,INDEX(Employees!$L$5:$L$29,$A356)-(M356-L356))))</f>
        <v/>
      </c>
      <c r="O356" s="48">
        <f>K356-N356</f>
        <v/>
      </c>
      <c r="P356" s="48">
        <f>M356-L356+N356</f>
        <v/>
      </c>
      <c r="Q356" s="48">
        <f>IF($G356=0,0,IF(INDEX(Employees!$P$5:$P$29,$A356)="Per pay period",(N(INDEX(Employees!$Q$5:$Q$29,$A356)))/Settings!$B$13,IF(INDEX(Employees!$P$5:$P$29,$A356)="Per hour worked",N(INDEX(Employees!$R$5:$R$29,$A356))*$I356,IF(INDEX(Employees!$P$5:$P$29,$A356)="Front-loaded",IF(OR($B356=1,N($G355)=0),N(INDEX(Employees!$Q$5:$Q$29,$A356)),0),0))))</f>
        <v/>
      </c>
      <c r="R356" s="48">
        <f>IF($F356=0,0,SUMIFS('Time Off Log'!$H$5:$H$504,'Time Off Log'!$A$5:$A$504,$C356,'Time Off Log'!$B$5:$B$504,"Sick",'Time Off Log'!$E$5:$E$504,"Approved",'Time Off Log'!$C$5:$C$504,"&gt;="&amp;INDEX(Periods!$E$5:$E$57,$B356),'Time Off Log'!$C$5:$C$504,"&lt;="&amp;INDEX(Periods!$F$5:$F$57,$B356)))</f>
        <v/>
      </c>
      <c r="S356" s="48">
        <f>IF($B356=1,N(INDEX(Employees!$T$5:$T$29,$A356)),V355)</f>
        <v/>
      </c>
      <c r="T356" s="48">
        <f>IF(INDEX(Employees!$S$5:$S$29,$A356)="",Q356,MAX(0,MIN(Q356,INDEX(Employees!$S$5:$S$29,$A356)-(S356-R356))))</f>
        <v/>
      </c>
      <c r="U356" s="48">
        <f>Q356-T356</f>
        <v/>
      </c>
      <c r="V356" s="48">
        <f>S356-R356+T356</f>
        <v/>
      </c>
    </row>
    <row r="357">
      <c r="A357" s="47" t="n">
        <v>7</v>
      </c>
      <c r="B357" s="47" t="n">
        <v>35</v>
      </c>
      <c r="C357" s="48">
        <f>INDEX(Employees!$B$5:$B$29,$A357)&amp;""</f>
        <v/>
      </c>
      <c r="D357" s="49">
        <f>INDEX(Periods!$B$5:$B$57,$B357)</f>
        <v/>
      </c>
      <c r="E357" s="49">
        <f>INDEX(Periods!$C$5:$C$57,$B357)</f>
        <v/>
      </c>
      <c r="F357" s="47">
        <f>IF(AND($C357&lt;&gt;"",INDEX(Periods!$D$5:$D$57,$B357)=1),1,0)</f>
        <v/>
      </c>
      <c r="G357" s="47">
        <f>IF($F357=0,0,IF(AND(OR(INDEX(Employees!$D$5:$D$29,$A357)="",$E357&gt;=INDEX(Employees!$D$5:$D$29,$A357)+N(INDEX(Employees!$U$5:$U$29,$A357))),OR(INDEX(Employees!$E$5:$E$29,$A357)="",$D357&lt;=INDEX(Employees!$E$5:$E$29,$A357))),1,0))</f>
        <v/>
      </c>
      <c r="H357" s="47">
        <f>IF($G357=0,0,IF(INDEX(Employees!$D$5:$D$29,$A357)="",0,DATEDIF(INDEX(Employees!$D$5:$D$29,$A357),$E357,"y")))</f>
        <v/>
      </c>
      <c r="I357" s="48">
        <f>IF($G357=0,0,IF(INDEX('Hours Worked'!$D$5:$BD$29,$A357,$B357)="",N(INDEX(Employees!$H$5:$H$29,$A357)),INDEX('Hours Worked'!$D$5:$BD$29,$A357,$B357)))</f>
        <v/>
      </c>
      <c r="J357" s="48">
        <f>IF(OR($G357=0,INDEX(Employees!$O$5:$O$29,$A357)&lt;&gt;"Yes"),0,IF(COUNTIF(Settings!$D$4:$D$9,"&lt;="&amp;$H357)=0,0,INDEX(Settings!$E$4:$E$9,COUNTIF(Settings!$D$4:$D$9,"&lt;="&amp;$H357))))</f>
        <v/>
      </c>
      <c r="K357" s="48">
        <f>IF($G357=0,0,IF(INDEX(Employees!$I$5:$I$29,$A357)="Per pay period",(N(INDEX(Employees!$J$5:$J$29,$A357))+$J357)/Settings!$B$13,IF(INDEX(Employees!$I$5:$I$29,$A357)="Per hour worked",N(INDEX(Employees!$K$5:$K$29,$A357))*$I357,IF(INDEX(Employees!$I$5:$I$29,$A357)="Front-loaded",IF(OR($B357=1,N($G356)=0),N(INDEX(Employees!$J$5:$J$29,$A357))+$J357,0),0))))</f>
        <v/>
      </c>
      <c r="L357" s="48">
        <f>IF($F357=0,0,SUMIFS('Time Off Log'!$H$5:$H$504,'Time Off Log'!$A$5:$A$504,$C357,'Time Off Log'!$B$5:$B$504,"PTO",'Time Off Log'!$E$5:$E$504,"Approved",'Time Off Log'!$C$5:$C$504,"&gt;="&amp;INDEX(Periods!$E$5:$E$57,$B357),'Time Off Log'!$C$5:$C$504,"&lt;="&amp;INDEX(Periods!$F$5:$F$57,$B357)))</f>
        <v/>
      </c>
      <c r="M357" s="48">
        <f>IF($B357=1,N(INDEX(Employees!$N$5:$N$29,$A357)),P356)</f>
        <v/>
      </c>
      <c r="N357" s="48">
        <f>IF(INDEX(Employees!$L$5:$L$29,$A357)="",K357,MAX(0,MIN(K357,INDEX(Employees!$L$5:$L$29,$A357)-(M357-L357))))</f>
        <v/>
      </c>
      <c r="O357" s="48">
        <f>K357-N357</f>
        <v/>
      </c>
      <c r="P357" s="48">
        <f>M357-L357+N357</f>
        <v/>
      </c>
      <c r="Q357" s="48">
        <f>IF($G357=0,0,IF(INDEX(Employees!$P$5:$P$29,$A357)="Per pay period",(N(INDEX(Employees!$Q$5:$Q$29,$A357)))/Settings!$B$13,IF(INDEX(Employees!$P$5:$P$29,$A357)="Per hour worked",N(INDEX(Employees!$R$5:$R$29,$A357))*$I357,IF(INDEX(Employees!$P$5:$P$29,$A357)="Front-loaded",IF(OR($B357=1,N($G356)=0),N(INDEX(Employees!$Q$5:$Q$29,$A357)),0),0))))</f>
        <v/>
      </c>
      <c r="R357" s="48">
        <f>IF($F357=0,0,SUMIFS('Time Off Log'!$H$5:$H$504,'Time Off Log'!$A$5:$A$504,$C357,'Time Off Log'!$B$5:$B$504,"Sick",'Time Off Log'!$E$5:$E$504,"Approved",'Time Off Log'!$C$5:$C$504,"&gt;="&amp;INDEX(Periods!$E$5:$E$57,$B357),'Time Off Log'!$C$5:$C$504,"&lt;="&amp;INDEX(Periods!$F$5:$F$57,$B357)))</f>
        <v/>
      </c>
      <c r="S357" s="48">
        <f>IF($B357=1,N(INDEX(Employees!$T$5:$T$29,$A357)),V356)</f>
        <v/>
      </c>
      <c r="T357" s="48">
        <f>IF(INDEX(Employees!$S$5:$S$29,$A357)="",Q357,MAX(0,MIN(Q357,INDEX(Employees!$S$5:$S$29,$A357)-(S357-R357))))</f>
        <v/>
      </c>
      <c r="U357" s="48">
        <f>Q357-T357</f>
        <v/>
      </c>
      <c r="V357" s="48">
        <f>S357-R357+T357</f>
        <v/>
      </c>
    </row>
    <row r="358">
      <c r="A358" s="47" t="n">
        <v>7</v>
      </c>
      <c r="B358" s="47" t="n">
        <v>36</v>
      </c>
      <c r="C358" s="48">
        <f>INDEX(Employees!$B$5:$B$29,$A358)&amp;""</f>
        <v/>
      </c>
      <c r="D358" s="49">
        <f>INDEX(Periods!$B$5:$B$57,$B358)</f>
        <v/>
      </c>
      <c r="E358" s="49">
        <f>INDEX(Periods!$C$5:$C$57,$B358)</f>
        <v/>
      </c>
      <c r="F358" s="47">
        <f>IF(AND($C358&lt;&gt;"",INDEX(Periods!$D$5:$D$57,$B358)=1),1,0)</f>
        <v/>
      </c>
      <c r="G358" s="47">
        <f>IF($F358=0,0,IF(AND(OR(INDEX(Employees!$D$5:$D$29,$A358)="",$E358&gt;=INDEX(Employees!$D$5:$D$29,$A358)+N(INDEX(Employees!$U$5:$U$29,$A358))),OR(INDEX(Employees!$E$5:$E$29,$A358)="",$D358&lt;=INDEX(Employees!$E$5:$E$29,$A358))),1,0))</f>
        <v/>
      </c>
      <c r="H358" s="47">
        <f>IF($G358=0,0,IF(INDEX(Employees!$D$5:$D$29,$A358)="",0,DATEDIF(INDEX(Employees!$D$5:$D$29,$A358),$E358,"y")))</f>
        <v/>
      </c>
      <c r="I358" s="48">
        <f>IF($G358=0,0,IF(INDEX('Hours Worked'!$D$5:$BD$29,$A358,$B358)="",N(INDEX(Employees!$H$5:$H$29,$A358)),INDEX('Hours Worked'!$D$5:$BD$29,$A358,$B358)))</f>
        <v/>
      </c>
      <c r="J358" s="48">
        <f>IF(OR($G358=0,INDEX(Employees!$O$5:$O$29,$A358)&lt;&gt;"Yes"),0,IF(COUNTIF(Settings!$D$4:$D$9,"&lt;="&amp;$H358)=0,0,INDEX(Settings!$E$4:$E$9,COUNTIF(Settings!$D$4:$D$9,"&lt;="&amp;$H358))))</f>
        <v/>
      </c>
      <c r="K358" s="48">
        <f>IF($G358=0,0,IF(INDEX(Employees!$I$5:$I$29,$A358)="Per pay period",(N(INDEX(Employees!$J$5:$J$29,$A358))+$J358)/Settings!$B$13,IF(INDEX(Employees!$I$5:$I$29,$A358)="Per hour worked",N(INDEX(Employees!$K$5:$K$29,$A358))*$I358,IF(INDEX(Employees!$I$5:$I$29,$A358)="Front-loaded",IF(OR($B358=1,N($G357)=0),N(INDEX(Employees!$J$5:$J$29,$A358))+$J358,0),0))))</f>
        <v/>
      </c>
      <c r="L358" s="48">
        <f>IF($F358=0,0,SUMIFS('Time Off Log'!$H$5:$H$504,'Time Off Log'!$A$5:$A$504,$C358,'Time Off Log'!$B$5:$B$504,"PTO",'Time Off Log'!$E$5:$E$504,"Approved",'Time Off Log'!$C$5:$C$504,"&gt;="&amp;INDEX(Periods!$E$5:$E$57,$B358),'Time Off Log'!$C$5:$C$504,"&lt;="&amp;INDEX(Periods!$F$5:$F$57,$B358)))</f>
        <v/>
      </c>
      <c r="M358" s="48">
        <f>IF($B358=1,N(INDEX(Employees!$N$5:$N$29,$A358)),P357)</f>
        <v/>
      </c>
      <c r="N358" s="48">
        <f>IF(INDEX(Employees!$L$5:$L$29,$A358)="",K358,MAX(0,MIN(K358,INDEX(Employees!$L$5:$L$29,$A358)-(M358-L358))))</f>
        <v/>
      </c>
      <c r="O358" s="48">
        <f>K358-N358</f>
        <v/>
      </c>
      <c r="P358" s="48">
        <f>M358-L358+N358</f>
        <v/>
      </c>
      <c r="Q358" s="48">
        <f>IF($G358=0,0,IF(INDEX(Employees!$P$5:$P$29,$A358)="Per pay period",(N(INDEX(Employees!$Q$5:$Q$29,$A358)))/Settings!$B$13,IF(INDEX(Employees!$P$5:$P$29,$A358)="Per hour worked",N(INDEX(Employees!$R$5:$R$29,$A358))*$I358,IF(INDEX(Employees!$P$5:$P$29,$A358)="Front-loaded",IF(OR($B358=1,N($G357)=0),N(INDEX(Employees!$Q$5:$Q$29,$A358)),0),0))))</f>
        <v/>
      </c>
      <c r="R358" s="48">
        <f>IF($F358=0,0,SUMIFS('Time Off Log'!$H$5:$H$504,'Time Off Log'!$A$5:$A$504,$C358,'Time Off Log'!$B$5:$B$504,"Sick",'Time Off Log'!$E$5:$E$504,"Approved",'Time Off Log'!$C$5:$C$504,"&gt;="&amp;INDEX(Periods!$E$5:$E$57,$B358),'Time Off Log'!$C$5:$C$504,"&lt;="&amp;INDEX(Periods!$F$5:$F$57,$B358)))</f>
        <v/>
      </c>
      <c r="S358" s="48">
        <f>IF($B358=1,N(INDEX(Employees!$T$5:$T$29,$A358)),V357)</f>
        <v/>
      </c>
      <c r="T358" s="48">
        <f>IF(INDEX(Employees!$S$5:$S$29,$A358)="",Q358,MAX(0,MIN(Q358,INDEX(Employees!$S$5:$S$29,$A358)-(S358-R358))))</f>
        <v/>
      </c>
      <c r="U358" s="48">
        <f>Q358-T358</f>
        <v/>
      </c>
      <c r="V358" s="48">
        <f>S358-R358+T358</f>
        <v/>
      </c>
    </row>
    <row r="359">
      <c r="A359" s="47" t="n">
        <v>7</v>
      </c>
      <c r="B359" s="47" t="n">
        <v>37</v>
      </c>
      <c r="C359" s="48">
        <f>INDEX(Employees!$B$5:$B$29,$A359)&amp;""</f>
        <v/>
      </c>
      <c r="D359" s="49">
        <f>INDEX(Periods!$B$5:$B$57,$B359)</f>
        <v/>
      </c>
      <c r="E359" s="49">
        <f>INDEX(Periods!$C$5:$C$57,$B359)</f>
        <v/>
      </c>
      <c r="F359" s="47">
        <f>IF(AND($C359&lt;&gt;"",INDEX(Periods!$D$5:$D$57,$B359)=1),1,0)</f>
        <v/>
      </c>
      <c r="G359" s="47">
        <f>IF($F359=0,0,IF(AND(OR(INDEX(Employees!$D$5:$D$29,$A359)="",$E359&gt;=INDEX(Employees!$D$5:$D$29,$A359)+N(INDEX(Employees!$U$5:$U$29,$A359))),OR(INDEX(Employees!$E$5:$E$29,$A359)="",$D359&lt;=INDEX(Employees!$E$5:$E$29,$A359))),1,0))</f>
        <v/>
      </c>
      <c r="H359" s="47">
        <f>IF($G359=0,0,IF(INDEX(Employees!$D$5:$D$29,$A359)="",0,DATEDIF(INDEX(Employees!$D$5:$D$29,$A359),$E359,"y")))</f>
        <v/>
      </c>
      <c r="I359" s="48">
        <f>IF($G359=0,0,IF(INDEX('Hours Worked'!$D$5:$BD$29,$A359,$B359)="",N(INDEX(Employees!$H$5:$H$29,$A359)),INDEX('Hours Worked'!$D$5:$BD$29,$A359,$B359)))</f>
        <v/>
      </c>
      <c r="J359" s="48">
        <f>IF(OR($G359=0,INDEX(Employees!$O$5:$O$29,$A359)&lt;&gt;"Yes"),0,IF(COUNTIF(Settings!$D$4:$D$9,"&lt;="&amp;$H359)=0,0,INDEX(Settings!$E$4:$E$9,COUNTIF(Settings!$D$4:$D$9,"&lt;="&amp;$H359))))</f>
        <v/>
      </c>
      <c r="K359" s="48">
        <f>IF($G359=0,0,IF(INDEX(Employees!$I$5:$I$29,$A359)="Per pay period",(N(INDEX(Employees!$J$5:$J$29,$A359))+$J359)/Settings!$B$13,IF(INDEX(Employees!$I$5:$I$29,$A359)="Per hour worked",N(INDEX(Employees!$K$5:$K$29,$A359))*$I359,IF(INDEX(Employees!$I$5:$I$29,$A359)="Front-loaded",IF(OR($B359=1,N($G358)=0),N(INDEX(Employees!$J$5:$J$29,$A359))+$J359,0),0))))</f>
        <v/>
      </c>
      <c r="L359" s="48">
        <f>IF($F359=0,0,SUMIFS('Time Off Log'!$H$5:$H$504,'Time Off Log'!$A$5:$A$504,$C359,'Time Off Log'!$B$5:$B$504,"PTO",'Time Off Log'!$E$5:$E$504,"Approved",'Time Off Log'!$C$5:$C$504,"&gt;="&amp;INDEX(Periods!$E$5:$E$57,$B359),'Time Off Log'!$C$5:$C$504,"&lt;="&amp;INDEX(Periods!$F$5:$F$57,$B359)))</f>
        <v/>
      </c>
      <c r="M359" s="48">
        <f>IF($B359=1,N(INDEX(Employees!$N$5:$N$29,$A359)),P358)</f>
        <v/>
      </c>
      <c r="N359" s="48">
        <f>IF(INDEX(Employees!$L$5:$L$29,$A359)="",K359,MAX(0,MIN(K359,INDEX(Employees!$L$5:$L$29,$A359)-(M359-L359))))</f>
        <v/>
      </c>
      <c r="O359" s="48">
        <f>K359-N359</f>
        <v/>
      </c>
      <c r="P359" s="48">
        <f>M359-L359+N359</f>
        <v/>
      </c>
      <c r="Q359" s="48">
        <f>IF($G359=0,0,IF(INDEX(Employees!$P$5:$P$29,$A359)="Per pay period",(N(INDEX(Employees!$Q$5:$Q$29,$A359)))/Settings!$B$13,IF(INDEX(Employees!$P$5:$P$29,$A359)="Per hour worked",N(INDEX(Employees!$R$5:$R$29,$A359))*$I359,IF(INDEX(Employees!$P$5:$P$29,$A359)="Front-loaded",IF(OR($B359=1,N($G358)=0),N(INDEX(Employees!$Q$5:$Q$29,$A359)),0),0))))</f>
        <v/>
      </c>
      <c r="R359" s="48">
        <f>IF($F359=0,0,SUMIFS('Time Off Log'!$H$5:$H$504,'Time Off Log'!$A$5:$A$504,$C359,'Time Off Log'!$B$5:$B$504,"Sick",'Time Off Log'!$E$5:$E$504,"Approved",'Time Off Log'!$C$5:$C$504,"&gt;="&amp;INDEX(Periods!$E$5:$E$57,$B359),'Time Off Log'!$C$5:$C$504,"&lt;="&amp;INDEX(Periods!$F$5:$F$57,$B359)))</f>
        <v/>
      </c>
      <c r="S359" s="48">
        <f>IF($B359=1,N(INDEX(Employees!$T$5:$T$29,$A359)),V358)</f>
        <v/>
      </c>
      <c r="T359" s="48">
        <f>IF(INDEX(Employees!$S$5:$S$29,$A359)="",Q359,MAX(0,MIN(Q359,INDEX(Employees!$S$5:$S$29,$A359)-(S359-R359))))</f>
        <v/>
      </c>
      <c r="U359" s="48">
        <f>Q359-T359</f>
        <v/>
      </c>
      <c r="V359" s="48">
        <f>S359-R359+T359</f>
        <v/>
      </c>
    </row>
    <row r="360">
      <c r="A360" s="47" t="n">
        <v>7</v>
      </c>
      <c r="B360" s="47" t="n">
        <v>38</v>
      </c>
      <c r="C360" s="48">
        <f>INDEX(Employees!$B$5:$B$29,$A360)&amp;""</f>
        <v/>
      </c>
      <c r="D360" s="49">
        <f>INDEX(Periods!$B$5:$B$57,$B360)</f>
        <v/>
      </c>
      <c r="E360" s="49">
        <f>INDEX(Periods!$C$5:$C$57,$B360)</f>
        <v/>
      </c>
      <c r="F360" s="47">
        <f>IF(AND($C360&lt;&gt;"",INDEX(Periods!$D$5:$D$57,$B360)=1),1,0)</f>
        <v/>
      </c>
      <c r="G360" s="47">
        <f>IF($F360=0,0,IF(AND(OR(INDEX(Employees!$D$5:$D$29,$A360)="",$E360&gt;=INDEX(Employees!$D$5:$D$29,$A360)+N(INDEX(Employees!$U$5:$U$29,$A360))),OR(INDEX(Employees!$E$5:$E$29,$A360)="",$D360&lt;=INDEX(Employees!$E$5:$E$29,$A360))),1,0))</f>
        <v/>
      </c>
      <c r="H360" s="47">
        <f>IF($G360=0,0,IF(INDEX(Employees!$D$5:$D$29,$A360)="",0,DATEDIF(INDEX(Employees!$D$5:$D$29,$A360),$E360,"y")))</f>
        <v/>
      </c>
      <c r="I360" s="48">
        <f>IF($G360=0,0,IF(INDEX('Hours Worked'!$D$5:$BD$29,$A360,$B360)="",N(INDEX(Employees!$H$5:$H$29,$A360)),INDEX('Hours Worked'!$D$5:$BD$29,$A360,$B360)))</f>
        <v/>
      </c>
      <c r="J360" s="48">
        <f>IF(OR($G360=0,INDEX(Employees!$O$5:$O$29,$A360)&lt;&gt;"Yes"),0,IF(COUNTIF(Settings!$D$4:$D$9,"&lt;="&amp;$H360)=0,0,INDEX(Settings!$E$4:$E$9,COUNTIF(Settings!$D$4:$D$9,"&lt;="&amp;$H360))))</f>
        <v/>
      </c>
      <c r="K360" s="48">
        <f>IF($G360=0,0,IF(INDEX(Employees!$I$5:$I$29,$A360)="Per pay period",(N(INDEX(Employees!$J$5:$J$29,$A360))+$J360)/Settings!$B$13,IF(INDEX(Employees!$I$5:$I$29,$A360)="Per hour worked",N(INDEX(Employees!$K$5:$K$29,$A360))*$I360,IF(INDEX(Employees!$I$5:$I$29,$A360)="Front-loaded",IF(OR($B360=1,N($G359)=0),N(INDEX(Employees!$J$5:$J$29,$A360))+$J360,0),0))))</f>
        <v/>
      </c>
      <c r="L360" s="48">
        <f>IF($F360=0,0,SUMIFS('Time Off Log'!$H$5:$H$504,'Time Off Log'!$A$5:$A$504,$C360,'Time Off Log'!$B$5:$B$504,"PTO",'Time Off Log'!$E$5:$E$504,"Approved",'Time Off Log'!$C$5:$C$504,"&gt;="&amp;INDEX(Periods!$E$5:$E$57,$B360),'Time Off Log'!$C$5:$C$504,"&lt;="&amp;INDEX(Periods!$F$5:$F$57,$B360)))</f>
        <v/>
      </c>
      <c r="M360" s="48">
        <f>IF($B360=1,N(INDEX(Employees!$N$5:$N$29,$A360)),P359)</f>
        <v/>
      </c>
      <c r="N360" s="48">
        <f>IF(INDEX(Employees!$L$5:$L$29,$A360)="",K360,MAX(0,MIN(K360,INDEX(Employees!$L$5:$L$29,$A360)-(M360-L360))))</f>
        <v/>
      </c>
      <c r="O360" s="48">
        <f>K360-N360</f>
        <v/>
      </c>
      <c r="P360" s="48">
        <f>M360-L360+N360</f>
        <v/>
      </c>
      <c r="Q360" s="48">
        <f>IF($G360=0,0,IF(INDEX(Employees!$P$5:$P$29,$A360)="Per pay period",(N(INDEX(Employees!$Q$5:$Q$29,$A360)))/Settings!$B$13,IF(INDEX(Employees!$P$5:$P$29,$A360)="Per hour worked",N(INDEX(Employees!$R$5:$R$29,$A360))*$I360,IF(INDEX(Employees!$P$5:$P$29,$A360)="Front-loaded",IF(OR($B360=1,N($G359)=0),N(INDEX(Employees!$Q$5:$Q$29,$A360)),0),0))))</f>
        <v/>
      </c>
      <c r="R360" s="48">
        <f>IF($F360=0,0,SUMIFS('Time Off Log'!$H$5:$H$504,'Time Off Log'!$A$5:$A$504,$C360,'Time Off Log'!$B$5:$B$504,"Sick",'Time Off Log'!$E$5:$E$504,"Approved",'Time Off Log'!$C$5:$C$504,"&gt;="&amp;INDEX(Periods!$E$5:$E$57,$B360),'Time Off Log'!$C$5:$C$504,"&lt;="&amp;INDEX(Periods!$F$5:$F$57,$B360)))</f>
        <v/>
      </c>
      <c r="S360" s="48">
        <f>IF($B360=1,N(INDEX(Employees!$T$5:$T$29,$A360)),V359)</f>
        <v/>
      </c>
      <c r="T360" s="48">
        <f>IF(INDEX(Employees!$S$5:$S$29,$A360)="",Q360,MAX(0,MIN(Q360,INDEX(Employees!$S$5:$S$29,$A360)-(S360-R360))))</f>
        <v/>
      </c>
      <c r="U360" s="48">
        <f>Q360-T360</f>
        <v/>
      </c>
      <c r="V360" s="48">
        <f>S360-R360+T360</f>
        <v/>
      </c>
    </row>
    <row r="361">
      <c r="A361" s="47" t="n">
        <v>7</v>
      </c>
      <c r="B361" s="47" t="n">
        <v>39</v>
      </c>
      <c r="C361" s="48">
        <f>INDEX(Employees!$B$5:$B$29,$A361)&amp;""</f>
        <v/>
      </c>
      <c r="D361" s="49">
        <f>INDEX(Periods!$B$5:$B$57,$B361)</f>
        <v/>
      </c>
      <c r="E361" s="49">
        <f>INDEX(Periods!$C$5:$C$57,$B361)</f>
        <v/>
      </c>
      <c r="F361" s="47">
        <f>IF(AND($C361&lt;&gt;"",INDEX(Periods!$D$5:$D$57,$B361)=1),1,0)</f>
        <v/>
      </c>
      <c r="G361" s="47">
        <f>IF($F361=0,0,IF(AND(OR(INDEX(Employees!$D$5:$D$29,$A361)="",$E361&gt;=INDEX(Employees!$D$5:$D$29,$A361)+N(INDEX(Employees!$U$5:$U$29,$A361))),OR(INDEX(Employees!$E$5:$E$29,$A361)="",$D361&lt;=INDEX(Employees!$E$5:$E$29,$A361))),1,0))</f>
        <v/>
      </c>
      <c r="H361" s="47">
        <f>IF($G361=0,0,IF(INDEX(Employees!$D$5:$D$29,$A361)="",0,DATEDIF(INDEX(Employees!$D$5:$D$29,$A361),$E361,"y")))</f>
        <v/>
      </c>
      <c r="I361" s="48">
        <f>IF($G361=0,0,IF(INDEX('Hours Worked'!$D$5:$BD$29,$A361,$B361)="",N(INDEX(Employees!$H$5:$H$29,$A361)),INDEX('Hours Worked'!$D$5:$BD$29,$A361,$B361)))</f>
        <v/>
      </c>
      <c r="J361" s="48">
        <f>IF(OR($G361=0,INDEX(Employees!$O$5:$O$29,$A361)&lt;&gt;"Yes"),0,IF(COUNTIF(Settings!$D$4:$D$9,"&lt;="&amp;$H361)=0,0,INDEX(Settings!$E$4:$E$9,COUNTIF(Settings!$D$4:$D$9,"&lt;="&amp;$H361))))</f>
        <v/>
      </c>
      <c r="K361" s="48">
        <f>IF($G361=0,0,IF(INDEX(Employees!$I$5:$I$29,$A361)="Per pay period",(N(INDEX(Employees!$J$5:$J$29,$A361))+$J361)/Settings!$B$13,IF(INDEX(Employees!$I$5:$I$29,$A361)="Per hour worked",N(INDEX(Employees!$K$5:$K$29,$A361))*$I361,IF(INDEX(Employees!$I$5:$I$29,$A361)="Front-loaded",IF(OR($B361=1,N($G360)=0),N(INDEX(Employees!$J$5:$J$29,$A361))+$J361,0),0))))</f>
        <v/>
      </c>
      <c r="L361" s="48">
        <f>IF($F361=0,0,SUMIFS('Time Off Log'!$H$5:$H$504,'Time Off Log'!$A$5:$A$504,$C361,'Time Off Log'!$B$5:$B$504,"PTO",'Time Off Log'!$E$5:$E$504,"Approved",'Time Off Log'!$C$5:$C$504,"&gt;="&amp;INDEX(Periods!$E$5:$E$57,$B361),'Time Off Log'!$C$5:$C$504,"&lt;="&amp;INDEX(Periods!$F$5:$F$57,$B361)))</f>
        <v/>
      </c>
      <c r="M361" s="48">
        <f>IF($B361=1,N(INDEX(Employees!$N$5:$N$29,$A361)),P360)</f>
        <v/>
      </c>
      <c r="N361" s="48">
        <f>IF(INDEX(Employees!$L$5:$L$29,$A361)="",K361,MAX(0,MIN(K361,INDEX(Employees!$L$5:$L$29,$A361)-(M361-L361))))</f>
        <v/>
      </c>
      <c r="O361" s="48">
        <f>K361-N361</f>
        <v/>
      </c>
      <c r="P361" s="48">
        <f>M361-L361+N361</f>
        <v/>
      </c>
      <c r="Q361" s="48">
        <f>IF($G361=0,0,IF(INDEX(Employees!$P$5:$P$29,$A361)="Per pay period",(N(INDEX(Employees!$Q$5:$Q$29,$A361)))/Settings!$B$13,IF(INDEX(Employees!$P$5:$P$29,$A361)="Per hour worked",N(INDEX(Employees!$R$5:$R$29,$A361))*$I361,IF(INDEX(Employees!$P$5:$P$29,$A361)="Front-loaded",IF(OR($B361=1,N($G360)=0),N(INDEX(Employees!$Q$5:$Q$29,$A361)),0),0))))</f>
        <v/>
      </c>
      <c r="R361" s="48">
        <f>IF($F361=0,0,SUMIFS('Time Off Log'!$H$5:$H$504,'Time Off Log'!$A$5:$A$504,$C361,'Time Off Log'!$B$5:$B$504,"Sick",'Time Off Log'!$E$5:$E$504,"Approved",'Time Off Log'!$C$5:$C$504,"&gt;="&amp;INDEX(Periods!$E$5:$E$57,$B361),'Time Off Log'!$C$5:$C$504,"&lt;="&amp;INDEX(Periods!$F$5:$F$57,$B361)))</f>
        <v/>
      </c>
      <c r="S361" s="48">
        <f>IF($B361=1,N(INDEX(Employees!$T$5:$T$29,$A361)),V360)</f>
        <v/>
      </c>
      <c r="T361" s="48">
        <f>IF(INDEX(Employees!$S$5:$S$29,$A361)="",Q361,MAX(0,MIN(Q361,INDEX(Employees!$S$5:$S$29,$A361)-(S361-R361))))</f>
        <v/>
      </c>
      <c r="U361" s="48">
        <f>Q361-T361</f>
        <v/>
      </c>
      <c r="V361" s="48">
        <f>S361-R361+T361</f>
        <v/>
      </c>
    </row>
    <row r="362">
      <c r="A362" s="47" t="n">
        <v>7</v>
      </c>
      <c r="B362" s="47" t="n">
        <v>40</v>
      </c>
      <c r="C362" s="48">
        <f>INDEX(Employees!$B$5:$B$29,$A362)&amp;""</f>
        <v/>
      </c>
      <c r="D362" s="49">
        <f>INDEX(Periods!$B$5:$B$57,$B362)</f>
        <v/>
      </c>
      <c r="E362" s="49">
        <f>INDEX(Periods!$C$5:$C$57,$B362)</f>
        <v/>
      </c>
      <c r="F362" s="47">
        <f>IF(AND($C362&lt;&gt;"",INDEX(Periods!$D$5:$D$57,$B362)=1),1,0)</f>
        <v/>
      </c>
      <c r="G362" s="47">
        <f>IF($F362=0,0,IF(AND(OR(INDEX(Employees!$D$5:$D$29,$A362)="",$E362&gt;=INDEX(Employees!$D$5:$D$29,$A362)+N(INDEX(Employees!$U$5:$U$29,$A362))),OR(INDEX(Employees!$E$5:$E$29,$A362)="",$D362&lt;=INDEX(Employees!$E$5:$E$29,$A362))),1,0))</f>
        <v/>
      </c>
      <c r="H362" s="47">
        <f>IF($G362=0,0,IF(INDEX(Employees!$D$5:$D$29,$A362)="",0,DATEDIF(INDEX(Employees!$D$5:$D$29,$A362),$E362,"y")))</f>
        <v/>
      </c>
      <c r="I362" s="48">
        <f>IF($G362=0,0,IF(INDEX('Hours Worked'!$D$5:$BD$29,$A362,$B362)="",N(INDEX(Employees!$H$5:$H$29,$A362)),INDEX('Hours Worked'!$D$5:$BD$29,$A362,$B362)))</f>
        <v/>
      </c>
      <c r="J362" s="48">
        <f>IF(OR($G362=0,INDEX(Employees!$O$5:$O$29,$A362)&lt;&gt;"Yes"),0,IF(COUNTIF(Settings!$D$4:$D$9,"&lt;="&amp;$H362)=0,0,INDEX(Settings!$E$4:$E$9,COUNTIF(Settings!$D$4:$D$9,"&lt;="&amp;$H362))))</f>
        <v/>
      </c>
      <c r="K362" s="48">
        <f>IF($G362=0,0,IF(INDEX(Employees!$I$5:$I$29,$A362)="Per pay period",(N(INDEX(Employees!$J$5:$J$29,$A362))+$J362)/Settings!$B$13,IF(INDEX(Employees!$I$5:$I$29,$A362)="Per hour worked",N(INDEX(Employees!$K$5:$K$29,$A362))*$I362,IF(INDEX(Employees!$I$5:$I$29,$A362)="Front-loaded",IF(OR($B362=1,N($G361)=0),N(INDEX(Employees!$J$5:$J$29,$A362))+$J362,0),0))))</f>
        <v/>
      </c>
      <c r="L362" s="48">
        <f>IF($F362=0,0,SUMIFS('Time Off Log'!$H$5:$H$504,'Time Off Log'!$A$5:$A$504,$C362,'Time Off Log'!$B$5:$B$504,"PTO",'Time Off Log'!$E$5:$E$504,"Approved",'Time Off Log'!$C$5:$C$504,"&gt;="&amp;INDEX(Periods!$E$5:$E$57,$B362),'Time Off Log'!$C$5:$C$504,"&lt;="&amp;INDEX(Periods!$F$5:$F$57,$B362)))</f>
        <v/>
      </c>
      <c r="M362" s="48">
        <f>IF($B362=1,N(INDEX(Employees!$N$5:$N$29,$A362)),P361)</f>
        <v/>
      </c>
      <c r="N362" s="48">
        <f>IF(INDEX(Employees!$L$5:$L$29,$A362)="",K362,MAX(0,MIN(K362,INDEX(Employees!$L$5:$L$29,$A362)-(M362-L362))))</f>
        <v/>
      </c>
      <c r="O362" s="48">
        <f>K362-N362</f>
        <v/>
      </c>
      <c r="P362" s="48">
        <f>M362-L362+N362</f>
        <v/>
      </c>
      <c r="Q362" s="48">
        <f>IF($G362=0,0,IF(INDEX(Employees!$P$5:$P$29,$A362)="Per pay period",(N(INDEX(Employees!$Q$5:$Q$29,$A362)))/Settings!$B$13,IF(INDEX(Employees!$P$5:$P$29,$A362)="Per hour worked",N(INDEX(Employees!$R$5:$R$29,$A362))*$I362,IF(INDEX(Employees!$P$5:$P$29,$A362)="Front-loaded",IF(OR($B362=1,N($G361)=0),N(INDEX(Employees!$Q$5:$Q$29,$A362)),0),0))))</f>
        <v/>
      </c>
      <c r="R362" s="48">
        <f>IF($F362=0,0,SUMIFS('Time Off Log'!$H$5:$H$504,'Time Off Log'!$A$5:$A$504,$C362,'Time Off Log'!$B$5:$B$504,"Sick",'Time Off Log'!$E$5:$E$504,"Approved",'Time Off Log'!$C$5:$C$504,"&gt;="&amp;INDEX(Periods!$E$5:$E$57,$B362),'Time Off Log'!$C$5:$C$504,"&lt;="&amp;INDEX(Periods!$F$5:$F$57,$B362)))</f>
        <v/>
      </c>
      <c r="S362" s="48">
        <f>IF($B362=1,N(INDEX(Employees!$T$5:$T$29,$A362)),V361)</f>
        <v/>
      </c>
      <c r="T362" s="48">
        <f>IF(INDEX(Employees!$S$5:$S$29,$A362)="",Q362,MAX(0,MIN(Q362,INDEX(Employees!$S$5:$S$29,$A362)-(S362-R362))))</f>
        <v/>
      </c>
      <c r="U362" s="48">
        <f>Q362-T362</f>
        <v/>
      </c>
      <c r="V362" s="48">
        <f>S362-R362+T362</f>
        <v/>
      </c>
    </row>
    <row r="363">
      <c r="A363" s="47" t="n">
        <v>7</v>
      </c>
      <c r="B363" s="47" t="n">
        <v>41</v>
      </c>
      <c r="C363" s="48">
        <f>INDEX(Employees!$B$5:$B$29,$A363)&amp;""</f>
        <v/>
      </c>
      <c r="D363" s="49">
        <f>INDEX(Periods!$B$5:$B$57,$B363)</f>
        <v/>
      </c>
      <c r="E363" s="49">
        <f>INDEX(Periods!$C$5:$C$57,$B363)</f>
        <v/>
      </c>
      <c r="F363" s="47">
        <f>IF(AND($C363&lt;&gt;"",INDEX(Periods!$D$5:$D$57,$B363)=1),1,0)</f>
        <v/>
      </c>
      <c r="G363" s="47">
        <f>IF($F363=0,0,IF(AND(OR(INDEX(Employees!$D$5:$D$29,$A363)="",$E363&gt;=INDEX(Employees!$D$5:$D$29,$A363)+N(INDEX(Employees!$U$5:$U$29,$A363))),OR(INDEX(Employees!$E$5:$E$29,$A363)="",$D363&lt;=INDEX(Employees!$E$5:$E$29,$A363))),1,0))</f>
        <v/>
      </c>
      <c r="H363" s="47">
        <f>IF($G363=0,0,IF(INDEX(Employees!$D$5:$D$29,$A363)="",0,DATEDIF(INDEX(Employees!$D$5:$D$29,$A363),$E363,"y")))</f>
        <v/>
      </c>
      <c r="I363" s="48">
        <f>IF($G363=0,0,IF(INDEX('Hours Worked'!$D$5:$BD$29,$A363,$B363)="",N(INDEX(Employees!$H$5:$H$29,$A363)),INDEX('Hours Worked'!$D$5:$BD$29,$A363,$B363)))</f>
        <v/>
      </c>
      <c r="J363" s="48">
        <f>IF(OR($G363=0,INDEX(Employees!$O$5:$O$29,$A363)&lt;&gt;"Yes"),0,IF(COUNTIF(Settings!$D$4:$D$9,"&lt;="&amp;$H363)=0,0,INDEX(Settings!$E$4:$E$9,COUNTIF(Settings!$D$4:$D$9,"&lt;="&amp;$H363))))</f>
        <v/>
      </c>
      <c r="K363" s="48">
        <f>IF($G363=0,0,IF(INDEX(Employees!$I$5:$I$29,$A363)="Per pay period",(N(INDEX(Employees!$J$5:$J$29,$A363))+$J363)/Settings!$B$13,IF(INDEX(Employees!$I$5:$I$29,$A363)="Per hour worked",N(INDEX(Employees!$K$5:$K$29,$A363))*$I363,IF(INDEX(Employees!$I$5:$I$29,$A363)="Front-loaded",IF(OR($B363=1,N($G362)=0),N(INDEX(Employees!$J$5:$J$29,$A363))+$J363,0),0))))</f>
        <v/>
      </c>
      <c r="L363" s="48">
        <f>IF($F363=0,0,SUMIFS('Time Off Log'!$H$5:$H$504,'Time Off Log'!$A$5:$A$504,$C363,'Time Off Log'!$B$5:$B$504,"PTO",'Time Off Log'!$E$5:$E$504,"Approved",'Time Off Log'!$C$5:$C$504,"&gt;="&amp;INDEX(Periods!$E$5:$E$57,$B363),'Time Off Log'!$C$5:$C$504,"&lt;="&amp;INDEX(Periods!$F$5:$F$57,$B363)))</f>
        <v/>
      </c>
      <c r="M363" s="48">
        <f>IF($B363=1,N(INDEX(Employees!$N$5:$N$29,$A363)),P362)</f>
        <v/>
      </c>
      <c r="N363" s="48">
        <f>IF(INDEX(Employees!$L$5:$L$29,$A363)="",K363,MAX(0,MIN(K363,INDEX(Employees!$L$5:$L$29,$A363)-(M363-L363))))</f>
        <v/>
      </c>
      <c r="O363" s="48">
        <f>K363-N363</f>
        <v/>
      </c>
      <c r="P363" s="48">
        <f>M363-L363+N363</f>
        <v/>
      </c>
      <c r="Q363" s="48">
        <f>IF($G363=0,0,IF(INDEX(Employees!$P$5:$P$29,$A363)="Per pay period",(N(INDEX(Employees!$Q$5:$Q$29,$A363)))/Settings!$B$13,IF(INDEX(Employees!$P$5:$P$29,$A363)="Per hour worked",N(INDEX(Employees!$R$5:$R$29,$A363))*$I363,IF(INDEX(Employees!$P$5:$P$29,$A363)="Front-loaded",IF(OR($B363=1,N($G362)=0),N(INDEX(Employees!$Q$5:$Q$29,$A363)),0),0))))</f>
        <v/>
      </c>
      <c r="R363" s="48">
        <f>IF($F363=0,0,SUMIFS('Time Off Log'!$H$5:$H$504,'Time Off Log'!$A$5:$A$504,$C363,'Time Off Log'!$B$5:$B$504,"Sick",'Time Off Log'!$E$5:$E$504,"Approved",'Time Off Log'!$C$5:$C$504,"&gt;="&amp;INDEX(Periods!$E$5:$E$57,$B363),'Time Off Log'!$C$5:$C$504,"&lt;="&amp;INDEX(Periods!$F$5:$F$57,$B363)))</f>
        <v/>
      </c>
      <c r="S363" s="48">
        <f>IF($B363=1,N(INDEX(Employees!$T$5:$T$29,$A363)),V362)</f>
        <v/>
      </c>
      <c r="T363" s="48">
        <f>IF(INDEX(Employees!$S$5:$S$29,$A363)="",Q363,MAX(0,MIN(Q363,INDEX(Employees!$S$5:$S$29,$A363)-(S363-R363))))</f>
        <v/>
      </c>
      <c r="U363" s="48">
        <f>Q363-T363</f>
        <v/>
      </c>
      <c r="V363" s="48">
        <f>S363-R363+T363</f>
        <v/>
      </c>
    </row>
    <row r="364">
      <c r="A364" s="47" t="n">
        <v>7</v>
      </c>
      <c r="B364" s="47" t="n">
        <v>42</v>
      </c>
      <c r="C364" s="48">
        <f>INDEX(Employees!$B$5:$B$29,$A364)&amp;""</f>
        <v/>
      </c>
      <c r="D364" s="49">
        <f>INDEX(Periods!$B$5:$B$57,$B364)</f>
        <v/>
      </c>
      <c r="E364" s="49">
        <f>INDEX(Periods!$C$5:$C$57,$B364)</f>
        <v/>
      </c>
      <c r="F364" s="47">
        <f>IF(AND($C364&lt;&gt;"",INDEX(Periods!$D$5:$D$57,$B364)=1),1,0)</f>
        <v/>
      </c>
      <c r="G364" s="47">
        <f>IF($F364=0,0,IF(AND(OR(INDEX(Employees!$D$5:$D$29,$A364)="",$E364&gt;=INDEX(Employees!$D$5:$D$29,$A364)+N(INDEX(Employees!$U$5:$U$29,$A364))),OR(INDEX(Employees!$E$5:$E$29,$A364)="",$D364&lt;=INDEX(Employees!$E$5:$E$29,$A364))),1,0))</f>
        <v/>
      </c>
      <c r="H364" s="47">
        <f>IF($G364=0,0,IF(INDEX(Employees!$D$5:$D$29,$A364)="",0,DATEDIF(INDEX(Employees!$D$5:$D$29,$A364),$E364,"y")))</f>
        <v/>
      </c>
      <c r="I364" s="48">
        <f>IF($G364=0,0,IF(INDEX('Hours Worked'!$D$5:$BD$29,$A364,$B364)="",N(INDEX(Employees!$H$5:$H$29,$A364)),INDEX('Hours Worked'!$D$5:$BD$29,$A364,$B364)))</f>
        <v/>
      </c>
      <c r="J364" s="48">
        <f>IF(OR($G364=0,INDEX(Employees!$O$5:$O$29,$A364)&lt;&gt;"Yes"),0,IF(COUNTIF(Settings!$D$4:$D$9,"&lt;="&amp;$H364)=0,0,INDEX(Settings!$E$4:$E$9,COUNTIF(Settings!$D$4:$D$9,"&lt;="&amp;$H364))))</f>
        <v/>
      </c>
      <c r="K364" s="48">
        <f>IF($G364=0,0,IF(INDEX(Employees!$I$5:$I$29,$A364)="Per pay period",(N(INDEX(Employees!$J$5:$J$29,$A364))+$J364)/Settings!$B$13,IF(INDEX(Employees!$I$5:$I$29,$A364)="Per hour worked",N(INDEX(Employees!$K$5:$K$29,$A364))*$I364,IF(INDEX(Employees!$I$5:$I$29,$A364)="Front-loaded",IF(OR($B364=1,N($G363)=0),N(INDEX(Employees!$J$5:$J$29,$A364))+$J364,0),0))))</f>
        <v/>
      </c>
      <c r="L364" s="48">
        <f>IF($F364=0,0,SUMIFS('Time Off Log'!$H$5:$H$504,'Time Off Log'!$A$5:$A$504,$C364,'Time Off Log'!$B$5:$B$504,"PTO",'Time Off Log'!$E$5:$E$504,"Approved",'Time Off Log'!$C$5:$C$504,"&gt;="&amp;INDEX(Periods!$E$5:$E$57,$B364),'Time Off Log'!$C$5:$C$504,"&lt;="&amp;INDEX(Periods!$F$5:$F$57,$B364)))</f>
        <v/>
      </c>
      <c r="M364" s="48">
        <f>IF($B364=1,N(INDEX(Employees!$N$5:$N$29,$A364)),P363)</f>
        <v/>
      </c>
      <c r="N364" s="48">
        <f>IF(INDEX(Employees!$L$5:$L$29,$A364)="",K364,MAX(0,MIN(K364,INDEX(Employees!$L$5:$L$29,$A364)-(M364-L364))))</f>
        <v/>
      </c>
      <c r="O364" s="48">
        <f>K364-N364</f>
        <v/>
      </c>
      <c r="P364" s="48">
        <f>M364-L364+N364</f>
        <v/>
      </c>
      <c r="Q364" s="48">
        <f>IF($G364=0,0,IF(INDEX(Employees!$P$5:$P$29,$A364)="Per pay period",(N(INDEX(Employees!$Q$5:$Q$29,$A364)))/Settings!$B$13,IF(INDEX(Employees!$P$5:$P$29,$A364)="Per hour worked",N(INDEX(Employees!$R$5:$R$29,$A364))*$I364,IF(INDEX(Employees!$P$5:$P$29,$A364)="Front-loaded",IF(OR($B364=1,N($G363)=0),N(INDEX(Employees!$Q$5:$Q$29,$A364)),0),0))))</f>
        <v/>
      </c>
      <c r="R364" s="48">
        <f>IF($F364=0,0,SUMIFS('Time Off Log'!$H$5:$H$504,'Time Off Log'!$A$5:$A$504,$C364,'Time Off Log'!$B$5:$B$504,"Sick",'Time Off Log'!$E$5:$E$504,"Approved",'Time Off Log'!$C$5:$C$504,"&gt;="&amp;INDEX(Periods!$E$5:$E$57,$B364),'Time Off Log'!$C$5:$C$504,"&lt;="&amp;INDEX(Periods!$F$5:$F$57,$B364)))</f>
        <v/>
      </c>
      <c r="S364" s="48">
        <f>IF($B364=1,N(INDEX(Employees!$T$5:$T$29,$A364)),V363)</f>
        <v/>
      </c>
      <c r="T364" s="48">
        <f>IF(INDEX(Employees!$S$5:$S$29,$A364)="",Q364,MAX(0,MIN(Q364,INDEX(Employees!$S$5:$S$29,$A364)-(S364-R364))))</f>
        <v/>
      </c>
      <c r="U364" s="48">
        <f>Q364-T364</f>
        <v/>
      </c>
      <c r="V364" s="48">
        <f>S364-R364+T364</f>
        <v/>
      </c>
    </row>
    <row r="365">
      <c r="A365" s="47" t="n">
        <v>7</v>
      </c>
      <c r="B365" s="47" t="n">
        <v>43</v>
      </c>
      <c r="C365" s="48">
        <f>INDEX(Employees!$B$5:$B$29,$A365)&amp;""</f>
        <v/>
      </c>
      <c r="D365" s="49">
        <f>INDEX(Periods!$B$5:$B$57,$B365)</f>
        <v/>
      </c>
      <c r="E365" s="49">
        <f>INDEX(Periods!$C$5:$C$57,$B365)</f>
        <v/>
      </c>
      <c r="F365" s="47">
        <f>IF(AND($C365&lt;&gt;"",INDEX(Periods!$D$5:$D$57,$B365)=1),1,0)</f>
        <v/>
      </c>
      <c r="G365" s="47">
        <f>IF($F365=0,0,IF(AND(OR(INDEX(Employees!$D$5:$D$29,$A365)="",$E365&gt;=INDEX(Employees!$D$5:$D$29,$A365)+N(INDEX(Employees!$U$5:$U$29,$A365))),OR(INDEX(Employees!$E$5:$E$29,$A365)="",$D365&lt;=INDEX(Employees!$E$5:$E$29,$A365))),1,0))</f>
        <v/>
      </c>
      <c r="H365" s="47">
        <f>IF($G365=0,0,IF(INDEX(Employees!$D$5:$D$29,$A365)="",0,DATEDIF(INDEX(Employees!$D$5:$D$29,$A365),$E365,"y")))</f>
        <v/>
      </c>
      <c r="I365" s="48">
        <f>IF($G365=0,0,IF(INDEX('Hours Worked'!$D$5:$BD$29,$A365,$B365)="",N(INDEX(Employees!$H$5:$H$29,$A365)),INDEX('Hours Worked'!$D$5:$BD$29,$A365,$B365)))</f>
        <v/>
      </c>
      <c r="J365" s="48">
        <f>IF(OR($G365=0,INDEX(Employees!$O$5:$O$29,$A365)&lt;&gt;"Yes"),0,IF(COUNTIF(Settings!$D$4:$D$9,"&lt;="&amp;$H365)=0,0,INDEX(Settings!$E$4:$E$9,COUNTIF(Settings!$D$4:$D$9,"&lt;="&amp;$H365))))</f>
        <v/>
      </c>
      <c r="K365" s="48">
        <f>IF($G365=0,0,IF(INDEX(Employees!$I$5:$I$29,$A365)="Per pay period",(N(INDEX(Employees!$J$5:$J$29,$A365))+$J365)/Settings!$B$13,IF(INDEX(Employees!$I$5:$I$29,$A365)="Per hour worked",N(INDEX(Employees!$K$5:$K$29,$A365))*$I365,IF(INDEX(Employees!$I$5:$I$29,$A365)="Front-loaded",IF(OR($B365=1,N($G364)=0),N(INDEX(Employees!$J$5:$J$29,$A365))+$J365,0),0))))</f>
        <v/>
      </c>
      <c r="L365" s="48">
        <f>IF($F365=0,0,SUMIFS('Time Off Log'!$H$5:$H$504,'Time Off Log'!$A$5:$A$504,$C365,'Time Off Log'!$B$5:$B$504,"PTO",'Time Off Log'!$E$5:$E$504,"Approved",'Time Off Log'!$C$5:$C$504,"&gt;="&amp;INDEX(Periods!$E$5:$E$57,$B365),'Time Off Log'!$C$5:$C$504,"&lt;="&amp;INDEX(Periods!$F$5:$F$57,$B365)))</f>
        <v/>
      </c>
      <c r="M365" s="48">
        <f>IF($B365=1,N(INDEX(Employees!$N$5:$N$29,$A365)),P364)</f>
        <v/>
      </c>
      <c r="N365" s="48">
        <f>IF(INDEX(Employees!$L$5:$L$29,$A365)="",K365,MAX(0,MIN(K365,INDEX(Employees!$L$5:$L$29,$A365)-(M365-L365))))</f>
        <v/>
      </c>
      <c r="O365" s="48">
        <f>K365-N365</f>
        <v/>
      </c>
      <c r="P365" s="48">
        <f>M365-L365+N365</f>
        <v/>
      </c>
      <c r="Q365" s="48">
        <f>IF($G365=0,0,IF(INDEX(Employees!$P$5:$P$29,$A365)="Per pay period",(N(INDEX(Employees!$Q$5:$Q$29,$A365)))/Settings!$B$13,IF(INDEX(Employees!$P$5:$P$29,$A365)="Per hour worked",N(INDEX(Employees!$R$5:$R$29,$A365))*$I365,IF(INDEX(Employees!$P$5:$P$29,$A365)="Front-loaded",IF(OR($B365=1,N($G364)=0),N(INDEX(Employees!$Q$5:$Q$29,$A365)),0),0))))</f>
        <v/>
      </c>
      <c r="R365" s="48">
        <f>IF($F365=0,0,SUMIFS('Time Off Log'!$H$5:$H$504,'Time Off Log'!$A$5:$A$504,$C365,'Time Off Log'!$B$5:$B$504,"Sick",'Time Off Log'!$E$5:$E$504,"Approved",'Time Off Log'!$C$5:$C$504,"&gt;="&amp;INDEX(Periods!$E$5:$E$57,$B365),'Time Off Log'!$C$5:$C$504,"&lt;="&amp;INDEX(Periods!$F$5:$F$57,$B365)))</f>
        <v/>
      </c>
      <c r="S365" s="48">
        <f>IF($B365=1,N(INDEX(Employees!$T$5:$T$29,$A365)),V364)</f>
        <v/>
      </c>
      <c r="T365" s="48">
        <f>IF(INDEX(Employees!$S$5:$S$29,$A365)="",Q365,MAX(0,MIN(Q365,INDEX(Employees!$S$5:$S$29,$A365)-(S365-R365))))</f>
        <v/>
      </c>
      <c r="U365" s="48">
        <f>Q365-T365</f>
        <v/>
      </c>
      <c r="V365" s="48">
        <f>S365-R365+T365</f>
        <v/>
      </c>
    </row>
    <row r="366">
      <c r="A366" s="47" t="n">
        <v>7</v>
      </c>
      <c r="B366" s="47" t="n">
        <v>44</v>
      </c>
      <c r="C366" s="48">
        <f>INDEX(Employees!$B$5:$B$29,$A366)&amp;""</f>
        <v/>
      </c>
      <c r="D366" s="49">
        <f>INDEX(Periods!$B$5:$B$57,$B366)</f>
        <v/>
      </c>
      <c r="E366" s="49">
        <f>INDEX(Periods!$C$5:$C$57,$B366)</f>
        <v/>
      </c>
      <c r="F366" s="47">
        <f>IF(AND($C366&lt;&gt;"",INDEX(Periods!$D$5:$D$57,$B366)=1),1,0)</f>
        <v/>
      </c>
      <c r="G366" s="47">
        <f>IF($F366=0,0,IF(AND(OR(INDEX(Employees!$D$5:$D$29,$A366)="",$E366&gt;=INDEX(Employees!$D$5:$D$29,$A366)+N(INDEX(Employees!$U$5:$U$29,$A366))),OR(INDEX(Employees!$E$5:$E$29,$A366)="",$D366&lt;=INDEX(Employees!$E$5:$E$29,$A366))),1,0))</f>
        <v/>
      </c>
      <c r="H366" s="47">
        <f>IF($G366=0,0,IF(INDEX(Employees!$D$5:$D$29,$A366)="",0,DATEDIF(INDEX(Employees!$D$5:$D$29,$A366),$E366,"y")))</f>
        <v/>
      </c>
      <c r="I366" s="48">
        <f>IF($G366=0,0,IF(INDEX('Hours Worked'!$D$5:$BD$29,$A366,$B366)="",N(INDEX(Employees!$H$5:$H$29,$A366)),INDEX('Hours Worked'!$D$5:$BD$29,$A366,$B366)))</f>
        <v/>
      </c>
      <c r="J366" s="48">
        <f>IF(OR($G366=0,INDEX(Employees!$O$5:$O$29,$A366)&lt;&gt;"Yes"),0,IF(COUNTIF(Settings!$D$4:$D$9,"&lt;="&amp;$H366)=0,0,INDEX(Settings!$E$4:$E$9,COUNTIF(Settings!$D$4:$D$9,"&lt;="&amp;$H366))))</f>
        <v/>
      </c>
      <c r="K366" s="48">
        <f>IF($G366=0,0,IF(INDEX(Employees!$I$5:$I$29,$A366)="Per pay period",(N(INDEX(Employees!$J$5:$J$29,$A366))+$J366)/Settings!$B$13,IF(INDEX(Employees!$I$5:$I$29,$A366)="Per hour worked",N(INDEX(Employees!$K$5:$K$29,$A366))*$I366,IF(INDEX(Employees!$I$5:$I$29,$A366)="Front-loaded",IF(OR($B366=1,N($G365)=0),N(INDEX(Employees!$J$5:$J$29,$A366))+$J366,0),0))))</f>
        <v/>
      </c>
      <c r="L366" s="48">
        <f>IF($F366=0,0,SUMIFS('Time Off Log'!$H$5:$H$504,'Time Off Log'!$A$5:$A$504,$C366,'Time Off Log'!$B$5:$B$504,"PTO",'Time Off Log'!$E$5:$E$504,"Approved",'Time Off Log'!$C$5:$C$504,"&gt;="&amp;INDEX(Periods!$E$5:$E$57,$B366),'Time Off Log'!$C$5:$C$504,"&lt;="&amp;INDEX(Periods!$F$5:$F$57,$B366)))</f>
        <v/>
      </c>
      <c r="M366" s="48">
        <f>IF($B366=1,N(INDEX(Employees!$N$5:$N$29,$A366)),P365)</f>
        <v/>
      </c>
      <c r="N366" s="48">
        <f>IF(INDEX(Employees!$L$5:$L$29,$A366)="",K366,MAX(0,MIN(K366,INDEX(Employees!$L$5:$L$29,$A366)-(M366-L366))))</f>
        <v/>
      </c>
      <c r="O366" s="48">
        <f>K366-N366</f>
        <v/>
      </c>
      <c r="P366" s="48">
        <f>M366-L366+N366</f>
        <v/>
      </c>
      <c r="Q366" s="48">
        <f>IF($G366=0,0,IF(INDEX(Employees!$P$5:$P$29,$A366)="Per pay period",(N(INDEX(Employees!$Q$5:$Q$29,$A366)))/Settings!$B$13,IF(INDEX(Employees!$P$5:$P$29,$A366)="Per hour worked",N(INDEX(Employees!$R$5:$R$29,$A366))*$I366,IF(INDEX(Employees!$P$5:$P$29,$A366)="Front-loaded",IF(OR($B366=1,N($G365)=0),N(INDEX(Employees!$Q$5:$Q$29,$A366)),0),0))))</f>
        <v/>
      </c>
      <c r="R366" s="48">
        <f>IF($F366=0,0,SUMIFS('Time Off Log'!$H$5:$H$504,'Time Off Log'!$A$5:$A$504,$C366,'Time Off Log'!$B$5:$B$504,"Sick",'Time Off Log'!$E$5:$E$504,"Approved",'Time Off Log'!$C$5:$C$504,"&gt;="&amp;INDEX(Periods!$E$5:$E$57,$B366),'Time Off Log'!$C$5:$C$504,"&lt;="&amp;INDEX(Periods!$F$5:$F$57,$B366)))</f>
        <v/>
      </c>
      <c r="S366" s="48">
        <f>IF($B366=1,N(INDEX(Employees!$T$5:$T$29,$A366)),V365)</f>
        <v/>
      </c>
      <c r="T366" s="48">
        <f>IF(INDEX(Employees!$S$5:$S$29,$A366)="",Q366,MAX(0,MIN(Q366,INDEX(Employees!$S$5:$S$29,$A366)-(S366-R366))))</f>
        <v/>
      </c>
      <c r="U366" s="48">
        <f>Q366-T366</f>
        <v/>
      </c>
      <c r="V366" s="48">
        <f>S366-R366+T366</f>
        <v/>
      </c>
    </row>
    <row r="367">
      <c r="A367" s="47" t="n">
        <v>7</v>
      </c>
      <c r="B367" s="47" t="n">
        <v>45</v>
      </c>
      <c r="C367" s="48">
        <f>INDEX(Employees!$B$5:$B$29,$A367)&amp;""</f>
        <v/>
      </c>
      <c r="D367" s="49">
        <f>INDEX(Periods!$B$5:$B$57,$B367)</f>
        <v/>
      </c>
      <c r="E367" s="49">
        <f>INDEX(Periods!$C$5:$C$57,$B367)</f>
        <v/>
      </c>
      <c r="F367" s="47">
        <f>IF(AND($C367&lt;&gt;"",INDEX(Periods!$D$5:$D$57,$B367)=1),1,0)</f>
        <v/>
      </c>
      <c r="G367" s="47">
        <f>IF($F367=0,0,IF(AND(OR(INDEX(Employees!$D$5:$D$29,$A367)="",$E367&gt;=INDEX(Employees!$D$5:$D$29,$A367)+N(INDEX(Employees!$U$5:$U$29,$A367))),OR(INDEX(Employees!$E$5:$E$29,$A367)="",$D367&lt;=INDEX(Employees!$E$5:$E$29,$A367))),1,0))</f>
        <v/>
      </c>
      <c r="H367" s="47">
        <f>IF($G367=0,0,IF(INDEX(Employees!$D$5:$D$29,$A367)="",0,DATEDIF(INDEX(Employees!$D$5:$D$29,$A367),$E367,"y")))</f>
        <v/>
      </c>
      <c r="I367" s="48">
        <f>IF($G367=0,0,IF(INDEX('Hours Worked'!$D$5:$BD$29,$A367,$B367)="",N(INDEX(Employees!$H$5:$H$29,$A367)),INDEX('Hours Worked'!$D$5:$BD$29,$A367,$B367)))</f>
        <v/>
      </c>
      <c r="J367" s="48">
        <f>IF(OR($G367=0,INDEX(Employees!$O$5:$O$29,$A367)&lt;&gt;"Yes"),0,IF(COUNTIF(Settings!$D$4:$D$9,"&lt;="&amp;$H367)=0,0,INDEX(Settings!$E$4:$E$9,COUNTIF(Settings!$D$4:$D$9,"&lt;="&amp;$H367))))</f>
        <v/>
      </c>
      <c r="K367" s="48">
        <f>IF($G367=0,0,IF(INDEX(Employees!$I$5:$I$29,$A367)="Per pay period",(N(INDEX(Employees!$J$5:$J$29,$A367))+$J367)/Settings!$B$13,IF(INDEX(Employees!$I$5:$I$29,$A367)="Per hour worked",N(INDEX(Employees!$K$5:$K$29,$A367))*$I367,IF(INDEX(Employees!$I$5:$I$29,$A367)="Front-loaded",IF(OR($B367=1,N($G366)=0),N(INDEX(Employees!$J$5:$J$29,$A367))+$J367,0),0))))</f>
        <v/>
      </c>
      <c r="L367" s="48">
        <f>IF($F367=0,0,SUMIFS('Time Off Log'!$H$5:$H$504,'Time Off Log'!$A$5:$A$504,$C367,'Time Off Log'!$B$5:$B$504,"PTO",'Time Off Log'!$E$5:$E$504,"Approved",'Time Off Log'!$C$5:$C$504,"&gt;="&amp;INDEX(Periods!$E$5:$E$57,$B367),'Time Off Log'!$C$5:$C$504,"&lt;="&amp;INDEX(Periods!$F$5:$F$57,$B367)))</f>
        <v/>
      </c>
      <c r="M367" s="48">
        <f>IF($B367=1,N(INDEX(Employees!$N$5:$N$29,$A367)),P366)</f>
        <v/>
      </c>
      <c r="N367" s="48">
        <f>IF(INDEX(Employees!$L$5:$L$29,$A367)="",K367,MAX(0,MIN(K367,INDEX(Employees!$L$5:$L$29,$A367)-(M367-L367))))</f>
        <v/>
      </c>
      <c r="O367" s="48">
        <f>K367-N367</f>
        <v/>
      </c>
      <c r="P367" s="48">
        <f>M367-L367+N367</f>
        <v/>
      </c>
      <c r="Q367" s="48">
        <f>IF($G367=0,0,IF(INDEX(Employees!$P$5:$P$29,$A367)="Per pay period",(N(INDEX(Employees!$Q$5:$Q$29,$A367)))/Settings!$B$13,IF(INDEX(Employees!$P$5:$P$29,$A367)="Per hour worked",N(INDEX(Employees!$R$5:$R$29,$A367))*$I367,IF(INDEX(Employees!$P$5:$P$29,$A367)="Front-loaded",IF(OR($B367=1,N($G366)=0),N(INDEX(Employees!$Q$5:$Q$29,$A367)),0),0))))</f>
        <v/>
      </c>
      <c r="R367" s="48">
        <f>IF($F367=0,0,SUMIFS('Time Off Log'!$H$5:$H$504,'Time Off Log'!$A$5:$A$504,$C367,'Time Off Log'!$B$5:$B$504,"Sick",'Time Off Log'!$E$5:$E$504,"Approved",'Time Off Log'!$C$5:$C$504,"&gt;="&amp;INDEX(Periods!$E$5:$E$57,$B367),'Time Off Log'!$C$5:$C$504,"&lt;="&amp;INDEX(Periods!$F$5:$F$57,$B367)))</f>
        <v/>
      </c>
      <c r="S367" s="48">
        <f>IF($B367=1,N(INDEX(Employees!$T$5:$T$29,$A367)),V366)</f>
        <v/>
      </c>
      <c r="T367" s="48">
        <f>IF(INDEX(Employees!$S$5:$S$29,$A367)="",Q367,MAX(0,MIN(Q367,INDEX(Employees!$S$5:$S$29,$A367)-(S367-R367))))</f>
        <v/>
      </c>
      <c r="U367" s="48">
        <f>Q367-T367</f>
        <v/>
      </c>
      <c r="V367" s="48">
        <f>S367-R367+T367</f>
        <v/>
      </c>
    </row>
    <row r="368">
      <c r="A368" s="47" t="n">
        <v>7</v>
      </c>
      <c r="B368" s="47" t="n">
        <v>46</v>
      </c>
      <c r="C368" s="48">
        <f>INDEX(Employees!$B$5:$B$29,$A368)&amp;""</f>
        <v/>
      </c>
      <c r="D368" s="49">
        <f>INDEX(Periods!$B$5:$B$57,$B368)</f>
        <v/>
      </c>
      <c r="E368" s="49">
        <f>INDEX(Periods!$C$5:$C$57,$B368)</f>
        <v/>
      </c>
      <c r="F368" s="47">
        <f>IF(AND($C368&lt;&gt;"",INDEX(Periods!$D$5:$D$57,$B368)=1),1,0)</f>
        <v/>
      </c>
      <c r="G368" s="47">
        <f>IF($F368=0,0,IF(AND(OR(INDEX(Employees!$D$5:$D$29,$A368)="",$E368&gt;=INDEX(Employees!$D$5:$D$29,$A368)+N(INDEX(Employees!$U$5:$U$29,$A368))),OR(INDEX(Employees!$E$5:$E$29,$A368)="",$D368&lt;=INDEX(Employees!$E$5:$E$29,$A368))),1,0))</f>
        <v/>
      </c>
      <c r="H368" s="47">
        <f>IF($G368=0,0,IF(INDEX(Employees!$D$5:$D$29,$A368)="",0,DATEDIF(INDEX(Employees!$D$5:$D$29,$A368),$E368,"y")))</f>
        <v/>
      </c>
      <c r="I368" s="48">
        <f>IF($G368=0,0,IF(INDEX('Hours Worked'!$D$5:$BD$29,$A368,$B368)="",N(INDEX(Employees!$H$5:$H$29,$A368)),INDEX('Hours Worked'!$D$5:$BD$29,$A368,$B368)))</f>
        <v/>
      </c>
      <c r="J368" s="48">
        <f>IF(OR($G368=0,INDEX(Employees!$O$5:$O$29,$A368)&lt;&gt;"Yes"),0,IF(COUNTIF(Settings!$D$4:$D$9,"&lt;="&amp;$H368)=0,0,INDEX(Settings!$E$4:$E$9,COUNTIF(Settings!$D$4:$D$9,"&lt;="&amp;$H368))))</f>
        <v/>
      </c>
      <c r="K368" s="48">
        <f>IF($G368=0,0,IF(INDEX(Employees!$I$5:$I$29,$A368)="Per pay period",(N(INDEX(Employees!$J$5:$J$29,$A368))+$J368)/Settings!$B$13,IF(INDEX(Employees!$I$5:$I$29,$A368)="Per hour worked",N(INDEX(Employees!$K$5:$K$29,$A368))*$I368,IF(INDEX(Employees!$I$5:$I$29,$A368)="Front-loaded",IF(OR($B368=1,N($G367)=0),N(INDEX(Employees!$J$5:$J$29,$A368))+$J368,0),0))))</f>
        <v/>
      </c>
      <c r="L368" s="48">
        <f>IF($F368=0,0,SUMIFS('Time Off Log'!$H$5:$H$504,'Time Off Log'!$A$5:$A$504,$C368,'Time Off Log'!$B$5:$B$504,"PTO",'Time Off Log'!$E$5:$E$504,"Approved",'Time Off Log'!$C$5:$C$504,"&gt;="&amp;INDEX(Periods!$E$5:$E$57,$B368),'Time Off Log'!$C$5:$C$504,"&lt;="&amp;INDEX(Periods!$F$5:$F$57,$B368)))</f>
        <v/>
      </c>
      <c r="M368" s="48">
        <f>IF($B368=1,N(INDEX(Employees!$N$5:$N$29,$A368)),P367)</f>
        <v/>
      </c>
      <c r="N368" s="48">
        <f>IF(INDEX(Employees!$L$5:$L$29,$A368)="",K368,MAX(0,MIN(K368,INDEX(Employees!$L$5:$L$29,$A368)-(M368-L368))))</f>
        <v/>
      </c>
      <c r="O368" s="48">
        <f>K368-N368</f>
        <v/>
      </c>
      <c r="P368" s="48">
        <f>M368-L368+N368</f>
        <v/>
      </c>
      <c r="Q368" s="48">
        <f>IF($G368=0,0,IF(INDEX(Employees!$P$5:$P$29,$A368)="Per pay period",(N(INDEX(Employees!$Q$5:$Q$29,$A368)))/Settings!$B$13,IF(INDEX(Employees!$P$5:$P$29,$A368)="Per hour worked",N(INDEX(Employees!$R$5:$R$29,$A368))*$I368,IF(INDEX(Employees!$P$5:$P$29,$A368)="Front-loaded",IF(OR($B368=1,N($G367)=0),N(INDEX(Employees!$Q$5:$Q$29,$A368)),0),0))))</f>
        <v/>
      </c>
      <c r="R368" s="48">
        <f>IF($F368=0,0,SUMIFS('Time Off Log'!$H$5:$H$504,'Time Off Log'!$A$5:$A$504,$C368,'Time Off Log'!$B$5:$B$504,"Sick",'Time Off Log'!$E$5:$E$504,"Approved",'Time Off Log'!$C$5:$C$504,"&gt;="&amp;INDEX(Periods!$E$5:$E$57,$B368),'Time Off Log'!$C$5:$C$504,"&lt;="&amp;INDEX(Periods!$F$5:$F$57,$B368)))</f>
        <v/>
      </c>
      <c r="S368" s="48">
        <f>IF($B368=1,N(INDEX(Employees!$T$5:$T$29,$A368)),V367)</f>
        <v/>
      </c>
      <c r="T368" s="48">
        <f>IF(INDEX(Employees!$S$5:$S$29,$A368)="",Q368,MAX(0,MIN(Q368,INDEX(Employees!$S$5:$S$29,$A368)-(S368-R368))))</f>
        <v/>
      </c>
      <c r="U368" s="48">
        <f>Q368-T368</f>
        <v/>
      </c>
      <c r="V368" s="48">
        <f>S368-R368+T368</f>
        <v/>
      </c>
    </row>
    <row r="369">
      <c r="A369" s="47" t="n">
        <v>7</v>
      </c>
      <c r="B369" s="47" t="n">
        <v>47</v>
      </c>
      <c r="C369" s="48">
        <f>INDEX(Employees!$B$5:$B$29,$A369)&amp;""</f>
        <v/>
      </c>
      <c r="D369" s="49">
        <f>INDEX(Periods!$B$5:$B$57,$B369)</f>
        <v/>
      </c>
      <c r="E369" s="49">
        <f>INDEX(Periods!$C$5:$C$57,$B369)</f>
        <v/>
      </c>
      <c r="F369" s="47">
        <f>IF(AND($C369&lt;&gt;"",INDEX(Periods!$D$5:$D$57,$B369)=1),1,0)</f>
        <v/>
      </c>
      <c r="G369" s="47">
        <f>IF($F369=0,0,IF(AND(OR(INDEX(Employees!$D$5:$D$29,$A369)="",$E369&gt;=INDEX(Employees!$D$5:$D$29,$A369)+N(INDEX(Employees!$U$5:$U$29,$A369))),OR(INDEX(Employees!$E$5:$E$29,$A369)="",$D369&lt;=INDEX(Employees!$E$5:$E$29,$A369))),1,0))</f>
        <v/>
      </c>
      <c r="H369" s="47">
        <f>IF($G369=0,0,IF(INDEX(Employees!$D$5:$D$29,$A369)="",0,DATEDIF(INDEX(Employees!$D$5:$D$29,$A369),$E369,"y")))</f>
        <v/>
      </c>
      <c r="I369" s="48">
        <f>IF($G369=0,0,IF(INDEX('Hours Worked'!$D$5:$BD$29,$A369,$B369)="",N(INDEX(Employees!$H$5:$H$29,$A369)),INDEX('Hours Worked'!$D$5:$BD$29,$A369,$B369)))</f>
        <v/>
      </c>
      <c r="J369" s="48">
        <f>IF(OR($G369=0,INDEX(Employees!$O$5:$O$29,$A369)&lt;&gt;"Yes"),0,IF(COUNTIF(Settings!$D$4:$D$9,"&lt;="&amp;$H369)=0,0,INDEX(Settings!$E$4:$E$9,COUNTIF(Settings!$D$4:$D$9,"&lt;="&amp;$H369))))</f>
        <v/>
      </c>
      <c r="K369" s="48">
        <f>IF($G369=0,0,IF(INDEX(Employees!$I$5:$I$29,$A369)="Per pay period",(N(INDEX(Employees!$J$5:$J$29,$A369))+$J369)/Settings!$B$13,IF(INDEX(Employees!$I$5:$I$29,$A369)="Per hour worked",N(INDEX(Employees!$K$5:$K$29,$A369))*$I369,IF(INDEX(Employees!$I$5:$I$29,$A369)="Front-loaded",IF(OR($B369=1,N($G368)=0),N(INDEX(Employees!$J$5:$J$29,$A369))+$J369,0),0))))</f>
        <v/>
      </c>
      <c r="L369" s="48">
        <f>IF($F369=0,0,SUMIFS('Time Off Log'!$H$5:$H$504,'Time Off Log'!$A$5:$A$504,$C369,'Time Off Log'!$B$5:$B$504,"PTO",'Time Off Log'!$E$5:$E$504,"Approved",'Time Off Log'!$C$5:$C$504,"&gt;="&amp;INDEX(Periods!$E$5:$E$57,$B369),'Time Off Log'!$C$5:$C$504,"&lt;="&amp;INDEX(Periods!$F$5:$F$57,$B369)))</f>
        <v/>
      </c>
      <c r="M369" s="48">
        <f>IF($B369=1,N(INDEX(Employees!$N$5:$N$29,$A369)),P368)</f>
        <v/>
      </c>
      <c r="N369" s="48">
        <f>IF(INDEX(Employees!$L$5:$L$29,$A369)="",K369,MAX(0,MIN(K369,INDEX(Employees!$L$5:$L$29,$A369)-(M369-L369))))</f>
        <v/>
      </c>
      <c r="O369" s="48">
        <f>K369-N369</f>
        <v/>
      </c>
      <c r="P369" s="48">
        <f>M369-L369+N369</f>
        <v/>
      </c>
      <c r="Q369" s="48">
        <f>IF($G369=0,0,IF(INDEX(Employees!$P$5:$P$29,$A369)="Per pay period",(N(INDEX(Employees!$Q$5:$Q$29,$A369)))/Settings!$B$13,IF(INDEX(Employees!$P$5:$P$29,$A369)="Per hour worked",N(INDEX(Employees!$R$5:$R$29,$A369))*$I369,IF(INDEX(Employees!$P$5:$P$29,$A369)="Front-loaded",IF(OR($B369=1,N($G368)=0),N(INDEX(Employees!$Q$5:$Q$29,$A369)),0),0))))</f>
        <v/>
      </c>
      <c r="R369" s="48">
        <f>IF($F369=0,0,SUMIFS('Time Off Log'!$H$5:$H$504,'Time Off Log'!$A$5:$A$504,$C369,'Time Off Log'!$B$5:$B$504,"Sick",'Time Off Log'!$E$5:$E$504,"Approved",'Time Off Log'!$C$5:$C$504,"&gt;="&amp;INDEX(Periods!$E$5:$E$57,$B369),'Time Off Log'!$C$5:$C$504,"&lt;="&amp;INDEX(Periods!$F$5:$F$57,$B369)))</f>
        <v/>
      </c>
      <c r="S369" s="48">
        <f>IF($B369=1,N(INDEX(Employees!$T$5:$T$29,$A369)),V368)</f>
        <v/>
      </c>
      <c r="T369" s="48">
        <f>IF(INDEX(Employees!$S$5:$S$29,$A369)="",Q369,MAX(0,MIN(Q369,INDEX(Employees!$S$5:$S$29,$A369)-(S369-R369))))</f>
        <v/>
      </c>
      <c r="U369" s="48">
        <f>Q369-T369</f>
        <v/>
      </c>
      <c r="V369" s="48">
        <f>S369-R369+T369</f>
        <v/>
      </c>
    </row>
    <row r="370">
      <c r="A370" s="47" t="n">
        <v>7</v>
      </c>
      <c r="B370" s="47" t="n">
        <v>48</v>
      </c>
      <c r="C370" s="48">
        <f>INDEX(Employees!$B$5:$B$29,$A370)&amp;""</f>
        <v/>
      </c>
      <c r="D370" s="49">
        <f>INDEX(Periods!$B$5:$B$57,$B370)</f>
        <v/>
      </c>
      <c r="E370" s="49">
        <f>INDEX(Periods!$C$5:$C$57,$B370)</f>
        <v/>
      </c>
      <c r="F370" s="47">
        <f>IF(AND($C370&lt;&gt;"",INDEX(Periods!$D$5:$D$57,$B370)=1),1,0)</f>
        <v/>
      </c>
      <c r="G370" s="47">
        <f>IF($F370=0,0,IF(AND(OR(INDEX(Employees!$D$5:$D$29,$A370)="",$E370&gt;=INDEX(Employees!$D$5:$D$29,$A370)+N(INDEX(Employees!$U$5:$U$29,$A370))),OR(INDEX(Employees!$E$5:$E$29,$A370)="",$D370&lt;=INDEX(Employees!$E$5:$E$29,$A370))),1,0))</f>
        <v/>
      </c>
      <c r="H370" s="47">
        <f>IF($G370=0,0,IF(INDEX(Employees!$D$5:$D$29,$A370)="",0,DATEDIF(INDEX(Employees!$D$5:$D$29,$A370),$E370,"y")))</f>
        <v/>
      </c>
      <c r="I370" s="48">
        <f>IF($G370=0,0,IF(INDEX('Hours Worked'!$D$5:$BD$29,$A370,$B370)="",N(INDEX(Employees!$H$5:$H$29,$A370)),INDEX('Hours Worked'!$D$5:$BD$29,$A370,$B370)))</f>
        <v/>
      </c>
      <c r="J370" s="48">
        <f>IF(OR($G370=0,INDEX(Employees!$O$5:$O$29,$A370)&lt;&gt;"Yes"),0,IF(COUNTIF(Settings!$D$4:$D$9,"&lt;="&amp;$H370)=0,0,INDEX(Settings!$E$4:$E$9,COUNTIF(Settings!$D$4:$D$9,"&lt;="&amp;$H370))))</f>
        <v/>
      </c>
      <c r="K370" s="48">
        <f>IF($G370=0,0,IF(INDEX(Employees!$I$5:$I$29,$A370)="Per pay period",(N(INDEX(Employees!$J$5:$J$29,$A370))+$J370)/Settings!$B$13,IF(INDEX(Employees!$I$5:$I$29,$A370)="Per hour worked",N(INDEX(Employees!$K$5:$K$29,$A370))*$I370,IF(INDEX(Employees!$I$5:$I$29,$A370)="Front-loaded",IF(OR($B370=1,N($G369)=0),N(INDEX(Employees!$J$5:$J$29,$A370))+$J370,0),0))))</f>
        <v/>
      </c>
      <c r="L370" s="48">
        <f>IF($F370=0,0,SUMIFS('Time Off Log'!$H$5:$H$504,'Time Off Log'!$A$5:$A$504,$C370,'Time Off Log'!$B$5:$B$504,"PTO",'Time Off Log'!$E$5:$E$504,"Approved",'Time Off Log'!$C$5:$C$504,"&gt;="&amp;INDEX(Periods!$E$5:$E$57,$B370),'Time Off Log'!$C$5:$C$504,"&lt;="&amp;INDEX(Periods!$F$5:$F$57,$B370)))</f>
        <v/>
      </c>
      <c r="M370" s="48">
        <f>IF($B370=1,N(INDEX(Employees!$N$5:$N$29,$A370)),P369)</f>
        <v/>
      </c>
      <c r="N370" s="48">
        <f>IF(INDEX(Employees!$L$5:$L$29,$A370)="",K370,MAX(0,MIN(K370,INDEX(Employees!$L$5:$L$29,$A370)-(M370-L370))))</f>
        <v/>
      </c>
      <c r="O370" s="48">
        <f>K370-N370</f>
        <v/>
      </c>
      <c r="P370" s="48">
        <f>M370-L370+N370</f>
        <v/>
      </c>
      <c r="Q370" s="48">
        <f>IF($G370=0,0,IF(INDEX(Employees!$P$5:$P$29,$A370)="Per pay period",(N(INDEX(Employees!$Q$5:$Q$29,$A370)))/Settings!$B$13,IF(INDEX(Employees!$P$5:$P$29,$A370)="Per hour worked",N(INDEX(Employees!$R$5:$R$29,$A370))*$I370,IF(INDEX(Employees!$P$5:$P$29,$A370)="Front-loaded",IF(OR($B370=1,N($G369)=0),N(INDEX(Employees!$Q$5:$Q$29,$A370)),0),0))))</f>
        <v/>
      </c>
      <c r="R370" s="48">
        <f>IF($F370=0,0,SUMIFS('Time Off Log'!$H$5:$H$504,'Time Off Log'!$A$5:$A$504,$C370,'Time Off Log'!$B$5:$B$504,"Sick",'Time Off Log'!$E$5:$E$504,"Approved",'Time Off Log'!$C$5:$C$504,"&gt;="&amp;INDEX(Periods!$E$5:$E$57,$B370),'Time Off Log'!$C$5:$C$504,"&lt;="&amp;INDEX(Periods!$F$5:$F$57,$B370)))</f>
        <v/>
      </c>
      <c r="S370" s="48">
        <f>IF($B370=1,N(INDEX(Employees!$T$5:$T$29,$A370)),V369)</f>
        <v/>
      </c>
      <c r="T370" s="48">
        <f>IF(INDEX(Employees!$S$5:$S$29,$A370)="",Q370,MAX(0,MIN(Q370,INDEX(Employees!$S$5:$S$29,$A370)-(S370-R370))))</f>
        <v/>
      </c>
      <c r="U370" s="48">
        <f>Q370-T370</f>
        <v/>
      </c>
      <c r="V370" s="48">
        <f>S370-R370+T370</f>
        <v/>
      </c>
    </row>
    <row r="371">
      <c r="A371" s="47" t="n">
        <v>7</v>
      </c>
      <c r="B371" s="47" t="n">
        <v>49</v>
      </c>
      <c r="C371" s="48">
        <f>INDEX(Employees!$B$5:$B$29,$A371)&amp;""</f>
        <v/>
      </c>
      <c r="D371" s="49">
        <f>INDEX(Periods!$B$5:$B$57,$B371)</f>
        <v/>
      </c>
      <c r="E371" s="49">
        <f>INDEX(Periods!$C$5:$C$57,$B371)</f>
        <v/>
      </c>
      <c r="F371" s="47">
        <f>IF(AND($C371&lt;&gt;"",INDEX(Periods!$D$5:$D$57,$B371)=1),1,0)</f>
        <v/>
      </c>
      <c r="G371" s="47">
        <f>IF($F371=0,0,IF(AND(OR(INDEX(Employees!$D$5:$D$29,$A371)="",$E371&gt;=INDEX(Employees!$D$5:$D$29,$A371)+N(INDEX(Employees!$U$5:$U$29,$A371))),OR(INDEX(Employees!$E$5:$E$29,$A371)="",$D371&lt;=INDEX(Employees!$E$5:$E$29,$A371))),1,0))</f>
        <v/>
      </c>
      <c r="H371" s="47">
        <f>IF($G371=0,0,IF(INDEX(Employees!$D$5:$D$29,$A371)="",0,DATEDIF(INDEX(Employees!$D$5:$D$29,$A371),$E371,"y")))</f>
        <v/>
      </c>
      <c r="I371" s="48">
        <f>IF($G371=0,0,IF(INDEX('Hours Worked'!$D$5:$BD$29,$A371,$B371)="",N(INDEX(Employees!$H$5:$H$29,$A371)),INDEX('Hours Worked'!$D$5:$BD$29,$A371,$B371)))</f>
        <v/>
      </c>
      <c r="J371" s="48">
        <f>IF(OR($G371=0,INDEX(Employees!$O$5:$O$29,$A371)&lt;&gt;"Yes"),0,IF(COUNTIF(Settings!$D$4:$D$9,"&lt;="&amp;$H371)=0,0,INDEX(Settings!$E$4:$E$9,COUNTIF(Settings!$D$4:$D$9,"&lt;="&amp;$H371))))</f>
        <v/>
      </c>
      <c r="K371" s="48">
        <f>IF($G371=0,0,IF(INDEX(Employees!$I$5:$I$29,$A371)="Per pay period",(N(INDEX(Employees!$J$5:$J$29,$A371))+$J371)/Settings!$B$13,IF(INDEX(Employees!$I$5:$I$29,$A371)="Per hour worked",N(INDEX(Employees!$K$5:$K$29,$A371))*$I371,IF(INDEX(Employees!$I$5:$I$29,$A371)="Front-loaded",IF(OR($B371=1,N($G370)=0),N(INDEX(Employees!$J$5:$J$29,$A371))+$J371,0),0))))</f>
        <v/>
      </c>
      <c r="L371" s="48">
        <f>IF($F371=0,0,SUMIFS('Time Off Log'!$H$5:$H$504,'Time Off Log'!$A$5:$A$504,$C371,'Time Off Log'!$B$5:$B$504,"PTO",'Time Off Log'!$E$5:$E$504,"Approved",'Time Off Log'!$C$5:$C$504,"&gt;="&amp;INDEX(Periods!$E$5:$E$57,$B371),'Time Off Log'!$C$5:$C$504,"&lt;="&amp;INDEX(Periods!$F$5:$F$57,$B371)))</f>
        <v/>
      </c>
      <c r="M371" s="48">
        <f>IF($B371=1,N(INDEX(Employees!$N$5:$N$29,$A371)),P370)</f>
        <v/>
      </c>
      <c r="N371" s="48">
        <f>IF(INDEX(Employees!$L$5:$L$29,$A371)="",K371,MAX(0,MIN(K371,INDEX(Employees!$L$5:$L$29,$A371)-(M371-L371))))</f>
        <v/>
      </c>
      <c r="O371" s="48">
        <f>K371-N371</f>
        <v/>
      </c>
      <c r="P371" s="48">
        <f>M371-L371+N371</f>
        <v/>
      </c>
      <c r="Q371" s="48">
        <f>IF($G371=0,0,IF(INDEX(Employees!$P$5:$P$29,$A371)="Per pay period",(N(INDEX(Employees!$Q$5:$Q$29,$A371)))/Settings!$B$13,IF(INDEX(Employees!$P$5:$P$29,$A371)="Per hour worked",N(INDEX(Employees!$R$5:$R$29,$A371))*$I371,IF(INDEX(Employees!$P$5:$P$29,$A371)="Front-loaded",IF(OR($B371=1,N($G370)=0),N(INDEX(Employees!$Q$5:$Q$29,$A371)),0),0))))</f>
        <v/>
      </c>
      <c r="R371" s="48">
        <f>IF($F371=0,0,SUMIFS('Time Off Log'!$H$5:$H$504,'Time Off Log'!$A$5:$A$504,$C371,'Time Off Log'!$B$5:$B$504,"Sick",'Time Off Log'!$E$5:$E$504,"Approved",'Time Off Log'!$C$5:$C$504,"&gt;="&amp;INDEX(Periods!$E$5:$E$57,$B371),'Time Off Log'!$C$5:$C$504,"&lt;="&amp;INDEX(Periods!$F$5:$F$57,$B371)))</f>
        <v/>
      </c>
      <c r="S371" s="48">
        <f>IF($B371=1,N(INDEX(Employees!$T$5:$T$29,$A371)),V370)</f>
        <v/>
      </c>
      <c r="T371" s="48">
        <f>IF(INDEX(Employees!$S$5:$S$29,$A371)="",Q371,MAX(0,MIN(Q371,INDEX(Employees!$S$5:$S$29,$A371)-(S371-R371))))</f>
        <v/>
      </c>
      <c r="U371" s="48">
        <f>Q371-T371</f>
        <v/>
      </c>
      <c r="V371" s="48">
        <f>S371-R371+T371</f>
        <v/>
      </c>
    </row>
    <row r="372">
      <c r="A372" s="47" t="n">
        <v>7</v>
      </c>
      <c r="B372" s="47" t="n">
        <v>50</v>
      </c>
      <c r="C372" s="48">
        <f>INDEX(Employees!$B$5:$B$29,$A372)&amp;""</f>
        <v/>
      </c>
      <c r="D372" s="49">
        <f>INDEX(Periods!$B$5:$B$57,$B372)</f>
        <v/>
      </c>
      <c r="E372" s="49">
        <f>INDEX(Periods!$C$5:$C$57,$B372)</f>
        <v/>
      </c>
      <c r="F372" s="47">
        <f>IF(AND($C372&lt;&gt;"",INDEX(Periods!$D$5:$D$57,$B372)=1),1,0)</f>
        <v/>
      </c>
      <c r="G372" s="47">
        <f>IF($F372=0,0,IF(AND(OR(INDEX(Employees!$D$5:$D$29,$A372)="",$E372&gt;=INDEX(Employees!$D$5:$D$29,$A372)+N(INDEX(Employees!$U$5:$U$29,$A372))),OR(INDEX(Employees!$E$5:$E$29,$A372)="",$D372&lt;=INDEX(Employees!$E$5:$E$29,$A372))),1,0))</f>
        <v/>
      </c>
      <c r="H372" s="47">
        <f>IF($G372=0,0,IF(INDEX(Employees!$D$5:$D$29,$A372)="",0,DATEDIF(INDEX(Employees!$D$5:$D$29,$A372),$E372,"y")))</f>
        <v/>
      </c>
      <c r="I372" s="48">
        <f>IF($G372=0,0,IF(INDEX('Hours Worked'!$D$5:$BD$29,$A372,$B372)="",N(INDEX(Employees!$H$5:$H$29,$A372)),INDEX('Hours Worked'!$D$5:$BD$29,$A372,$B372)))</f>
        <v/>
      </c>
      <c r="J372" s="48">
        <f>IF(OR($G372=0,INDEX(Employees!$O$5:$O$29,$A372)&lt;&gt;"Yes"),0,IF(COUNTIF(Settings!$D$4:$D$9,"&lt;="&amp;$H372)=0,0,INDEX(Settings!$E$4:$E$9,COUNTIF(Settings!$D$4:$D$9,"&lt;="&amp;$H372))))</f>
        <v/>
      </c>
      <c r="K372" s="48">
        <f>IF($G372=0,0,IF(INDEX(Employees!$I$5:$I$29,$A372)="Per pay period",(N(INDEX(Employees!$J$5:$J$29,$A372))+$J372)/Settings!$B$13,IF(INDEX(Employees!$I$5:$I$29,$A372)="Per hour worked",N(INDEX(Employees!$K$5:$K$29,$A372))*$I372,IF(INDEX(Employees!$I$5:$I$29,$A372)="Front-loaded",IF(OR($B372=1,N($G371)=0),N(INDEX(Employees!$J$5:$J$29,$A372))+$J372,0),0))))</f>
        <v/>
      </c>
      <c r="L372" s="48">
        <f>IF($F372=0,0,SUMIFS('Time Off Log'!$H$5:$H$504,'Time Off Log'!$A$5:$A$504,$C372,'Time Off Log'!$B$5:$B$504,"PTO",'Time Off Log'!$E$5:$E$504,"Approved",'Time Off Log'!$C$5:$C$504,"&gt;="&amp;INDEX(Periods!$E$5:$E$57,$B372),'Time Off Log'!$C$5:$C$504,"&lt;="&amp;INDEX(Periods!$F$5:$F$57,$B372)))</f>
        <v/>
      </c>
      <c r="M372" s="48">
        <f>IF($B372=1,N(INDEX(Employees!$N$5:$N$29,$A372)),P371)</f>
        <v/>
      </c>
      <c r="N372" s="48">
        <f>IF(INDEX(Employees!$L$5:$L$29,$A372)="",K372,MAX(0,MIN(K372,INDEX(Employees!$L$5:$L$29,$A372)-(M372-L372))))</f>
        <v/>
      </c>
      <c r="O372" s="48">
        <f>K372-N372</f>
        <v/>
      </c>
      <c r="P372" s="48">
        <f>M372-L372+N372</f>
        <v/>
      </c>
      <c r="Q372" s="48">
        <f>IF($G372=0,0,IF(INDEX(Employees!$P$5:$P$29,$A372)="Per pay period",(N(INDEX(Employees!$Q$5:$Q$29,$A372)))/Settings!$B$13,IF(INDEX(Employees!$P$5:$P$29,$A372)="Per hour worked",N(INDEX(Employees!$R$5:$R$29,$A372))*$I372,IF(INDEX(Employees!$P$5:$P$29,$A372)="Front-loaded",IF(OR($B372=1,N($G371)=0),N(INDEX(Employees!$Q$5:$Q$29,$A372)),0),0))))</f>
        <v/>
      </c>
      <c r="R372" s="48">
        <f>IF($F372=0,0,SUMIFS('Time Off Log'!$H$5:$H$504,'Time Off Log'!$A$5:$A$504,$C372,'Time Off Log'!$B$5:$B$504,"Sick",'Time Off Log'!$E$5:$E$504,"Approved",'Time Off Log'!$C$5:$C$504,"&gt;="&amp;INDEX(Periods!$E$5:$E$57,$B372),'Time Off Log'!$C$5:$C$504,"&lt;="&amp;INDEX(Periods!$F$5:$F$57,$B372)))</f>
        <v/>
      </c>
      <c r="S372" s="48">
        <f>IF($B372=1,N(INDEX(Employees!$T$5:$T$29,$A372)),V371)</f>
        <v/>
      </c>
      <c r="T372" s="48">
        <f>IF(INDEX(Employees!$S$5:$S$29,$A372)="",Q372,MAX(0,MIN(Q372,INDEX(Employees!$S$5:$S$29,$A372)-(S372-R372))))</f>
        <v/>
      </c>
      <c r="U372" s="48">
        <f>Q372-T372</f>
        <v/>
      </c>
      <c r="V372" s="48">
        <f>S372-R372+T372</f>
        <v/>
      </c>
    </row>
    <row r="373">
      <c r="A373" s="47" t="n">
        <v>7</v>
      </c>
      <c r="B373" s="47" t="n">
        <v>51</v>
      </c>
      <c r="C373" s="48">
        <f>INDEX(Employees!$B$5:$B$29,$A373)&amp;""</f>
        <v/>
      </c>
      <c r="D373" s="49">
        <f>INDEX(Periods!$B$5:$B$57,$B373)</f>
        <v/>
      </c>
      <c r="E373" s="49">
        <f>INDEX(Periods!$C$5:$C$57,$B373)</f>
        <v/>
      </c>
      <c r="F373" s="47">
        <f>IF(AND($C373&lt;&gt;"",INDEX(Periods!$D$5:$D$57,$B373)=1),1,0)</f>
        <v/>
      </c>
      <c r="G373" s="47">
        <f>IF($F373=0,0,IF(AND(OR(INDEX(Employees!$D$5:$D$29,$A373)="",$E373&gt;=INDEX(Employees!$D$5:$D$29,$A373)+N(INDEX(Employees!$U$5:$U$29,$A373))),OR(INDEX(Employees!$E$5:$E$29,$A373)="",$D373&lt;=INDEX(Employees!$E$5:$E$29,$A373))),1,0))</f>
        <v/>
      </c>
      <c r="H373" s="47">
        <f>IF($G373=0,0,IF(INDEX(Employees!$D$5:$D$29,$A373)="",0,DATEDIF(INDEX(Employees!$D$5:$D$29,$A373),$E373,"y")))</f>
        <v/>
      </c>
      <c r="I373" s="48">
        <f>IF($G373=0,0,IF(INDEX('Hours Worked'!$D$5:$BD$29,$A373,$B373)="",N(INDEX(Employees!$H$5:$H$29,$A373)),INDEX('Hours Worked'!$D$5:$BD$29,$A373,$B373)))</f>
        <v/>
      </c>
      <c r="J373" s="48">
        <f>IF(OR($G373=0,INDEX(Employees!$O$5:$O$29,$A373)&lt;&gt;"Yes"),0,IF(COUNTIF(Settings!$D$4:$D$9,"&lt;="&amp;$H373)=0,0,INDEX(Settings!$E$4:$E$9,COUNTIF(Settings!$D$4:$D$9,"&lt;="&amp;$H373))))</f>
        <v/>
      </c>
      <c r="K373" s="48">
        <f>IF($G373=0,0,IF(INDEX(Employees!$I$5:$I$29,$A373)="Per pay period",(N(INDEX(Employees!$J$5:$J$29,$A373))+$J373)/Settings!$B$13,IF(INDEX(Employees!$I$5:$I$29,$A373)="Per hour worked",N(INDEX(Employees!$K$5:$K$29,$A373))*$I373,IF(INDEX(Employees!$I$5:$I$29,$A373)="Front-loaded",IF(OR($B373=1,N($G372)=0),N(INDEX(Employees!$J$5:$J$29,$A373))+$J373,0),0))))</f>
        <v/>
      </c>
      <c r="L373" s="48">
        <f>IF($F373=0,0,SUMIFS('Time Off Log'!$H$5:$H$504,'Time Off Log'!$A$5:$A$504,$C373,'Time Off Log'!$B$5:$B$504,"PTO",'Time Off Log'!$E$5:$E$504,"Approved",'Time Off Log'!$C$5:$C$504,"&gt;="&amp;INDEX(Periods!$E$5:$E$57,$B373),'Time Off Log'!$C$5:$C$504,"&lt;="&amp;INDEX(Periods!$F$5:$F$57,$B373)))</f>
        <v/>
      </c>
      <c r="M373" s="48">
        <f>IF($B373=1,N(INDEX(Employees!$N$5:$N$29,$A373)),P372)</f>
        <v/>
      </c>
      <c r="N373" s="48">
        <f>IF(INDEX(Employees!$L$5:$L$29,$A373)="",K373,MAX(0,MIN(K373,INDEX(Employees!$L$5:$L$29,$A373)-(M373-L373))))</f>
        <v/>
      </c>
      <c r="O373" s="48">
        <f>K373-N373</f>
        <v/>
      </c>
      <c r="P373" s="48">
        <f>M373-L373+N373</f>
        <v/>
      </c>
      <c r="Q373" s="48">
        <f>IF($G373=0,0,IF(INDEX(Employees!$P$5:$P$29,$A373)="Per pay period",(N(INDEX(Employees!$Q$5:$Q$29,$A373)))/Settings!$B$13,IF(INDEX(Employees!$P$5:$P$29,$A373)="Per hour worked",N(INDEX(Employees!$R$5:$R$29,$A373))*$I373,IF(INDEX(Employees!$P$5:$P$29,$A373)="Front-loaded",IF(OR($B373=1,N($G372)=0),N(INDEX(Employees!$Q$5:$Q$29,$A373)),0),0))))</f>
        <v/>
      </c>
      <c r="R373" s="48">
        <f>IF($F373=0,0,SUMIFS('Time Off Log'!$H$5:$H$504,'Time Off Log'!$A$5:$A$504,$C373,'Time Off Log'!$B$5:$B$504,"Sick",'Time Off Log'!$E$5:$E$504,"Approved",'Time Off Log'!$C$5:$C$504,"&gt;="&amp;INDEX(Periods!$E$5:$E$57,$B373),'Time Off Log'!$C$5:$C$504,"&lt;="&amp;INDEX(Periods!$F$5:$F$57,$B373)))</f>
        <v/>
      </c>
      <c r="S373" s="48">
        <f>IF($B373=1,N(INDEX(Employees!$T$5:$T$29,$A373)),V372)</f>
        <v/>
      </c>
      <c r="T373" s="48">
        <f>IF(INDEX(Employees!$S$5:$S$29,$A373)="",Q373,MAX(0,MIN(Q373,INDEX(Employees!$S$5:$S$29,$A373)-(S373-R373))))</f>
        <v/>
      </c>
      <c r="U373" s="48">
        <f>Q373-T373</f>
        <v/>
      </c>
      <c r="V373" s="48">
        <f>S373-R373+T373</f>
        <v/>
      </c>
    </row>
    <row r="374">
      <c r="A374" s="47" t="n">
        <v>7</v>
      </c>
      <c r="B374" s="47" t="n">
        <v>52</v>
      </c>
      <c r="C374" s="48">
        <f>INDEX(Employees!$B$5:$B$29,$A374)&amp;""</f>
        <v/>
      </c>
      <c r="D374" s="49">
        <f>INDEX(Periods!$B$5:$B$57,$B374)</f>
        <v/>
      </c>
      <c r="E374" s="49">
        <f>INDEX(Periods!$C$5:$C$57,$B374)</f>
        <v/>
      </c>
      <c r="F374" s="47">
        <f>IF(AND($C374&lt;&gt;"",INDEX(Periods!$D$5:$D$57,$B374)=1),1,0)</f>
        <v/>
      </c>
      <c r="G374" s="47">
        <f>IF($F374=0,0,IF(AND(OR(INDEX(Employees!$D$5:$D$29,$A374)="",$E374&gt;=INDEX(Employees!$D$5:$D$29,$A374)+N(INDEX(Employees!$U$5:$U$29,$A374))),OR(INDEX(Employees!$E$5:$E$29,$A374)="",$D374&lt;=INDEX(Employees!$E$5:$E$29,$A374))),1,0))</f>
        <v/>
      </c>
      <c r="H374" s="47">
        <f>IF($G374=0,0,IF(INDEX(Employees!$D$5:$D$29,$A374)="",0,DATEDIF(INDEX(Employees!$D$5:$D$29,$A374),$E374,"y")))</f>
        <v/>
      </c>
      <c r="I374" s="48">
        <f>IF($G374=0,0,IF(INDEX('Hours Worked'!$D$5:$BD$29,$A374,$B374)="",N(INDEX(Employees!$H$5:$H$29,$A374)),INDEX('Hours Worked'!$D$5:$BD$29,$A374,$B374)))</f>
        <v/>
      </c>
      <c r="J374" s="48">
        <f>IF(OR($G374=0,INDEX(Employees!$O$5:$O$29,$A374)&lt;&gt;"Yes"),0,IF(COUNTIF(Settings!$D$4:$D$9,"&lt;="&amp;$H374)=0,0,INDEX(Settings!$E$4:$E$9,COUNTIF(Settings!$D$4:$D$9,"&lt;="&amp;$H374))))</f>
        <v/>
      </c>
      <c r="K374" s="48">
        <f>IF($G374=0,0,IF(INDEX(Employees!$I$5:$I$29,$A374)="Per pay period",(N(INDEX(Employees!$J$5:$J$29,$A374))+$J374)/Settings!$B$13,IF(INDEX(Employees!$I$5:$I$29,$A374)="Per hour worked",N(INDEX(Employees!$K$5:$K$29,$A374))*$I374,IF(INDEX(Employees!$I$5:$I$29,$A374)="Front-loaded",IF(OR($B374=1,N($G373)=0),N(INDEX(Employees!$J$5:$J$29,$A374))+$J374,0),0))))</f>
        <v/>
      </c>
      <c r="L374" s="48">
        <f>IF($F374=0,0,SUMIFS('Time Off Log'!$H$5:$H$504,'Time Off Log'!$A$5:$A$504,$C374,'Time Off Log'!$B$5:$B$504,"PTO",'Time Off Log'!$E$5:$E$504,"Approved",'Time Off Log'!$C$5:$C$504,"&gt;="&amp;INDEX(Periods!$E$5:$E$57,$B374),'Time Off Log'!$C$5:$C$504,"&lt;="&amp;INDEX(Periods!$F$5:$F$57,$B374)))</f>
        <v/>
      </c>
      <c r="M374" s="48">
        <f>IF($B374=1,N(INDEX(Employees!$N$5:$N$29,$A374)),P373)</f>
        <v/>
      </c>
      <c r="N374" s="48">
        <f>IF(INDEX(Employees!$L$5:$L$29,$A374)="",K374,MAX(0,MIN(K374,INDEX(Employees!$L$5:$L$29,$A374)-(M374-L374))))</f>
        <v/>
      </c>
      <c r="O374" s="48">
        <f>K374-N374</f>
        <v/>
      </c>
      <c r="P374" s="48">
        <f>M374-L374+N374</f>
        <v/>
      </c>
      <c r="Q374" s="48">
        <f>IF($G374=0,0,IF(INDEX(Employees!$P$5:$P$29,$A374)="Per pay period",(N(INDEX(Employees!$Q$5:$Q$29,$A374)))/Settings!$B$13,IF(INDEX(Employees!$P$5:$P$29,$A374)="Per hour worked",N(INDEX(Employees!$R$5:$R$29,$A374))*$I374,IF(INDEX(Employees!$P$5:$P$29,$A374)="Front-loaded",IF(OR($B374=1,N($G373)=0),N(INDEX(Employees!$Q$5:$Q$29,$A374)),0),0))))</f>
        <v/>
      </c>
      <c r="R374" s="48">
        <f>IF($F374=0,0,SUMIFS('Time Off Log'!$H$5:$H$504,'Time Off Log'!$A$5:$A$504,$C374,'Time Off Log'!$B$5:$B$504,"Sick",'Time Off Log'!$E$5:$E$504,"Approved",'Time Off Log'!$C$5:$C$504,"&gt;="&amp;INDEX(Periods!$E$5:$E$57,$B374),'Time Off Log'!$C$5:$C$504,"&lt;="&amp;INDEX(Periods!$F$5:$F$57,$B374)))</f>
        <v/>
      </c>
      <c r="S374" s="48">
        <f>IF($B374=1,N(INDEX(Employees!$T$5:$T$29,$A374)),V373)</f>
        <v/>
      </c>
      <c r="T374" s="48">
        <f>IF(INDEX(Employees!$S$5:$S$29,$A374)="",Q374,MAX(0,MIN(Q374,INDEX(Employees!$S$5:$S$29,$A374)-(S374-R374))))</f>
        <v/>
      </c>
      <c r="U374" s="48">
        <f>Q374-T374</f>
        <v/>
      </c>
      <c r="V374" s="48">
        <f>S374-R374+T374</f>
        <v/>
      </c>
    </row>
    <row r="375">
      <c r="A375" s="47" t="n">
        <v>7</v>
      </c>
      <c r="B375" s="47" t="n">
        <v>53</v>
      </c>
      <c r="C375" s="48">
        <f>INDEX(Employees!$B$5:$B$29,$A375)&amp;""</f>
        <v/>
      </c>
      <c r="D375" s="49">
        <f>INDEX(Periods!$B$5:$B$57,$B375)</f>
        <v/>
      </c>
      <c r="E375" s="49">
        <f>INDEX(Periods!$C$5:$C$57,$B375)</f>
        <v/>
      </c>
      <c r="F375" s="47">
        <f>IF(AND($C375&lt;&gt;"",INDEX(Periods!$D$5:$D$57,$B375)=1),1,0)</f>
        <v/>
      </c>
      <c r="G375" s="47">
        <f>IF($F375=0,0,IF(AND(OR(INDEX(Employees!$D$5:$D$29,$A375)="",$E375&gt;=INDEX(Employees!$D$5:$D$29,$A375)+N(INDEX(Employees!$U$5:$U$29,$A375))),OR(INDEX(Employees!$E$5:$E$29,$A375)="",$D375&lt;=INDEX(Employees!$E$5:$E$29,$A375))),1,0))</f>
        <v/>
      </c>
      <c r="H375" s="47">
        <f>IF($G375=0,0,IF(INDEX(Employees!$D$5:$D$29,$A375)="",0,DATEDIF(INDEX(Employees!$D$5:$D$29,$A375),$E375,"y")))</f>
        <v/>
      </c>
      <c r="I375" s="48">
        <f>IF($G375=0,0,IF(INDEX('Hours Worked'!$D$5:$BD$29,$A375,$B375)="",N(INDEX(Employees!$H$5:$H$29,$A375)),INDEX('Hours Worked'!$D$5:$BD$29,$A375,$B375)))</f>
        <v/>
      </c>
      <c r="J375" s="48">
        <f>IF(OR($G375=0,INDEX(Employees!$O$5:$O$29,$A375)&lt;&gt;"Yes"),0,IF(COUNTIF(Settings!$D$4:$D$9,"&lt;="&amp;$H375)=0,0,INDEX(Settings!$E$4:$E$9,COUNTIF(Settings!$D$4:$D$9,"&lt;="&amp;$H375))))</f>
        <v/>
      </c>
      <c r="K375" s="48">
        <f>IF($G375=0,0,IF(INDEX(Employees!$I$5:$I$29,$A375)="Per pay period",(N(INDEX(Employees!$J$5:$J$29,$A375))+$J375)/Settings!$B$13,IF(INDEX(Employees!$I$5:$I$29,$A375)="Per hour worked",N(INDEX(Employees!$K$5:$K$29,$A375))*$I375,IF(INDEX(Employees!$I$5:$I$29,$A375)="Front-loaded",IF(OR($B375=1,N($G374)=0),N(INDEX(Employees!$J$5:$J$29,$A375))+$J375,0),0))))</f>
        <v/>
      </c>
      <c r="L375" s="48">
        <f>IF($F375=0,0,SUMIFS('Time Off Log'!$H$5:$H$504,'Time Off Log'!$A$5:$A$504,$C375,'Time Off Log'!$B$5:$B$504,"PTO",'Time Off Log'!$E$5:$E$504,"Approved",'Time Off Log'!$C$5:$C$504,"&gt;="&amp;INDEX(Periods!$E$5:$E$57,$B375),'Time Off Log'!$C$5:$C$504,"&lt;="&amp;INDEX(Periods!$F$5:$F$57,$B375)))</f>
        <v/>
      </c>
      <c r="M375" s="48">
        <f>IF($B375=1,N(INDEX(Employees!$N$5:$N$29,$A375)),P374)</f>
        <v/>
      </c>
      <c r="N375" s="48">
        <f>IF(INDEX(Employees!$L$5:$L$29,$A375)="",K375,MAX(0,MIN(K375,INDEX(Employees!$L$5:$L$29,$A375)-(M375-L375))))</f>
        <v/>
      </c>
      <c r="O375" s="48">
        <f>K375-N375</f>
        <v/>
      </c>
      <c r="P375" s="48">
        <f>M375-L375+N375</f>
        <v/>
      </c>
      <c r="Q375" s="48">
        <f>IF($G375=0,0,IF(INDEX(Employees!$P$5:$P$29,$A375)="Per pay period",(N(INDEX(Employees!$Q$5:$Q$29,$A375)))/Settings!$B$13,IF(INDEX(Employees!$P$5:$P$29,$A375)="Per hour worked",N(INDEX(Employees!$R$5:$R$29,$A375))*$I375,IF(INDEX(Employees!$P$5:$P$29,$A375)="Front-loaded",IF(OR($B375=1,N($G374)=0),N(INDEX(Employees!$Q$5:$Q$29,$A375)),0),0))))</f>
        <v/>
      </c>
      <c r="R375" s="48">
        <f>IF($F375=0,0,SUMIFS('Time Off Log'!$H$5:$H$504,'Time Off Log'!$A$5:$A$504,$C375,'Time Off Log'!$B$5:$B$504,"Sick",'Time Off Log'!$E$5:$E$504,"Approved",'Time Off Log'!$C$5:$C$504,"&gt;="&amp;INDEX(Periods!$E$5:$E$57,$B375),'Time Off Log'!$C$5:$C$504,"&lt;="&amp;INDEX(Periods!$F$5:$F$57,$B375)))</f>
        <v/>
      </c>
      <c r="S375" s="48">
        <f>IF($B375=1,N(INDEX(Employees!$T$5:$T$29,$A375)),V374)</f>
        <v/>
      </c>
      <c r="T375" s="48">
        <f>IF(INDEX(Employees!$S$5:$S$29,$A375)="",Q375,MAX(0,MIN(Q375,INDEX(Employees!$S$5:$S$29,$A375)-(S375-R375))))</f>
        <v/>
      </c>
      <c r="U375" s="48">
        <f>Q375-T375</f>
        <v/>
      </c>
      <c r="V375" s="48">
        <f>S375-R375+T375</f>
        <v/>
      </c>
    </row>
    <row r="376">
      <c r="A376" s="50" t="n">
        <v>8</v>
      </c>
      <c r="B376" s="50" t="n">
        <v>1</v>
      </c>
      <c r="C376" s="51">
        <f>INDEX(Employees!$B$5:$B$29,$A376)&amp;""</f>
        <v/>
      </c>
      <c r="D376" s="52">
        <f>INDEX(Periods!$B$5:$B$57,$B376)</f>
        <v/>
      </c>
      <c r="E376" s="52">
        <f>INDEX(Periods!$C$5:$C$57,$B376)</f>
        <v/>
      </c>
      <c r="F376" s="50">
        <f>IF(AND($C376&lt;&gt;"",INDEX(Periods!$D$5:$D$57,$B376)=1),1,0)</f>
        <v/>
      </c>
      <c r="G376" s="50">
        <f>IF($F376=0,0,IF(AND(OR(INDEX(Employees!$D$5:$D$29,$A376)="",$E376&gt;=INDEX(Employees!$D$5:$D$29,$A376)+N(INDEX(Employees!$U$5:$U$29,$A376))),OR(INDEX(Employees!$E$5:$E$29,$A376)="",$D376&lt;=INDEX(Employees!$E$5:$E$29,$A376))),1,0))</f>
        <v/>
      </c>
      <c r="H376" s="50">
        <f>IF($G376=0,0,IF(INDEX(Employees!$D$5:$D$29,$A376)="",0,DATEDIF(INDEX(Employees!$D$5:$D$29,$A376),$E376,"y")))</f>
        <v/>
      </c>
      <c r="I376" s="51">
        <f>IF($G376=0,0,IF(INDEX('Hours Worked'!$D$5:$BD$29,$A376,$B376)="",N(INDEX(Employees!$H$5:$H$29,$A376)),INDEX('Hours Worked'!$D$5:$BD$29,$A376,$B376)))</f>
        <v/>
      </c>
      <c r="J376" s="51">
        <f>IF(OR($G376=0,INDEX(Employees!$O$5:$O$29,$A376)&lt;&gt;"Yes"),0,IF(COUNTIF(Settings!$D$4:$D$9,"&lt;="&amp;$H376)=0,0,INDEX(Settings!$E$4:$E$9,COUNTIF(Settings!$D$4:$D$9,"&lt;="&amp;$H376))))</f>
        <v/>
      </c>
      <c r="K376" s="51">
        <f>IF($G376=0,0,IF(INDEX(Employees!$I$5:$I$29,$A376)="Per pay period",(N(INDEX(Employees!$J$5:$J$29,$A376))+$J376)/Settings!$B$13,IF(INDEX(Employees!$I$5:$I$29,$A376)="Per hour worked",N(INDEX(Employees!$K$5:$K$29,$A376))*$I376,IF(INDEX(Employees!$I$5:$I$29,$A376)="Front-loaded",IF(OR($B376=1,N($G375)=0),N(INDEX(Employees!$J$5:$J$29,$A376))+$J376,0),0))))</f>
        <v/>
      </c>
      <c r="L376" s="51">
        <f>IF($F376=0,0,SUMIFS('Time Off Log'!$H$5:$H$504,'Time Off Log'!$A$5:$A$504,$C376,'Time Off Log'!$B$5:$B$504,"PTO",'Time Off Log'!$E$5:$E$504,"Approved",'Time Off Log'!$C$5:$C$504,"&gt;="&amp;INDEX(Periods!$E$5:$E$57,$B376),'Time Off Log'!$C$5:$C$504,"&lt;="&amp;INDEX(Periods!$F$5:$F$57,$B376)))</f>
        <v/>
      </c>
      <c r="M376" s="51">
        <f>N(INDEX(Employees!$N$5:$N$29,$A376))</f>
        <v/>
      </c>
      <c r="N376" s="51">
        <f>IF(INDEX(Employees!$L$5:$L$29,$A376)="",K376,MAX(0,MIN(K376,INDEX(Employees!$L$5:$L$29,$A376)-(M376-L376))))</f>
        <v/>
      </c>
      <c r="O376" s="51">
        <f>K376-N376</f>
        <v/>
      </c>
      <c r="P376" s="51">
        <f>M376-L376+N376</f>
        <v/>
      </c>
      <c r="Q376" s="51">
        <f>IF($G376=0,0,IF(INDEX(Employees!$P$5:$P$29,$A376)="Per pay period",(N(INDEX(Employees!$Q$5:$Q$29,$A376)))/Settings!$B$13,IF(INDEX(Employees!$P$5:$P$29,$A376)="Per hour worked",N(INDEX(Employees!$R$5:$R$29,$A376))*$I376,IF(INDEX(Employees!$P$5:$P$29,$A376)="Front-loaded",IF(OR($B376=1,N($G375)=0),N(INDEX(Employees!$Q$5:$Q$29,$A376)),0),0))))</f>
        <v/>
      </c>
      <c r="R376" s="51">
        <f>IF($F376=0,0,SUMIFS('Time Off Log'!$H$5:$H$504,'Time Off Log'!$A$5:$A$504,$C376,'Time Off Log'!$B$5:$B$504,"Sick",'Time Off Log'!$E$5:$E$504,"Approved",'Time Off Log'!$C$5:$C$504,"&gt;="&amp;INDEX(Periods!$E$5:$E$57,$B376),'Time Off Log'!$C$5:$C$504,"&lt;="&amp;INDEX(Periods!$F$5:$F$57,$B376)))</f>
        <v/>
      </c>
      <c r="S376" s="51">
        <f>N(INDEX(Employees!$T$5:$T$29,$A376))</f>
        <v/>
      </c>
      <c r="T376" s="51">
        <f>IF(INDEX(Employees!$S$5:$S$29,$A376)="",Q376,MAX(0,MIN(Q376,INDEX(Employees!$S$5:$S$29,$A376)-(S376-R376))))</f>
        <v/>
      </c>
      <c r="U376" s="51">
        <f>Q376-T376</f>
        <v/>
      </c>
      <c r="V376" s="51">
        <f>S376-R376+T376</f>
        <v/>
      </c>
    </row>
    <row r="377">
      <c r="A377" s="50" t="n">
        <v>8</v>
      </c>
      <c r="B377" s="50" t="n">
        <v>2</v>
      </c>
      <c r="C377" s="51">
        <f>INDEX(Employees!$B$5:$B$29,$A377)&amp;""</f>
        <v/>
      </c>
      <c r="D377" s="52">
        <f>INDEX(Periods!$B$5:$B$57,$B377)</f>
        <v/>
      </c>
      <c r="E377" s="52">
        <f>INDEX(Periods!$C$5:$C$57,$B377)</f>
        <v/>
      </c>
      <c r="F377" s="50">
        <f>IF(AND($C377&lt;&gt;"",INDEX(Periods!$D$5:$D$57,$B377)=1),1,0)</f>
        <v/>
      </c>
      <c r="G377" s="50">
        <f>IF($F377=0,0,IF(AND(OR(INDEX(Employees!$D$5:$D$29,$A377)="",$E377&gt;=INDEX(Employees!$D$5:$D$29,$A377)+N(INDEX(Employees!$U$5:$U$29,$A377))),OR(INDEX(Employees!$E$5:$E$29,$A377)="",$D377&lt;=INDEX(Employees!$E$5:$E$29,$A377))),1,0))</f>
        <v/>
      </c>
      <c r="H377" s="50">
        <f>IF($G377=0,0,IF(INDEX(Employees!$D$5:$D$29,$A377)="",0,DATEDIF(INDEX(Employees!$D$5:$D$29,$A377),$E377,"y")))</f>
        <v/>
      </c>
      <c r="I377" s="51">
        <f>IF($G377=0,0,IF(INDEX('Hours Worked'!$D$5:$BD$29,$A377,$B377)="",N(INDEX(Employees!$H$5:$H$29,$A377)),INDEX('Hours Worked'!$D$5:$BD$29,$A377,$B377)))</f>
        <v/>
      </c>
      <c r="J377" s="51">
        <f>IF(OR($G377=0,INDEX(Employees!$O$5:$O$29,$A377)&lt;&gt;"Yes"),0,IF(COUNTIF(Settings!$D$4:$D$9,"&lt;="&amp;$H377)=0,0,INDEX(Settings!$E$4:$E$9,COUNTIF(Settings!$D$4:$D$9,"&lt;="&amp;$H377))))</f>
        <v/>
      </c>
      <c r="K377" s="51">
        <f>IF($G377=0,0,IF(INDEX(Employees!$I$5:$I$29,$A377)="Per pay period",(N(INDEX(Employees!$J$5:$J$29,$A377))+$J377)/Settings!$B$13,IF(INDEX(Employees!$I$5:$I$29,$A377)="Per hour worked",N(INDEX(Employees!$K$5:$K$29,$A377))*$I377,IF(INDEX(Employees!$I$5:$I$29,$A377)="Front-loaded",IF(OR($B377=1,N($G376)=0),N(INDEX(Employees!$J$5:$J$29,$A377))+$J377,0),0))))</f>
        <v/>
      </c>
      <c r="L377" s="51">
        <f>IF($F377=0,0,SUMIFS('Time Off Log'!$H$5:$H$504,'Time Off Log'!$A$5:$A$504,$C377,'Time Off Log'!$B$5:$B$504,"PTO",'Time Off Log'!$E$5:$E$504,"Approved",'Time Off Log'!$C$5:$C$504,"&gt;="&amp;INDEX(Periods!$E$5:$E$57,$B377),'Time Off Log'!$C$5:$C$504,"&lt;="&amp;INDEX(Periods!$F$5:$F$57,$B377)))</f>
        <v/>
      </c>
      <c r="M377" s="51">
        <f>IF($B377=1,N(INDEX(Employees!$N$5:$N$29,$A377)),P376)</f>
        <v/>
      </c>
      <c r="N377" s="51">
        <f>IF(INDEX(Employees!$L$5:$L$29,$A377)="",K377,MAX(0,MIN(K377,INDEX(Employees!$L$5:$L$29,$A377)-(M377-L377))))</f>
        <v/>
      </c>
      <c r="O377" s="51">
        <f>K377-N377</f>
        <v/>
      </c>
      <c r="P377" s="51">
        <f>M377-L377+N377</f>
        <v/>
      </c>
      <c r="Q377" s="51">
        <f>IF($G377=0,0,IF(INDEX(Employees!$P$5:$P$29,$A377)="Per pay period",(N(INDEX(Employees!$Q$5:$Q$29,$A377)))/Settings!$B$13,IF(INDEX(Employees!$P$5:$P$29,$A377)="Per hour worked",N(INDEX(Employees!$R$5:$R$29,$A377))*$I377,IF(INDEX(Employees!$P$5:$P$29,$A377)="Front-loaded",IF(OR($B377=1,N($G376)=0),N(INDEX(Employees!$Q$5:$Q$29,$A377)),0),0))))</f>
        <v/>
      </c>
      <c r="R377" s="51">
        <f>IF($F377=0,0,SUMIFS('Time Off Log'!$H$5:$H$504,'Time Off Log'!$A$5:$A$504,$C377,'Time Off Log'!$B$5:$B$504,"Sick",'Time Off Log'!$E$5:$E$504,"Approved",'Time Off Log'!$C$5:$C$504,"&gt;="&amp;INDEX(Periods!$E$5:$E$57,$B377),'Time Off Log'!$C$5:$C$504,"&lt;="&amp;INDEX(Periods!$F$5:$F$57,$B377)))</f>
        <v/>
      </c>
      <c r="S377" s="51">
        <f>IF($B377=1,N(INDEX(Employees!$T$5:$T$29,$A377)),V376)</f>
        <v/>
      </c>
      <c r="T377" s="51">
        <f>IF(INDEX(Employees!$S$5:$S$29,$A377)="",Q377,MAX(0,MIN(Q377,INDEX(Employees!$S$5:$S$29,$A377)-(S377-R377))))</f>
        <v/>
      </c>
      <c r="U377" s="51">
        <f>Q377-T377</f>
        <v/>
      </c>
      <c r="V377" s="51">
        <f>S377-R377+T377</f>
        <v/>
      </c>
    </row>
    <row r="378">
      <c r="A378" s="50" t="n">
        <v>8</v>
      </c>
      <c r="B378" s="50" t="n">
        <v>3</v>
      </c>
      <c r="C378" s="51">
        <f>INDEX(Employees!$B$5:$B$29,$A378)&amp;""</f>
        <v/>
      </c>
      <c r="D378" s="52">
        <f>INDEX(Periods!$B$5:$B$57,$B378)</f>
        <v/>
      </c>
      <c r="E378" s="52">
        <f>INDEX(Periods!$C$5:$C$57,$B378)</f>
        <v/>
      </c>
      <c r="F378" s="50">
        <f>IF(AND($C378&lt;&gt;"",INDEX(Periods!$D$5:$D$57,$B378)=1),1,0)</f>
        <v/>
      </c>
      <c r="G378" s="50">
        <f>IF($F378=0,0,IF(AND(OR(INDEX(Employees!$D$5:$D$29,$A378)="",$E378&gt;=INDEX(Employees!$D$5:$D$29,$A378)+N(INDEX(Employees!$U$5:$U$29,$A378))),OR(INDEX(Employees!$E$5:$E$29,$A378)="",$D378&lt;=INDEX(Employees!$E$5:$E$29,$A378))),1,0))</f>
        <v/>
      </c>
      <c r="H378" s="50">
        <f>IF($G378=0,0,IF(INDEX(Employees!$D$5:$D$29,$A378)="",0,DATEDIF(INDEX(Employees!$D$5:$D$29,$A378),$E378,"y")))</f>
        <v/>
      </c>
      <c r="I378" s="51">
        <f>IF($G378=0,0,IF(INDEX('Hours Worked'!$D$5:$BD$29,$A378,$B378)="",N(INDEX(Employees!$H$5:$H$29,$A378)),INDEX('Hours Worked'!$D$5:$BD$29,$A378,$B378)))</f>
        <v/>
      </c>
      <c r="J378" s="51">
        <f>IF(OR($G378=0,INDEX(Employees!$O$5:$O$29,$A378)&lt;&gt;"Yes"),0,IF(COUNTIF(Settings!$D$4:$D$9,"&lt;="&amp;$H378)=0,0,INDEX(Settings!$E$4:$E$9,COUNTIF(Settings!$D$4:$D$9,"&lt;="&amp;$H378))))</f>
        <v/>
      </c>
      <c r="K378" s="51">
        <f>IF($G378=0,0,IF(INDEX(Employees!$I$5:$I$29,$A378)="Per pay period",(N(INDEX(Employees!$J$5:$J$29,$A378))+$J378)/Settings!$B$13,IF(INDEX(Employees!$I$5:$I$29,$A378)="Per hour worked",N(INDEX(Employees!$K$5:$K$29,$A378))*$I378,IF(INDEX(Employees!$I$5:$I$29,$A378)="Front-loaded",IF(OR($B378=1,N($G377)=0),N(INDEX(Employees!$J$5:$J$29,$A378))+$J378,0),0))))</f>
        <v/>
      </c>
      <c r="L378" s="51">
        <f>IF($F378=0,0,SUMIFS('Time Off Log'!$H$5:$H$504,'Time Off Log'!$A$5:$A$504,$C378,'Time Off Log'!$B$5:$B$504,"PTO",'Time Off Log'!$E$5:$E$504,"Approved",'Time Off Log'!$C$5:$C$504,"&gt;="&amp;INDEX(Periods!$E$5:$E$57,$B378),'Time Off Log'!$C$5:$C$504,"&lt;="&amp;INDEX(Periods!$F$5:$F$57,$B378)))</f>
        <v/>
      </c>
      <c r="M378" s="51">
        <f>IF($B378=1,N(INDEX(Employees!$N$5:$N$29,$A378)),P377)</f>
        <v/>
      </c>
      <c r="N378" s="51">
        <f>IF(INDEX(Employees!$L$5:$L$29,$A378)="",K378,MAX(0,MIN(K378,INDEX(Employees!$L$5:$L$29,$A378)-(M378-L378))))</f>
        <v/>
      </c>
      <c r="O378" s="51">
        <f>K378-N378</f>
        <v/>
      </c>
      <c r="P378" s="51">
        <f>M378-L378+N378</f>
        <v/>
      </c>
      <c r="Q378" s="51">
        <f>IF($G378=0,0,IF(INDEX(Employees!$P$5:$P$29,$A378)="Per pay period",(N(INDEX(Employees!$Q$5:$Q$29,$A378)))/Settings!$B$13,IF(INDEX(Employees!$P$5:$P$29,$A378)="Per hour worked",N(INDEX(Employees!$R$5:$R$29,$A378))*$I378,IF(INDEX(Employees!$P$5:$P$29,$A378)="Front-loaded",IF(OR($B378=1,N($G377)=0),N(INDEX(Employees!$Q$5:$Q$29,$A378)),0),0))))</f>
        <v/>
      </c>
      <c r="R378" s="51">
        <f>IF($F378=0,0,SUMIFS('Time Off Log'!$H$5:$H$504,'Time Off Log'!$A$5:$A$504,$C378,'Time Off Log'!$B$5:$B$504,"Sick",'Time Off Log'!$E$5:$E$504,"Approved",'Time Off Log'!$C$5:$C$504,"&gt;="&amp;INDEX(Periods!$E$5:$E$57,$B378),'Time Off Log'!$C$5:$C$504,"&lt;="&amp;INDEX(Periods!$F$5:$F$57,$B378)))</f>
        <v/>
      </c>
      <c r="S378" s="51">
        <f>IF($B378=1,N(INDEX(Employees!$T$5:$T$29,$A378)),V377)</f>
        <v/>
      </c>
      <c r="T378" s="51">
        <f>IF(INDEX(Employees!$S$5:$S$29,$A378)="",Q378,MAX(0,MIN(Q378,INDEX(Employees!$S$5:$S$29,$A378)-(S378-R378))))</f>
        <v/>
      </c>
      <c r="U378" s="51">
        <f>Q378-T378</f>
        <v/>
      </c>
      <c r="V378" s="51">
        <f>S378-R378+T378</f>
        <v/>
      </c>
    </row>
    <row r="379">
      <c r="A379" s="50" t="n">
        <v>8</v>
      </c>
      <c r="B379" s="50" t="n">
        <v>4</v>
      </c>
      <c r="C379" s="51">
        <f>INDEX(Employees!$B$5:$B$29,$A379)&amp;""</f>
        <v/>
      </c>
      <c r="D379" s="52">
        <f>INDEX(Periods!$B$5:$B$57,$B379)</f>
        <v/>
      </c>
      <c r="E379" s="52">
        <f>INDEX(Periods!$C$5:$C$57,$B379)</f>
        <v/>
      </c>
      <c r="F379" s="50">
        <f>IF(AND($C379&lt;&gt;"",INDEX(Periods!$D$5:$D$57,$B379)=1),1,0)</f>
        <v/>
      </c>
      <c r="G379" s="50">
        <f>IF($F379=0,0,IF(AND(OR(INDEX(Employees!$D$5:$D$29,$A379)="",$E379&gt;=INDEX(Employees!$D$5:$D$29,$A379)+N(INDEX(Employees!$U$5:$U$29,$A379))),OR(INDEX(Employees!$E$5:$E$29,$A379)="",$D379&lt;=INDEX(Employees!$E$5:$E$29,$A379))),1,0))</f>
        <v/>
      </c>
      <c r="H379" s="50">
        <f>IF($G379=0,0,IF(INDEX(Employees!$D$5:$D$29,$A379)="",0,DATEDIF(INDEX(Employees!$D$5:$D$29,$A379),$E379,"y")))</f>
        <v/>
      </c>
      <c r="I379" s="51">
        <f>IF($G379=0,0,IF(INDEX('Hours Worked'!$D$5:$BD$29,$A379,$B379)="",N(INDEX(Employees!$H$5:$H$29,$A379)),INDEX('Hours Worked'!$D$5:$BD$29,$A379,$B379)))</f>
        <v/>
      </c>
      <c r="J379" s="51">
        <f>IF(OR($G379=0,INDEX(Employees!$O$5:$O$29,$A379)&lt;&gt;"Yes"),0,IF(COUNTIF(Settings!$D$4:$D$9,"&lt;="&amp;$H379)=0,0,INDEX(Settings!$E$4:$E$9,COUNTIF(Settings!$D$4:$D$9,"&lt;="&amp;$H379))))</f>
        <v/>
      </c>
      <c r="K379" s="51">
        <f>IF($G379=0,0,IF(INDEX(Employees!$I$5:$I$29,$A379)="Per pay period",(N(INDEX(Employees!$J$5:$J$29,$A379))+$J379)/Settings!$B$13,IF(INDEX(Employees!$I$5:$I$29,$A379)="Per hour worked",N(INDEX(Employees!$K$5:$K$29,$A379))*$I379,IF(INDEX(Employees!$I$5:$I$29,$A379)="Front-loaded",IF(OR($B379=1,N($G378)=0),N(INDEX(Employees!$J$5:$J$29,$A379))+$J379,0),0))))</f>
        <v/>
      </c>
      <c r="L379" s="51">
        <f>IF($F379=0,0,SUMIFS('Time Off Log'!$H$5:$H$504,'Time Off Log'!$A$5:$A$504,$C379,'Time Off Log'!$B$5:$B$504,"PTO",'Time Off Log'!$E$5:$E$504,"Approved",'Time Off Log'!$C$5:$C$504,"&gt;="&amp;INDEX(Periods!$E$5:$E$57,$B379),'Time Off Log'!$C$5:$C$504,"&lt;="&amp;INDEX(Periods!$F$5:$F$57,$B379)))</f>
        <v/>
      </c>
      <c r="M379" s="51">
        <f>IF($B379=1,N(INDEX(Employees!$N$5:$N$29,$A379)),P378)</f>
        <v/>
      </c>
      <c r="N379" s="51">
        <f>IF(INDEX(Employees!$L$5:$L$29,$A379)="",K379,MAX(0,MIN(K379,INDEX(Employees!$L$5:$L$29,$A379)-(M379-L379))))</f>
        <v/>
      </c>
      <c r="O379" s="51">
        <f>K379-N379</f>
        <v/>
      </c>
      <c r="P379" s="51">
        <f>M379-L379+N379</f>
        <v/>
      </c>
      <c r="Q379" s="51">
        <f>IF($G379=0,0,IF(INDEX(Employees!$P$5:$P$29,$A379)="Per pay period",(N(INDEX(Employees!$Q$5:$Q$29,$A379)))/Settings!$B$13,IF(INDEX(Employees!$P$5:$P$29,$A379)="Per hour worked",N(INDEX(Employees!$R$5:$R$29,$A379))*$I379,IF(INDEX(Employees!$P$5:$P$29,$A379)="Front-loaded",IF(OR($B379=1,N($G378)=0),N(INDEX(Employees!$Q$5:$Q$29,$A379)),0),0))))</f>
        <v/>
      </c>
      <c r="R379" s="51">
        <f>IF($F379=0,0,SUMIFS('Time Off Log'!$H$5:$H$504,'Time Off Log'!$A$5:$A$504,$C379,'Time Off Log'!$B$5:$B$504,"Sick",'Time Off Log'!$E$5:$E$504,"Approved",'Time Off Log'!$C$5:$C$504,"&gt;="&amp;INDEX(Periods!$E$5:$E$57,$B379),'Time Off Log'!$C$5:$C$504,"&lt;="&amp;INDEX(Periods!$F$5:$F$57,$B379)))</f>
        <v/>
      </c>
      <c r="S379" s="51">
        <f>IF($B379=1,N(INDEX(Employees!$T$5:$T$29,$A379)),V378)</f>
        <v/>
      </c>
      <c r="T379" s="51">
        <f>IF(INDEX(Employees!$S$5:$S$29,$A379)="",Q379,MAX(0,MIN(Q379,INDEX(Employees!$S$5:$S$29,$A379)-(S379-R379))))</f>
        <v/>
      </c>
      <c r="U379" s="51">
        <f>Q379-T379</f>
        <v/>
      </c>
      <c r="V379" s="51">
        <f>S379-R379+T379</f>
        <v/>
      </c>
    </row>
    <row r="380">
      <c r="A380" s="50" t="n">
        <v>8</v>
      </c>
      <c r="B380" s="50" t="n">
        <v>5</v>
      </c>
      <c r="C380" s="51">
        <f>INDEX(Employees!$B$5:$B$29,$A380)&amp;""</f>
        <v/>
      </c>
      <c r="D380" s="52">
        <f>INDEX(Periods!$B$5:$B$57,$B380)</f>
        <v/>
      </c>
      <c r="E380" s="52">
        <f>INDEX(Periods!$C$5:$C$57,$B380)</f>
        <v/>
      </c>
      <c r="F380" s="50">
        <f>IF(AND($C380&lt;&gt;"",INDEX(Periods!$D$5:$D$57,$B380)=1),1,0)</f>
        <v/>
      </c>
      <c r="G380" s="50">
        <f>IF($F380=0,0,IF(AND(OR(INDEX(Employees!$D$5:$D$29,$A380)="",$E380&gt;=INDEX(Employees!$D$5:$D$29,$A380)+N(INDEX(Employees!$U$5:$U$29,$A380))),OR(INDEX(Employees!$E$5:$E$29,$A380)="",$D380&lt;=INDEX(Employees!$E$5:$E$29,$A380))),1,0))</f>
        <v/>
      </c>
      <c r="H380" s="50">
        <f>IF($G380=0,0,IF(INDEX(Employees!$D$5:$D$29,$A380)="",0,DATEDIF(INDEX(Employees!$D$5:$D$29,$A380),$E380,"y")))</f>
        <v/>
      </c>
      <c r="I380" s="51">
        <f>IF($G380=0,0,IF(INDEX('Hours Worked'!$D$5:$BD$29,$A380,$B380)="",N(INDEX(Employees!$H$5:$H$29,$A380)),INDEX('Hours Worked'!$D$5:$BD$29,$A380,$B380)))</f>
        <v/>
      </c>
      <c r="J380" s="51">
        <f>IF(OR($G380=0,INDEX(Employees!$O$5:$O$29,$A380)&lt;&gt;"Yes"),0,IF(COUNTIF(Settings!$D$4:$D$9,"&lt;="&amp;$H380)=0,0,INDEX(Settings!$E$4:$E$9,COUNTIF(Settings!$D$4:$D$9,"&lt;="&amp;$H380))))</f>
        <v/>
      </c>
      <c r="K380" s="51">
        <f>IF($G380=0,0,IF(INDEX(Employees!$I$5:$I$29,$A380)="Per pay period",(N(INDEX(Employees!$J$5:$J$29,$A380))+$J380)/Settings!$B$13,IF(INDEX(Employees!$I$5:$I$29,$A380)="Per hour worked",N(INDEX(Employees!$K$5:$K$29,$A380))*$I380,IF(INDEX(Employees!$I$5:$I$29,$A380)="Front-loaded",IF(OR($B380=1,N($G379)=0),N(INDEX(Employees!$J$5:$J$29,$A380))+$J380,0),0))))</f>
        <v/>
      </c>
      <c r="L380" s="51">
        <f>IF($F380=0,0,SUMIFS('Time Off Log'!$H$5:$H$504,'Time Off Log'!$A$5:$A$504,$C380,'Time Off Log'!$B$5:$B$504,"PTO",'Time Off Log'!$E$5:$E$504,"Approved",'Time Off Log'!$C$5:$C$504,"&gt;="&amp;INDEX(Periods!$E$5:$E$57,$B380),'Time Off Log'!$C$5:$C$504,"&lt;="&amp;INDEX(Periods!$F$5:$F$57,$B380)))</f>
        <v/>
      </c>
      <c r="M380" s="51">
        <f>IF($B380=1,N(INDEX(Employees!$N$5:$N$29,$A380)),P379)</f>
        <v/>
      </c>
      <c r="N380" s="51">
        <f>IF(INDEX(Employees!$L$5:$L$29,$A380)="",K380,MAX(0,MIN(K380,INDEX(Employees!$L$5:$L$29,$A380)-(M380-L380))))</f>
        <v/>
      </c>
      <c r="O380" s="51">
        <f>K380-N380</f>
        <v/>
      </c>
      <c r="P380" s="51">
        <f>M380-L380+N380</f>
        <v/>
      </c>
      <c r="Q380" s="51">
        <f>IF($G380=0,0,IF(INDEX(Employees!$P$5:$P$29,$A380)="Per pay period",(N(INDEX(Employees!$Q$5:$Q$29,$A380)))/Settings!$B$13,IF(INDEX(Employees!$P$5:$P$29,$A380)="Per hour worked",N(INDEX(Employees!$R$5:$R$29,$A380))*$I380,IF(INDEX(Employees!$P$5:$P$29,$A380)="Front-loaded",IF(OR($B380=1,N($G379)=0),N(INDEX(Employees!$Q$5:$Q$29,$A380)),0),0))))</f>
        <v/>
      </c>
      <c r="R380" s="51">
        <f>IF($F380=0,0,SUMIFS('Time Off Log'!$H$5:$H$504,'Time Off Log'!$A$5:$A$504,$C380,'Time Off Log'!$B$5:$B$504,"Sick",'Time Off Log'!$E$5:$E$504,"Approved",'Time Off Log'!$C$5:$C$504,"&gt;="&amp;INDEX(Periods!$E$5:$E$57,$B380),'Time Off Log'!$C$5:$C$504,"&lt;="&amp;INDEX(Periods!$F$5:$F$57,$B380)))</f>
        <v/>
      </c>
      <c r="S380" s="51">
        <f>IF($B380=1,N(INDEX(Employees!$T$5:$T$29,$A380)),V379)</f>
        <v/>
      </c>
      <c r="T380" s="51">
        <f>IF(INDEX(Employees!$S$5:$S$29,$A380)="",Q380,MAX(0,MIN(Q380,INDEX(Employees!$S$5:$S$29,$A380)-(S380-R380))))</f>
        <v/>
      </c>
      <c r="U380" s="51">
        <f>Q380-T380</f>
        <v/>
      </c>
      <c r="V380" s="51">
        <f>S380-R380+T380</f>
        <v/>
      </c>
    </row>
    <row r="381">
      <c r="A381" s="50" t="n">
        <v>8</v>
      </c>
      <c r="B381" s="50" t="n">
        <v>6</v>
      </c>
      <c r="C381" s="51">
        <f>INDEX(Employees!$B$5:$B$29,$A381)&amp;""</f>
        <v/>
      </c>
      <c r="D381" s="52">
        <f>INDEX(Periods!$B$5:$B$57,$B381)</f>
        <v/>
      </c>
      <c r="E381" s="52">
        <f>INDEX(Periods!$C$5:$C$57,$B381)</f>
        <v/>
      </c>
      <c r="F381" s="50">
        <f>IF(AND($C381&lt;&gt;"",INDEX(Periods!$D$5:$D$57,$B381)=1),1,0)</f>
        <v/>
      </c>
      <c r="G381" s="50">
        <f>IF($F381=0,0,IF(AND(OR(INDEX(Employees!$D$5:$D$29,$A381)="",$E381&gt;=INDEX(Employees!$D$5:$D$29,$A381)+N(INDEX(Employees!$U$5:$U$29,$A381))),OR(INDEX(Employees!$E$5:$E$29,$A381)="",$D381&lt;=INDEX(Employees!$E$5:$E$29,$A381))),1,0))</f>
        <v/>
      </c>
      <c r="H381" s="50">
        <f>IF($G381=0,0,IF(INDEX(Employees!$D$5:$D$29,$A381)="",0,DATEDIF(INDEX(Employees!$D$5:$D$29,$A381),$E381,"y")))</f>
        <v/>
      </c>
      <c r="I381" s="51">
        <f>IF($G381=0,0,IF(INDEX('Hours Worked'!$D$5:$BD$29,$A381,$B381)="",N(INDEX(Employees!$H$5:$H$29,$A381)),INDEX('Hours Worked'!$D$5:$BD$29,$A381,$B381)))</f>
        <v/>
      </c>
      <c r="J381" s="51">
        <f>IF(OR($G381=0,INDEX(Employees!$O$5:$O$29,$A381)&lt;&gt;"Yes"),0,IF(COUNTIF(Settings!$D$4:$D$9,"&lt;="&amp;$H381)=0,0,INDEX(Settings!$E$4:$E$9,COUNTIF(Settings!$D$4:$D$9,"&lt;="&amp;$H381))))</f>
        <v/>
      </c>
      <c r="K381" s="51">
        <f>IF($G381=0,0,IF(INDEX(Employees!$I$5:$I$29,$A381)="Per pay period",(N(INDEX(Employees!$J$5:$J$29,$A381))+$J381)/Settings!$B$13,IF(INDEX(Employees!$I$5:$I$29,$A381)="Per hour worked",N(INDEX(Employees!$K$5:$K$29,$A381))*$I381,IF(INDEX(Employees!$I$5:$I$29,$A381)="Front-loaded",IF(OR($B381=1,N($G380)=0),N(INDEX(Employees!$J$5:$J$29,$A381))+$J381,0),0))))</f>
        <v/>
      </c>
      <c r="L381" s="51">
        <f>IF($F381=0,0,SUMIFS('Time Off Log'!$H$5:$H$504,'Time Off Log'!$A$5:$A$504,$C381,'Time Off Log'!$B$5:$B$504,"PTO",'Time Off Log'!$E$5:$E$504,"Approved",'Time Off Log'!$C$5:$C$504,"&gt;="&amp;INDEX(Periods!$E$5:$E$57,$B381),'Time Off Log'!$C$5:$C$504,"&lt;="&amp;INDEX(Periods!$F$5:$F$57,$B381)))</f>
        <v/>
      </c>
      <c r="M381" s="51">
        <f>IF($B381=1,N(INDEX(Employees!$N$5:$N$29,$A381)),P380)</f>
        <v/>
      </c>
      <c r="N381" s="51">
        <f>IF(INDEX(Employees!$L$5:$L$29,$A381)="",K381,MAX(0,MIN(K381,INDEX(Employees!$L$5:$L$29,$A381)-(M381-L381))))</f>
        <v/>
      </c>
      <c r="O381" s="51">
        <f>K381-N381</f>
        <v/>
      </c>
      <c r="P381" s="51">
        <f>M381-L381+N381</f>
        <v/>
      </c>
      <c r="Q381" s="51">
        <f>IF($G381=0,0,IF(INDEX(Employees!$P$5:$P$29,$A381)="Per pay period",(N(INDEX(Employees!$Q$5:$Q$29,$A381)))/Settings!$B$13,IF(INDEX(Employees!$P$5:$P$29,$A381)="Per hour worked",N(INDEX(Employees!$R$5:$R$29,$A381))*$I381,IF(INDEX(Employees!$P$5:$P$29,$A381)="Front-loaded",IF(OR($B381=1,N($G380)=0),N(INDEX(Employees!$Q$5:$Q$29,$A381)),0),0))))</f>
        <v/>
      </c>
      <c r="R381" s="51">
        <f>IF($F381=0,0,SUMIFS('Time Off Log'!$H$5:$H$504,'Time Off Log'!$A$5:$A$504,$C381,'Time Off Log'!$B$5:$B$504,"Sick",'Time Off Log'!$E$5:$E$504,"Approved",'Time Off Log'!$C$5:$C$504,"&gt;="&amp;INDEX(Periods!$E$5:$E$57,$B381),'Time Off Log'!$C$5:$C$504,"&lt;="&amp;INDEX(Periods!$F$5:$F$57,$B381)))</f>
        <v/>
      </c>
      <c r="S381" s="51">
        <f>IF($B381=1,N(INDEX(Employees!$T$5:$T$29,$A381)),V380)</f>
        <v/>
      </c>
      <c r="T381" s="51">
        <f>IF(INDEX(Employees!$S$5:$S$29,$A381)="",Q381,MAX(0,MIN(Q381,INDEX(Employees!$S$5:$S$29,$A381)-(S381-R381))))</f>
        <v/>
      </c>
      <c r="U381" s="51">
        <f>Q381-T381</f>
        <v/>
      </c>
      <c r="V381" s="51">
        <f>S381-R381+T381</f>
        <v/>
      </c>
    </row>
    <row r="382">
      <c r="A382" s="50" t="n">
        <v>8</v>
      </c>
      <c r="B382" s="50" t="n">
        <v>7</v>
      </c>
      <c r="C382" s="51">
        <f>INDEX(Employees!$B$5:$B$29,$A382)&amp;""</f>
        <v/>
      </c>
      <c r="D382" s="52">
        <f>INDEX(Periods!$B$5:$B$57,$B382)</f>
        <v/>
      </c>
      <c r="E382" s="52">
        <f>INDEX(Periods!$C$5:$C$57,$B382)</f>
        <v/>
      </c>
      <c r="F382" s="50">
        <f>IF(AND($C382&lt;&gt;"",INDEX(Periods!$D$5:$D$57,$B382)=1),1,0)</f>
        <v/>
      </c>
      <c r="G382" s="50">
        <f>IF($F382=0,0,IF(AND(OR(INDEX(Employees!$D$5:$D$29,$A382)="",$E382&gt;=INDEX(Employees!$D$5:$D$29,$A382)+N(INDEX(Employees!$U$5:$U$29,$A382))),OR(INDEX(Employees!$E$5:$E$29,$A382)="",$D382&lt;=INDEX(Employees!$E$5:$E$29,$A382))),1,0))</f>
        <v/>
      </c>
      <c r="H382" s="50">
        <f>IF($G382=0,0,IF(INDEX(Employees!$D$5:$D$29,$A382)="",0,DATEDIF(INDEX(Employees!$D$5:$D$29,$A382),$E382,"y")))</f>
        <v/>
      </c>
      <c r="I382" s="51">
        <f>IF($G382=0,0,IF(INDEX('Hours Worked'!$D$5:$BD$29,$A382,$B382)="",N(INDEX(Employees!$H$5:$H$29,$A382)),INDEX('Hours Worked'!$D$5:$BD$29,$A382,$B382)))</f>
        <v/>
      </c>
      <c r="J382" s="51">
        <f>IF(OR($G382=0,INDEX(Employees!$O$5:$O$29,$A382)&lt;&gt;"Yes"),0,IF(COUNTIF(Settings!$D$4:$D$9,"&lt;="&amp;$H382)=0,0,INDEX(Settings!$E$4:$E$9,COUNTIF(Settings!$D$4:$D$9,"&lt;="&amp;$H382))))</f>
        <v/>
      </c>
      <c r="K382" s="51">
        <f>IF($G382=0,0,IF(INDEX(Employees!$I$5:$I$29,$A382)="Per pay period",(N(INDEX(Employees!$J$5:$J$29,$A382))+$J382)/Settings!$B$13,IF(INDEX(Employees!$I$5:$I$29,$A382)="Per hour worked",N(INDEX(Employees!$K$5:$K$29,$A382))*$I382,IF(INDEX(Employees!$I$5:$I$29,$A382)="Front-loaded",IF(OR($B382=1,N($G381)=0),N(INDEX(Employees!$J$5:$J$29,$A382))+$J382,0),0))))</f>
        <v/>
      </c>
      <c r="L382" s="51">
        <f>IF($F382=0,0,SUMIFS('Time Off Log'!$H$5:$H$504,'Time Off Log'!$A$5:$A$504,$C382,'Time Off Log'!$B$5:$B$504,"PTO",'Time Off Log'!$E$5:$E$504,"Approved",'Time Off Log'!$C$5:$C$504,"&gt;="&amp;INDEX(Periods!$E$5:$E$57,$B382),'Time Off Log'!$C$5:$C$504,"&lt;="&amp;INDEX(Periods!$F$5:$F$57,$B382)))</f>
        <v/>
      </c>
      <c r="M382" s="51">
        <f>IF($B382=1,N(INDEX(Employees!$N$5:$N$29,$A382)),P381)</f>
        <v/>
      </c>
      <c r="N382" s="51">
        <f>IF(INDEX(Employees!$L$5:$L$29,$A382)="",K382,MAX(0,MIN(K382,INDEX(Employees!$L$5:$L$29,$A382)-(M382-L382))))</f>
        <v/>
      </c>
      <c r="O382" s="51">
        <f>K382-N382</f>
        <v/>
      </c>
      <c r="P382" s="51">
        <f>M382-L382+N382</f>
        <v/>
      </c>
      <c r="Q382" s="51">
        <f>IF($G382=0,0,IF(INDEX(Employees!$P$5:$P$29,$A382)="Per pay period",(N(INDEX(Employees!$Q$5:$Q$29,$A382)))/Settings!$B$13,IF(INDEX(Employees!$P$5:$P$29,$A382)="Per hour worked",N(INDEX(Employees!$R$5:$R$29,$A382))*$I382,IF(INDEX(Employees!$P$5:$P$29,$A382)="Front-loaded",IF(OR($B382=1,N($G381)=0),N(INDEX(Employees!$Q$5:$Q$29,$A382)),0),0))))</f>
        <v/>
      </c>
      <c r="R382" s="51">
        <f>IF($F382=0,0,SUMIFS('Time Off Log'!$H$5:$H$504,'Time Off Log'!$A$5:$A$504,$C382,'Time Off Log'!$B$5:$B$504,"Sick",'Time Off Log'!$E$5:$E$504,"Approved",'Time Off Log'!$C$5:$C$504,"&gt;="&amp;INDEX(Periods!$E$5:$E$57,$B382),'Time Off Log'!$C$5:$C$504,"&lt;="&amp;INDEX(Periods!$F$5:$F$57,$B382)))</f>
        <v/>
      </c>
      <c r="S382" s="51">
        <f>IF($B382=1,N(INDEX(Employees!$T$5:$T$29,$A382)),V381)</f>
        <v/>
      </c>
      <c r="T382" s="51">
        <f>IF(INDEX(Employees!$S$5:$S$29,$A382)="",Q382,MAX(0,MIN(Q382,INDEX(Employees!$S$5:$S$29,$A382)-(S382-R382))))</f>
        <v/>
      </c>
      <c r="U382" s="51">
        <f>Q382-T382</f>
        <v/>
      </c>
      <c r="V382" s="51">
        <f>S382-R382+T382</f>
        <v/>
      </c>
    </row>
    <row r="383">
      <c r="A383" s="50" t="n">
        <v>8</v>
      </c>
      <c r="B383" s="50" t="n">
        <v>8</v>
      </c>
      <c r="C383" s="51">
        <f>INDEX(Employees!$B$5:$B$29,$A383)&amp;""</f>
        <v/>
      </c>
      <c r="D383" s="52">
        <f>INDEX(Periods!$B$5:$B$57,$B383)</f>
        <v/>
      </c>
      <c r="E383" s="52">
        <f>INDEX(Periods!$C$5:$C$57,$B383)</f>
        <v/>
      </c>
      <c r="F383" s="50">
        <f>IF(AND($C383&lt;&gt;"",INDEX(Periods!$D$5:$D$57,$B383)=1),1,0)</f>
        <v/>
      </c>
      <c r="G383" s="50">
        <f>IF($F383=0,0,IF(AND(OR(INDEX(Employees!$D$5:$D$29,$A383)="",$E383&gt;=INDEX(Employees!$D$5:$D$29,$A383)+N(INDEX(Employees!$U$5:$U$29,$A383))),OR(INDEX(Employees!$E$5:$E$29,$A383)="",$D383&lt;=INDEX(Employees!$E$5:$E$29,$A383))),1,0))</f>
        <v/>
      </c>
      <c r="H383" s="50">
        <f>IF($G383=0,0,IF(INDEX(Employees!$D$5:$D$29,$A383)="",0,DATEDIF(INDEX(Employees!$D$5:$D$29,$A383),$E383,"y")))</f>
        <v/>
      </c>
      <c r="I383" s="51">
        <f>IF($G383=0,0,IF(INDEX('Hours Worked'!$D$5:$BD$29,$A383,$B383)="",N(INDEX(Employees!$H$5:$H$29,$A383)),INDEX('Hours Worked'!$D$5:$BD$29,$A383,$B383)))</f>
        <v/>
      </c>
      <c r="J383" s="51">
        <f>IF(OR($G383=0,INDEX(Employees!$O$5:$O$29,$A383)&lt;&gt;"Yes"),0,IF(COUNTIF(Settings!$D$4:$D$9,"&lt;="&amp;$H383)=0,0,INDEX(Settings!$E$4:$E$9,COUNTIF(Settings!$D$4:$D$9,"&lt;="&amp;$H383))))</f>
        <v/>
      </c>
      <c r="K383" s="51">
        <f>IF($G383=0,0,IF(INDEX(Employees!$I$5:$I$29,$A383)="Per pay period",(N(INDEX(Employees!$J$5:$J$29,$A383))+$J383)/Settings!$B$13,IF(INDEX(Employees!$I$5:$I$29,$A383)="Per hour worked",N(INDEX(Employees!$K$5:$K$29,$A383))*$I383,IF(INDEX(Employees!$I$5:$I$29,$A383)="Front-loaded",IF(OR($B383=1,N($G382)=0),N(INDEX(Employees!$J$5:$J$29,$A383))+$J383,0),0))))</f>
        <v/>
      </c>
      <c r="L383" s="51">
        <f>IF($F383=0,0,SUMIFS('Time Off Log'!$H$5:$H$504,'Time Off Log'!$A$5:$A$504,$C383,'Time Off Log'!$B$5:$B$504,"PTO",'Time Off Log'!$E$5:$E$504,"Approved",'Time Off Log'!$C$5:$C$504,"&gt;="&amp;INDEX(Periods!$E$5:$E$57,$B383),'Time Off Log'!$C$5:$C$504,"&lt;="&amp;INDEX(Periods!$F$5:$F$57,$B383)))</f>
        <v/>
      </c>
      <c r="M383" s="51">
        <f>IF($B383=1,N(INDEX(Employees!$N$5:$N$29,$A383)),P382)</f>
        <v/>
      </c>
      <c r="N383" s="51">
        <f>IF(INDEX(Employees!$L$5:$L$29,$A383)="",K383,MAX(0,MIN(K383,INDEX(Employees!$L$5:$L$29,$A383)-(M383-L383))))</f>
        <v/>
      </c>
      <c r="O383" s="51">
        <f>K383-N383</f>
        <v/>
      </c>
      <c r="P383" s="51">
        <f>M383-L383+N383</f>
        <v/>
      </c>
      <c r="Q383" s="51">
        <f>IF($G383=0,0,IF(INDEX(Employees!$P$5:$P$29,$A383)="Per pay period",(N(INDEX(Employees!$Q$5:$Q$29,$A383)))/Settings!$B$13,IF(INDEX(Employees!$P$5:$P$29,$A383)="Per hour worked",N(INDEX(Employees!$R$5:$R$29,$A383))*$I383,IF(INDEX(Employees!$P$5:$P$29,$A383)="Front-loaded",IF(OR($B383=1,N($G382)=0),N(INDEX(Employees!$Q$5:$Q$29,$A383)),0),0))))</f>
        <v/>
      </c>
      <c r="R383" s="51">
        <f>IF($F383=0,0,SUMIFS('Time Off Log'!$H$5:$H$504,'Time Off Log'!$A$5:$A$504,$C383,'Time Off Log'!$B$5:$B$504,"Sick",'Time Off Log'!$E$5:$E$504,"Approved",'Time Off Log'!$C$5:$C$504,"&gt;="&amp;INDEX(Periods!$E$5:$E$57,$B383),'Time Off Log'!$C$5:$C$504,"&lt;="&amp;INDEX(Periods!$F$5:$F$57,$B383)))</f>
        <v/>
      </c>
      <c r="S383" s="51">
        <f>IF($B383=1,N(INDEX(Employees!$T$5:$T$29,$A383)),V382)</f>
        <v/>
      </c>
      <c r="T383" s="51">
        <f>IF(INDEX(Employees!$S$5:$S$29,$A383)="",Q383,MAX(0,MIN(Q383,INDEX(Employees!$S$5:$S$29,$A383)-(S383-R383))))</f>
        <v/>
      </c>
      <c r="U383" s="51">
        <f>Q383-T383</f>
        <v/>
      </c>
      <c r="V383" s="51">
        <f>S383-R383+T383</f>
        <v/>
      </c>
    </row>
    <row r="384">
      <c r="A384" s="50" t="n">
        <v>8</v>
      </c>
      <c r="B384" s="50" t="n">
        <v>9</v>
      </c>
      <c r="C384" s="51">
        <f>INDEX(Employees!$B$5:$B$29,$A384)&amp;""</f>
        <v/>
      </c>
      <c r="D384" s="52">
        <f>INDEX(Periods!$B$5:$B$57,$B384)</f>
        <v/>
      </c>
      <c r="E384" s="52">
        <f>INDEX(Periods!$C$5:$C$57,$B384)</f>
        <v/>
      </c>
      <c r="F384" s="50">
        <f>IF(AND($C384&lt;&gt;"",INDEX(Periods!$D$5:$D$57,$B384)=1),1,0)</f>
        <v/>
      </c>
      <c r="G384" s="50">
        <f>IF($F384=0,0,IF(AND(OR(INDEX(Employees!$D$5:$D$29,$A384)="",$E384&gt;=INDEX(Employees!$D$5:$D$29,$A384)+N(INDEX(Employees!$U$5:$U$29,$A384))),OR(INDEX(Employees!$E$5:$E$29,$A384)="",$D384&lt;=INDEX(Employees!$E$5:$E$29,$A384))),1,0))</f>
        <v/>
      </c>
      <c r="H384" s="50">
        <f>IF($G384=0,0,IF(INDEX(Employees!$D$5:$D$29,$A384)="",0,DATEDIF(INDEX(Employees!$D$5:$D$29,$A384),$E384,"y")))</f>
        <v/>
      </c>
      <c r="I384" s="51">
        <f>IF($G384=0,0,IF(INDEX('Hours Worked'!$D$5:$BD$29,$A384,$B384)="",N(INDEX(Employees!$H$5:$H$29,$A384)),INDEX('Hours Worked'!$D$5:$BD$29,$A384,$B384)))</f>
        <v/>
      </c>
      <c r="J384" s="51">
        <f>IF(OR($G384=0,INDEX(Employees!$O$5:$O$29,$A384)&lt;&gt;"Yes"),0,IF(COUNTIF(Settings!$D$4:$D$9,"&lt;="&amp;$H384)=0,0,INDEX(Settings!$E$4:$E$9,COUNTIF(Settings!$D$4:$D$9,"&lt;="&amp;$H384))))</f>
        <v/>
      </c>
      <c r="K384" s="51">
        <f>IF($G384=0,0,IF(INDEX(Employees!$I$5:$I$29,$A384)="Per pay period",(N(INDEX(Employees!$J$5:$J$29,$A384))+$J384)/Settings!$B$13,IF(INDEX(Employees!$I$5:$I$29,$A384)="Per hour worked",N(INDEX(Employees!$K$5:$K$29,$A384))*$I384,IF(INDEX(Employees!$I$5:$I$29,$A384)="Front-loaded",IF(OR($B384=1,N($G383)=0),N(INDEX(Employees!$J$5:$J$29,$A384))+$J384,0),0))))</f>
        <v/>
      </c>
      <c r="L384" s="51">
        <f>IF($F384=0,0,SUMIFS('Time Off Log'!$H$5:$H$504,'Time Off Log'!$A$5:$A$504,$C384,'Time Off Log'!$B$5:$B$504,"PTO",'Time Off Log'!$E$5:$E$504,"Approved",'Time Off Log'!$C$5:$C$504,"&gt;="&amp;INDEX(Periods!$E$5:$E$57,$B384),'Time Off Log'!$C$5:$C$504,"&lt;="&amp;INDEX(Periods!$F$5:$F$57,$B384)))</f>
        <v/>
      </c>
      <c r="M384" s="51">
        <f>IF($B384=1,N(INDEX(Employees!$N$5:$N$29,$A384)),P383)</f>
        <v/>
      </c>
      <c r="N384" s="51">
        <f>IF(INDEX(Employees!$L$5:$L$29,$A384)="",K384,MAX(0,MIN(K384,INDEX(Employees!$L$5:$L$29,$A384)-(M384-L384))))</f>
        <v/>
      </c>
      <c r="O384" s="51">
        <f>K384-N384</f>
        <v/>
      </c>
      <c r="P384" s="51">
        <f>M384-L384+N384</f>
        <v/>
      </c>
      <c r="Q384" s="51">
        <f>IF($G384=0,0,IF(INDEX(Employees!$P$5:$P$29,$A384)="Per pay period",(N(INDEX(Employees!$Q$5:$Q$29,$A384)))/Settings!$B$13,IF(INDEX(Employees!$P$5:$P$29,$A384)="Per hour worked",N(INDEX(Employees!$R$5:$R$29,$A384))*$I384,IF(INDEX(Employees!$P$5:$P$29,$A384)="Front-loaded",IF(OR($B384=1,N($G383)=0),N(INDEX(Employees!$Q$5:$Q$29,$A384)),0),0))))</f>
        <v/>
      </c>
      <c r="R384" s="51">
        <f>IF($F384=0,0,SUMIFS('Time Off Log'!$H$5:$H$504,'Time Off Log'!$A$5:$A$504,$C384,'Time Off Log'!$B$5:$B$504,"Sick",'Time Off Log'!$E$5:$E$504,"Approved",'Time Off Log'!$C$5:$C$504,"&gt;="&amp;INDEX(Periods!$E$5:$E$57,$B384),'Time Off Log'!$C$5:$C$504,"&lt;="&amp;INDEX(Periods!$F$5:$F$57,$B384)))</f>
        <v/>
      </c>
      <c r="S384" s="51">
        <f>IF($B384=1,N(INDEX(Employees!$T$5:$T$29,$A384)),V383)</f>
        <v/>
      </c>
      <c r="T384" s="51">
        <f>IF(INDEX(Employees!$S$5:$S$29,$A384)="",Q384,MAX(0,MIN(Q384,INDEX(Employees!$S$5:$S$29,$A384)-(S384-R384))))</f>
        <v/>
      </c>
      <c r="U384" s="51">
        <f>Q384-T384</f>
        <v/>
      </c>
      <c r="V384" s="51">
        <f>S384-R384+T384</f>
        <v/>
      </c>
    </row>
    <row r="385">
      <c r="A385" s="50" t="n">
        <v>8</v>
      </c>
      <c r="B385" s="50" t="n">
        <v>10</v>
      </c>
      <c r="C385" s="51">
        <f>INDEX(Employees!$B$5:$B$29,$A385)&amp;""</f>
        <v/>
      </c>
      <c r="D385" s="52">
        <f>INDEX(Periods!$B$5:$B$57,$B385)</f>
        <v/>
      </c>
      <c r="E385" s="52">
        <f>INDEX(Periods!$C$5:$C$57,$B385)</f>
        <v/>
      </c>
      <c r="F385" s="50">
        <f>IF(AND($C385&lt;&gt;"",INDEX(Periods!$D$5:$D$57,$B385)=1),1,0)</f>
        <v/>
      </c>
      <c r="G385" s="50">
        <f>IF($F385=0,0,IF(AND(OR(INDEX(Employees!$D$5:$D$29,$A385)="",$E385&gt;=INDEX(Employees!$D$5:$D$29,$A385)+N(INDEX(Employees!$U$5:$U$29,$A385))),OR(INDEX(Employees!$E$5:$E$29,$A385)="",$D385&lt;=INDEX(Employees!$E$5:$E$29,$A385))),1,0))</f>
        <v/>
      </c>
      <c r="H385" s="50">
        <f>IF($G385=0,0,IF(INDEX(Employees!$D$5:$D$29,$A385)="",0,DATEDIF(INDEX(Employees!$D$5:$D$29,$A385),$E385,"y")))</f>
        <v/>
      </c>
      <c r="I385" s="51">
        <f>IF($G385=0,0,IF(INDEX('Hours Worked'!$D$5:$BD$29,$A385,$B385)="",N(INDEX(Employees!$H$5:$H$29,$A385)),INDEX('Hours Worked'!$D$5:$BD$29,$A385,$B385)))</f>
        <v/>
      </c>
      <c r="J385" s="51">
        <f>IF(OR($G385=0,INDEX(Employees!$O$5:$O$29,$A385)&lt;&gt;"Yes"),0,IF(COUNTIF(Settings!$D$4:$D$9,"&lt;="&amp;$H385)=0,0,INDEX(Settings!$E$4:$E$9,COUNTIF(Settings!$D$4:$D$9,"&lt;="&amp;$H385))))</f>
        <v/>
      </c>
      <c r="K385" s="51">
        <f>IF($G385=0,0,IF(INDEX(Employees!$I$5:$I$29,$A385)="Per pay period",(N(INDEX(Employees!$J$5:$J$29,$A385))+$J385)/Settings!$B$13,IF(INDEX(Employees!$I$5:$I$29,$A385)="Per hour worked",N(INDEX(Employees!$K$5:$K$29,$A385))*$I385,IF(INDEX(Employees!$I$5:$I$29,$A385)="Front-loaded",IF(OR($B385=1,N($G384)=0),N(INDEX(Employees!$J$5:$J$29,$A385))+$J385,0),0))))</f>
        <v/>
      </c>
      <c r="L385" s="51">
        <f>IF($F385=0,0,SUMIFS('Time Off Log'!$H$5:$H$504,'Time Off Log'!$A$5:$A$504,$C385,'Time Off Log'!$B$5:$B$504,"PTO",'Time Off Log'!$E$5:$E$504,"Approved",'Time Off Log'!$C$5:$C$504,"&gt;="&amp;INDEX(Periods!$E$5:$E$57,$B385),'Time Off Log'!$C$5:$C$504,"&lt;="&amp;INDEX(Periods!$F$5:$F$57,$B385)))</f>
        <v/>
      </c>
      <c r="M385" s="51">
        <f>IF($B385=1,N(INDEX(Employees!$N$5:$N$29,$A385)),P384)</f>
        <v/>
      </c>
      <c r="N385" s="51">
        <f>IF(INDEX(Employees!$L$5:$L$29,$A385)="",K385,MAX(0,MIN(K385,INDEX(Employees!$L$5:$L$29,$A385)-(M385-L385))))</f>
        <v/>
      </c>
      <c r="O385" s="51">
        <f>K385-N385</f>
        <v/>
      </c>
      <c r="P385" s="51">
        <f>M385-L385+N385</f>
        <v/>
      </c>
      <c r="Q385" s="51">
        <f>IF($G385=0,0,IF(INDEX(Employees!$P$5:$P$29,$A385)="Per pay period",(N(INDEX(Employees!$Q$5:$Q$29,$A385)))/Settings!$B$13,IF(INDEX(Employees!$P$5:$P$29,$A385)="Per hour worked",N(INDEX(Employees!$R$5:$R$29,$A385))*$I385,IF(INDEX(Employees!$P$5:$P$29,$A385)="Front-loaded",IF(OR($B385=1,N($G384)=0),N(INDEX(Employees!$Q$5:$Q$29,$A385)),0),0))))</f>
        <v/>
      </c>
      <c r="R385" s="51">
        <f>IF($F385=0,0,SUMIFS('Time Off Log'!$H$5:$H$504,'Time Off Log'!$A$5:$A$504,$C385,'Time Off Log'!$B$5:$B$504,"Sick",'Time Off Log'!$E$5:$E$504,"Approved",'Time Off Log'!$C$5:$C$504,"&gt;="&amp;INDEX(Periods!$E$5:$E$57,$B385),'Time Off Log'!$C$5:$C$504,"&lt;="&amp;INDEX(Periods!$F$5:$F$57,$B385)))</f>
        <v/>
      </c>
      <c r="S385" s="51">
        <f>IF($B385=1,N(INDEX(Employees!$T$5:$T$29,$A385)),V384)</f>
        <v/>
      </c>
      <c r="T385" s="51">
        <f>IF(INDEX(Employees!$S$5:$S$29,$A385)="",Q385,MAX(0,MIN(Q385,INDEX(Employees!$S$5:$S$29,$A385)-(S385-R385))))</f>
        <v/>
      </c>
      <c r="U385" s="51">
        <f>Q385-T385</f>
        <v/>
      </c>
      <c r="V385" s="51">
        <f>S385-R385+T385</f>
        <v/>
      </c>
    </row>
    <row r="386">
      <c r="A386" s="50" t="n">
        <v>8</v>
      </c>
      <c r="B386" s="50" t="n">
        <v>11</v>
      </c>
      <c r="C386" s="51">
        <f>INDEX(Employees!$B$5:$B$29,$A386)&amp;""</f>
        <v/>
      </c>
      <c r="D386" s="52">
        <f>INDEX(Periods!$B$5:$B$57,$B386)</f>
        <v/>
      </c>
      <c r="E386" s="52">
        <f>INDEX(Periods!$C$5:$C$57,$B386)</f>
        <v/>
      </c>
      <c r="F386" s="50">
        <f>IF(AND($C386&lt;&gt;"",INDEX(Periods!$D$5:$D$57,$B386)=1),1,0)</f>
        <v/>
      </c>
      <c r="G386" s="50">
        <f>IF($F386=0,0,IF(AND(OR(INDEX(Employees!$D$5:$D$29,$A386)="",$E386&gt;=INDEX(Employees!$D$5:$D$29,$A386)+N(INDEX(Employees!$U$5:$U$29,$A386))),OR(INDEX(Employees!$E$5:$E$29,$A386)="",$D386&lt;=INDEX(Employees!$E$5:$E$29,$A386))),1,0))</f>
        <v/>
      </c>
      <c r="H386" s="50">
        <f>IF($G386=0,0,IF(INDEX(Employees!$D$5:$D$29,$A386)="",0,DATEDIF(INDEX(Employees!$D$5:$D$29,$A386),$E386,"y")))</f>
        <v/>
      </c>
      <c r="I386" s="51">
        <f>IF($G386=0,0,IF(INDEX('Hours Worked'!$D$5:$BD$29,$A386,$B386)="",N(INDEX(Employees!$H$5:$H$29,$A386)),INDEX('Hours Worked'!$D$5:$BD$29,$A386,$B386)))</f>
        <v/>
      </c>
      <c r="J386" s="51">
        <f>IF(OR($G386=0,INDEX(Employees!$O$5:$O$29,$A386)&lt;&gt;"Yes"),0,IF(COUNTIF(Settings!$D$4:$D$9,"&lt;="&amp;$H386)=0,0,INDEX(Settings!$E$4:$E$9,COUNTIF(Settings!$D$4:$D$9,"&lt;="&amp;$H386))))</f>
        <v/>
      </c>
      <c r="K386" s="51">
        <f>IF($G386=0,0,IF(INDEX(Employees!$I$5:$I$29,$A386)="Per pay period",(N(INDEX(Employees!$J$5:$J$29,$A386))+$J386)/Settings!$B$13,IF(INDEX(Employees!$I$5:$I$29,$A386)="Per hour worked",N(INDEX(Employees!$K$5:$K$29,$A386))*$I386,IF(INDEX(Employees!$I$5:$I$29,$A386)="Front-loaded",IF(OR($B386=1,N($G385)=0),N(INDEX(Employees!$J$5:$J$29,$A386))+$J386,0),0))))</f>
        <v/>
      </c>
      <c r="L386" s="51">
        <f>IF($F386=0,0,SUMIFS('Time Off Log'!$H$5:$H$504,'Time Off Log'!$A$5:$A$504,$C386,'Time Off Log'!$B$5:$B$504,"PTO",'Time Off Log'!$E$5:$E$504,"Approved",'Time Off Log'!$C$5:$C$504,"&gt;="&amp;INDEX(Periods!$E$5:$E$57,$B386),'Time Off Log'!$C$5:$C$504,"&lt;="&amp;INDEX(Periods!$F$5:$F$57,$B386)))</f>
        <v/>
      </c>
      <c r="M386" s="51">
        <f>IF($B386=1,N(INDEX(Employees!$N$5:$N$29,$A386)),P385)</f>
        <v/>
      </c>
      <c r="N386" s="51">
        <f>IF(INDEX(Employees!$L$5:$L$29,$A386)="",K386,MAX(0,MIN(K386,INDEX(Employees!$L$5:$L$29,$A386)-(M386-L386))))</f>
        <v/>
      </c>
      <c r="O386" s="51">
        <f>K386-N386</f>
        <v/>
      </c>
      <c r="P386" s="51">
        <f>M386-L386+N386</f>
        <v/>
      </c>
      <c r="Q386" s="51">
        <f>IF($G386=0,0,IF(INDEX(Employees!$P$5:$P$29,$A386)="Per pay period",(N(INDEX(Employees!$Q$5:$Q$29,$A386)))/Settings!$B$13,IF(INDEX(Employees!$P$5:$P$29,$A386)="Per hour worked",N(INDEX(Employees!$R$5:$R$29,$A386))*$I386,IF(INDEX(Employees!$P$5:$P$29,$A386)="Front-loaded",IF(OR($B386=1,N($G385)=0),N(INDEX(Employees!$Q$5:$Q$29,$A386)),0),0))))</f>
        <v/>
      </c>
      <c r="R386" s="51">
        <f>IF($F386=0,0,SUMIFS('Time Off Log'!$H$5:$H$504,'Time Off Log'!$A$5:$A$504,$C386,'Time Off Log'!$B$5:$B$504,"Sick",'Time Off Log'!$E$5:$E$504,"Approved",'Time Off Log'!$C$5:$C$504,"&gt;="&amp;INDEX(Periods!$E$5:$E$57,$B386),'Time Off Log'!$C$5:$C$504,"&lt;="&amp;INDEX(Periods!$F$5:$F$57,$B386)))</f>
        <v/>
      </c>
      <c r="S386" s="51">
        <f>IF($B386=1,N(INDEX(Employees!$T$5:$T$29,$A386)),V385)</f>
        <v/>
      </c>
      <c r="T386" s="51">
        <f>IF(INDEX(Employees!$S$5:$S$29,$A386)="",Q386,MAX(0,MIN(Q386,INDEX(Employees!$S$5:$S$29,$A386)-(S386-R386))))</f>
        <v/>
      </c>
      <c r="U386" s="51">
        <f>Q386-T386</f>
        <v/>
      </c>
      <c r="V386" s="51">
        <f>S386-R386+T386</f>
        <v/>
      </c>
    </row>
    <row r="387">
      <c r="A387" s="50" t="n">
        <v>8</v>
      </c>
      <c r="B387" s="50" t="n">
        <v>12</v>
      </c>
      <c r="C387" s="51">
        <f>INDEX(Employees!$B$5:$B$29,$A387)&amp;""</f>
        <v/>
      </c>
      <c r="D387" s="52">
        <f>INDEX(Periods!$B$5:$B$57,$B387)</f>
        <v/>
      </c>
      <c r="E387" s="52">
        <f>INDEX(Periods!$C$5:$C$57,$B387)</f>
        <v/>
      </c>
      <c r="F387" s="50">
        <f>IF(AND($C387&lt;&gt;"",INDEX(Periods!$D$5:$D$57,$B387)=1),1,0)</f>
        <v/>
      </c>
      <c r="G387" s="50">
        <f>IF($F387=0,0,IF(AND(OR(INDEX(Employees!$D$5:$D$29,$A387)="",$E387&gt;=INDEX(Employees!$D$5:$D$29,$A387)+N(INDEX(Employees!$U$5:$U$29,$A387))),OR(INDEX(Employees!$E$5:$E$29,$A387)="",$D387&lt;=INDEX(Employees!$E$5:$E$29,$A387))),1,0))</f>
        <v/>
      </c>
      <c r="H387" s="50">
        <f>IF($G387=0,0,IF(INDEX(Employees!$D$5:$D$29,$A387)="",0,DATEDIF(INDEX(Employees!$D$5:$D$29,$A387),$E387,"y")))</f>
        <v/>
      </c>
      <c r="I387" s="51">
        <f>IF($G387=0,0,IF(INDEX('Hours Worked'!$D$5:$BD$29,$A387,$B387)="",N(INDEX(Employees!$H$5:$H$29,$A387)),INDEX('Hours Worked'!$D$5:$BD$29,$A387,$B387)))</f>
        <v/>
      </c>
      <c r="J387" s="51">
        <f>IF(OR($G387=0,INDEX(Employees!$O$5:$O$29,$A387)&lt;&gt;"Yes"),0,IF(COUNTIF(Settings!$D$4:$D$9,"&lt;="&amp;$H387)=0,0,INDEX(Settings!$E$4:$E$9,COUNTIF(Settings!$D$4:$D$9,"&lt;="&amp;$H387))))</f>
        <v/>
      </c>
      <c r="K387" s="51">
        <f>IF($G387=0,0,IF(INDEX(Employees!$I$5:$I$29,$A387)="Per pay period",(N(INDEX(Employees!$J$5:$J$29,$A387))+$J387)/Settings!$B$13,IF(INDEX(Employees!$I$5:$I$29,$A387)="Per hour worked",N(INDEX(Employees!$K$5:$K$29,$A387))*$I387,IF(INDEX(Employees!$I$5:$I$29,$A387)="Front-loaded",IF(OR($B387=1,N($G386)=0),N(INDEX(Employees!$J$5:$J$29,$A387))+$J387,0),0))))</f>
        <v/>
      </c>
      <c r="L387" s="51">
        <f>IF($F387=0,0,SUMIFS('Time Off Log'!$H$5:$H$504,'Time Off Log'!$A$5:$A$504,$C387,'Time Off Log'!$B$5:$B$504,"PTO",'Time Off Log'!$E$5:$E$504,"Approved",'Time Off Log'!$C$5:$C$504,"&gt;="&amp;INDEX(Periods!$E$5:$E$57,$B387),'Time Off Log'!$C$5:$C$504,"&lt;="&amp;INDEX(Periods!$F$5:$F$57,$B387)))</f>
        <v/>
      </c>
      <c r="M387" s="51">
        <f>IF($B387=1,N(INDEX(Employees!$N$5:$N$29,$A387)),P386)</f>
        <v/>
      </c>
      <c r="N387" s="51">
        <f>IF(INDEX(Employees!$L$5:$L$29,$A387)="",K387,MAX(0,MIN(K387,INDEX(Employees!$L$5:$L$29,$A387)-(M387-L387))))</f>
        <v/>
      </c>
      <c r="O387" s="51">
        <f>K387-N387</f>
        <v/>
      </c>
      <c r="P387" s="51">
        <f>M387-L387+N387</f>
        <v/>
      </c>
      <c r="Q387" s="51">
        <f>IF($G387=0,0,IF(INDEX(Employees!$P$5:$P$29,$A387)="Per pay period",(N(INDEX(Employees!$Q$5:$Q$29,$A387)))/Settings!$B$13,IF(INDEX(Employees!$P$5:$P$29,$A387)="Per hour worked",N(INDEX(Employees!$R$5:$R$29,$A387))*$I387,IF(INDEX(Employees!$P$5:$P$29,$A387)="Front-loaded",IF(OR($B387=1,N($G386)=0),N(INDEX(Employees!$Q$5:$Q$29,$A387)),0),0))))</f>
        <v/>
      </c>
      <c r="R387" s="51">
        <f>IF($F387=0,0,SUMIFS('Time Off Log'!$H$5:$H$504,'Time Off Log'!$A$5:$A$504,$C387,'Time Off Log'!$B$5:$B$504,"Sick",'Time Off Log'!$E$5:$E$504,"Approved",'Time Off Log'!$C$5:$C$504,"&gt;="&amp;INDEX(Periods!$E$5:$E$57,$B387),'Time Off Log'!$C$5:$C$504,"&lt;="&amp;INDEX(Periods!$F$5:$F$57,$B387)))</f>
        <v/>
      </c>
      <c r="S387" s="51">
        <f>IF($B387=1,N(INDEX(Employees!$T$5:$T$29,$A387)),V386)</f>
        <v/>
      </c>
      <c r="T387" s="51">
        <f>IF(INDEX(Employees!$S$5:$S$29,$A387)="",Q387,MAX(0,MIN(Q387,INDEX(Employees!$S$5:$S$29,$A387)-(S387-R387))))</f>
        <v/>
      </c>
      <c r="U387" s="51">
        <f>Q387-T387</f>
        <v/>
      </c>
      <c r="V387" s="51">
        <f>S387-R387+T387</f>
        <v/>
      </c>
    </row>
    <row r="388">
      <c r="A388" s="50" t="n">
        <v>8</v>
      </c>
      <c r="B388" s="50" t="n">
        <v>13</v>
      </c>
      <c r="C388" s="51">
        <f>INDEX(Employees!$B$5:$B$29,$A388)&amp;""</f>
        <v/>
      </c>
      <c r="D388" s="52">
        <f>INDEX(Periods!$B$5:$B$57,$B388)</f>
        <v/>
      </c>
      <c r="E388" s="52">
        <f>INDEX(Periods!$C$5:$C$57,$B388)</f>
        <v/>
      </c>
      <c r="F388" s="50">
        <f>IF(AND($C388&lt;&gt;"",INDEX(Periods!$D$5:$D$57,$B388)=1),1,0)</f>
        <v/>
      </c>
      <c r="G388" s="50">
        <f>IF($F388=0,0,IF(AND(OR(INDEX(Employees!$D$5:$D$29,$A388)="",$E388&gt;=INDEX(Employees!$D$5:$D$29,$A388)+N(INDEX(Employees!$U$5:$U$29,$A388))),OR(INDEX(Employees!$E$5:$E$29,$A388)="",$D388&lt;=INDEX(Employees!$E$5:$E$29,$A388))),1,0))</f>
        <v/>
      </c>
      <c r="H388" s="50">
        <f>IF($G388=0,0,IF(INDEX(Employees!$D$5:$D$29,$A388)="",0,DATEDIF(INDEX(Employees!$D$5:$D$29,$A388),$E388,"y")))</f>
        <v/>
      </c>
      <c r="I388" s="51">
        <f>IF($G388=0,0,IF(INDEX('Hours Worked'!$D$5:$BD$29,$A388,$B388)="",N(INDEX(Employees!$H$5:$H$29,$A388)),INDEX('Hours Worked'!$D$5:$BD$29,$A388,$B388)))</f>
        <v/>
      </c>
      <c r="J388" s="51">
        <f>IF(OR($G388=0,INDEX(Employees!$O$5:$O$29,$A388)&lt;&gt;"Yes"),0,IF(COUNTIF(Settings!$D$4:$D$9,"&lt;="&amp;$H388)=0,0,INDEX(Settings!$E$4:$E$9,COUNTIF(Settings!$D$4:$D$9,"&lt;="&amp;$H388))))</f>
        <v/>
      </c>
      <c r="K388" s="51">
        <f>IF($G388=0,0,IF(INDEX(Employees!$I$5:$I$29,$A388)="Per pay period",(N(INDEX(Employees!$J$5:$J$29,$A388))+$J388)/Settings!$B$13,IF(INDEX(Employees!$I$5:$I$29,$A388)="Per hour worked",N(INDEX(Employees!$K$5:$K$29,$A388))*$I388,IF(INDEX(Employees!$I$5:$I$29,$A388)="Front-loaded",IF(OR($B388=1,N($G387)=0),N(INDEX(Employees!$J$5:$J$29,$A388))+$J388,0),0))))</f>
        <v/>
      </c>
      <c r="L388" s="51">
        <f>IF($F388=0,0,SUMIFS('Time Off Log'!$H$5:$H$504,'Time Off Log'!$A$5:$A$504,$C388,'Time Off Log'!$B$5:$B$504,"PTO",'Time Off Log'!$E$5:$E$504,"Approved",'Time Off Log'!$C$5:$C$504,"&gt;="&amp;INDEX(Periods!$E$5:$E$57,$B388),'Time Off Log'!$C$5:$C$504,"&lt;="&amp;INDEX(Periods!$F$5:$F$57,$B388)))</f>
        <v/>
      </c>
      <c r="M388" s="51">
        <f>IF($B388=1,N(INDEX(Employees!$N$5:$N$29,$A388)),P387)</f>
        <v/>
      </c>
      <c r="N388" s="51">
        <f>IF(INDEX(Employees!$L$5:$L$29,$A388)="",K388,MAX(0,MIN(K388,INDEX(Employees!$L$5:$L$29,$A388)-(M388-L388))))</f>
        <v/>
      </c>
      <c r="O388" s="51">
        <f>K388-N388</f>
        <v/>
      </c>
      <c r="P388" s="51">
        <f>M388-L388+N388</f>
        <v/>
      </c>
      <c r="Q388" s="51">
        <f>IF($G388=0,0,IF(INDEX(Employees!$P$5:$P$29,$A388)="Per pay period",(N(INDEX(Employees!$Q$5:$Q$29,$A388)))/Settings!$B$13,IF(INDEX(Employees!$P$5:$P$29,$A388)="Per hour worked",N(INDEX(Employees!$R$5:$R$29,$A388))*$I388,IF(INDEX(Employees!$P$5:$P$29,$A388)="Front-loaded",IF(OR($B388=1,N($G387)=0),N(INDEX(Employees!$Q$5:$Q$29,$A388)),0),0))))</f>
        <v/>
      </c>
      <c r="R388" s="51">
        <f>IF($F388=0,0,SUMIFS('Time Off Log'!$H$5:$H$504,'Time Off Log'!$A$5:$A$504,$C388,'Time Off Log'!$B$5:$B$504,"Sick",'Time Off Log'!$E$5:$E$504,"Approved",'Time Off Log'!$C$5:$C$504,"&gt;="&amp;INDEX(Periods!$E$5:$E$57,$B388),'Time Off Log'!$C$5:$C$504,"&lt;="&amp;INDEX(Periods!$F$5:$F$57,$B388)))</f>
        <v/>
      </c>
      <c r="S388" s="51">
        <f>IF($B388=1,N(INDEX(Employees!$T$5:$T$29,$A388)),V387)</f>
        <v/>
      </c>
      <c r="T388" s="51">
        <f>IF(INDEX(Employees!$S$5:$S$29,$A388)="",Q388,MAX(0,MIN(Q388,INDEX(Employees!$S$5:$S$29,$A388)-(S388-R388))))</f>
        <v/>
      </c>
      <c r="U388" s="51">
        <f>Q388-T388</f>
        <v/>
      </c>
      <c r="V388" s="51">
        <f>S388-R388+T388</f>
        <v/>
      </c>
    </row>
    <row r="389">
      <c r="A389" s="50" t="n">
        <v>8</v>
      </c>
      <c r="B389" s="50" t="n">
        <v>14</v>
      </c>
      <c r="C389" s="51">
        <f>INDEX(Employees!$B$5:$B$29,$A389)&amp;""</f>
        <v/>
      </c>
      <c r="D389" s="52">
        <f>INDEX(Periods!$B$5:$B$57,$B389)</f>
        <v/>
      </c>
      <c r="E389" s="52">
        <f>INDEX(Periods!$C$5:$C$57,$B389)</f>
        <v/>
      </c>
      <c r="F389" s="50">
        <f>IF(AND($C389&lt;&gt;"",INDEX(Periods!$D$5:$D$57,$B389)=1),1,0)</f>
        <v/>
      </c>
      <c r="G389" s="50">
        <f>IF($F389=0,0,IF(AND(OR(INDEX(Employees!$D$5:$D$29,$A389)="",$E389&gt;=INDEX(Employees!$D$5:$D$29,$A389)+N(INDEX(Employees!$U$5:$U$29,$A389))),OR(INDEX(Employees!$E$5:$E$29,$A389)="",$D389&lt;=INDEX(Employees!$E$5:$E$29,$A389))),1,0))</f>
        <v/>
      </c>
      <c r="H389" s="50">
        <f>IF($G389=0,0,IF(INDEX(Employees!$D$5:$D$29,$A389)="",0,DATEDIF(INDEX(Employees!$D$5:$D$29,$A389),$E389,"y")))</f>
        <v/>
      </c>
      <c r="I389" s="51">
        <f>IF($G389=0,0,IF(INDEX('Hours Worked'!$D$5:$BD$29,$A389,$B389)="",N(INDEX(Employees!$H$5:$H$29,$A389)),INDEX('Hours Worked'!$D$5:$BD$29,$A389,$B389)))</f>
        <v/>
      </c>
      <c r="J389" s="51">
        <f>IF(OR($G389=0,INDEX(Employees!$O$5:$O$29,$A389)&lt;&gt;"Yes"),0,IF(COUNTIF(Settings!$D$4:$D$9,"&lt;="&amp;$H389)=0,0,INDEX(Settings!$E$4:$E$9,COUNTIF(Settings!$D$4:$D$9,"&lt;="&amp;$H389))))</f>
        <v/>
      </c>
      <c r="K389" s="51">
        <f>IF($G389=0,0,IF(INDEX(Employees!$I$5:$I$29,$A389)="Per pay period",(N(INDEX(Employees!$J$5:$J$29,$A389))+$J389)/Settings!$B$13,IF(INDEX(Employees!$I$5:$I$29,$A389)="Per hour worked",N(INDEX(Employees!$K$5:$K$29,$A389))*$I389,IF(INDEX(Employees!$I$5:$I$29,$A389)="Front-loaded",IF(OR($B389=1,N($G388)=0),N(INDEX(Employees!$J$5:$J$29,$A389))+$J389,0),0))))</f>
        <v/>
      </c>
      <c r="L389" s="51">
        <f>IF($F389=0,0,SUMIFS('Time Off Log'!$H$5:$H$504,'Time Off Log'!$A$5:$A$504,$C389,'Time Off Log'!$B$5:$B$504,"PTO",'Time Off Log'!$E$5:$E$504,"Approved",'Time Off Log'!$C$5:$C$504,"&gt;="&amp;INDEX(Periods!$E$5:$E$57,$B389),'Time Off Log'!$C$5:$C$504,"&lt;="&amp;INDEX(Periods!$F$5:$F$57,$B389)))</f>
        <v/>
      </c>
      <c r="M389" s="51">
        <f>IF($B389=1,N(INDEX(Employees!$N$5:$N$29,$A389)),P388)</f>
        <v/>
      </c>
      <c r="N389" s="51">
        <f>IF(INDEX(Employees!$L$5:$L$29,$A389)="",K389,MAX(0,MIN(K389,INDEX(Employees!$L$5:$L$29,$A389)-(M389-L389))))</f>
        <v/>
      </c>
      <c r="O389" s="51">
        <f>K389-N389</f>
        <v/>
      </c>
      <c r="P389" s="51">
        <f>M389-L389+N389</f>
        <v/>
      </c>
      <c r="Q389" s="51">
        <f>IF($G389=0,0,IF(INDEX(Employees!$P$5:$P$29,$A389)="Per pay period",(N(INDEX(Employees!$Q$5:$Q$29,$A389)))/Settings!$B$13,IF(INDEX(Employees!$P$5:$P$29,$A389)="Per hour worked",N(INDEX(Employees!$R$5:$R$29,$A389))*$I389,IF(INDEX(Employees!$P$5:$P$29,$A389)="Front-loaded",IF(OR($B389=1,N($G388)=0),N(INDEX(Employees!$Q$5:$Q$29,$A389)),0),0))))</f>
        <v/>
      </c>
      <c r="R389" s="51">
        <f>IF($F389=0,0,SUMIFS('Time Off Log'!$H$5:$H$504,'Time Off Log'!$A$5:$A$504,$C389,'Time Off Log'!$B$5:$B$504,"Sick",'Time Off Log'!$E$5:$E$504,"Approved",'Time Off Log'!$C$5:$C$504,"&gt;="&amp;INDEX(Periods!$E$5:$E$57,$B389),'Time Off Log'!$C$5:$C$504,"&lt;="&amp;INDEX(Periods!$F$5:$F$57,$B389)))</f>
        <v/>
      </c>
      <c r="S389" s="51">
        <f>IF($B389=1,N(INDEX(Employees!$T$5:$T$29,$A389)),V388)</f>
        <v/>
      </c>
      <c r="T389" s="51">
        <f>IF(INDEX(Employees!$S$5:$S$29,$A389)="",Q389,MAX(0,MIN(Q389,INDEX(Employees!$S$5:$S$29,$A389)-(S389-R389))))</f>
        <v/>
      </c>
      <c r="U389" s="51">
        <f>Q389-T389</f>
        <v/>
      </c>
      <c r="V389" s="51">
        <f>S389-R389+T389</f>
        <v/>
      </c>
    </row>
    <row r="390">
      <c r="A390" s="50" t="n">
        <v>8</v>
      </c>
      <c r="B390" s="50" t="n">
        <v>15</v>
      </c>
      <c r="C390" s="51">
        <f>INDEX(Employees!$B$5:$B$29,$A390)&amp;""</f>
        <v/>
      </c>
      <c r="D390" s="52">
        <f>INDEX(Periods!$B$5:$B$57,$B390)</f>
        <v/>
      </c>
      <c r="E390" s="52">
        <f>INDEX(Periods!$C$5:$C$57,$B390)</f>
        <v/>
      </c>
      <c r="F390" s="50">
        <f>IF(AND($C390&lt;&gt;"",INDEX(Periods!$D$5:$D$57,$B390)=1),1,0)</f>
        <v/>
      </c>
      <c r="G390" s="50">
        <f>IF($F390=0,0,IF(AND(OR(INDEX(Employees!$D$5:$D$29,$A390)="",$E390&gt;=INDEX(Employees!$D$5:$D$29,$A390)+N(INDEX(Employees!$U$5:$U$29,$A390))),OR(INDEX(Employees!$E$5:$E$29,$A390)="",$D390&lt;=INDEX(Employees!$E$5:$E$29,$A390))),1,0))</f>
        <v/>
      </c>
      <c r="H390" s="50">
        <f>IF($G390=0,0,IF(INDEX(Employees!$D$5:$D$29,$A390)="",0,DATEDIF(INDEX(Employees!$D$5:$D$29,$A390),$E390,"y")))</f>
        <v/>
      </c>
      <c r="I390" s="51">
        <f>IF($G390=0,0,IF(INDEX('Hours Worked'!$D$5:$BD$29,$A390,$B390)="",N(INDEX(Employees!$H$5:$H$29,$A390)),INDEX('Hours Worked'!$D$5:$BD$29,$A390,$B390)))</f>
        <v/>
      </c>
      <c r="J390" s="51">
        <f>IF(OR($G390=0,INDEX(Employees!$O$5:$O$29,$A390)&lt;&gt;"Yes"),0,IF(COUNTIF(Settings!$D$4:$D$9,"&lt;="&amp;$H390)=0,0,INDEX(Settings!$E$4:$E$9,COUNTIF(Settings!$D$4:$D$9,"&lt;="&amp;$H390))))</f>
        <v/>
      </c>
      <c r="K390" s="51">
        <f>IF($G390=0,0,IF(INDEX(Employees!$I$5:$I$29,$A390)="Per pay period",(N(INDEX(Employees!$J$5:$J$29,$A390))+$J390)/Settings!$B$13,IF(INDEX(Employees!$I$5:$I$29,$A390)="Per hour worked",N(INDEX(Employees!$K$5:$K$29,$A390))*$I390,IF(INDEX(Employees!$I$5:$I$29,$A390)="Front-loaded",IF(OR($B390=1,N($G389)=0),N(INDEX(Employees!$J$5:$J$29,$A390))+$J390,0),0))))</f>
        <v/>
      </c>
      <c r="L390" s="51">
        <f>IF($F390=0,0,SUMIFS('Time Off Log'!$H$5:$H$504,'Time Off Log'!$A$5:$A$504,$C390,'Time Off Log'!$B$5:$B$504,"PTO",'Time Off Log'!$E$5:$E$504,"Approved",'Time Off Log'!$C$5:$C$504,"&gt;="&amp;INDEX(Periods!$E$5:$E$57,$B390),'Time Off Log'!$C$5:$C$504,"&lt;="&amp;INDEX(Periods!$F$5:$F$57,$B390)))</f>
        <v/>
      </c>
      <c r="M390" s="51">
        <f>IF($B390=1,N(INDEX(Employees!$N$5:$N$29,$A390)),P389)</f>
        <v/>
      </c>
      <c r="N390" s="51">
        <f>IF(INDEX(Employees!$L$5:$L$29,$A390)="",K390,MAX(0,MIN(K390,INDEX(Employees!$L$5:$L$29,$A390)-(M390-L390))))</f>
        <v/>
      </c>
      <c r="O390" s="51">
        <f>K390-N390</f>
        <v/>
      </c>
      <c r="P390" s="51">
        <f>M390-L390+N390</f>
        <v/>
      </c>
      <c r="Q390" s="51">
        <f>IF($G390=0,0,IF(INDEX(Employees!$P$5:$P$29,$A390)="Per pay period",(N(INDEX(Employees!$Q$5:$Q$29,$A390)))/Settings!$B$13,IF(INDEX(Employees!$P$5:$P$29,$A390)="Per hour worked",N(INDEX(Employees!$R$5:$R$29,$A390))*$I390,IF(INDEX(Employees!$P$5:$P$29,$A390)="Front-loaded",IF(OR($B390=1,N($G389)=0),N(INDEX(Employees!$Q$5:$Q$29,$A390)),0),0))))</f>
        <v/>
      </c>
      <c r="R390" s="51">
        <f>IF($F390=0,0,SUMIFS('Time Off Log'!$H$5:$H$504,'Time Off Log'!$A$5:$A$504,$C390,'Time Off Log'!$B$5:$B$504,"Sick",'Time Off Log'!$E$5:$E$504,"Approved",'Time Off Log'!$C$5:$C$504,"&gt;="&amp;INDEX(Periods!$E$5:$E$57,$B390),'Time Off Log'!$C$5:$C$504,"&lt;="&amp;INDEX(Periods!$F$5:$F$57,$B390)))</f>
        <v/>
      </c>
      <c r="S390" s="51">
        <f>IF($B390=1,N(INDEX(Employees!$T$5:$T$29,$A390)),V389)</f>
        <v/>
      </c>
      <c r="T390" s="51">
        <f>IF(INDEX(Employees!$S$5:$S$29,$A390)="",Q390,MAX(0,MIN(Q390,INDEX(Employees!$S$5:$S$29,$A390)-(S390-R390))))</f>
        <v/>
      </c>
      <c r="U390" s="51">
        <f>Q390-T390</f>
        <v/>
      </c>
      <c r="V390" s="51">
        <f>S390-R390+T390</f>
        <v/>
      </c>
    </row>
    <row r="391">
      <c r="A391" s="50" t="n">
        <v>8</v>
      </c>
      <c r="B391" s="50" t="n">
        <v>16</v>
      </c>
      <c r="C391" s="51">
        <f>INDEX(Employees!$B$5:$B$29,$A391)&amp;""</f>
        <v/>
      </c>
      <c r="D391" s="52">
        <f>INDEX(Periods!$B$5:$B$57,$B391)</f>
        <v/>
      </c>
      <c r="E391" s="52">
        <f>INDEX(Periods!$C$5:$C$57,$B391)</f>
        <v/>
      </c>
      <c r="F391" s="50">
        <f>IF(AND($C391&lt;&gt;"",INDEX(Periods!$D$5:$D$57,$B391)=1),1,0)</f>
        <v/>
      </c>
      <c r="G391" s="50">
        <f>IF($F391=0,0,IF(AND(OR(INDEX(Employees!$D$5:$D$29,$A391)="",$E391&gt;=INDEX(Employees!$D$5:$D$29,$A391)+N(INDEX(Employees!$U$5:$U$29,$A391))),OR(INDEX(Employees!$E$5:$E$29,$A391)="",$D391&lt;=INDEX(Employees!$E$5:$E$29,$A391))),1,0))</f>
        <v/>
      </c>
      <c r="H391" s="50">
        <f>IF($G391=0,0,IF(INDEX(Employees!$D$5:$D$29,$A391)="",0,DATEDIF(INDEX(Employees!$D$5:$D$29,$A391),$E391,"y")))</f>
        <v/>
      </c>
      <c r="I391" s="51">
        <f>IF($G391=0,0,IF(INDEX('Hours Worked'!$D$5:$BD$29,$A391,$B391)="",N(INDEX(Employees!$H$5:$H$29,$A391)),INDEX('Hours Worked'!$D$5:$BD$29,$A391,$B391)))</f>
        <v/>
      </c>
      <c r="J391" s="51">
        <f>IF(OR($G391=0,INDEX(Employees!$O$5:$O$29,$A391)&lt;&gt;"Yes"),0,IF(COUNTIF(Settings!$D$4:$D$9,"&lt;="&amp;$H391)=0,0,INDEX(Settings!$E$4:$E$9,COUNTIF(Settings!$D$4:$D$9,"&lt;="&amp;$H391))))</f>
        <v/>
      </c>
      <c r="K391" s="51">
        <f>IF($G391=0,0,IF(INDEX(Employees!$I$5:$I$29,$A391)="Per pay period",(N(INDEX(Employees!$J$5:$J$29,$A391))+$J391)/Settings!$B$13,IF(INDEX(Employees!$I$5:$I$29,$A391)="Per hour worked",N(INDEX(Employees!$K$5:$K$29,$A391))*$I391,IF(INDEX(Employees!$I$5:$I$29,$A391)="Front-loaded",IF(OR($B391=1,N($G390)=0),N(INDEX(Employees!$J$5:$J$29,$A391))+$J391,0),0))))</f>
        <v/>
      </c>
      <c r="L391" s="51">
        <f>IF($F391=0,0,SUMIFS('Time Off Log'!$H$5:$H$504,'Time Off Log'!$A$5:$A$504,$C391,'Time Off Log'!$B$5:$B$504,"PTO",'Time Off Log'!$E$5:$E$504,"Approved",'Time Off Log'!$C$5:$C$504,"&gt;="&amp;INDEX(Periods!$E$5:$E$57,$B391),'Time Off Log'!$C$5:$C$504,"&lt;="&amp;INDEX(Periods!$F$5:$F$57,$B391)))</f>
        <v/>
      </c>
      <c r="M391" s="51">
        <f>IF($B391=1,N(INDEX(Employees!$N$5:$N$29,$A391)),P390)</f>
        <v/>
      </c>
      <c r="N391" s="51">
        <f>IF(INDEX(Employees!$L$5:$L$29,$A391)="",K391,MAX(0,MIN(K391,INDEX(Employees!$L$5:$L$29,$A391)-(M391-L391))))</f>
        <v/>
      </c>
      <c r="O391" s="51">
        <f>K391-N391</f>
        <v/>
      </c>
      <c r="P391" s="51">
        <f>M391-L391+N391</f>
        <v/>
      </c>
      <c r="Q391" s="51">
        <f>IF($G391=0,0,IF(INDEX(Employees!$P$5:$P$29,$A391)="Per pay period",(N(INDEX(Employees!$Q$5:$Q$29,$A391)))/Settings!$B$13,IF(INDEX(Employees!$P$5:$P$29,$A391)="Per hour worked",N(INDEX(Employees!$R$5:$R$29,$A391))*$I391,IF(INDEX(Employees!$P$5:$P$29,$A391)="Front-loaded",IF(OR($B391=1,N($G390)=0),N(INDEX(Employees!$Q$5:$Q$29,$A391)),0),0))))</f>
        <v/>
      </c>
      <c r="R391" s="51">
        <f>IF($F391=0,0,SUMIFS('Time Off Log'!$H$5:$H$504,'Time Off Log'!$A$5:$A$504,$C391,'Time Off Log'!$B$5:$B$504,"Sick",'Time Off Log'!$E$5:$E$504,"Approved",'Time Off Log'!$C$5:$C$504,"&gt;="&amp;INDEX(Periods!$E$5:$E$57,$B391),'Time Off Log'!$C$5:$C$504,"&lt;="&amp;INDEX(Periods!$F$5:$F$57,$B391)))</f>
        <v/>
      </c>
      <c r="S391" s="51">
        <f>IF($B391=1,N(INDEX(Employees!$T$5:$T$29,$A391)),V390)</f>
        <v/>
      </c>
      <c r="T391" s="51">
        <f>IF(INDEX(Employees!$S$5:$S$29,$A391)="",Q391,MAX(0,MIN(Q391,INDEX(Employees!$S$5:$S$29,$A391)-(S391-R391))))</f>
        <v/>
      </c>
      <c r="U391" s="51">
        <f>Q391-T391</f>
        <v/>
      </c>
      <c r="V391" s="51">
        <f>S391-R391+T391</f>
        <v/>
      </c>
    </row>
    <row r="392">
      <c r="A392" s="50" t="n">
        <v>8</v>
      </c>
      <c r="B392" s="50" t="n">
        <v>17</v>
      </c>
      <c r="C392" s="51">
        <f>INDEX(Employees!$B$5:$B$29,$A392)&amp;""</f>
        <v/>
      </c>
      <c r="D392" s="52">
        <f>INDEX(Periods!$B$5:$B$57,$B392)</f>
        <v/>
      </c>
      <c r="E392" s="52">
        <f>INDEX(Periods!$C$5:$C$57,$B392)</f>
        <v/>
      </c>
      <c r="F392" s="50">
        <f>IF(AND($C392&lt;&gt;"",INDEX(Periods!$D$5:$D$57,$B392)=1),1,0)</f>
        <v/>
      </c>
      <c r="G392" s="50">
        <f>IF($F392=0,0,IF(AND(OR(INDEX(Employees!$D$5:$D$29,$A392)="",$E392&gt;=INDEX(Employees!$D$5:$D$29,$A392)+N(INDEX(Employees!$U$5:$U$29,$A392))),OR(INDEX(Employees!$E$5:$E$29,$A392)="",$D392&lt;=INDEX(Employees!$E$5:$E$29,$A392))),1,0))</f>
        <v/>
      </c>
      <c r="H392" s="50">
        <f>IF($G392=0,0,IF(INDEX(Employees!$D$5:$D$29,$A392)="",0,DATEDIF(INDEX(Employees!$D$5:$D$29,$A392),$E392,"y")))</f>
        <v/>
      </c>
      <c r="I392" s="51">
        <f>IF($G392=0,0,IF(INDEX('Hours Worked'!$D$5:$BD$29,$A392,$B392)="",N(INDEX(Employees!$H$5:$H$29,$A392)),INDEX('Hours Worked'!$D$5:$BD$29,$A392,$B392)))</f>
        <v/>
      </c>
      <c r="J392" s="51">
        <f>IF(OR($G392=0,INDEX(Employees!$O$5:$O$29,$A392)&lt;&gt;"Yes"),0,IF(COUNTIF(Settings!$D$4:$D$9,"&lt;="&amp;$H392)=0,0,INDEX(Settings!$E$4:$E$9,COUNTIF(Settings!$D$4:$D$9,"&lt;="&amp;$H392))))</f>
        <v/>
      </c>
      <c r="K392" s="51">
        <f>IF($G392=0,0,IF(INDEX(Employees!$I$5:$I$29,$A392)="Per pay period",(N(INDEX(Employees!$J$5:$J$29,$A392))+$J392)/Settings!$B$13,IF(INDEX(Employees!$I$5:$I$29,$A392)="Per hour worked",N(INDEX(Employees!$K$5:$K$29,$A392))*$I392,IF(INDEX(Employees!$I$5:$I$29,$A392)="Front-loaded",IF(OR($B392=1,N($G391)=0),N(INDEX(Employees!$J$5:$J$29,$A392))+$J392,0),0))))</f>
        <v/>
      </c>
      <c r="L392" s="51">
        <f>IF($F392=0,0,SUMIFS('Time Off Log'!$H$5:$H$504,'Time Off Log'!$A$5:$A$504,$C392,'Time Off Log'!$B$5:$B$504,"PTO",'Time Off Log'!$E$5:$E$504,"Approved",'Time Off Log'!$C$5:$C$504,"&gt;="&amp;INDEX(Periods!$E$5:$E$57,$B392),'Time Off Log'!$C$5:$C$504,"&lt;="&amp;INDEX(Periods!$F$5:$F$57,$B392)))</f>
        <v/>
      </c>
      <c r="M392" s="51">
        <f>IF($B392=1,N(INDEX(Employees!$N$5:$N$29,$A392)),P391)</f>
        <v/>
      </c>
      <c r="N392" s="51">
        <f>IF(INDEX(Employees!$L$5:$L$29,$A392)="",K392,MAX(0,MIN(K392,INDEX(Employees!$L$5:$L$29,$A392)-(M392-L392))))</f>
        <v/>
      </c>
      <c r="O392" s="51">
        <f>K392-N392</f>
        <v/>
      </c>
      <c r="P392" s="51">
        <f>M392-L392+N392</f>
        <v/>
      </c>
      <c r="Q392" s="51">
        <f>IF($G392=0,0,IF(INDEX(Employees!$P$5:$P$29,$A392)="Per pay period",(N(INDEX(Employees!$Q$5:$Q$29,$A392)))/Settings!$B$13,IF(INDEX(Employees!$P$5:$P$29,$A392)="Per hour worked",N(INDEX(Employees!$R$5:$R$29,$A392))*$I392,IF(INDEX(Employees!$P$5:$P$29,$A392)="Front-loaded",IF(OR($B392=1,N($G391)=0),N(INDEX(Employees!$Q$5:$Q$29,$A392)),0),0))))</f>
        <v/>
      </c>
      <c r="R392" s="51">
        <f>IF($F392=0,0,SUMIFS('Time Off Log'!$H$5:$H$504,'Time Off Log'!$A$5:$A$504,$C392,'Time Off Log'!$B$5:$B$504,"Sick",'Time Off Log'!$E$5:$E$504,"Approved",'Time Off Log'!$C$5:$C$504,"&gt;="&amp;INDEX(Periods!$E$5:$E$57,$B392),'Time Off Log'!$C$5:$C$504,"&lt;="&amp;INDEX(Periods!$F$5:$F$57,$B392)))</f>
        <v/>
      </c>
      <c r="S392" s="51">
        <f>IF($B392=1,N(INDEX(Employees!$T$5:$T$29,$A392)),V391)</f>
        <v/>
      </c>
      <c r="T392" s="51">
        <f>IF(INDEX(Employees!$S$5:$S$29,$A392)="",Q392,MAX(0,MIN(Q392,INDEX(Employees!$S$5:$S$29,$A392)-(S392-R392))))</f>
        <v/>
      </c>
      <c r="U392" s="51">
        <f>Q392-T392</f>
        <v/>
      </c>
      <c r="V392" s="51">
        <f>S392-R392+T392</f>
        <v/>
      </c>
    </row>
    <row r="393">
      <c r="A393" s="50" t="n">
        <v>8</v>
      </c>
      <c r="B393" s="50" t="n">
        <v>18</v>
      </c>
      <c r="C393" s="51">
        <f>INDEX(Employees!$B$5:$B$29,$A393)&amp;""</f>
        <v/>
      </c>
      <c r="D393" s="52">
        <f>INDEX(Periods!$B$5:$B$57,$B393)</f>
        <v/>
      </c>
      <c r="E393" s="52">
        <f>INDEX(Periods!$C$5:$C$57,$B393)</f>
        <v/>
      </c>
      <c r="F393" s="50">
        <f>IF(AND($C393&lt;&gt;"",INDEX(Periods!$D$5:$D$57,$B393)=1),1,0)</f>
        <v/>
      </c>
      <c r="G393" s="50">
        <f>IF($F393=0,0,IF(AND(OR(INDEX(Employees!$D$5:$D$29,$A393)="",$E393&gt;=INDEX(Employees!$D$5:$D$29,$A393)+N(INDEX(Employees!$U$5:$U$29,$A393))),OR(INDEX(Employees!$E$5:$E$29,$A393)="",$D393&lt;=INDEX(Employees!$E$5:$E$29,$A393))),1,0))</f>
        <v/>
      </c>
      <c r="H393" s="50">
        <f>IF($G393=0,0,IF(INDEX(Employees!$D$5:$D$29,$A393)="",0,DATEDIF(INDEX(Employees!$D$5:$D$29,$A393),$E393,"y")))</f>
        <v/>
      </c>
      <c r="I393" s="51">
        <f>IF($G393=0,0,IF(INDEX('Hours Worked'!$D$5:$BD$29,$A393,$B393)="",N(INDEX(Employees!$H$5:$H$29,$A393)),INDEX('Hours Worked'!$D$5:$BD$29,$A393,$B393)))</f>
        <v/>
      </c>
      <c r="J393" s="51">
        <f>IF(OR($G393=0,INDEX(Employees!$O$5:$O$29,$A393)&lt;&gt;"Yes"),0,IF(COUNTIF(Settings!$D$4:$D$9,"&lt;="&amp;$H393)=0,0,INDEX(Settings!$E$4:$E$9,COUNTIF(Settings!$D$4:$D$9,"&lt;="&amp;$H393))))</f>
        <v/>
      </c>
      <c r="K393" s="51">
        <f>IF($G393=0,0,IF(INDEX(Employees!$I$5:$I$29,$A393)="Per pay period",(N(INDEX(Employees!$J$5:$J$29,$A393))+$J393)/Settings!$B$13,IF(INDEX(Employees!$I$5:$I$29,$A393)="Per hour worked",N(INDEX(Employees!$K$5:$K$29,$A393))*$I393,IF(INDEX(Employees!$I$5:$I$29,$A393)="Front-loaded",IF(OR($B393=1,N($G392)=0),N(INDEX(Employees!$J$5:$J$29,$A393))+$J393,0),0))))</f>
        <v/>
      </c>
      <c r="L393" s="51">
        <f>IF($F393=0,0,SUMIFS('Time Off Log'!$H$5:$H$504,'Time Off Log'!$A$5:$A$504,$C393,'Time Off Log'!$B$5:$B$504,"PTO",'Time Off Log'!$E$5:$E$504,"Approved",'Time Off Log'!$C$5:$C$504,"&gt;="&amp;INDEX(Periods!$E$5:$E$57,$B393),'Time Off Log'!$C$5:$C$504,"&lt;="&amp;INDEX(Periods!$F$5:$F$57,$B393)))</f>
        <v/>
      </c>
      <c r="M393" s="51">
        <f>IF($B393=1,N(INDEX(Employees!$N$5:$N$29,$A393)),P392)</f>
        <v/>
      </c>
      <c r="N393" s="51">
        <f>IF(INDEX(Employees!$L$5:$L$29,$A393)="",K393,MAX(0,MIN(K393,INDEX(Employees!$L$5:$L$29,$A393)-(M393-L393))))</f>
        <v/>
      </c>
      <c r="O393" s="51">
        <f>K393-N393</f>
        <v/>
      </c>
      <c r="P393" s="51">
        <f>M393-L393+N393</f>
        <v/>
      </c>
      <c r="Q393" s="51">
        <f>IF($G393=0,0,IF(INDEX(Employees!$P$5:$P$29,$A393)="Per pay period",(N(INDEX(Employees!$Q$5:$Q$29,$A393)))/Settings!$B$13,IF(INDEX(Employees!$P$5:$P$29,$A393)="Per hour worked",N(INDEX(Employees!$R$5:$R$29,$A393))*$I393,IF(INDEX(Employees!$P$5:$P$29,$A393)="Front-loaded",IF(OR($B393=1,N($G392)=0),N(INDEX(Employees!$Q$5:$Q$29,$A393)),0),0))))</f>
        <v/>
      </c>
      <c r="R393" s="51">
        <f>IF($F393=0,0,SUMIFS('Time Off Log'!$H$5:$H$504,'Time Off Log'!$A$5:$A$504,$C393,'Time Off Log'!$B$5:$B$504,"Sick",'Time Off Log'!$E$5:$E$504,"Approved",'Time Off Log'!$C$5:$C$504,"&gt;="&amp;INDEX(Periods!$E$5:$E$57,$B393),'Time Off Log'!$C$5:$C$504,"&lt;="&amp;INDEX(Periods!$F$5:$F$57,$B393)))</f>
        <v/>
      </c>
      <c r="S393" s="51">
        <f>IF($B393=1,N(INDEX(Employees!$T$5:$T$29,$A393)),V392)</f>
        <v/>
      </c>
      <c r="T393" s="51">
        <f>IF(INDEX(Employees!$S$5:$S$29,$A393)="",Q393,MAX(0,MIN(Q393,INDEX(Employees!$S$5:$S$29,$A393)-(S393-R393))))</f>
        <v/>
      </c>
      <c r="U393" s="51">
        <f>Q393-T393</f>
        <v/>
      </c>
      <c r="V393" s="51">
        <f>S393-R393+T393</f>
        <v/>
      </c>
    </row>
    <row r="394">
      <c r="A394" s="50" t="n">
        <v>8</v>
      </c>
      <c r="B394" s="50" t="n">
        <v>19</v>
      </c>
      <c r="C394" s="51">
        <f>INDEX(Employees!$B$5:$B$29,$A394)&amp;""</f>
        <v/>
      </c>
      <c r="D394" s="52">
        <f>INDEX(Periods!$B$5:$B$57,$B394)</f>
        <v/>
      </c>
      <c r="E394" s="52">
        <f>INDEX(Periods!$C$5:$C$57,$B394)</f>
        <v/>
      </c>
      <c r="F394" s="50">
        <f>IF(AND($C394&lt;&gt;"",INDEX(Periods!$D$5:$D$57,$B394)=1),1,0)</f>
        <v/>
      </c>
      <c r="G394" s="50">
        <f>IF($F394=0,0,IF(AND(OR(INDEX(Employees!$D$5:$D$29,$A394)="",$E394&gt;=INDEX(Employees!$D$5:$D$29,$A394)+N(INDEX(Employees!$U$5:$U$29,$A394))),OR(INDEX(Employees!$E$5:$E$29,$A394)="",$D394&lt;=INDEX(Employees!$E$5:$E$29,$A394))),1,0))</f>
        <v/>
      </c>
      <c r="H394" s="50">
        <f>IF($G394=0,0,IF(INDEX(Employees!$D$5:$D$29,$A394)="",0,DATEDIF(INDEX(Employees!$D$5:$D$29,$A394),$E394,"y")))</f>
        <v/>
      </c>
      <c r="I394" s="51">
        <f>IF($G394=0,0,IF(INDEX('Hours Worked'!$D$5:$BD$29,$A394,$B394)="",N(INDEX(Employees!$H$5:$H$29,$A394)),INDEX('Hours Worked'!$D$5:$BD$29,$A394,$B394)))</f>
        <v/>
      </c>
      <c r="J394" s="51">
        <f>IF(OR($G394=0,INDEX(Employees!$O$5:$O$29,$A394)&lt;&gt;"Yes"),0,IF(COUNTIF(Settings!$D$4:$D$9,"&lt;="&amp;$H394)=0,0,INDEX(Settings!$E$4:$E$9,COUNTIF(Settings!$D$4:$D$9,"&lt;="&amp;$H394))))</f>
        <v/>
      </c>
      <c r="K394" s="51">
        <f>IF($G394=0,0,IF(INDEX(Employees!$I$5:$I$29,$A394)="Per pay period",(N(INDEX(Employees!$J$5:$J$29,$A394))+$J394)/Settings!$B$13,IF(INDEX(Employees!$I$5:$I$29,$A394)="Per hour worked",N(INDEX(Employees!$K$5:$K$29,$A394))*$I394,IF(INDEX(Employees!$I$5:$I$29,$A394)="Front-loaded",IF(OR($B394=1,N($G393)=0),N(INDEX(Employees!$J$5:$J$29,$A394))+$J394,0),0))))</f>
        <v/>
      </c>
      <c r="L394" s="51">
        <f>IF($F394=0,0,SUMIFS('Time Off Log'!$H$5:$H$504,'Time Off Log'!$A$5:$A$504,$C394,'Time Off Log'!$B$5:$B$504,"PTO",'Time Off Log'!$E$5:$E$504,"Approved",'Time Off Log'!$C$5:$C$504,"&gt;="&amp;INDEX(Periods!$E$5:$E$57,$B394),'Time Off Log'!$C$5:$C$504,"&lt;="&amp;INDEX(Periods!$F$5:$F$57,$B394)))</f>
        <v/>
      </c>
      <c r="M394" s="51">
        <f>IF($B394=1,N(INDEX(Employees!$N$5:$N$29,$A394)),P393)</f>
        <v/>
      </c>
      <c r="N394" s="51">
        <f>IF(INDEX(Employees!$L$5:$L$29,$A394)="",K394,MAX(0,MIN(K394,INDEX(Employees!$L$5:$L$29,$A394)-(M394-L394))))</f>
        <v/>
      </c>
      <c r="O394" s="51">
        <f>K394-N394</f>
        <v/>
      </c>
      <c r="P394" s="51">
        <f>M394-L394+N394</f>
        <v/>
      </c>
      <c r="Q394" s="51">
        <f>IF($G394=0,0,IF(INDEX(Employees!$P$5:$P$29,$A394)="Per pay period",(N(INDEX(Employees!$Q$5:$Q$29,$A394)))/Settings!$B$13,IF(INDEX(Employees!$P$5:$P$29,$A394)="Per hour worked",N(INDEX(Employees!$R$5:$R$29,$A394))*$I394,IF(INDEX(Employees!$P$5:$P$29,$A394)="Front-loaded",IF(OR($B394=1,N($G393)=0),N(INDEX(Employees!$Q$5:$Q$29,$A394)),0),0))))</f>
        <v/>
      </c>
      <c r="R394" s="51">
        <f>IF($F394=0,0,SUMIFS('Time Off Log'!$H$5:$H$504,'Time Off Log'!$A$5:$A$504,$C394,'Time Off Log'!$B$5:$B$504,"Sick",'Time Off Log'!$E$5:$E$504,"Approved",'Time Off Log'!$C$5:$C$504,"&gt;="&amp;INDEX(Periods!$E$5:$E$57,$B394),'Time Off Log'!$C$5:$C$504,"&lt;="&amp;INDEX(Periods!$F$5:$F$57,$B394)))</f>
        <v/>
      </c>
      <c r="S394" s="51">
        <f>IF($B394=1,N(INDEX(Employees!$T$5:$T$29,$A394)),V393)</f>
        <v/>
      </c>
      <c r="T394" s="51">
        <f>IF(INDEX(Employees!$S$5:$S$29,$A394)="",Q394,MAX(0,MIN(Q394,INDEX(Employees!$S$5:$S$29,$A394)-(S394-R394))))</f>
        <v/>
      </c>
      <c r="U394" s="51">
        <f>Q394-T394</f>
        <v/>
      </c>
      <c r="V394" s="51">
        <f>S394-R394+T394</f>
        <v/>
      </c>
    </row>
    <row r="395">
      <c r="A395" s="50" t="n">
        <v>8</v>
      </c>
      <c r="B395" s="50" t="n">
        <v>20</v>
      </c>
      <c r="C395" s="51">
        <f>INDEX(Employees!$B$5:$B$29,$A395)&amp;""</f>
        <v/>
      </c>
      <c r="D395" s="52">
        <f>INDEX(Periods!$B$5:$B$57,$B395)</f>
        <v/>
      </c>
      <c r="E395" s="52">
        <f>INDEX(Periods!$C$5:$C$57,$B395)</f>
        <v/>
      </c>
      <c r="F395" s="50">
        <f>IF(AND($C395&lt;&gt;"",INDEX(Periods!$D$5:$D$57,$B395)=1),1,0)</f>
        <v/>
      </c>
      <c r="G395" s="50">
        <f>IF($F395=0,0,IF(AND(OR(INDEX(Employees!$D$5:$D$29,$A395)="",$E395&gt;=INDEX(Employees!$D$5:$D$29,$A395)+N(INDEX(Employees!$U$5:$U$29,$A395))),OR(INDEX(Employees!$E$5:$E$29,$A395)="",$D395&lt;=INDEX(Employees!$E$5:$E$29,$A395))),1,0))</f>
        <v/>
      </c>
      <c r="H395" s="50">
        <f>IF($G395=0,0,IF(INDEX(Employees!$D$5:$D$29,$A395)="",0,DATEDIF(INDEX(Employees!$D$5:$D$29,$A395),$E395,"y")))</f>
        <v/>
      </c>
      <c r="I395" s="51">
        <f>IF($G395=0,0,IF(INDEX('Hours Worked'!$D$5:$BD$29,$A395,$B395)="",N(INDEX(Employees!$H$5:$H$29,$A395)),INDEX('Hours Worked'!$D$5:$BD$29,$A395,$B395)))</f>
        <v/>
      </c>
      <c r="J395" s="51">
        <f>IF(OR($G395=0,INDEX(Employees!$O$5:$O$29,$A395)&lt;&gt;"Yes"),0,IF(COUNTIF(Settings!$D$4:$D$9,"&lt;="&amp;$H395)=0,0,INDEX(Settings!$E$4:$E$9,COUNTIF(Settings!$D$4:$D$9,"&lt;="&amp;$H395))))</f>
        <v/>
      </c>
      <c r="K395" s="51">
        <f>IF($G395=0,0,IF(INDEX(Employees!$I$5:$I$29,$A395)="Per pay period",(N(INDEX(Employees!$J$5:$J$29,$A395))+$J395)/Settings!$B$13,IF(INDEX(Employees!$I$5:$I$29,$A395)="Per hour worked",N(INDEX(Employees!$K$5:$K$29,$A395))*$I395,IF(INDEX(Employees!$I$5:$I$29,$A395)="Front-loaded",IF(OR($B395=1,N($G394)=0),N(INDEX(Employees!$J$5:$J$29,$A395))+$J395,0),0))))</f>
        <v/>
      </c>
      <c r="L395" s="51">
        <f>IF($F395=0,0,SUMIFS('Time Off Log'!$H$5:$H$504,'Time Off Log'!$A$5:$A$504,$C395,'Time Off Log'!$B$5:$B$504,"PTO",'Time Off Log'!$E$5:$E$504,"Approved",'Time Off Log'!$C$5:$C$504,"&gt;="&amp;INDEX(Periods!$E$5:$E$57,$B395),'Time Off Log'!$C$5:$C$504,"&lt;="&amp;INDEX(Periods!$F$5:$F$57,$B395)))</f>
        <v/>
      </c>
      <c r="M395" s="51">
        <f>IF($B395=1,N(INDEX(Employees!$N$5:$N$29,$A395)),P394)</f>
        <v/>
      </c>
      <c r="N395" s="51">
        <f>IF(INDEX(Employees!$L$5:$L$29,$A395)="",K395,MAX(0,MIN(K395,INDEX(Employees!$L$5:$L$29,$A395)-(M395-L395))))</f>
        <v/>
      </c>
      <c r="O395" s="51">
        <f>K395-N395</f>
        <v/>
      </c>
      <c r="P395" s="51">
        <f>M395-L395+N395</f>
        <v/>
      </c>
      <c r="Q395" s="51">
        <f>IF($G395=0,0,IF(INDEX(Employees!$P$5:$P$29,$A395)="Per pay period",(N(INDEX(Employees!$Q$5:$Q$29,$A395)))/Settings!$B$13,IF(INDEX(Employees!$P$5:$P$29,$A395)="Per hour worked",N(INDEX(Employees!$R$5:$R$29,$A395))*$I395,IF(INDEX(Employees!$P$5:$P$29,$A395)="Front-loaded",IF(OR($B395=1,N($G394)=0),N(INDEX(Employees!$Q$5:$Q$29,$A395)),0),0))))</f>
        <v/>
      </c>
      <c r="R395" s="51">
        <f>IF($F395=0,0,SUMIFS('Time Off Log'!$H$5:$H$504,'Time Off Log'!$A$5:$A$504,$C395,'Time Off Log'!$B$5:$B$504,"Sick",'Time Off Log'!$E$5:$E$504,"Approved",'Time Off Log'!$C$5:$C$504,"&gt;="&amp;INDEX(Periods!$E$5:$E$57,$B395),'Time Off Log'!$C$5:$C$504,"&lt;="&amp;INDEX(Periods!$F$5:$F$57,$B395)))</f>
        <v/>
      </c>
      <c r="S395" s="51">
        <f>IF($B395=1,N(INDEX(Employees!$T$5:$T$29,$A395)),V394)</f>
        <v/>
      </c>
      <c r="T395" s="51">
        <f>IF(INDEX(Employees!$S$5:$S$29,$A395)="",Q395,MAX(0,MIN(Q395,INDEX(Employees!$S$5:$S$29,$A395)-(S395-R395))))</f>
        <v/>
      </c>
      <c r="U395" s="51">
        <f>Q395-T395</f>
        <v/>
      </c>
      <c r="V395" s="51">
        <f>S395-R395+T395</f>
        <v/>
      </c>
    </row>
    <row r="396">
      <c r="A396" s="50" t="n">
        <v>8</v>
      </c>
      <c r="B396" s="50" t="n">
        <v>21</v>
      </c>
      <c r="C396" s="51">
        <f>INDEX(Employees!$B$5:$B$29,$A396)&amp;""</f>
        <v/>
      </c>
      <c r="D396" s="52">
        <f>INDEX(Periods!$B$5:$B$57,$B396)</f>
        <v/>
      </c>
      <c r="E396" s="52">
        <f>INDEX(Periods!$C$5:$C$57,$B396)</f>
        <v/>
      </c>
      <c r="F396" s="50">
        <f>IF(AND($C396&lt;&gt;"",INDEX(Periods!$D$5:$D$57,$B396)=1),1,0)</f>
        <v/>
      </c>
      <c r="G396" s="50">
        <f>IF($F396=0,0,IF(AND(OR(INDEX(Employees!$D$5:$D$29,$A396)="",$E396&gt;=INDEX(Employees!$D$5:$D$29,$A396)+N(INDEX(Employees!$U$5:$U$29,$A396))),OR(INDEX(Employees!$E$5:$E$29,$A396)="",$D396&lt;=INDEX(Employees!$E$5:$E$29,$A396))),1,0))</f>
        <v/>
      </c>
      <c r="H396" s="50">
        <f>IF($G396=0,0,IF(INDEX(Employees!$D$5:$D$29,$A396)="",0,DATEDIF(INDEX(Employees!$D$5:$D$29,$A396),$E396,"y")))</f>
        <v/>
      </c>
      <c r="I396" s="51">
        <f>IF($G396=0,0,IF(INDEX('Hours Worked'!$D$5:$BD$29,$A396,$B396)="",N(INDEX(Employees!$H$5:$H$29,$A396)),INDEX('Hours Worked'!$D$5:$BD$29,$A396,$B396)))</f>
        <v/>
      </c>
      <c r="J396" s="51">
        <f>IF(OR($G396=0,INDEX(Employees!$O$5:$O$29,$A396)&lt;&gt;"Yes"),0,IF(COUNTIF(Settings!$D$4:$D$9,"&lt;="&amp;$H396)=0,0,INDEX(Settings!$E$4:$E$9,COUNTIF(Settings!$D$4:$D$9,"&lt;="&amp;$H396))))</f>
        <v/>
      </c>
      <c r="K396" s="51">
        <f>IF($G396=0,0,IF(INDEX(Employees!$I$5:$I$29,$A396)="Per pay period",(N(INDEX(Employees!$J$5:$J$29,$A396))+$J396)/Settings!$B$13,IF(INDEX(Employees!$I$5:$I$29,$A396)="Per hour worked",N(INDEX(Employees!$K$5:$K$29,$A396))*$I396,IF(INDEX(Employees!$I$5:$I$29,$A396)="Front-loaded",IF(OR($B396=1,N($G395)=0),N(INDEX(Employees!$J$5:$J$29,$A396))+$J396,0),0))))</f>
        <v/>
      </c>
      <c r="L396" s="51">
        <f>IF($F396=0,0,SUMIFS('Time Off Log'!$H$5:$H$504,'Time Off Log'!$A$5:$A$504,$C396,'Time Off Log'!$B$5:$B$504,"PTO",'Time Off Log'!$E$5:$E$504,"Approved",'Time Off Log'!$C$5:$C$504,"&gt;="&amp;INDEX(Periods!$E$5:$E$57,$B396),'Time Off Log'!$C$5:$C$504,"&lt;="&amp;INDEX(Periods!$F$5:$F$57,$B396)))</f>
        <v/>
      </c>
      <c r="M396" s="51">
        <f>IF($B396=1,N(INDEX(Employees!$N$5:$N$29,$A396)),P395)</f>
        <v/>
      </c>
      <c r="N396" s="51">
        <f>IF(INDEX(Employees!$L$5:$L$29,$A396)="",K396,MAX(0,MIN(K396,INDEX(Employees!$L$5:$L$29,$A396)-(M396-L396))))</f>
        <v/>
      </c>
      <c r="O396" s="51">
        <f>K396-N396</f>
        <v/>
      </c>
      <c r="P396" s="51">
        <f>M396-L396+N396</f>
        <v/>
      </c>
      <c r="Q396" s="51">
        <f>IF($G396=0,0,IF(INDEX(Employees!$P$5:$P$29,$A396)="Per pay period",(N(INDEX(Employees!$Q$5:$Q$29,$A396)))/Settings!$B$13,IF(INDEX(Employees!$P$5:$P$29,$A396)="Per hour worked",N(INDEX(Employees!$R$5:$R$29,$A396))*$I396,IF(INDEX(Employees!$P$5:$P$29,$A396)="Front-loaded",IF(OR($B396=1,N($G395)=0),N(INDEX(Employees!$Q$5:$Q$29,$A396)),0),0))))</f>
        <v/>
      </c>
      <c r="R396" s="51">
        <f>IF($F396=0,0,SUMIFS('Time Off Log'!$H$5:$H$504,'Time Off Log'!$A$5:$A$504,$C396,'Time Off Log'!$B$5:$B$504,"Sick",'Time Off Log'!$E$5:$E$504,"Approved",'Time Off Log'!$C$5:$C$504,"&gt;="&amp;INDEX(Periods!$E$5:$E$57,$B396),'Time Off Log'!$C$5:$C$504,"&lt;="&amp;INDEX(Periods!$F$5:$F$57,$B396)))</f>
        <v/>
      </c>
      <c r="S396" s="51">
        <f>IF($B396=1,N(INDEX(Employees!$T$5:$T$29,$A396)),V395)</f>
        <v/>
      </c>
      <c r="T396" s="51">
        <f>IF(INDEX(Employees!$S$5:$S$29,$A396)="",Q396,MAX(0,MIN(Q396,INDEX(Employees!$S$5:$S$29,$A396)-(S396-R396))))</f>
        <v/>
      </c>
      <c r="U396" s="51">
        <f>Q396-T396</f>
        <v/>
      </c>
      <c r="V396" s="51">
        <f>S396-R396+T396</f>
        <v/>
      </c>
    </row>
    <row r="397">
      <c r="A397" s="50" t="n">
        <v>8</v>
      </c>
      <c r="B397" s="50" t="n">
        <v>22</v>
      </c>
      <c r="C397" s="51">
        <f>INDEX(Employees!$B$5:$B$29,$A397)&amp;""</f>
        <v/>
      </c>
      <c r="D397" s="52">
        <f>INDEX(Periods!$B$5:$B$57,$B397)</f>
        <v/>
      </c>
      <c r="E397" s="52">
        <f>INDEX(Periods!$C$5:$C$57,$B397)</f>
        <v/>
      </c>
      <c r="F397" s="50">
        <f>IF(AND($C397&lt;&gt;"",INDEX(Periods!$D$5:$D$57,$B397)=1),1,0)</f>
        <v/>
      </c>
      <c r="G397" s="50">
        <f>IF($F397=0,0,IF(AND(OR(INDEX(Employees!$D$5:$D$29,$A397)="",$E397&gt;=INDEX(Employees!$D$5:$D$29,$A397)+N(INDEX(Employees!$U$5:$U$29,$A397))),OR(INDEX(Employees!$E$5:$E$29,$A397)="",$D397&lt;=INDEX(Employees!$E$5:$E$29,$A397))),1,0))</f>
        <v/>
      </c>
      <c r="H397" s="50">
        <f>IF($G397=0,0,IF(INDEX(Employees!$D$5:$D$29,$A397)="",0,DATEDIF(INDEX(Employees!$D$5:$D$29,$A397),$E397,"y")))</f>
        <v/>
      </c>
      <c r="I397" s="51">
        <f>IF($G397=0,0,IF(INDEX('Hours Worked'!$D$5:$BD$29,$A397,$B397)="",N(INDEX(Employees!$H$5:$H$29,$A397)),INDEX('Hours Worked'!$D$5:$BD$29,$A397,$B397)))</f>
        <v/>
      </c>
      <c r="J397" s="51">
        <f>IF(OR($G397=0,INDEX(Employees!$O$5:$O$29,$A397)&lt;&gt;"Yes"),0,IF(COUNTIF(Settings!$D$4:$D$9,"&lt;="&amp;$H397)=0,0,INDEX(Settings!$E$4:$E$9,COUNTIF(Settings!$D$4:$D$9,"&lt;="&amp;$H397))))</f>
        <v/>
      </c>
      <c r="K397" s="51">
        <f>IF($G397=0,0,IF(INDEX(Employees!$I$5:$I$29,$A397)="Per pay period",(N(INDEX(Employees!$J$5:$J$29,$A397))+$J397)/Settings!$B$13,IF(INDEX(Employees!$I$5:$I$29,$A397)="Per hour worked",N(INDEX(Employees!$K$5:$K$29,$A397))*$I397,IF(INDEX(Employees!$I$5:$I$29,$A397)="Front-loaded",IF(OR($B397=1,N($G396)=0),N(INDEX(Employees!$J$5:$J$29,$A397))+$J397,0),0))))</f>
        <v/>
      </c>
      <c r="L397" s="51">
        <f>IF($F397=0,0,SUMIFS('Time Off Log'!$H$5:$H$504,'Time Off Log'!$A$5:$A$504,$C397,'Time Off Log'!$B$5:$B$504,"PTO",'Time Off Log'!$E$5:$E$504,"Approved",'Time Off Log'!$C$5:$C$504,"&gt;="&amp;INDEX(Periods!$E$5:$E$57,$B397),'Time Off Log'!$C$5:$C$504,"&lt;="&amp;INDEX(Periods!$F$5:$F$57,$B397)))</f>
        <v/>
      </c>
      <c r="M397" s="51">
        <f>IF($B397=1,N(INDEX(Employees!$N$5:$N$29,$A397)),P396)</f>
        <v/>
      </c>
      <c r="N397" s="51">
        <f>IF(INDEX(Employees!$L$5:$L$29,$A397)="",K397,MAX(0,MIN(K397,INDEX(Employees!$L$5:$L$29,$A397)-(M397-L397))))</f>
        <v/>
      </c>
      <c r="O397" s="51">
        <f>K397-N397</f>
        <v/>
      </c>
      <c r="P397" s="51">
        <f>M397-L397+N397</f>
        <v/>
      </c>
      <c r="Q397" s="51">
        <f>IF($G397=0,0,IF(INDEX(Employees!$P$5:$P$29,$A397)="Per pay period",(N(INDEX(Employees!$Q$5:$Q$29,$A397)))/Settings!$B$13,IF(INDEX(Employees!$P$5:$P$29,$A397)="Per hour worked",N(INDEX(Employees!$R$5:$R$29,$A397))*$I397,IF(INDEX(Employees!$P$5:$P$29,$A397)="Front-loaded",IF(OR($B397=1,N($G396)=0),N(INDEX(Employees!$Q$5:$Q$29,$A397)),0),0))))</f>
        <v/>
      </c>
      <c r="R397" s="51">
        <f>IF($F397=0,0,SUMIFS('Time Off Log'!$H$5:$H$504,'Time Off Log'!$A$5:$A$504,$C397,'Time Off Log'!$B$5:$B$504,"Sick",'Time Off Log'!$E$5:$E$504,"Approved",'Time Off Log'!$C$5:$C$504,"&gt;="&amp;INDEX(Periods!$E$5:$E$57,$B397),'Time Off Log'!$C$5:$C$504,"&lt;="&amp;INDEX(Periods!$F$5:$F$57,$B397)))</f>
        <v/>
      </c>
      <c r="S397" s="51">
        <f>IF($B397=1,N(INDEX(Employees!$T$5:$T$29,$A397)),V396)</f>
        <v/>
      </c>
      <c r="T397" s="51">
        <f>IF(INDEX(Employees!$S$5:$S$29,$A397)="",Q397,MAX(0,MIN(Q397,INDEX(Employees!$S$5:$S$29,$A397)-(S397-R397))))</f>
        <v/>
      </c>
      <c r="U397" s="51">
        <f>Q397-T397</f>
        <v/>
      </c>
      <c r="V397" s="51">
        <f>S397-R397+T397</f>
        <v/>
      </c>
    </row>
    <row r="398">
      <c r="A398" s="50" t="n">
        <v>8</v>
      </c>
      <c r="B398" s="50" t="n">
        <v>23</v>
      </c>
      <c r="C398" s="51">
        <f>INDEX(Employees!$B$5:$B$29,$A398)&amp;""</f>
        <v/>
      </c>
      <c r="D398" s="52">
        <f>INDEX(Periods!$B$5:$B$57,$B398)</f>
        <v/>
      </c>
      <c r="E398" s="52">
        <f>INDEX(Periods!$C$5:$C$57,$B398)</f>
        <v/>
      </c>
      <c r="F398" s="50">
        <f>IF(AND($C398&lt;&gt;"",INDEX(Periods!$D$5:$D$57,$B398)=1),1,0)</f>
        <v/>
      </c>
      <c r="G398" s="50">
        <f>IF($F398=0,0,IF(AND(OR(INDEX(Employees!$D$5:$D$29,$A398)="",$E398&gt;=INDEX(Employees!$D$5:$D$29,$A398)+N(INDEX(Employees!$U$5:$U$29,$A398))),OR(INDEX(Employees!$E$5:$E$29,$A398)="",$D398&lt;=INDEX(Employees!$E$5:$E$29,$A398))),1,0))</f>
        <v/>
      </c>
      <c r="H398" s="50">
        <f>IF($G398=0,0,IF(INDEX(Employees!$D$5:$D$29,$A398)="",0,DATEDIF(INDEX(Employees!$D$5:$D$29,$A398),$E398,"y")))</f>
        <v/>
      </c>
      <c r="I398" s="51">
        <f>IF($G398=0,0,IF(INDEX('Hours Worked'!$D$5:$BD$29,$A398,$B398)="",N(INDEX(Employees!$H$5:$H$29,$A398)),INDEX('Hours Worked'!$D$5:$BD$29,$A398,$B398)))</f>
        <v/>
      </c>
      <c r="J398" s="51">
        <f>IF(OR($G398=0,INDEX(Employees!$O$5:$O$29,$A398)&lt;&gt;"Yes"),0,IF(COUNTIF(Settings!$D$4:$D$9,"&lt;="&amp;$H398)=0,0,INDEX(Settings!$E$4:$E$9,COUNTIF(Settings!$D$4:$D$9,"&lt;="&amp;$H398))))</f>
        <v/>
      </c>
      <c r="K398" s="51">
        <f>IF($G398=0,0,IF(INDEX(Employees!$I$5:$I$29,$A398)="Per pay period",(N(INDEX(Employees!$J$5:$J$29,$A398))+$J398)/Settings!$B$13,IF(INDEX(Employees!$I$5:$I$29,$A398)="Per hour worked",N(INDEX(Employees!$K$5:$K$29,$A398))*$I398,IF(INDEX(Employees!$I$5:$I$29,$A398)="Front-loaded",IF(OR($B398=1,N($G397)=0),N(INDEX(Employees!$J$5:$J$29,$A398))+$J398,0),0))))</f>
        <v/>
      </c>
      <c r="L398" s="51">
        <f>IF($F398=0,0,SUMIFS('Time Off Log'!$H$5:$H$504,'Time Off Log'!$A$5:$A$504,$C398,'Time Off Log'!$B$5:$B$504,"PTO",'Time Off Log'!$E$5:$E$504,"Approved",'Time Off Log'!$C$5:$C$504,"&gt;="&amp;INDEX(Periods!$E$5:$E$57,$B398),'Time Off Log'!$C$5:$C$504,"&lt;="&amp;INDEX(Periods!$F$5:$F$57,$B398)))</f>
        <v/>
      </c>
      <c r="M398" s="51">
        <f>IF($B398=1,N(INDEX(Employees!$N$5:$N$29,$A398)),P397)</f>
        <v/>
      </c>
      <c r="N398" s="51">
        <f>IF(INDEX(Employees!$L$5:$L$29,$A398)="",K398,MAX(0,MIN(K398,INDEX(Employees!$L$5:$L$29,$A398)-(M398-L398))))</f>
        <v/>
      </c>
      <c r="O398" s="51">
        <f>K398-N398</f>
        <v/>
      </c>
      <c r="P398" s="51">
        <f>M398-L398+N398</f>
        <v/>
      </c>
      <c r="Q398" s="51">
        <f>IF($G398=0,0,IF(INDEX(Employees!$P$5:$P$29,$A398)="Per pay period",(N(INDEX(Employees!$Q$5:$Q$29,$A398)))/Settings!$B$13,IF(INDEX(Employees!$P$5:$P$29,$A398)="Per hour worked",N(INDEX(Employees!$R$5:$R$29,$A398))*$I398,IF(INDEX(Employees!$P$5:$P$29,$A398)="Front-loaded",IF(OR($B398=1,N($G397)=0),N(INDEX(Employees!$Q$5:$Q$29,$A398)),0),0))))</f>
        <v/>
      </c>
      <c r="R398" s="51">
        <f>IF($F398=0,0,SUMIFS('Time Off Log'!$H$5:$H$504,'Time Off Log'!$A$5:$A$504,$C398,'Time Off Log'!$B$5:$B$504,"Sick",'Time Off Log'!$E$5:$E$504,"Approved",'Time Off Log'!$C$5:$C$504,"&gt;="&amp;INDEX(Periods!$E$5:$E$57,$B398),'Time Off Log'!$C$5:$C$504,"&lt;="&amp;INDEX(Periods!$F$5:$F$57,$B398)))</f>
        <v/>
      </c>
      <c r="S398" s="51">
        <f>IF($B398=1,N(INDEX(Employees!$T$5:$T$29,$A398)),V397)</f>
        <v/>
      </c>
      <c r="T398" s="51">
        <f>IF(INDEX(Employees!$S$5:$S$29,$A398)="",Q398,MAX(0,MIN(Q398,INDEX(Employees!$S$5:$S$29,$A398)-(S398-R398))))</f>
        <v/>
      </c>
      <c r="U398" s="51">
        <f>Q398-T398</f>
        <v/>
      </c>
      <c r="V398" s="51">
        <f>S398-R398+T398</f>
        <v/>
      </c>
    </row>
    <row r="399">
      <c r="A399" s="50" t="n">
        <v>8</v>
      </c>
      <c r="B399" s="50" t="n">
        <v>24</v>
      </c>
      <c r="C399" s="51">
        <f>INDEX(Employees!$B$5:$B$29,$A399)&amp;""</f>
        <v/>
      </c>
      <c r="D399" s="52">
        <f>INDEX(Periods!$B$5:$B$57,$B399)</f>
        <v/>
      </c>
      <c r="E399" s="52">
        <f>INDEX(Periods!$C$5:$C$57,$B399)</f>
        <v/>
      </c>
      <c r="F399" s="50">
        <f>IF(AND($C399&lt;&gt;"",INDEX(Periods!$D$5:$D$57,$B399)=1),1,0)</f>
        <v/>
      </c>
      <c r="G399" s="50">
        <f>IF($F399=0,0,IF(AND(OR(INDEX(Employees!$D$5:$D$29,$A399)="",$E399&gt;=INDEX(Employees!$D$5:$D$29,$A399)+N(INDEX(Employees!$U$5:$U$29,$A399))),OR(INDEX(Employees!$E$5:$E$29,$A399)="",$D399&lt;=INDEX(Employees!$E$5:$E$29,$A399))),1,0))</f>
        <v/>
      </c>
      <c r="H399" s="50">
        <f>IF($G399=0,0,IF(INDEX(Employees!$D$5:$D$29,$A399)="",0,DATEDIF(INDEX(Employees!$D$5:$D$29,$A399),$E399,"y")))</f>
        <v/>
      </c>
      <c r="I399" s="51">
        <f>IF($G399=0,0,IF(INDEX('Hours Worked'!$D$5:$BD$29,$A399,$B399)="",N(INDEX(Employees!$H$5:$H$29,$A399)),INDEX('Hours Worked'!$D$5:$BD$29,$A399,$B399)))</f>
        <v/>
      </c>
      <c r="J399" s="51">
        <f>IF(OR($G399=0,INDEX(Employees!$O$5:$O$29,$A399)&lt;&gt;"Yes"),0,IF(COUNTIF(Settings!$D$4:$D$9,"&lt;="&amp;$H399)=0,0,INDEX(Settings!$E$4:$E$9,COUNTIF(Settings!$D$4:$D$9,"&lt;="&amp;$H399))))</f>
        <v/>
      </c>
      <c r="K399" s="51">
        <f>IF($G399=0,0,IF(INDEX(Employees!$I$5:$I$29,$A399)="Per pay period",(N(INDEX(Employees!$J$5:$J$29,$A399))+$J399)/Settings!$B$13,IF(INDEX(Employees!$I$5:$I$29,$A399)="Per hour worked",N(INDEX(Employees!$K$5:$K$29,$A399))*$I399,IF(INDEX(Employees!$I$5:$I$29,$A399)="Front-loaded",IF(OR($B399=1,N($G398)=0),N(INDEX(Employees!$J$5:$J$29,$A399))+$J399,0),0))))</f>
        <v/>
      </c>
      <c r="L399" s="51">
        <f>IF($F399=0,0,SUMIFS('Time Off Log'!$H$5:$H$504,'Time Off Log'!$A$5:$A$504,$C399,'Time Off Log'!$B$5:$B$504,"PTO",'Time Off Log'!$E$5:$E$504,"Approved",'Time Off Log'!$C$5:$C$504,"&gt;="&amp;INDEX(Periods!$E$5:$E$57,$B399),'Time Off Log'!$C$5:$C$504,"&lt;="&amp;INDEX(Periods!$F$5:$F$57,$B399)))</f>
        <v/>
      </c>
      <c r="M399" s="51">
        <f>IF($B399=1,N(INDEX(Employees!$N$5:$N$29,$A399)),P398)</f>
        <v/>
      </c>
      <c r="N399" s="51">
        <f>IF(INDEX(Employees!$L$5:$L$29,$A399)="",K399,MAX(0,MIN(K399,INDEX(Employees!$L$5:$L$29,$A399)-(M399-L399))))</f>
        <v/>
      </c>
      <c r="O399" s="51">
        <f>K399-N399</f>
        <v/>
      </c>
      <c r="P399" s="51">
        <f>M399-L399+N399</f>
        <v/>
      </c>
      <c r="Q399" s="51">
        <f>IF($G399=0,0,IF(INDEX(Employees!$P$5:$P$29,$A399)="Per pay period",(N(INDEX(Employees!$Q$5:$Q$29,$A399)))/Settings!$B$13,IF(INDEX(Employees!$P$5:$P$29,$A399)="Per hour worked",N(INDEX(Employees!$R$5:$R$29,$A399))*$I399,IF(INDEX(Employees!$P$5:$P$29,$A399)="Front-loaded",IF(OR($B399=1,N($G398)=0),N(INDEX(Employees!$Q$5:$Q$29,$A399)),0),0))))</f>
        <v/>
      </c>
      <c r="R399" s="51">
        <f>IF($F399=0,0,SUMIFS('Time Off Log'!$H$5:$H$504,'Time Off Log'!$A$5:$A$504,$C399,'Time Off Log'!$B$5:$B$504,"Sick",'Time Off Log'!$E$5:$E$504,"Approved",'Time Off Log'!$C$5:$C$504,"&gt;="&amp;INDEX(Periods!$E$5:$E$57,$B399),'Time Off Log'!$C$5:$C$504,"&lt;="&amp;INDEX(Periods!$F$5:$F$57,$B399)))</f>
        <v/>
      </c>
      <c r="S399" s="51">
        <f>IF($B399=1,N(INDEX(Employees!$T$5:$T$29,$A399)),V398)</f>
        <v/>
      </c>
      <c r="T399" s="51">
        <f>IF(INDEX(Employees!$S$5:$S$29,$A399)="",Q399,MAX(0,MIN(Q399,INDEX(Employees!$S$5:$S$29,$A399)-(S399-R399))))</f>
        <v/>
      </c>
      <c r="U399" s="51">
        <f>Q399-T399</f>
        <v/>
      </c>
      <c r="V399" s="51">
        <f>S399-R399+T399</f>
        <v/>
      </c>
    </row>
    <row r="400">
      <c r="A400" s="50" t="n">
        <v>8</v>
      </c>
      <c r="B400" s="50" t="n">
        <v>25</v>
      </c>
      <c r="C400" s="51">
        <f>INDEX(Employees!$B$5:$B$29,$A400)&amp;""</f>
        <v/>
      </c>
      <c r="D400" s="52">
        <f>INDEX(Periods!$B$5:$B$57,$B400)</f>
        <v/>
      </c>
      <c r="E400" s="52">
        <f>INDEX(Periods!$C$5:$C$57,$B400)</f>
        <v/>
      </c>
      <c r="F400" s="50">
        <f>IF(AND($C400&lt;&gt;"",INDEX(Periods!$D$5:$D$57,$B400)=1),1,0)</f>
        <v/>
      </c>
      <c r="G400" s="50">
        <f>IF($F400=0,0,IF(AND(OR(INDEX(Employees!$D$5:$D$29,$A400)="",$E400&gt;=INDEX(Employees!$D$5:$D$29,$A400)+N(INDEX(Employees!$U$5:$U$29,$A400))),OR(INDEX(Employees!$E$5:$E$29,$A400)="",$D400&lt;=INDEX(Employees!$E$5:$E$29,$A400))),1,0))</f>
        <v/>
      </c>
      <c r="H400" s="50">
        <f>IF($G400=0,0,IF(INDEX(Employees!$D$5:$D$29,$A400)="",0,DATEDIF(INDEX(Employees!$D$5:$D$29,$A400),$E400,"y")))</f>
        <v/>
      </c>
      <c r="I400" s="51">
        <f>IF($G400=0,0,IF(INDEX('Hours Worked'!$D$5:$BD$29,$A400,$B400)="",N(INDEX(Employees!$H$5:$H$29,$A400)),INDEX('Hours Worked'!$D$5:$BD$29,$A400,$B400)))</f>
        <v/>
      </c>
      <c r="J400" s="51">
        <f>IF(OR($G400=0,INDEX(Employees!$O$5:$O$29,$A400)&lt;&gt;"Yes"),0,IF(COUNTIF(Settings!$D$4:$D$9,"&lt;="&amp;$H400)=0,0,INDEX(Settings!$E$4:$E$9,COUNTIF(Settings!$D$4:$D$9,"&lt;="&amp;$H400))))</f>
        <v/>
      </c>
      <c r="K400" s="51">
        <f>IF($G400=0,0,IF(INDEX(Employees!$I$5:$I$29,$A400)="Per pay period",(N(INDEX(Employees!$J$5:$J$29,$A400))+$J400)/Settings!$B$13,IF(INDEX(Employees!$I$5:$I$29,$A400)="Per hour worked",N(INDEX(Employees!$K$5:$K$29,$A400))*$I400,IF(INDEX(Employees!$I$5:$I$29,$A400)="Front-loaded",IF(OR($B400=1,N($G399)=0),N(INDEX(Employees!$J$5:$J$29,$A400))+$J400,0),0))))</f>
        <v/>
      </c>
      <c r="L400" s="51">
        <f>IF($F400=0,0,SUMIFS('Time Off Log'!$H$5:$H$504,'Time Off Log'!$A$5:$A$504,$C400,'Time Off Log'!$B$5:$B$504,"PTO",'Time Off Log'!$E$5:$E$504,"Approved",'Time Off Log'!$C$5:$C$504,"&gt;="&amp;INDEX(Periods!$E$5:$E$57,$B400),'Time Off Log'!$C$5:$C$504,"&lt;="&amp;INDEX(Periods!$F$5:$F$57,$B400)))</f>
        <v/>
      </c>
      <c r="M400" s="51">
        <f>IF($B400=1,N(INDEX(Employees!$N$5:$N$29,$A400)),P399)</f>
        <v/>
      </c>
      <c r="N400" s="51">
        <f>IF(INDEX(Employees!$L$5:$L$29,$A400)="",K400,MAX(0,MIN(K400,INDEX(Employees!$L$5:$L$29,$A400)-(M400-L400))))</f>
        <v/>
      </c>
      <c r="O400" s="51">
        <f>K400-N400</f>
        <v/>
      </c>
      <c r="P400" s="51">
        <f>M400-L400+N400</f>
        <v/>
      </c>
      <c r="Q400" s="51">
        <f>IF($G400=0,0,IF(INDEX(Employees!$P$5:$P$29,$A400)="Per pay period",(N(INDEX(Employees!$Q$5:$Q$29,$A400)))/Settings!$B$13,IF(INDEX(Employees!$P$5:$P$29,$A400)="Per hour worked",N(INDEX(Employees!$R$5:$R$29,$A400))*$I400,IF(INDEX(Employees!$P$5:$P$29,$A400)="Front-loaded",IF(OR($B400=1,N($G399)=0),N(INDEX(Employees!$Q$5:$Q$29,$A400)),0),0))))</f>
        <v/>
      </c>
      <c r="R400" s="51">
        <f>IF($F400=0,0,SUMIFS('Time Off Log'!$H$5:$H$504,'Time Off Log'!$A$5:$A$504,$C400,'Time Off Log'!$B$5:$B$504,"Sick",'Time Off Log'!$E$5:$E$504,"Approved",'Time Off Log'!$C$5:$C$504,"&gt;="&amp;INDEX(Periods!$E$5:$E$57,$B400),'Time Off Log'!$C$5:$C$504,"&lt;="&amp;INDEX(Periods!$F$5:$F$57,$B400)))</f>
        <v/>
      </c>
      <c r="S400" s="51">
        <f>IF($B400=1,N(INDEX(Employees!$T$5:$T$29,$A400)),V399)</f>
        <v/>
      </c>
      <c r="T400" s="51">
        <f>IF(INDEX(Employees!$S$5:$S$29,$A400)="",Q400,MAX(0,MIN(Q400,INDEX(Employees!$S$5:$S$29,$A400)-(S400-R400))))</f>
        <v/>
      </c>
      <c r="U400" s="51">
        <f>Q400-T400</f>
        <v/>
      </c>
      <c r="V400" s="51">
        <f>S400-R400+T400</f>
        <v/>
      </c>
    </row>
    <row r="401">
      <c r="A401" s="50" t="n">
        <v>8</v>
      </c>
      <c r="B401" s="50" t="n">
        <v>26</v>
      </c>
      <c r="C401" s="51">
        <f>INDEX(Employees!$B$5:$B$29,$A401)&amp;""</f>
        <v/>
      </c>
      <c r="D401" s="52">
        <f>INDEX(Periods!$B$5:$B$57,$B401)</f>
        <v/>
      </c>
      <c r="E401" s="52">
        <f>INDEX(Periods!$C$5:$C$57,$B401)</f>
        <v/>
      </c>
      <c r="F401" s="50">
        <f>IF(AND($C401&lt;&gt;"",INDEX(Periods!$D$5:$D$57,$B401)=1),1,0)</f>
        <v/>
      </c>
      <c r="G401" s="50">
        <f>IF($F401=0,0,IF(AND(OR(INDEX(Employees!$D$5:$D$29,$A401)="",$E401&gt;=INDEX(Employees!$D$5:$D$29,$A401)+N(INDEX(Employees!$U$5:$U$29,$A401))),OR(INDEX(Employees!$E$5:$E$29,$A401)="",$D401&lt;=INDEX(Employees!$E$5:$E$29,$A401))),1,0))</f>
        <v/>
      </c>
      <c r="H401" s="50">
        <f>IF($G401=0,0,IF(INDEX(Employees!$D$5:$D$29,$A401)="",0,DATEDIF(INDEX(Employees!$D$5:$D$29,$A401),$E401,"y")))</f>
        <v/>
      </c>
      <c r="I401" s="51">
        <f>IF($G401=0,0,IF(INDEX('Hours Worked'!$D$5:$BD$29,$A401,$B401)="",N(INDEX(Employees!$H$5:$H$29,$A401)),INDEX('Hours Worked'!$D$5:$BD$29,$A401,$B401)))</f>
        <v/>
      </c>
      <c r="J401" s="51">
        <f>IF(OR($G401=0,INDEX(Employees!$O$5:$O$29,$A401)&lt;&gt;"Yes"),0,IF(COUNTIF(Settings!$D$4:$D$9,"&lt;="&amp;$H401)=0,0,INDEX(Settings!$E$4:$E$9,COUNTIF(Settings!$D$4:$D$9,"&lt;="&amp;$H401))))</f>
        <v/>
      </c>
      <c r="K401" s="51">
        <f>IF($G401=0,0,IF(INDEX(Employees!$I$5:$I$29,$A401)="Per pay period",(N(INDEX(Employees!$J$5:$J$29,$A401))+$J401)/Settings!$B$13,IF(INDEX(Employees!$I$5:$I$29,$A401)="Per hour worked",N(INDEX(Employees!$K$5:$K$29,$A401))*$I401,IF(INDEX(Employees!$I$5:$I$29,$A401)="Front-loaded",IF(OR($B401=1,N($G400)=0),N(INDEX(Employees!$J$5:$J$29,$A401))+$J401,0),0))))</f>
        <v/>
      </c>
      <c r="L401" s="51">
        <f>IF($F401=0,0,SUMIFS('Time Off Log'!$H$5:$H$504,'Time Off Log'!$A$5:$A$504,$C401,'Time Off Log'!$B$5:$B$504,"PTO",'Time Off Log'!$E$5:$E$504,"Approved",'Time Off Log'!$C$5:$C$504,"&gt;="&amp;INDEX(Periods!$E$5:$E$57,$B401),'Time Off Log'!$C$5:$C$504,"&lt;="&amp;INDEX(Periods!$F$5:$F$57,$B401)))</f>
        <v/>
      </c>
      <c r="M401" s="51">
        <f>IF($B401=1,N(INDEX(Employees!$N$5:$N$29,$A401)),P400)</f>
        <v/>
      </c>
      <c r="N401" s="51">
        <f>IF(INDEX(Employees!$L$5:$L$29,$A401)="",K401,MAX(0,MIN(K401,INDEX(Employees!$L$5:$L$29,$A401)-(M401-L401))))</f>
        <v/>
      </c>
      <c r="O401" s="51">
        <f>K401-N401</f>
        <v/>
      </c>
      <c r="P401" s="51">
        <f>M401-L401+N401</f>
        <v/>
      </c>
      <c r="Q401" s="51">
        <f>IF($G401=0,0,IF(INDEX(Employees!$P$5:$P$29,$A401)="Per pay period",(N(INDEX(Employees!$Q$5:$Q$29,$A401)))/Settings!$B$13,IF(INDEX(Employees!$P$5:$P$29,$A401)="Per hour worked",N(INDEX(Employees!$R$5:$R$29,$A401))*$I401,IF(INDEX(Employees!$P$5:$P$29,$A401)="Front-loaded",IF(OR($B401=1,N($G400)=0),N(INDEX(Employees!$Q$5:$Q$29,$A401)),0),0))))</f>
        <v/>
      </c>
      <c r="R401" s="51">
        <f>IF($F401=0,0,SUMIFS('Time Off Log'!$H$5:$H$504,'Time Off Log'!$A$5:$A$504,$C401,'Time Off Log'!$B$5:$B$504,"Sick",'Time Off Log'!$E$5:$E$504,"Approved",'Time Off Log'!$C$5:$C$504,"&gt;="&amp;INDEX(Periods!$E$5:$E$57,$B401),'Time Off Log'!$C$5:$C$504,"&lt;="&amp;INDEX(Periods!$F$5:$F$57,$B401)))</f>
        <v/>
      </c>
      <c r="S401" s="51">
        <f>IF($B401=1,N(INDEX(Employees!$T$5:$T$29,$A401)),V400)</f>
        <v/>
      </c>
      <c r="T401" s="51">
        <f>IF(INDEX(Employees!$S$5:$S$29,$A401)="",Q401,MAX(0,MIN(Q401,INDEX(Employees!$S$5:$S$29,$A401)-(S401-R401))))</f>
        <v/>
      </c>
      <c r="U401" s="51">
        <f>Q401-T401</f>
        <v/>
      </c>
      <c r="V401" s="51">
        <f>S401-R401+T401</f>
        <v/>
      </c>
    </row>
    <row r="402">
      <c r="A402" s="50" t="n">
        <v>8</v>
      </c>
      <c r="B402" s="50" t="n">
        <v>27</v>
      </c>
      <c r="C402" s="51">
        <f>INDEX(Employees!$B$5:$B$29,$A402)&amp;""</f>
        <v/>
      </c>
      <c r="D402" s="52">
        <f>INDEX(Periods!$B$5:$B$57,$B402)</f>
        <v/>
      </c>
      <c r="E402" s="52">
        <f>INDEX(Periods!$C$5:$C$57,$B402)</f>
        <v/>
      </c>
      <c r="F402" s="50">
        <f>IF(AND($C402&lt;&gt;"",INDEX(Periods!$D$5:$D$57,$B402)=1),1,0)</f>
        <v/>
      </c>
      <c r="G402" s="50">
        <f>IF($F402=0,0,IF(AND(OR(INDEX(Employees!$D$5:$D$29,$A402)="",$E402&gt;=INDEX(Employees!$D$5:$D$29,$A402)+N(INDEX(Employees!$U$5:$U$29,$A402))),OR(INDEX(Employees!$E$5:$E$29,$A402)="",$D402&lt;=INDEX(Employees!$E$5:$E$29,$A402))),1,0))</f>
        <v/>
      </c>
      <c r="H402" s="50">
        <f>IF($G402=0,0,IF(INDEX(Employees!$D$5:$D$29,$A402)="",0,DATEDIF(INDEX(Employees!$D$5:$D$29,$A402),$E402,"y")))</f>
        <v/>
      </c>
      <c r="I402" s="51">
        <f>IF($G402=0,0,IF(INDEX('Hours Worked'!$D$5:$BD$29,$A402,$B402)="",N(INDEX(Employees!$H$5:$H$29,$A402)),INDEX('Hours Worked'!$D$5:$BD$29,$A402,$B402)))</f>
        <v/>
      </c>
      <c r="J402" s="51">
        <f>IF(OR($G402=0,INDEX(Employees!$O$5:$O$29,$A402)&lt;&gt;"Yes"),0,IF(COUNTIF(Settings!$D$4:$D$9,"&lt;="&amp;$H402)=0,0,INDEX(Settings!$E$4:$E$9,COUNTIF(Settings!$D$4:$D$9,"&lt;="&amp;$H402))))</f>
        <v/>
      </c>
      <c r="K402" s="51">
        <f>IF($G402=0,0,IF(INDEX(Employees!$I$5:$I$29,$A402)="Per pay period",(N(INDEX(Employees!$J$5:$J$29,$A402))+$J402)/Settings!$B$13,IF(INDEX(Employees!$I$5:$I$29,$A402)="Per hour worked",N(INDEX(Employees!$K$5:$K$29,$A402))*$I402,IF(INDEX(Employees!$I$5:$I$29,$A402)="Front-loaded",IF(OR($B402=1,N($G401)=0),N(INDEX(Employees!$J$5:$J$29,$A402))+$J402,0),0))))</f>
        <v/>
      </c>
      <c r="L402" s="51">
        <f>IF($F402=0,0,SUMIFS('Time Off Log'!$H$5:$H$504,'Time Off Log'!$A$5:$A$504,$C402,'Time Off Log'!$B$5:$B$504,"PTO",'Time Off Log'!$E$5:$E$504,"Approved",'Time Off Log'!$C$5:$C$504,"&gt;="&amp;INDEX(Periods!$E$5:$E$57,$B402),'Time Off Log'!$C$5:$C$504,"&lt;="&amp;INDEX(Periods!$F$5:$F$57,$B402)))</f>
        <v/>
      </c>
      <c r="M402" s="51">
        <f>IF($B402=1,N(INDEX(Employees!$N$5:$N$29,$A402)),P401)</f>
        <v/>
      </c>
      <c r="N402" s="51">
        <f>IF(INDEX(Employees!$L$5:$L$29,$A402)="",K402,MAX(0,MIN(K402,INDEX(Employees!$L$5:$L$29,$A402)-(M402-L402))))</f>
        <v/>
      </c>
      <c r="O402" s="51">
        <f>K402-N402</f>
        <v/>
      </c>
      <c r="P402" s="51">
        <f>M402-L402+N402</f>
        <v/>
      </c>
      <c r="Q402" s="51">
        <f>IF($G402=0,0,IF(INDEX(Employees!$P$5:$P$29,$A402)="Per pay period",(N(INDEX(Employees!$Q$5:$Q$29,$A402)))/Settings!$B$13,IF(INDEX(Employees!$P$5:$P$29,$A402)="Per hour worked",N(INDEX(Employees!$R$5:$R$29,$A402))*$I402,IF(INDEX(Employees!$P$5:$P$29,$A402)="Front-loaded",IF(OR($B402=1,N($G401)=0),N(INDEX(Employees!$Q$5:$Q$29,$A402)),0),0))))</f>
        <v/>
      </c>
      <c r="R402" s="51">
        <f>IF($F402=0,0,SUMIFS('Time Off Log'!$H$5:$H$504,'Time Off Log'!$A$5:$A$504,$C402,'Time Off Log'!$B$5:$B$504,"Sick",'Time Off Log'!$E$5:$E$504,"Approved",'Time Off Log'!$C$5:$C$504,"&gt;="&amp;INDEX(Periods!$E$5:$E$57,$B402),'Time Off Log'!$C$5:$C$504,"&lt;="&amp;INDEX(Periods!$F$5:$F$57,$B402)))</f>
        <v/>
      </c>
      <c r="S402" s="51">
        <f>IF($B402=1,N(INDEX(Employees!$T$5:$T$29,$A402)),V401)</f>
        <v/>
      </c>
      <c r="T402" s="51">
        <f>IF(INDEX(Employees!$S$5:$S$29,$A402)="",Q402,MAX(0,MIN(Q402,INDEX(Employees!$S$5:$S$29,$A402)-(S402-R402))))</f>
        <v/>
      </c>
      <c r="U402" s="51">
        <f>Q402-T402</f>
        <v/>
      </c>
      <c r="V402" s="51">
        <f>S402-R402+T402</f>
        <v/>
      </c>
    </row>
    <row r="403">
      <c r="A403" s="50" t="n">
        <v>8</v>
      </c>
      <c r="B403" s="50" t="n">
        <v>28</v>
      </c>
      <c r="C403" s="51">
        <f>INDEX(Employees!$B$5:$B$29,$A403)&amp;""</f>
        <v/>
      </c>
      <c r="D403" s="52">
        <f>INDEX(Periods!$B$5:$B$57,$B403)</f>
        <v/>
      </c>
      <c r="E403" s="52">
        <f>INDEX(Periods!$C$5:$C$57,$B403)</f>
        <v/>
      </c>
      <c r="F403" s="50">
        <f>IF(AND($C403&lt;&gt;"",INDEX(Periods!$D$5:$D$57,$B403)=1),1,0)</f>
        <v/>
      </c>
      <c r="G403" s="50">
        <f>IF($F403=0,0,IF(AND(OR(INDEX(Employees!$D$5:$D$29,$A403)="",$E403&gt;=INDEX(Employees!$D$5:$D$29,$A403)+N(INDEX(Employees!$U$5:$U$29,$A403))),OR(INDEX(Employees!$E$5:$E$29,$A403)="",$D403&lt;=INDEX(Employees!$E$5:$E$29,$A403))),1,0))</f>
        <v/>
      </c>
      <c r="H403" s="50">
        <f>IF($G403=0,0,IF(INDEX(Employees!$D$5:$D$29,$A403)="",0,DATEDIF(INDEX(Employees!$D$5:$D$29,$A403),$E403,"y")))</f>
        <v/>
      </c>
      <c r="I403" s="51">
        <f>IF($G403=0,0,IF(INDEX('Hours Worked'!$D$5:$BD$29,$A403,$B403)="",N(INDEX(Employees!$H$5:$H$29,$A403)),INDEX('Hours Worked'!$D$5:$BD$29,$A403,$B403)))</f>
        <v/>
      </c>
      <c r="J403" s="51">
        <f>IF(OR($G403=0,INDEX(Employees!$O$5:$O$29,$A403)&lt;&gt;"Yes"),0,IF(COUNTIF(Settings!$D$4:$D$9,"&lt;="&amp;$H403)=0,0,INDEX(Settings!$E$4:$E$9,COUNTIF(Settings!$D$4:$D$9,"&lt;="&amp;$H403))))</f>
        <v/>
      </c>
      <c r="K403" s="51">
        <f>IF($G403=0,0,IF(INDEX(Employees!$I$5:$I$29,$A403)="Per pay period",(N(INDEX(Employees!$J$5:$J$29,$A403))+$J403)/Settings!$B$13,IF(INDEX(Employees!$I$5:$I$29,$A403)="Per hour worked",N(INDEX(Employees!$K$5:$K$29,$A403))*$I403,IF(INDEX(Employees!$I$5:$I$29,$A403)="Front-loaded",IF(OR($B403=1,N($G402)=0),N(INDEX(Employees!$J$5:$J$29,$A403))+$J403,0),0))))</f>
        <v/>
      </c>
      <c r="L403" s="51">
        <f>IF($F403=0,0,SUMIFS('Time Off Log'!$H$5:$H$504,'Time Off Log'!$A$5:$A$504,$C403,'Time Off Log'!$B$5:$B$504,"PTO",'Time Off Log'!$E$5:$E$504,"Approved",'Time Off Log'!$C$5:$C$504,"&gt;="&amp;INDEX(Periods!$E$5:$E$57,$B403),'Time Off Log'!$C$5:$C$504,"&lt;="&amp;INDEX(Periods!$F$5:$F$57,$B403)))</f>
        <v/>
      </c>
      <c r="M403" s="51">
        <f>IF($B403=1,N(INDEX(Employees!$N$5:$N$29,$A403)),P402)</f>
        <v/>
      </c>
      <c r="N403" s="51">
        <f>IF(INDEX(Employees!$L$5:$L$29,$A403)="",K403,MAX(0,MIN(K403,INDEX(Employees!$L$5:$L$29,$A403)-(M403-L403))))</f>
        <v/>
      </c>
      <c r="O403" s="51">
        <f>K403-N403</f>
        <v/>
      </c>
      <c r="P403" s="51">
        <f>M403-L403+N403</f>
        <v/>
      </c>
      <c r="Q403" s="51">
        <f>IF($G403=0,0,IF(INDEX(Employees!$P$5:$P$29,$A403)="Per pay period",(N(INDEX(Employees!$Q$5:$Q$29,$A403)))/Settings!$B$13,IF(INDEX(Employees!$P$5:$P$29,$A403)="Per hour worked",N(INDEX(Employees!$R$5:$R$29,$A403))*$I403,IF(INDEX(Employees!$P$5:$P$29,$A403)="Front-loaded",IF(OR($B403=1,N($G402)=0),N(INDEX(Employees!$Q$5:$Q$29,$A403)),0),0))))</f>
        <v/>
      </c>
      <c r="R403" s="51">
        <f>IF($F403=0,0,SUMIFS('Time Off Log'!$H$5:$H$504,'Time Off Log'!$A$5:$A$504,$C403,'Time Off Log'!$B$5:$B$504,"Sick",'Time Off Log'!$E$5:$E$504,"Approved",'Time Off Log'!$C$5:$C$504,"&gt;="&amp;INDEX(Periods!$E$5:$E$57,$B403),'Time Off Log'!$C$5:$C$504,"&lt;="&amp;INDEX(Periods!$F$5:$F$57,$B403)))</f>
        <v/>
      </c>
      <c r="S403" s="51">
        <f>IF($B403=1,N(INDEX(Employees!$T$5:$T$29,$A403)),V402)</f>
        <v/>
      </c>
      <c r="T403" s="51">
        <f>IF(INDEX(Employees!$S$5:$S$29,$A403)="",Q403,MAX(0,MIN(Q403,INDEX(Employees!$S$5:$S$29,$A403)-(S403-R403))))</f>
        <v/>
      </c>
      <c r="U403" s="51">
        <f>Q403-T403</f>
        <v/>
      </c>
      <c r="V403" s="51">
        <f>S403-R403+T403</f>
        <v/>
      </c>
    </row>
    <row r="404">
      <c r="A404" s="50" t="n">
        <v>8</v>
      </c>
      <c r="B404" s="50" t="n">
        <v>29</v>
      </c>
      <c r="C404" s="51">
        <f>INDEX(Employees!$B$5:$B$29,$A404)&amp;""</f>
        <v/>
      </c>
      <c r="D404" s="52">
        <f>INDEX(Periods!$B$5:$B$57,$B404)</f>
        <v/>
      </c>
      <c r="E404" s="52">
        <f>INDEX(Periods!$C$5:$C$57,$B404)</f>
        <v/>
      </c>
      <c r="F404" s="50">
        <f>IF(AND($C404&lt;&gt;"",INDEX(Periods!$D$5:$D$57,$B404)=1),1,0)</f>
        <v/>
      </c>
      <c r="G404" s="50">
        <f>IF($F404=0,0,IF(AND(OR(INDEX(Employees!$D$5:$D$29,$A404)="",$E404&gt;=INDEX(Employees!$D$5:$D$29,$A404)+N(INDEX(Employees!$U$5:$U$29,$A404))),OR(INDEX(Employees!$E$5:$E$29,$A404)="",$D404&lt;=INDEX(Employees!$E$5:$E$29,$A404))),1,0))</f>
        <v/>
      </c>
      <c r="H404" s="50">
        <f>IF($G404=0,0,IF(INDEX(Employees!$D$5:$D$29,$A404)="",0,DATEDIF(INDEX(Employees!$D$5:$D$29,$A404),$E404,"y")))</f>
        <v/>
      </c>
      <c r="I404" s="51">
        <f>IF($G404=0,0,IF(INDEX('Hours Worked'!$D$5:$BD$29,$A404,$B404)="",N(INDEX(Employees!$H$5:$H$29,$A404)),INDEX('Hours Worked'!$D$5:$BD$29,$A404,$B404)))</f>
        <v/>
      </c>
      <c r="J404" s="51">
        <f>IF(OR($G404=0,INDEX(Employees!$O$5:$O$29,$A404)&lt;&gt;"Yes"),0,IF(COUNTIF(Settings!$D$4:$D$9,"&lt;="&amp;$H404)=0,0,INDEX(Settings!$E$4:$E$9,COUNTIF(Settings!$D$4:$D$9,"&lt;="&amp;$H404))))</f>
        <v/>
      </c>
      <c r="K404" s="51">
        <f>IF($G404=0,0,IF(INDEX(Employees!$I$5:$I$29,$A404)="Per pay period",(N(INDEX(Employees!$J$5:$J$29,$A404))+$J404)/Settings!$B$13,IF(INDEX(Employees!$I$5:$I$29,$A404)="Per hour worked",N(INDEX(Employees!$K$5:$K$29,$A404))*$I404,IF(INDEX(Employees!$I$5:$I$29,$A404)="Front-loaded",IF(OR($B404=1,N($G403)=0),N(INDEX(Employees!$J$5:$J$29,$A404))+$J404,0),0))))</f>
        <v/>
      </c>
      <c r="L404" s="51">
        <f>IF($F404=0,0,SUMIFS('Time Off Log'!$H$5:$H$504,'Time Off Log'!$A$5:$A$504,$C404,'Time Off Log'!$B$5:$B$504,"PTO",'Time Off Log'!$E$5:$E$504,"Approved",'Time Off Log'!$C$5:$C$504,"&gt;="&amp;INDEX(Periods!$E$5:$E$57,$B404),'Time Off Log'!$C$5:$C$504,"&lt;="&amp;INDEX(Periods!$F$5:$F$57,$B404)))</f>
        <v/>
      </c>
      <c r="M404" s="51">
        <f>IF($B404=1,N(INDEX(Employees!$N$5:$N$29,$A404)),P403)</f>
        <v/>
      </c>
      <c r="N404" s="51">
        <f>IF(INDEX(Employees!$L$5:$L$29,$A404)="",K404,MAX(0,MIN(K404,INDEX(Employees!$L$5:$L$29,$A404)-(M404-L404))))</f>
        <v/>
      </c>
      <c r="O404" s="51">
        <f>K404-N404</f>
        <v/>
      </c>
      <c r="P404" s="51">
        <f>M404-L404+N404</f>
        <v/>
      </c>
      <c r="Q404" s="51">
        <f>IF($G404=0,0,IF(INDEX(Employees!$P$5:$P$29,$A404)="Per pay period",(N(INDEX(Employees!$Q$5:$Q$29,$A404)))/Settings!$B$13,IF(INDEX(Employees!$P$5:$P$29,$A404)="Per hour worked",N(INDEX(Employees!$R$5:$R$29,$A404))*$I404,IF(INDEX(Employees!$P$5:$P$29,$A404)="Front-loaded",IF(OR($B404=1,N($G403)=0),N(INDEX(Employees!$Q$5:$Q$29,$A404)),0),0))))</f>
        <v/>
      </c>
      <c r="R404" s="51">
        <f>IF($F404=0,0,SUMIFS('Time Off Log'!$H$5:$H$504,'Time Off Log'!$A$5:$A$504,$C404,'Time Off Log'!$B$5:$B$504,"Sick",'Time Off Log'!$E$5:$E$504,"Approved",'Time Off Log'!$C$5:$C$504,"&gt;="&amp;INDEX(Periods!$E$5:$E$57,$B404),'Time Off Log'!$C$5:$C$504,"&lt;="&amp;INDEX(Periods!$F$5:$F$57,$B404)))</f>
        <v/>
      </c>
      <c r="S404" s="51">
        <f>IF($B404=1,N(INDEX(Employees!$T$5:$T$29,$A404)),V403)</f>
        <v/>
      </c>
      <c r="T404" s="51">
        <f>IF(INDEX(Employees!$S$5:$S$29,$A404)="",Q404,MAX(0,MIN(Q404,INDEX(Employees!$S$5:$S$29,$A404)-(S404-R404))))</f>
        <v/>
      </c>
      <c r="U404" s="51">
        <f>Q404-T404</f>
        <v/>
      </c>
      <c r="V404" s="51">
        <f>S404-R404+T404</f>
        <v/>
      </c>
    </row>
    <row r="405">
      <c r="A405" s="50" t="n">
        <v>8</v>
      </c>
      <c r="B405" s="50" t="n">
        <v>30</v>
      </c>
      <c r="C405" s="51">
        <f>INDEX(Employees!$B$5:$B$29,$A405)&amp;""</f>
        <v/>
      </c>
      <c r="D405" s="52">
        <f>INDEX(Periods!$B$5:$B$57,$B405)</f>
        <v/>
      </c>
      <c r="E405" s="52">
        <f>INDEX(Periods!$C$5:$C$57,$B405)</f>
        <v/>
      </c>
      <c r="F405" s="50">
        <f>IF(AND($C405&lt;&gt;"",INDEX(Periods!$D$5:$D$57,$B405)=1),1,0)</f>
        <v/>
      </c>
      <c r="G405" s="50">
        <f>IF($F405=0,0,IF(AND(OR(INDEX(Employees!$D$5:$D$29,$A405)="",$E405&gt;=INDEX(Employees!$D$5:$D$29,$A405)+N(INDEX(Employees!$U$5:$U$29,$A405))),OR(INDEX(Employees!$E$5:$E$29,$A405)="",$D405&lt;=INDEX(Employees!$E$5:$E$29,$A405))),1,0))</f>
        <v/>
      </c>
      <c r="H405" s="50">
        <f>IF($G405=0,0,IF(INDEX(Employees!$D$5:$D$29,$A405)="",0,DATEDIF(INDEX(Employees!$D$5:$D$29,$A405),$E405,"y")))</f>
        <v/>
      </c>
      <c r="I405" s="51">
        <f>IF($G405=0,0,IF(INDEX('Hours Worked'!$D$5:$BD$29,$A405,$B405)="",N(INDEX(Employees!$H$5:$H$29,$A405)),INDEX('Hours Worked'!$D$5:$BD$29,$A405,$B405)))</f>
        <v/>
      </c>
      <c r="J405" s="51">
        <f>IF(OR($G405=0,INDEX(Employees!$O$5:$O$29,$A405)&lt;&gt;"Yes"),0,IF(COUNTIF(Settings!$D$4:$D$9,"&lt;="&amp;$H405)=0,0,INDEX(Settings!$E$4:$E$9,COUNTIF(Settings!$D$4:$D$9,"&lt;="&amp;$H405))))</f>
        <v/>
      </c>
      <c r="K405" s="51">
        <f>IF($G405=0,0,IF(INDEX(Employees!$I$5:$I$29,$A405)="Per pay period",(N(INDEX(Employees!$J$5:$J$29,$A405))+$J405)/Settings!$B$13,IF(INDEX(Employees!$I$5:$I$29,$A405)="Per hour worked",N(INDEX(Employees!$K$5:$K$29,$A405))*$I405,IF(INDEX(Employees!$I$5:$I$29,$A405)="Front-loaded",IF(OR($B405=1,N($G404)=0),N(INDEX(Employees!$J$5:$J$29,$A405))+$J405,0),0))))</f>
        <v/>
      </c>
      <c r="L405" s="51">
        <f>IF($F405=0,0,SUMIFS('Time Off Log'!$H$5:$H$504,'Time Off Log'!$A$5:$A$504,$C405,'Time Off Log'!$B$5:$B$504,"PTO",'Time Off Log'!$E$5:$E$504,"Approved",'Time Off Log'!$C$5:$C$504,"&gt;="&amp;INDEX(Periods!$E$5:$E$57,$B405),'Time Off Log'!$C$5:$C$504,"&lt;="&amp;INDEX(Periods!$F$5:$F$57,$B405)))</f>
        <v/>
      </c>
      <c r="M405" s="51">
        <f>IF($B405=1,N(INDEX(Employees!$N$5:$N$29,$A405)),P404)</f>
        <v/>
      </c>
      <c r="N405" s="51">
        <f>IF(INDEX(Employees!$L$5:$L$29,$A405)="",K405,MAX(0,MIN(K405,INDEX(Employees!$L$5:$L$29,$A405)-(M405-L405))))</f>
        <v/>
      </c>
      <c r="O405" s="51">
        <f>K405-N405</f>
        <v/>
      </c>
      <c r="P405" s="51">
        <f>M405-L405+N405</f>
        <v/>
      </c>
      <c r="Q405" s="51">
        <f>IF($G405=0,0,IF(INDEX(Employees!$P$5:$P$29,$A405)="Per pay period",(N(INDEX(Employees!$Q$5:$Q$29,$A405)))/Settings!$B$13,IF(INDEX(Employees!$P$5:$P$29,$A405)="Per hour worked",N(INDEX(Employees!$R$5:$R$29,$A405))*$I405,IF(INDEX(Employees!$P$5:$P$29,$A405)="Front-loaded",IF(OR($B405=1,N($G404)=0),N(INDEX(Employees!$Q$5:$Q$29,$A405)),0),0))))</f>
        <v/>
      </c>
      <c r="R405" s="51">
        <f>IF($F405=0,0,SUMIFS('Time Off Log'!$H$5:$H$504,'Time Off Log'!$A$5:$A$504,$C405,'Time Off Log'!$B$5:$B$504,"Sick",'Time Off Log'!$E$5:$E$504,"Approved",'Time Off Log'!$C$5:$C$504,"&gt;="&amp;INDEX(Periods!$E$5:$E$57,$B405),'Time Off Log'!$C$5:$C$504,"&lt;="&amp;INDEX(Periods!$F$5:$F$57,$B405)))</f>
        <v/>
      </c>
      <c r="S405" s="51">
        <f>IF($B405=1,N(INDEX(Employees!$T$5:$T$29,$A405)),V404)</f>
        <v/>
      </c>
      <c r="T405" s="51">
        <f>IF(INDEX(Employees!$S$5:$S$29,$A405)="",Q405,MAX(0,MIN(Q405,INDEX(Employees!$S$5:$S$29,$A405)-(S405-R405))))</f>
        <v/>
      </c>
      <c r="U405" s="51">
        <f>Q405-T405</f>
        <v/>
      </c>
      <c r="V405" s="51">
        <f>S405-R405+T405</f>
        <v/>
      </c>
    </row>
    <row r="406">
      <c r="A406" s="50" t="n">
        <v>8</v>
      </c>
      <c r="B406" s="50" t="n">
        <v>31</v>
      </c>
      <c r="C406" s="51">
        <f>INDEX(Employees!$B$5:$B$29,$A406)&amp;""</f>
        <v/>
      </c>
      <c r="D406" s="52">
        <f>INDEX(Periods!$B$5:$B$57,$B406)</f>
        <v/>
      </c>
      <c r="E406" s="52">
        <f>INDEX(Periods!$C$5:$C$57,$B406)</f>
        <v/>
      </c>
      <c r="F406" s="50">
        <f>IF(AND($C406&lt;&gt;"",INDEX(Periods!$D$5:$D$57,$B406)=1),1,0)</f>
        <v/>
      </c>
      <c r="G406" s="50">
        <f>IF($F406=0,0,IF(AND(OR(INDEX(Employees!$D$5:$D$29,$A406)="",$E406&gt;=INDEX(Employees!$D$5:$D$29,$A406)+N(INDEX(Employees!$U$5:$U$29,$A406))),OR(INDEX(Employees!$E$5:$E$29,$A406)="",$D406&lt;=INDEX(Employees!$E$5:$E$29,$A406))),1,0))</f>
        <v/>
      </c>
      <c r="H406" s="50">
        <f>IF($G406=0,0,IF(INDEX(Employees!$D$5:$D$29,$A406)="",0,DATEDIF(INDEX(Employees!$D$5:$D$29,$A406),$E406,"y")))</f>
        <v/>
      </c>
      <c r="I406" s="51">
        <f>IF($G406=0,0,IF(INDEX('Hours Worked'!$D$5:$BD$29,$A406,$B406)="",N(INDEX(Employees!$H$5:$H$29,$A406)),INDEX('Hours Worked'!$D$5:$BD$29,$A406,$B406)))</f>
        <v/>
      </c>
      <c r="J406" s="51">
        <f>IF(OR($G406=0,INDEX(Employees!$O$5:$O$29,$A406)&lt;&gt;"Yes"),0,IF(COUNTIF(Settings!$D$4:$D$9,"&lt;="&amp;$H406)=0,0,INDEX(Settings!$E$4:$E$9,COUNTIF(Settings!$D$4:$D$9,"&lt;="&amp;$H406))))</f>
        <v/>
      </c>
      <c r="K406" s="51">
        <f>IF($G406=0,0,IF(INDEX(Employees!$I$5:$I$29,$A406)="Per pay period",(N(INDEX(Employees!$J$5:$J$29,$A406))+$J406)/Settings!$B$13,IF(INDEX(Employees!$I$5:$I$29,$A406)="Per hour worked",N(INDEX(Employees!$K$5:$K$29,$A406))*$I406,IF(INDEX(Employees!$I$5:$I$29,$A406)="Front-loaded",IF(OR($B406=1,N($G405)=0),N(INDEX(Employees!$J$5:$J$29,$A406))+$J406,0),0))))</f>
        <v/>
      </c>
      <c r="L406" s="51">
        <f>IF($F406=0,0,SUMIFS('Time Off Log'!$H$5:$H$504,'Time Off Log'!$A$5:$A$504,$C406,'Time Off Log'!$B$5:$B$504,"PTO",'Time Off Log'!$E$5:$E$504,"Approved",'Time Off Log'!$C$5:$C$504,"&gt;="&amp;INDEX(Periods!$E$5:$E$57,$B406),'Time Off Log'!$C$5:$C$504,"&lt;="&amp;INDEX(Periods!$F$5:$F$57,$B406)))</f>
        <v/>
      </c>
      <c r="M406" s="51">
        <f>IF($B406=1,N(INDEX(Employees!$N$5:$N$29,$A406)),P405)</f>
        <v/>
      </c>
      <c r="N406" s="51">
        <f>IF(INDEX(Employees!$L$5:$L$29,$A406)="",K406,MAX(0,MIN(K406,INDEX(Employees!$L$5:$L$29,$A406)-(M406-L406))))</f>
        <v/>
      </c>
      <c r="O406" s="51">
        <f>K406-N406</f>
        <v/>
      </c>
      <c r="P406" s="51">
        <f>M406-L406+N406</f>
        <v/>
      </c>
      <c r="Q406" s="51">
        <f>IF($G406=0,0,IF(INDEX(Employees!$P$5:$P$29,$A406)="Per pay period",(N(INDEX(Employees!$Q$5:$Q$29,$A406)))/Settings!$B$13,IF(INDEX(Employees!$P$5:$P$29,$A406)="Per hour worked",N(INDEX(Employees!$R$5:$R$29,$A406))*$I406,IF(INDEX(Employees!$P$5:$P$29,$A406)="Front-loaded",IF(OR($B406=1,N($G405)=0),N(INDEX(Employees!$Q$5:$Q$29,$A406)),0),0))))</f>
        <v/>
      </c>
      <c r="R406" s="51">
        <f>IF($F406=0,0,SUMIFS('Time Off Log'!$H$5:$H$504,'Time Off Log'!$A$5:$A$504,$C406,'Time Off Log'!$B$5:$B$504,"Sick",'Time Off Log'!$E$5:$E$504,"Approved",'Time Off Log'!$C$5:$C$504,"&gt;="&amp;INDEX(Periods!$E$5:$E$57,$B406),'Time Off Log'!$C$5:$C$504,"&lt;="&amp;INDEX(Periods!$F$5:$F$57,$B406)))</f>
        <v/>
      </c>
      <c r="S406" s="51">
        <f>IF($B406=1,N(INDEX(Employees!$T$5:$T$29,$A406)),V405)</f>
        <v/>
      </c>
      <c r="T406" s="51">
        <f>IF(INDEX(Employees!$S$5:$S$29,$A406)="",Q406,MAX(0,MIN(Q406,INDEX(Employees!$S$5:$S$29,$A406)-(S406-R406))))</f>
        <v/>
      </c>
      <c r="U406" s="51">
        <f>Q406-T406</f>
        <v/>
      </c>
      <c r="V406" s="51">
        <f>S406-R406+T406</f>
        <v/>
      </c>
    </row>
    <row r="407">
      <c r="A407" s="50" t="n">
        <v>8</v>
      </c>
      <c r="B407" s="50" t="n">
        <v>32</v>
      </c>
      <c r="C407" s="51">
        <f>INDEX(Employees!$B$5:$B$29,$A407)&amp;""</f>
        <v/>
      </c>
      <c r="D407" s="52">
        <f>INDEX(Periods!$B$5:$B$57,$B407)</f>
        <v/>
      </c>
      <c r="E407" s="52">
        <f>INDEX(Periods!$C$5:$C$57,$B407)</f>
        <v/>
      </c>
      <c r="F407" s="50">
        <f>IF(AND($C407&lt;&gt;"",INDEX(Periods!$D$5:$D$57,$B407)=1),1,0)</f>
        <v/>
      </c>
      <c r="G407" s="50">
        <f>IF($F407=0,0,IF(AND(OR(INDEX(Employees!$D$5:$D$29,$A407)="",$E407&gt;=INDEX(Employees!$D$5:$D$29,$A407)+N(INDEX(Employees!$U$5:$U$29,$A407))),OR(INDEX(Employees!$E$5:$E$29,$A407)="",$D407&lt;=INDEX(Employees!$E$5:$E$29,$A407))),1,0))</f>
        <v/>
      </c>
      <c r="H407" s="50">
        <f>IF($G407=0,0,IF(INDEX(Employees!$D$5:$D$29,$A407)="",0,DATEDIF(INDEX(Employees!$D$5:$D$29,$A407),$E407,"y")))</f>
        <v/>
      </c>
      <c r="I407" s="51">
        <f>IF($G407=0,0,IF(INDEX('Hours Worked'!$D$5:$BD$29,$A407,$B407)="",N(INDEX(Employees!$H$5:$H$29,$A407)),INDEX('Hours Worked'!$D$5:$BD$29,$A407,$B407)))</f>
        <v/>
      </c>
      <c r="J407" s="51">
        <f>IF(OR($G407=0,INDEX(Employees!$O$5:$O$29,$A407)&lt;&gt;"Yes"),0,IF(COUNTIF(Settings!$D$4:$D$9,"&lt;="&amp;$H407)=0,0,INDEX(Settings!$E$4:$E$9,COUNTIF(Settings!$D$4:$D$9,"&lt;="&amp;$H407))))</f>
        <v/>
      </c>
      <c r="K407" s="51">
        <f>IF($G407=0,0,IF(INDEX(Employees!$I$5:$I$29,$A407)="Per pay period",(N(INDEX(Employees!$J$5:$J$29,$A407))+$J407)/Settings!$B$13,IF(INDEX(Employees!$I$5:$I$29,$A407)="Per hour worked",N(INDEX(Employees!$K$5:$K$29,$A407))*$I407,IF(INDEX(Employees!$I$5:$I$29,$A407)="Front-loaded",IF(OR($B407=1,N($G406)=0),N(INDEX(Employees!$J$5:$J$29,$A407))+$J407,0),0))))</f>
        <v/>
      </c>
      <c r="L407" s="51">
        <f>IF($F407=0,0,SUMIFS('Time Off Log'!$H$5:$H$504,'Time Off Log'!$A$5:$A$504,$C407,'Time Off Log'!$B$5:$B$504,"PTO",'Time Off Log'!$E$5:$E$504,"Approved",'Time Off Log'!$C$5:$C$504,"&gt;="&amp;INDEX(Periods!$E$5:$E$57,$B407),'Time Off Log'!$C$5:$C$504,"&lt;="&amp;INDEX(Periods!$F$5:$F$57,$B407)))</f>
        <v/>
      </c>
      <c r="M407" s="51">
        <f>IF($B407=1,N(INDEX(Employees!$N$5:$N$29,$A407)),P406)</f>
        <v/>
      </c>
      <c r="N407" s="51">
        <f>IF(INDEX(Employees!$L$5:$L$29,$A407)="",K407,MAX(0,MIN(K407,INDEX(Employees!$L$5:$L$29,$A407)-(M407-L407))))</f>
        <v/>
      </c>
      <c r="O407" s="51">
        <f>K407-N407</f>
        <v/>
      </c>
      <c r="P407" s="51">
        <f>M407-L407+N407</f>
        <v/>
      </c>
      <c r="Q407" s="51">
        <f>IF($G407=0,0,IF(INDEX(Employees!$P$5:$P$29,$A407)="Per pay period",(N(INDEX(Employees!$Q$5:$Q$29,$A407)))/Settings!$B$13,IF(INDEX(Employees!$P$5:$P$29,$A407)="Per hour worked",N(INDEX(Employees!$R$5:$R$29,$A407))*$I407,IF(INDEX(Employees!$P$5:$P$29,$A407)="Front-loaded",IF(OR($B407=1,N($G406)=0),N(INDEX(Employees!$Q$5:$Q$29,$A407)),0),0))))</f>
        <v/>
      </c>
      <c r="R407" s="51">
        <f>IF($F407=0,0,SUMIFS('Time Off Log'!$H$5:$H$504,'Time Off Log'!$A$5:$A$504,$C407,'Time Off Log'!$B$5:$B$504,"Sick",'Time Off Log'!$E$5:$E$504,"Approved",'Time Off Log'!$C$5:$C$504,"&gt;="&amp;INDEX(Periods!$E$5:$E$57,$B407),'Time Off Log'!$C$5:$C$504,"&lt;="&amp;INDEX(Periods!$F$5:$F$57,$B407)))</f>
        <v/>
      </c>
      <c r="S407" s="51">
        <f>IF($B407=1,N(INDEX(Employees!$T$5:$T$29,$A407)),V406)</f>
        <v/>
      </c>
      <c r="T407" s="51">
        <f>IF(INDEX(Employees!$S$5:$S$29,$A407)="",Q407,MAX(0,MIN(Q407,INDEX(Employees!$S$5:$S$29,$A407)-(S407-R407))))</f>
        <v/>
      </c>
      <c r="U407" s="51">
        <f>Q407-T407</f>
        <v/>
      </c>
      <c r="V407" s="51">
        <f>S407-R407+T407</f>
        <v/>
      </c>
    </row>
    <row r="408">
      <c r="A408" s="50" t="n">
        <v>8</v>
      </c>
      <c r="B408" s="50" t="n">
        <v>33</v>
      </c>
      <c r="C408" s="51">
        <f>INDEX(Employees!$B$5:$B$29,$A408)&amp;""</f>
        <v/>
      </c>
      <c r="D408" s="52">
        <f>INDEX(Periods!$B$5:$B$57,$B408)</f>
        <v/>
      </c>
      <c r="E408" s="52">
        <f>INDEX(Periods!$C$5:$C$57,$B408)</f>
        <v/>
      </c>
      <c r="F408" s="50">
        <f>IF(AND($C408&lt;&gt;"",INDEX(Periods!$D$5:$D$57,$B408)=1),1,0)</f>
        <v/>
      </c>
      <c r="G408" s="50">
        <f>IF($F408=0,0,IF(AND(OR(INDEX(Employees!$D$5:$D$29,$A408)="",$E408&gt;=INDEX(Employees!$D$5:$D$29,$A408)+N(INDEX(Employees!$U$5:$U$29,$A408))),OR(INDEX(Employees!$E$5:$E$29,$A408)="",$D408&lt;=INDEX(Employees!$E$5:$E$29,$A408))),1,0))</f>
        <v/>
      </c>
      <c r="H408" s="50">
        <f>IF($G408=0,0,IF(INDEX(Employees!$D$5:$D$29,$A408)="",0,DATEDIF(INDEX(Employees!$D$5:$D$29,$A408),$E408,"y")))</f>
        <v/>
      </c>
      <c r="I408" s="51">
        <f>IF($G408=0,0,IF(INDEX('Hours Worked'!$D$5:$BD$29,$A408,$B408)="",N(INDEX(Employees!$H$5:$H$29,$A408)),INDEX('Hours Worked'!$D$5:$BD$29,$A408,$B408)))</f>
        <v/>
      </c>
      <c r="J408" s="51">
        <f>IF(OR($G408=0,INDEX(Employees!$O$5:$O$29,$A408)&lt;&gt;"Yes"),0,IF(COUNTIF(Settings!$D$4:$D$9,"&lt;="&amp;$H408)=0,0,INDEX(Settings!$E$4:$E$9,COUNTIF(Settings!$D$4:$D$9,"&lt;="&amp;$H408))))</f>
        <v/>
      </c>
      <c r="K408" s="51">
        <f>IF($G408=0,0,IF(INDEX(Employees!$I$5:$I$29,$A408)="Per pay period",(N(INDEX(Employees!$J$5:$J$29,$A408))+$J408)/Settings!$B$13,IF(INDEX(Employees!$I$5:$I$29,$A408)="Per hour worked",N(INDEX(Employees!$K$5:$K$29,$A408))*$I408,IF(INDEX(Employees!$I$5:$I$29,$A408)="Front-loaded",IF(OR($B408=1,N($G407)=0),N(INDEX(Employees!$J$5:$J$29,$A408))+$J408,0),0))))</f>
        <v/>
      </c>
      <c r="L408" s="51">
        <f>IF($F408=0,0,SUMIFS('Time Off Log'!$H$5:$H$504,'Time Off Log'!$A$5:$A$504,$C408,'Time Off Log'!$B$5:$B$504,"PTO",'Time Off Log'!$E$5:$E$504,"Approved",'Time Off Log'!$C$5:$C$504,"&gt;="&amp;INDEX(Periods!$E$5:$E$57,$B408),'Time Off Log'!$C$5:$C$504,"&lt;="&amp;INDEX(Periods!$F$5:$F$57,$B408)))</f>
        <v/>
      </c>
      <c r="M408" s="51">
        <f>IF($B408=1,N(INDEX(Employees!$N$5:$N$29,$A408)),P407)</f>
        <v/>
      </c>
      <c r="N408" s="51">
        <f>IF(INDEX(Employees!$L$5:$L$29,$A408)="",K408,MAX(0,MIN(K408,INDEX(Employees!$L$5:$L$29,$A408)-(M408-L408))))</f>
        <v/>
      </c>
      <c r="O408" s="51">
        <f>K408-N408</f>
        <v/>
      </c>
      <c r="P408" s="51">
        <f>M408-L408+N408</f>
        <v/>
      </c>
      <c r="Q408" s="51">
        <f>IF($G408=0,0,IF(INDEX(Employees!$P$5:$P$29,$A408)="Per pay period",(N(INDEX(Employees!$Q$5:$Q$29,$A408)))/Settings!$B$13,IF(INDEX(Employees!$P$5:$P$29,$A408)="Per hour worked",N(INDEX(Employees!$R$5:$R$29,$A408))*$I408,IF(INDEX(Employees!$P$5:$P$29,$A408)="Front-loaded",IF(OR($B408=1,N($G407)=0),N(INDEX(Employees!$Q$5:$Q$29,$A408)),0),0))))</f>
        <v/>
      </c>
      <c r="R408" s="51">
        <f>IF($F408=0,0,SUMIFS('Time Off Log'!$H$5:$H$504,'Time Off Log'!$A$5:$A$504,$C408,'Time Off Log'!$B$5:$B$504,"Sick",'Time Off Log'!$E$5:$E$504,"Approved",'Time Off Log'!$C$5:$C$504,"&gt;="&amp;INDEX(Periods!$E$5:$E$57,$B408),'Time Off Log'!$C$5:$C$504,"&lt;="&amp;INDEX(Periods!$F$5:$F$57,$B408)))</f>
        <v/>
      </c>
      <c r="S408" s="51">
        <f>IF($B408=1,N(INDEX(Employees!$T$5:$T$29,$A408)),V407)</f>
        <v/>
      </c>
      <c r="T408" s="51">
        <f>IF(INDEX(Employees!$S$5:$S$29,$A408)="",Q408,MAX(0,MIN(Q408,INDEX(Employees!$S$5:$S$29,$A408)-(S408-R408))))</f>
        <v/>
      </c>
      <c r="U408" s="51">
        <f>Q408-T408</f>
        <v/>
      </c>
      <c r="V408" s="51">
        <f>S408-R408+T408</f>
        <v/>
      </c>
    </row>
    <row r="409">
      <c r="A409" s="50" t="n">
        <v>8</v>
      </c>
      <c r="B409" s="50" t="n">
        <v>34</v>
      </c>
      <c r="C409" s="51">
        <f>INDEX(Employees!$B$5:$B$29,$A409)&amp;""</f>
        <v/>
      </c>
      <c r="D409" s="52">
        <f>INDEX(Periods!$B$5:$B$57,$B409)</f>
        <v/>
      </c>
      <c r="E409" s="52">
        <f>INDEX(Periods!$C$5:$C$57,$B409)</f>
        <v/>
      </c>
      <c r="F409" s="50">
        <f>IF(AND($C409&lt;&gt;"",INDEX(Periods!$D$5:$D$57,$B409)=1),1,0)</f>
        <v/>
      </c>
      <c r="G409" s="50">
        <f>IF($F409=0,0,IF(AND(OR(INDEX(Employees!$D$5:$D$29,$A409)="",$E409&gt;=INDEX(Employees!$D$5:$D$29,$A409)+N(INDEX(Employees!$U$5:$U$29,$A409))),OR(INDEX(Employees!$E$5:$E$29,$A409)="",$D409&lt;=INDEX(Employees!$E$5:$E$29,$A409))),1,0))</f>
        <v/>
      </c>
      <c r="H409" s="50">
        <f>IF($G409=0,0,IF(INDEX(Employees!$D$5:$D$29,$A409)="",0,DATEDIF(INDEX(Employees!$D$5:$D$29,$A409),$E409,"y")))</f>
        <v/>
      </c>
      <c r="I409" s="51">
        <f>IF($G409=0,0,IF(INDEX('Hours Worked'!$D$5:$BD$29,$A409,$B409)="",N(INDEX(Employees!$H$5:$H$29,$A409)),INDEX('Hours Worked'!$D$5:$BD$29,$A409,$B409)))</f>
        <v/>
      </c>
      <c r="J409" s="51">
        <f>IF(OR($G409=0,INDEX(Employees!$O$5:$O$29,$A409)&lt;&gt;"Yes"),0,IF(COUNTIF(Settings!$D$4:$D$9,"&lt;="&amp;$H409)=0,0,INDEX(Settings!$E$4:$E$9,COUNTIF(Settings!$D$4:$D$9,"&lt;="&amp;$H409))))</f>
        <v/>
      </c>
      <c r="K409" s="51">
        <f>IF($G409=0,0,IF(INDEX(Employees!$I$5:$I$29,$A409)="Per pay period",(N(INDEX(Employees!$J$5:$J$29,$A409))+$J409)/Settings!$B$13,IF(INDEX(Employees!$I$5:$I$29,$A409)="Per hour worked",N(INDEX(Employees!$K$5:$K$29,$A409))*$I409,IF(INDEX(Employees!$I$5:$I$29,$A409)="Front-loaded",IF(OR($B409=1,N($G408)=0),N(INDEX(Employees!$J$5:$J$29,$A409))+$J409,0),0))))</f>
        <v/>
      </c>
      <c r="L409" s="51">
        <f>IF($F409=0,0,SUMIFS('Time Off Log'!$H$5:$H$504,'Time Off Log'!$A$5:$A$504,$C409,'Time Off Log'!$B$5:$B$504,"PTO",'Time Off Log'!$E$5:$E$504,"Approved",'Time Off Log'!$C$5:$C$504,"&gt;="&amp;INDEX(Periods!$E$5:$E$57,$B409),'Time Off Log'!$C$5:$C$504,"&lt;="&amp;INDEX(Periods!$F$5:$F$57,$B409)))</f>
        <v/>
      </c>
      <c r="M409" s="51">
        <f>IF($B409=1,N(INDEX(Employees!$N$5:$N$29,$A409)),P408)</f>
        <v/>
      </c>
      <c r="N409" s="51">
        <f>IF(INDEX(Employees!$L$5:$L$29,$A409)="",K409,MAX(0,MIN(K409,INDEX(Employees!$L$5:$L$29,$A409)-(M409-L409))))</f>
        <v/>
      </c>
      <c r="O409" s="51">
        <f>K409-N409</f>
        <v/>
      </c>
      <c r="P409" s="51">
        <f>M409-L409+N409</f>
        <v/>
      </c>
      <c r="Q409" s="51">
        <f>IF($G409=0,0,IF(INDEX(Employees!$P$5:$P$29,$A409)="Per pay period",(N(INDEX(Employees!$Q$5:$Q$29,$A409)))/Settings!$B$13,IF(INDEX(Employees!$P$5:$P$29,$A409)="Per hour worked",N(INDEX(Employees!$R$5:$R$29,$A409))*$I409,IF(INDEX(Employees!$P$5:$P$29,$A409)="Front-loaded",IF(OR($B409=1,N($G408)=0),N(INDEX(Employees!$Q$5:$Q$29,$A409)),0),0))))</f>
        <v/>
      </c>
      <c r="R409" s="51">
        <f>IF($F409=0,0,SUMIFS('Time Off Log'!$H$5:$H$504,'Time Off Log'!$A$5:$A$504,$C409,'Time Off Log'!$B$5:$B$504,"Sick",'Time Off Log'!$E$5:$E$504,"Approved",'Time Off Log'!$C$5:$C$504,"&gt;="&amp;INDEX(Periods!$E$5:$E$57,$B409),'Time Off Log'!$C$5:$C$504,"&lt;="&amp;INDEX(Periods!$F$5:$F$57,$B409)))</f>
        <v/>
      </c>
      <c r="S409" s="51">
        <f>IF($B409=1,N(INDEX(Employees!$T$5:$T$29,$A409)),V408)</f>
        <v/>
      </c>
      <c r="T409" s="51">
        <f>IF(INDEX(Employees!$S$5:$S$29,$A409)="",Q409,MAX(0,MIN(Q409,INDEX(Employees!$S$5:$S$29,$A409)-(S409-R409))))</f>
        <v/>
      </c>
      <c r="U409" s="51">
        <f>Q409-T409</f>
        <v/>
      </c>
      <c r="V409" s="51">
        <f>S409-R409+T409</f>
        <v/>
      </c>
    </row>
    <row r="410">
      <c r="A410" s="50" t="n">
        <v>8</v>
      </c>
      <c r="B410" s="50" t="n">
        <v>35</v>
      </c>
      <c r="C410" s="51">
        <f>INDEX(Employees!$B$5:$B$29,$A410)&amp;""</f>
        <v/>
      </c>
      <c r="D410" s="52">
        <f>INDEX(Periods!$B$5:$B$57,$B410)</f>
        <v/>
      </c>
      <c r="E410" s="52">
        <f>INDEX(Periods!$C$5:$C$57,$B410)</f>
        <v/>
      </c>
      <c r="F410" s="50">
        <f>IF(AND($C410&lt;&gt;"",INDEX(Periods!$D$5:$D$57,$B410)=1),1,0)</f>
        <v/>
      </c>
      <c r="G410" s="50">
        <f>IF($F410=0,0,IF(AND(OR(INDEX(Employees!$D$5:$D$29,$A410)="",$E410&gt;=INDEX(Employees!$D$5:$D$29,$A410)+N(INDEX(Employees!$U$5:$U$29,$A410))),OR(INDEX(Employees!$E$5:$E$29,$A410)="",$D410&lt;=INDEX(Employees!$E$5:$E$29,$A410))),1,0))</f>
        <v/>
      </c>
      <c r="H410" s="50">
        <f>IF($G410=0,0,IF(INDEX(Employees!$D$5:$D$29,$A410)="",0,DATEDIF(INDEX(Employees!$D$5:$D$29,$A410),$E410,"y")))</f>
        <v/>
      </c>
      <c r="I410" s="51">
        <f>IF($G410=0,0,IF(INDEX('Hours Worked'!$D$5:$BD$29,$A410,$B410)="",N(INDEX(Employees!$H$5:$H$29,$A410)),INDEX('Hours Worked'!$D$5:$BD$29,$A410,$B410)))</f>
        <v/>
      </c>
      <c r="J410" s="51">
        <f>IF(OR($G410=0,INDEX(Employees!$O$5:$O$29,$A410)&lt;&gt;"Yes"),0,IF(COUNTIF(Settings!$D$4:$D$9,"&lt;="&amp;$H410)=0,0,INDEX(Settings!$E$4:$E$9,COUNTIF(Settings!$D$4:$D$9,"&lt;="&amp;$H410))))</f>
        <v/>
      </c>
      <c r="K410" s="51">
        <f>IF($G410=0,0,IF(INDEX(Employees!$I$5:$I$29,$A410)="Per pay period",(N(INDEX(Employees!$J$5:$J$29,$A410))+$J410)/Settings!$B$13,IF(INDEX(Employees!$I$5:$I$29,$A410)="Per hour worked",N(INDEX(Employees!$K$5:$K$29,$A410))*$I410,IF(INDEX(Employees!$I$5:$I$29,$A410)="Front-loaded",IF(OR($B410=1,N($G409)=0),N(INDEX(Employees!$J$5:$J$29,$A410))+$J410,0),0))))</f>
        <v/>
      </c>
      <c r="L410" s="51">
        <f>IF($F410=0,0,SUMIFS('Time Off Log'!$H$5:$H$504,'Time Off Log'!$A$5:$A$504,$C410,'Time Off Log'!$B$5:$B$504,"PTO",'Time Off Log'!$E$5:$E$504,"Approved",'Time Off Log'!$C$5:$C$504,"&gt;="&amp;INDEX(Periods!$E$5:$E$57,$B410),'Time Off Log'!$C$5:$C$504,"&lt;="&amp;INDEX(Periods!$F$5:$F$57,$B410)))</f>
        <v/>
      </c>
      <c r="M410" s="51">
        <f>IF($B410=1,N(INDEX(Employees!$N$5:$N$29,$A410)),P409)</f>
        <v/>
      </c>
      <c r="N410" s="51">
        <f>IF(INDEX(Employees!$L$5:$L$29,$A410)="",K410,MAX(0,MIN(K410,INDEX(Employees!$L$5:$L$29,$A410)-(M410-L410))))</f>
        <v/>
      </c>
      <c r="O410" s="51">
        <f>K410-N410</f>
        <v/>
      </c>
      <c r="P410" s="51">
        <f>M410-L410+N410</f>
        <v/>
      </c>
      <c r="Q410" s="51">
        <f>IF($G410=0,0,IF(INDEX(Employees!$P$5:$P$29,$A410)="Per pay period",(N(INDEX(Employees!$Q$5:$Q$29,$A410)))/Settings!$B$13,IF(INDEX(Employees!$P$5:$P$29,$A410)="Per hour worked",N(INDEX(Employees!$R$5:$R$29,$A410))*$I410,IF(INDEX(Employees!$P$5:$P$29,$A410)="Front-loaded",IF(OR($B410=1,N($G409)=0),N(INDEX(Employees!$Q$5:$Q$29,$A410)),0),0))))</f>
        <v/>
      </c>
      <c r="R410" s="51">
        <f>IF($F410=0,0,SUMIFS('Time Off Log'!$H$5:$H$504,'Time Off Log'!$A$5:$A$504,$C410,'Time Off Log'!$B$5:$B$504,"Sick",'Time Off Log'!$E$5:$E$504,"Approved",'Time Off Log'!$C$5:$C$504,"&gt;="&amp;INDEX(Periods!$E$5:$E$57,$B410),'Time Off Log'!$C$5:$C$504,"&lt;="&amp;INDEX(Periods!$F$5:$F$57,$B410)))</f>
        <v/>
      </c>
      <c r="S410" s="51">
        <f>IF($B410=1,N(INDEX(Employees!$T$5:$T$29,$A410)),V409)</f>
        <v/>
      </c>
      <c r="T410" s="51">
        <f>IF(INDEX(Employees!$S$5:$S$29,$A410)="",Q410,MAX(0,MIN(Q410,INDEX(Employees!$S$5:$S$29,$A410)-(S410-R410))))</f>
        <v/>
      </c>
      <c r="U410" s="51">
        <f>Q410-T410</f>
        <v/>
      </c>
      <c r="V410" s="51">
        <f>S410-R410+T410</f>
        <v/>
      </c>
    </row>
    <row r="411">
      <c r="A411" s="50" t="n">
        <v>8</v>
      </c>
      <c r="B411" s="50" t="n">
        <v>36</v>
      </c>
      <c r="C411" s="51">
        <f>INDEX(Employees!$B$5:$B$29,$A411)&amp;""</f>
        <v/>
      </c>
      <c r="D411" s="52">
        <f>INDEX(Periods!$B$5:$B$57,$B411)</f>
        <v/>
      </c>
      <c r="E411" s="52">
        <f>INDEX(Periods!$C$5:$C$57,$B411)</f>
        <v/>
      </c>
      <c r="F411" s="50">
        <f>IF(AND($C411&lt;&gt;"",INDEX(Periods!$D$5:$D$57,$B411)=1),1,0)</f>
        <v/>
      </c>
      <c r="G411" s="50">
        <f>IF($F411=0,0,IF(AND(OR(INDEX(Employees!$D$5:$D$29,$A411)="",$E411&gt;=INDEX(Employees!$D$5:$D$29,$A411)+N(INDEX(Employees!$U$5:$U$29,$A411))),OR(INDEX(Employees!$E$5:$E$29,$A411)="",$D411&lt;=INDEX(Employees!$E$5:$E$29,$A411))),1,0))</f>
        <v/>
      </c>
      <c r="H411" s="50">
        <f>IF($G411=0,0,IF(INDEX(Employees!$D$5:$D$29,$A411)="",0,DATEDIF(INDEX(Employees!$D$5:$D$29,$A411),$E411,"y")))</f>
        <v/>
      </c>
      <c r="I411" s="51">
        <f>IF($G411=0,0,IF(INDEX('Hours Worked'!$D$5:$BD$29,$A411,$B411)="",N(INDEX(Employees!$H$5:$H$29,$A411)),INDEX('Hours Worked'!$D$5:$BD$29,$A411,$B411)))</f>
        <v/>
      </c>
      <c r="J411" s="51">
        <f>IF(OR($G411=0,INDEX(Employees!$O$5:$O$29,$A411)&lt;&gt;"Yes"),0,IF(COUNTIF(Settings!$D$4:$D$9,"&lt;="&amp;$H411)=0,0,INDEX(Settings!$E$4:$E$9,COUNTIF(Settings!$D$4:$D$9,"&lt;="&amp;$H411))))</f>
        <v/>
      </c>
      <c r="K411" s="51">
        <f>IF($G411=0,0,IF(INDEX(Employees!$I$5:$I$29,$A411)="Per pay period",(N(INDEX(Employees!$J$5:$J$29,$A411))+$J411)/Settings!$B$13,IF(INDEX(Employees!$I$5:$I$29,$A411)="Per hour worked",N(INDEX(Employees!$K$5:$K$29,$A411))*$I411,IF(INDEX(Employees!$I$5:$I$29,$A411)="Front-loaded",IF(OR($B411=1,N($G410)=0),N(INDEX(Employees!$J$5:$J$29,$A411))+$J411,0),0))))</f>
        <v/>
      </c>
      <c r="L411" s="51">
        <f>IF($F411=0,0,SUMIFS('Time Off Log'!$H$5:$H$504,'Time Off Log'!$A$5:$A$504,$C411,'Time Off Log'!$B$5:$B$504,"PTO",'Time Off Log'!$E$5:$E$504,"Approved",'Time Off Log'!$C$5:$C$504,"&gt;="&amp;INDEX(Periods!$E$5:$E$57,$B411),'Time Off Log'!$C$5:$C$504,"&lt;="&amp;INDEX(Periods!$F$5:$F$57,$B411)))</f>
        <v/>
      </c>
      <c r="M411" s="51">
        <f>IF($B411=1,N(INDEX(Employees!$N$5:$N$29,$A411)),P410)</f>
        <v/>
      </c>
      <c r="N411" s="51">
        <f>IF(INDEX(Employees!$L$5:$L$29,$A411)="",K411,MAX(0,MIN(K411,INDEX(Employees!$L$5:$L$29,$A411)-(M411-L411))))</f>
        <v/>
      </c>
      <c r="O411" s="51">
        <f>K411-N411</f>
        <v/>
      </c>
      <c r="P411" s="51">
        <f>M411-L411+N411</f>
        <v/>
      </c>
      <c r="Q411" s="51">
        <f>IF($G411=0,0,IF(INDEX(Employees!$P$5:$P$29,$A411)="Per pay period",(N(INDEX(Employees!$Q$5:$Q$29,$A411)))/Settings!$B$13,IF(INDEX(Employees!$P$5:$P$29,$A411)="Per hour worked",N(INDEX(Employees!$R$5:$R$29,$A411))*$I411,IF(INDEX(Employees!$P$5:$P$29,$A411)="Front-loaded",IF(OR($B411=1,N($G410)=0),N(INDEX(Employees!$Q$5:$Q$29,$A411)),0),0))))</f>
        <v/>
      </c>
      <c r="R411" s="51">
        <f>IF($F411=0,0,SUMIFS('Time Off Log'!$H$5:$H$504,'Time Off Log'!$A$5:$A$504,$C411,'Time Off Log'!$B$5:$B$504,"Sick",'Time Off Log'!$E$5:$E$504,"Approved",'Time Off Log'!$C$5:$C$504,"&gt;="&amp;INDEX(Periods!$E$5:$E$57,$B411),'Time Off Log'!$C$5:$C$504,"&lt;="&amp;INDEX(Periods!$F$5:$F$57,$B411)))</f>
        <v/>
      </c>
      <c r="S411" s="51">
        <f>IF($B411=1,N(INDEX(Employees!$T$5:$T$29,$A411)),V410)</f>
        <v/>
      </c>
      <c r="T411" s="51">
        <f>IF(INDEX(Employees!$S$5:$S$29,$A411)="",Q411,MAX(0,MIN(Q411,INDEX(Employees!$S$5:$S$29,$A411)-(S411-R411))))</f>
        <v/>
      </c>
      <c r="U411" s="51">
        <f>Q411-T411</f>
        <v/>
      </c>
      <c r="V411" s="51">
        <f>S411-R411+T411</f>
        <v/>
      </c>
    </row>
    <row r="412">
      <c r="A412" s="50" t="n">
        <v>8</v>
      </c>
      <c r="B412" s="50" t="n">
        <v>37</v>
      </c>
      <c r="C412" s="51">
        <f>INDEX(Employees!$B$5:$B$29,$A412)&amp;""</f>
        <v/>
      </c>
      <c r="D412" s="52">
        <f>INDEX(Periods!$B$5:$B$57,$B412)</f>
        <v/>
      </c>
      <c r="E412" s="52">
        <f>INDEX(Periods!$C$5:$C$57,$B412)</f>
        <v/>
      </c>
      <c r="F412" s="50">
        <f>IF(AND($C412&lt;&gt;"",INDEX(Periods!$D$5:$D$57,$B412)=1),1,0)</f>
        <v/>
      </c>
      <c r="G412" s="50">
        <f>IF($F412=0,0,IF(AND(OR(INDEX(Employees!$D$5:$D$29,$A412)="",$E412&gt;=INDEX(Employees!$D$5:$D$29,$A412)+N(INDEX(Employees!$U$5:$U$29,$A412))),OR(INDEX(Employees!$E$5:$E$29,$A412)="",$D412&lt;=INDEX(Employees!$E$5:$E$29,$A412))),1,0))</f>
        <v/>
      </c>
      <c r="H412" s="50">
        <f>IF($G412=0,0,IF(INDEX(Employees!$D$5:$D$29,$A412)="",0,DATEDIF(INDEX(Employees!$D$5:$D$29,$A412),$E412,"y")))</f>
        <v/>
      </c>
      <c r="I412" s="51">
        <f>IF($G412=0,0,IF(INDEX('Hours Worked'!$D$5:$BD$29,$A412,$B412)="",N(INDEX(Employees!$H$5:$H$29,$A412)),INDEX('Hours Worked'!$D$5:$BD$29,$A412,$B412)))</f>
        <v/>
      </c>
      <c r="J412" s="51">
        <f>IF(OR($G412=0,INDEX(Employees!$O$5:$O$29,$A412)&lt;&gt;"Yes"),0,IF(COUNTIF(Settings!$D$4:$D$9,"&lt;="&amp;$H412)=0,0,INDEX(Settings!$E$4:$E$9,COUNTIF(Settings!$D$4:$D$9,"&lt;="&amp;$H412))))</f>
        <v/>
      </c>
      <c r="K412" s="51">
        <f>IF($G412=0,0,IF(INDEX(Employees!$I$5:$I$29,$A412)="Per pay period",(N(INDEX(Employees!$J$5:$J$29,$A412))+$J412)/Settings!$B$13,IF(INDEX(Employees!$I$5:$I$29,$A412)="Per hour worked",N(INDEX(Employees!$K$5:$K$29,$A412))*$I412,IF(INDEX(Employees!$I$5:$I$29,$A412)="Front-loaded",IF(OR($B412=1,N($G411)=0),N(INDEX(Employees!$J$5:$J$29,$A412))+$J412,0),0))))</f>
        <v/>
      </c>
      <c r="L412" s="51">
        <f>IF($F412=0,0,SUMIFS('Time Off Log'!$H$5:$H$504,'Time Off Log'!$A$5:$A$504,$C412,'Time Off Log'!$B$5:$B$504,"PTO",'Time Off Log'!$E$5:$E$504,"Approved",'Time Off Log'!$C$5:$C$504,"&gt;="&amp;INDEX(Periods!$E$5:$E$57,$B412),'Time Off Log'!$C$5:$C$504,"&lt;="&amp;INDEX(Periods!$F$5:$F$57,$B412)))</f>
        <v/>
      </c>
      <c r="M412" s="51">
        <f>IF($B412=1,N(INDEX(Employees!$N$5:$N$29,$A412)),P411)</f>
        <v/>
      </c>
      <c r="N412" s="51">
        <f>IF(INDEX(Employees!$L$5:$L$29,$A412)="",K412,MAX(0,MIN(K412,INDEX(Employees!$L$5:$L$29,$A412)-(M412-L412))))</f>
        <v/>
      </c>
      <c r="O412" s="51">
        <f>K412-N412</f>
        <v/>
      </c>
      <c r="P412" s="51">
        <f>M412-L412+N412</f>
        <v/>
      </c>
      <c r="Q412" s="51">
        <f>IF($G412=0,0,IF(INDEX(Employees!$P$5:$P$29,$A412)="Per pay period",(N(INDEX(Employees!$Q$5:$Q$29,$A412)))/Settings!$B$13,IF(INDEX(Employees!$P$5:$P$29,$A412)="Per hour worked",N(INDEX(Employees!$R$5:$R$29,$A412))*$I412,IF(INDEX(Employees!$P$5:$P$29,$A412)="Front-loaded",IF(OR($B412=1,N($G411)=0),N(INDEX(Employees!$Q$5:$Q$29,$A412)),0),0))))</f>
        <v/>
      </c>
      <c r="R412" s="51">
        <f>IF($F412=0,0,SUMIFS('Time Off Log'!$H$5:$H$504,'Time Off Log'!$A$5:$A$504,$C412,'Time Off Log'!$B$5:$B$504,"Sick",'Time Off Log'!$E$5:$E$504,"Approved",'Time Off Log'!$C$5:$C$504,"&gt;="&amp;INDEX(Periods!$E$5:$E$57,$B412),'Time Off Log'!$C$5:$C$504,"&lt;="&amp;INDEX(Periods!$F$5:$F$57,$B412)))</f>
        <v/>
      </c>
      <c r="S412" s="51">
        <f>IF($B412=1,N(INDEX(Employees!$T$5:$T$29,$A412)),V411)</f>
        <v/>
      </c>
      <c r="T412" s="51">
        <f>IF(INDEX(Employees!$S$5:$S$29,$A412)="",Q412,MAX(0,MIN(Q412,INDEX(Employees!$S$5:$S$29,$A412)-(S412-R412))))</f>
        <v/>
      </c>
      <c r="U412" s="51">
        <f>Q412-T412</f>
        <v/>
      </c>
      <c r="V412" s="51">
        <f>S412-R412+T412</f>
        <v/>
      </c>
    </row>
    <row r="413">
      <c r="A413" s="50" t="n">
        <v>8</v>
      </c>
      <c r="B413" s="50" t="n">
        <v>38</v>
      </c>
      <c r="C413" s="51">
        <f>INDEX(Employees!$B$5:$B$29,$A413)&amp;""</f>
        <v/>
      </c>
      <c r="D413" s="52">
        <f>INDEX(Periods!$B$5:$B$57,$B413)</f>
        <v/>
      </c>
      <c r="E413" s="52">
        <f>INDEX(Periods!$C$5:$C$57,$B413)</f>
        <v/>
      </c>
      <c r="F413" s="50">
        <f>IF(AND($C413&lt;&gt;"",INDEX(Periods!$D$5:$D$57,$B413)=1),1,0)</f>
        <v/>
      </c>
      <c r="G413" s="50">
        <f>IF($F413=0,0,IF(AND(OR(INDEX(Employees!$D$5:$D$29,$A413)="",$E413&gt;=INDEX(Employees!$D$5:$D$29,$A413)+N(INDEX(Employees!$U$5:$U$29,$A413))),OR(INDEX(Employees!$E$5:$E$29,$A413)="",$D413&lt;=INDEX(Employees!$E$5:$E$29,$A413))),1,0))</f>
        <v/>
      </c>
      <c r="H413" s="50">
        <f>IF($G413=0,0,IF(INDEX(Employees!$D$5:$D$29,$A413)="",0,DATEDIF(INDEX(Employees!$D$5:$D$29,$A413),$E413,"y")))</f>
        <v/>
      </c>
      <c r="I413" s="51">
        <f>IF($G413=0,0,IF(INDEX('Hours Worked'!$D$5:$BD$29,$A413,$B413)="",N(INDEX(Employees!$H$5:$H$29,$A413)),INDEX('Hours Worked'!$D$5:$BD$29,$A413,$B413)))</f>
        <v/>
      </c>
      <c r="J413" s="51">
        <f>IF(OR($G413=0,INDEX(Employees!$O$5:$O$29,$A413)&lt;&gt;"Yes"),0,IF(COUNTIF(Settings!$D$4:$D$9,"&lt;="&amp;$H413)=0,0,INDEX(Settings!$E$4:$E$9,COUNTIF(Settings!$D$4:$D$9,"&lt;="&amp;$H413))))</f>
        <v/>
      </c>
      <c r="K413" s="51">
        <f>IF($G413=0,0,IF(INDEX(Employees!$I$5:$I$29,$A413)="Per pay period",(N(INDEX(Employees!$J$5:$J$29,$A413))+$J413)/Settings!$B$13,IF(INDEX(Employees!$I$5:$I$29,$A413)="Per hour worked",N(INDEX(Employees!$K$5:$K$29,$A413))*$I413,IF(INDEX(Employees!$I$5:$I$29,$A413)="Front-loaded",IF(OR($B413=1,N($G412)=0),N(INDEX(Employees!$J$5:$J$29,$A413))+$J413,0),0))))</f>
        <v/>
      </c>
      <c r="L413" s="51">
        <f>IF($F413=0,0,SUMIFS('Time Off Log'!$H$5:$H$504,'Time Off Log'!$A$5:$A$504,$C413,'Time Off Log'!$B$5:$B$504,"PTO",'Time Off Log'!$E$5:$E$504,"Approved",'Time Off Log'!$C$5:$C$504,"&gt;="&amp;INDEX(Periods!$E$5:$E$57,$B413),'Time Off Log'!$C$5:$C$504,"&lt;="&amp;INDEX(Periods!$F$5:$F$57,$B413)))</f>
        <v/>
      </c>
      <c r="M413" s="51">
        <f>IF($B413=1,N(INDEX(Employees!$N$5:$N$29,$A413)),P412)</f>
        <v/>
      </c>
      <c r="N413" s="51">
        <f>IF(INDEX(Employees!$L$5:$L$29,$A413)="",K413,MAX(0,MIN(K413,INDEX(Employees!$L$5:$L$29,$A413)-(M413-L413))))</f>
        <v/>
      </c>
      <c r="O413" s="51">
        <f>K413-N413</f>
        <v/>
      </c>
      <c r="P413" s="51">
        <f>M413-L413+N413</f>
        <v/>
      </c>
      <c r="Q413" s="51">
        <f>IF($G413=0,0,IF(INDEX(Employees!$P$5:$P$29,$A413)="Per pay period",(N(INDEX(Employees!$Q$5:$Q$29,$A413)))/Settings!$B$13,IF(INDEX(Employees!$P$5:$P$29,$A413)="Per hour worked",N(INDEX(Employees!$R$5:$R$29,$A413))*$I413,IF(INDEX(Employees!$P$5:$P$29,$A413)="Front-loaded",IF(OR($B413=1,N($G412)=0),N(INDEX(Employees!$Q$5:$Q$29,$A413)),0),0))))</f>
        <v/>
      </c>
      <c r="R413" s="51">
        <f>IF($F413=0,0,SUMIFS('Time Off Log'!$H$5:$H$504,'Time Off Log'!$A$5:$A$504,$C413,'Time Off Log'!$B$5:$B$504,"Sick",'Time Off Log'!$E$5:$E$504,"Approved",'Time Off Log'!$C$5:$C$504,"&gt;="&amp;INDEX(Periods!$E$5:$E$57,$B413),'Time Off Log'!$C$5:$C$504,"&lt;="&amp;INDEX(Periods!$F$5:$F$57,$B413)))</f>
        <v/>
      </c>
      <c r="S413" s="51">
        <f>IF($B413=1,N(INDEX(Employees!$T$5:$T$29,$A413)),V412)</f>
        <v/>
      </c>
      <c r="T413" s="51">
        <f>IF(INDEX(Employees!$S$5:$S$29,$A413)="",Q413,MAX(0,MIN(Q413,INDEX(Employees!$S$5:$S$29,$A413)-(S413-R413))))</f>
        <v/>
      </c>
      <c r="U413" s="51">
        <f>Q413-T413</f>
        <v/>
      </c>
      <c r="V413" s="51">
        <f>S413-R413+T413</f>
        <v/>
      </c>
    </row>
    <row r="414">
      <c r="A414" s="50" t="n">
        <v>8</v>
      </c>
      <c r="B414" s="50" t="n">
        <v>39</v>
      </c>
      <c r="C414" s="51">
        <f>INDEX(Employees!$B$5:$B$29,$A414)&amp;""</f>
        <v/>
      </c>
      <c r="D414" s="52">
        <f>INDEX(Periods!$B$5:$B$57,$B414)</f>
        <v/>
      </c>
      <c r="E414" s="52">
        <f>INDEX(Periods!$C$5:$C$57,$B414)</f>
        <v/>
      </c>
      <c r="F414" s="50">
        <f>IF(AND($C414&lt;&gt;"",INDEX(Periods!$D$5:$D$57,$B414)=1),1,0)</f>
        <v/>
      </c>
      <c r="G414" s="50">
        <f>IF($F414=0,0,IF(AND(OR(INDEX(Employees!$D$5:$D$29,$A414)="",$E414&gt;=INDEX(Employees!$D$5:$D$29,$A414)+N(INDEX(Employees!$U$5:$U$29,$A414))),OR(INDEX(Employees!$E$5:$E$29,$A414)="",$D414&lt;=INDEX(Employees!$E$5:$E$29,$A414))),1,0))</f>
        <v/>
      </c>
      <c r="H414" s="50">
        <f>IF($G414=0,0,IF(INDEX(Employees!$D$5:$D$29,$A414)="",0,DATEDIF(INDEX(Employees!$D$5:$D$29,$A414),$E414,"y")))</f>
        <v/>
      </c>
      <c r="I414" s="51">
        <f>IF($G414=0,0,IF(INDEX('Hours Worked'!$D$5:$BD$29,$A414,$B414)="",N(INDEX(Employees!$H$5:$H$29,$A414)),INDEX('Hours Worked'!$D$5:$BD$29,$A414,$B414)))</f>
        <v/>
      </c>
      <c r="J414" s="51">
        <f>IF(OR($G414=0,INDEX(Employees!$O$5:$O$29,$A414)&lt;&gt;"Yes"),0,IF(COUNTIF(Settings!$D$4:$D$9,"&lt;="&amp;$H414)=0,0,INDEX(Settings!$E$4:$E$9,COUNTIF(Settings!$D$4:$D$9,"&lt;="&amp;$H414))))</f>
        <v/>
      </c>
      <c r="K414" s="51">
        <f>IF($G414=0,0,IF(INDEX(Employees!$I$5:$I$29,$A414)="Per pay period",(N(INDEX(Employees!$J$5:$J$29,$A414))+$J414)/Settings!$B$13,IF(INDEX(Employees!$I$5:$I$29,$A414)="Per hour worked",N(INDEX(Employees!$K$5:$K$29,$A414))*$I414,IF(INDEX(Employees!$I$5:$I$29,$A414)="Front-loaded",IF(OR($B414=1,N($G413)=0),N(INDEX(Employees!$J$5:$J$29,$A414))+$J414,0),0))))</f>
        <v/>
      </c>
      <c r="L414" s="51">
        <f>IF($F414=0,0,SUMIFS('Time Off Log'!$H$5:$H$504,'Time Off Log'!$A$5:$A$504,$C414,'Time Off Log'!$B$5:$B$504,"PTO",'Time Off Log'!$E$5:$E$504,"Approved",'Time Off Log'!$C$5:$C$504,"&gt;="&amp;INDEX(Periods!$E$5:$E$57,$B414),'Time Off Log'!$C$5:$C$504,"&lt;="&amp;INDEX(Periods!$F$5:$F$57,$B414)))</f>
        <v/>
      </c>
      <c r="M414" s="51">
        <f>IF($B414=1,N(INDEX(Employees!$N$5:$N$29,$A414)),P413)</f>
        <v/>
      </c>
      <c r="N414" s="51">
        <f>IF(INDEX(Employees!$L$5:$L$29,$A414)="",K414,MAX(0,MIN(K414,INDEX(Employees!$L$5:$L$29,$A414)-(M414-L414))))</f>
        <v/>
      </c>
      <c r="O414" s="51">
        <f>K414-N414</f>
        <v/>
      </c>
      <c r="P414" s="51">
        <f>M414-L414+N414</f>
        <v/>
      </c>
      <c r="Q414" s="51">
        <f>IF($G414=0,0,IF(INDEX(Employees!$P$5:$P$29,$A414)="Per pay period",(N(INDEX(Employees!$Q$5:$Q$29,$A414)))/Settings!$B$13,IF(INDEX(Employees!$P$5:$P$29,$A414)="Per hour worked",N(INDEX(Employees!$R$5:$R$29,$A414))*$I414,IF(INDEX(Employees!$P$5:$P$29,$A414)="Front-loaded",IF(OR($B414=1,N($G413)=0),N(INDEX(Employees!$Q$5:$Q$29,$A414)),0),0))))</f>
        <v/>
      </c>
      <c r="R414" s="51">
        <f>IF($F414=0,0,SUMIFS('Time Off Log'!$H$5:$H$504,'Time Off Log'!$A$5:$A$504,$C414,'Time Off Log'!$B$5:$B$504,"Sick",'Time Off Log'!$E$5:$E$504,"Approved",'Time Off Log'!$C$5:$C$504,"&gt;="&amp;INDEX(Periods!$E$5:$E$57,$B414),'Time Off Log'!$C$5:$C$504,"&lt;="&amp;INDEX(Periods!$F$5:$F$57,$B414)))</f>
        <v/>
      </c>
      <c r="S414" s="51">
        <f>IF($B414=1,N(INDEX(Employees!$T$5:$T$29,$A414)),V413)</f>
        <v/>
      </c>
      <c r="T414" s="51">
        <f>IF(INDEX(Employees!$S$5:$S$29,$A414)="",Q414,MAX(0,MIN(Q414,INDEX(Employees!$S$5:$S$29,$A414)-(S414-R414))))</f>
        <v/>
      </c>
      <c r="U414" s="51">
        <f>Q414-T414</f>
        <v/>
      </c>
      <c r="V414" s="51">
        <f>S414-R414+T414</f>
        <v/>
      </c>
    </row>
    <row r="415">
      <c r="A415" s="50" t="n">
        <v>8</v>
      </c>
      <c r="B415" s="50" t="n">
        <v>40</v>
      </c>
      <c r="C415" s="51">
        <f>INDEX(Employees!$B$5:$B$29,$A415)&amp;""</f>
        <v/>
      </c>
      <c r="D415" s="52">
        <f>INDEX(Periods!$B$5:$B$57,$B415)</f>
        <v/>
      </c>
      <c r="E415" s="52">
        <f>INDEX(Periods!$C$5:$C$57,$B415)</f>
        <v/>
      </c>
      <c r="F415" s="50">
        <f>IF(AND($C415&lt;&gt;"",INDEX(Periods!$D$5:$D$57,$B415)=1),1,0)</f>
        <v/>
      </c>
      <c r="G415" s="50">
        <f>IF($F415=0,0,IF(AND(OR(INDEX(Employees!$D$5:$D$29,$A415)="",$E415&gt;=INDEX(Employees!$D$5:$D$29,$A415)+N(INDEX(Employees!$U$5:$U$29,$A415))),OR(INDEX(Employees!$E$5:$E$29,$A415)="",$D415&lt;=INDEX(Employees!$E$5:$E$29,$A415))),1,0))</f>
        <v/>
      </c>
      <c r="H415" s="50">
        <f>IF($G415=0,0,IF(INDEX(Employees!$D$5:$D$29,$A415)="",0,DATEDIF(INDEX(Employees!$D$5:$D$29,$A415),$E415,"y")))</f>
        <v/>
      </c>
      <c r="I415" s="51">
        <f>IF($G415=0,0,IF(INDEX('Hours Worked'!$D$5:$BD$29,$A415,$B415)="",N(INDEX(Employees!$H$5:$H$29,$A415)),INDEX('Hours Worked'!$D$5:$BD$29,$A415,$B415)))</f>
        <v/>
      </c>
      <c r="J415" s="51">
        <f>IF(OR($G415=0,INDEX(Employees!$O$5:$O$29,$A415)&lt;&gt;"Yes"),0,IF(COUNTIF(Settings!$D$4:$D$9,"&lt;="&amp;$H415)=0,0,INDEX(Settings!$E$4:$E$9,COUNTIF(Settings!$D$4:$D$9,"&lt;="&amp;$H415))))</f>
        <v/>
      </c>
      <c r="K415" s="51">
        <f>IF($G415=0,0,IF(INDEX(Employees!$I$5:$I$29,$A415)="Per pay period",(N(INDEX(Employees!$J$5:$J$29,$A415))+$J415)/Settings!$B$13,IF(INDEX(Employees!$I$5:$I$29,$A415)="Per hour worked",N(INDEX(Employees!$K$5:$K$29,$A415))*$I415,IF(INDEX(Employees!$I$5:$I$29,$A415)="Front-loaded",IF(OR($B415=1,N($G414)=0),N(INDEX(Employees!$J$5:$J$29,$A415))+$J415,0),0))))</f>
        <v/>
      </c>
      <c r="L415" s="51">
        <f>IF($F415=0,0,SUMIFS('Time Off Log'!$H$5:$H$504,'Time Off Log'!$A$5:$A$504,$C415,'Time Off Log'!$B$5:$B$504,"PTO",'Time Off Log'!$E$5:$E$504,"Approved",'Time Off Log'!$C$5:$C$504,"&gt;="&amp;INDEX(Periods!$E$5:$E$57,$B415),'Time Off Log'!$C$5:$C$504,"&lt;="&amp;INDEX(Periods!$F$5:$F$57,$B415)))</f>
        <v/>
      </c>
      <c r="M415" s="51">
        <f>IF($B415=1,N(INDEX(Employees!$N$5:$N$29,$A415)),P414)</f>
        <v/>
      </c>
      <c r="N415" s="51">
        <f>IF(INDEX(Employees!$L$5:$L$29,$A415)="",K415,MAX(0,MIN(K415,INDEX(Employees!$L$5:$L$29,$A415)-(M415-L415))))</f>
        <v/>
      </c>
      <c r="O415" s="51">
        <f>K415-N415</f>
        <v/>
      </c>
      <c r="P415" s="51">
        <f>M415-L415+N415</f>
        <v/>
      </c>
      <c r="Q415" s="51">
        <f>IF($G415=0,0,IF(INDEX(Employees!$P$5:$P$29,$A415)="Per pay period",(N(INDEX(Employees!$Q$5:$Q$29,$A415)))/Settings!$B$13,IF(INDEX(Employees!$P$5:$P$29,$A415)="Per hour worked",N(INDEX(Employees!$R$5:$R$29,$A415))*$I415,IF(INDEX(Employees!$P$5:$P$29,$A415)="Front-loaded",IF(OR($B415=1,N($G414)=0),N(INDEX(Employees!$Q$5:$Q$29,$A415)),0),0))))</f>
        <v/>
      </c>
      <c r="R415" s="51">
        <f>IF($F415=0,0,SUMIFS('Time Off Log'!$H$5:$H$504,'Time Off Log'!$A$5:$A$504,$C415,'Time Off Log'!$B$5:$B$504,"Sick",'Time Off Log'!$E$5:$E$504,"Approved",'Time Off Log'!$C$5:$C$504,"&gt;="&amp;INDEX(Periods!$E$5:$E$57,$B415),'Time Off Log'!$C$5:$C$504,"&lt;="&amp;INDEX(Periods!$F$5:$F$57,$B415)))</f>
        <v/>
      </c>
      <c r="S415" s="51">
        <f>IF($B415=1,N(INDEX(Employees!$T$5:$T$29,$A415)),V414)</f>
        <v/>
      </c>
      <c r="T415" s="51">
        <f>IF(INDEX(Employees!$S$5:$S$29,$A415)="",Q415,MAX(0,MIN(Q415,INDEX(Employees!$S$5:$S$29,$A415)-(S415-R415))))</f>
        <v/>
      </c>
      <c r="U415" s="51">
        <f>Q415-T415</f>
        <v/>
      </c>
      <c r="V415" s="51">
        <f>S415-R415+T415</f>
        <v/>
      </c>
    </row>
    <row r="416">
      <c r="A416" s="50" t="n">
        <v>8</v>
      </c>
      <c r="B416" s="50" t="n">
        <v>41</v>
      </c>
      <c r="C416" s="51">
        <f>INDEX(Employees!$B$5:$B$29,$A416)&amp;""</f>
        <v/>
      </c>
      <c r="D416" s="52">
        <f>INDEX(Periods!$B$5:$B$57,$B416)</f>
        <v/>
      </c>
      <c r="E416" s="52">
        <f>INDEX(Periods!$C$5:$C$57,$B416)</f>
        <v/>
      </c>
      <c r="F416" s="50">
        <f>IF(AND($C416&lt;&gt;"",INDEX(Periods!$D$5:$D$57,$B416)=1),1,0)</f>
        <v/>
      </c>
      <c r="G416" s="50">
        <f>IF($F416=0,0,IF(AND(OR(INDEX(Employees!$D$5:$D$29,$A416)="",$E416&gt;=INDEX(Employees!$D$5:$D$29,$A416)+N(INDEX(Employees!$U$5:$U$29,$A416))),OR(INDEX(Employees!$E$5:$E$29,$A416)="",$D416&lt;=INDEX(Employees!$E$5:$E$29,$A416))),1,0))</f>
        <v/>
      </c>
      <c r="H416" s="50">
        <f>IF($G416=0,0,IF(INDEX(Employees!$D$5:$D$29,$A416)="",0,DATEDIF(INDEX(Employees!$D$5:$D$29,$A416),$E416,"y")))</f>
        <v/>
      </c>
      <c r="I416" s="51">
        <f>IF($G416=0,0,IF(INDEX('Hours Worked'!$D$5:$BD$29,$A416,$B416)="",N(INDEX(Employees!$H$5:$H$29,$A416)),INDEX('Hours Worked'!$D$5:$BD$29,$A416,$B416)))</f>
        <v/>
      </c>
      <c r="J416" s="51">
        <f>IF(OR($G416=0,INDEX(Employees!$O$5:$O$29,$A416)&lt;&gt;"Yes"),0,IF(COUNTIF(Settings!$D$4:$D$9,"&lt;="&amp;$H416)=0,0,INDEX(Settings!$E$4:$E$9,COUNTIF(Settings!$D$4:$D$9,"&lt;="&amp;$H416))))</f>
        <v/>
      </c>
      <c r="K416" s="51">
        <f>IF($G416=0,0,IF(INDEX(Employees!$I$5:$I$29,$A416)="Per pay period",(N(INDEX(Employees!$J$5:$J$29,$A416))+$J416)/Settings!$B$13,IF(INDEX(Employees!$I$5:$I$29,$A416)="Per hour worked",N(INDEX(Employees!$K$5:$K$29,$A416))*$I416,IF(INDEX(Employees!$I$5:$I$29,$A416)="Front-loaded",IF(OR($B416=1,N($G415)=0),N(INDEX(Employees!$J$5:$J$29,$A416))+$J416,0),0))))</f>
        <v/>
      </c>
      <c r="L416" s="51">
        <f>IF($F416=0,0,SUMIFS('Time Off Log'!$H$5:$H$504,'Time Off Log'!$A$5:$A$504,$C416,'Time Off Log'!$B$5:$B$504,"PTO",'Time Off Log'!$E$5:$E$504,"Approved",'Time Off Log'!$C$5:$C$504,"&gt;="&amp;INDEX(Periods!$E$5:$E$57,$B416),'Time Off Log'!$C$5:$C$504,"&lt;="&amp;INDEX(Periods!$F$5:$F$57,$B416)))</f>
        <v/>
      </c>
      <c r="M416" s="51">
        <f>IF($B416=1,N(INDEX(Employees!$N$5:$N$29,$A416)),P415)</f>
        <v/>
      </c>
      <c r="N416" s="51">
        <f>IF(INDEX(Employees!$L$5:$L$29,$A416)="",K416,MAX(0,MIN(K416,INDEX(Employees!$L$5:$L$29,$A416)-(M416-L416))))</f>
        <v/>
      </c>
      <c r="O416" s="51">
        <f>K416-N416</f>
        <v/>
      </c>
      <c r="P416" s="51">
        <f>M416-L416+N416</f>
        <v/>
      </c>
      <c r="Q416" s="51">
        <f>IF($G416=0,0,IF(INDEX(Employees!$P$5:$P$29,$A416)="Per pay period",(N(INDEX(Employees!$Q$5:$Q$29,$A416)))/Settings!$B$13,IF(INDEX(Employees!$P$5:$P$29,$A416)="Per hour worked",N(INDEX(Employees!$R$5:$R$29,$A416))*$I416,IF(INDEX(Employees!$P$5:$P$29,$A416)="Front-loaded",IF(OR($B416=1,N($G415)=0),N(INDEX(Employees!$Q$5:$Q$29,$A416)),0),0))))</f>
        <v/>
      </c>
      <c r="R416" s="51">
        <f>IF($F416=0,0,SUMIFS('Time Off Log'!$H$5:$H$504,'Time Off Log'!$A$5:$A$504,$C416,'Time Off Log'!$B$5:$B$504,"Sick",'Time Off Log'!$E$5:$E$504,"Approved",'Time Off Log'!$C$5:$C$504,"&gt;="&amp;INDEX(Periods!$E$5:$E$57,$B416),'Time Off Log'!$C$5:$C$504,"&lt;="&amp;INDEX(Periods!$F$5:$F$57,$B416)))</f>
        <v/>
      </c>
      <c r="S416" s="51">
        <f>IF($B416=1,N(INDEX(Employees!$T$5:$T$29,$A416)),V415)</f>
        <v/>
      </c>
      <c r="T416" s="51">
        <f>IF(INDEX(Employees!$S$5:$S$29,$A416)="",Q416,MAX(0,MIN(Q416,INDEX(Employees!$S$5:$S$29,$A416)-(S416-R416))))</f>
        <v/>
      </c>
      <c r="U416" s="51">
        <f>Q416-T416</f>
        <v/>
      </c>
      <c r="V416" s="51">
        <f>S416-R416+T416</f>
        <v/>
      </c>
    </row>
    <row r="417">
      <c r="A417" s="50" t="n">
        <v>8</v>
      </c>
      <c r="B417" s="50" t="n">
        <v>42</v>
      </c>
      <c r="C417" s="51">
        <f>INDEX(Employees!$B$5:$B$29,$A417)&amp;""</f>
        <v/>
      </c>
      <c r="D417" s="52">
        <f>INDEX(Periods!$B$5:$B$57,$B417)</f>
        <v/>
      </c>
      <c r="E417" s="52">
        <f>INDEX(Periods!$C$5:$C$57,$B417)</f>
        <v/>
      </c>
      <c r="F417" s="50">
        <f>IF(AND($C417&lt;&gt;"",INDEX(Periods!$D$5:$D$57,$B417)=1),1,0)</f>
        <v/>
      </c>
      <c r="G417" s="50">
        <f>IF($F417=0,0,IF(AND(OR(INDEX(Employees!$D$5:$D$29,$A417)="",$E417&gt;=INDEX(Employees!$D$5:$D$29,$A417)+N(INDEX(Employees!$U$5:$U$29,$A417))),OR(INDEX(Employees!$E$5:$E$29,$A417)="",$D417&lt;=INDEX(Employees!$E$5:$E$29,$A417))),1,0))</f>
        <v/>
      </c>
      <c r="H417" s="50">
        <f>IF($G417=0,0,IF(INDEX(Employees!$D$5:$D$29,$A417)="",0,DATEDIF(INDEX(Employees!$D$5:$D$29,$A417),$E417,"y")))</f>
        <v/>
      </c>
      <c r="I417" s="51">
        <f>IF($G417=0,0,IF(INDEX('Hours Worked'!$D$5:$BD$29,$A417,$B417)="",N(INDEX(Employees!$H$5:$H$29,$A417)),INDEX('Hours Worked'!$D$5:$BD$29,$A417,$B417)))</f>
        <v/>
      </c>
      <c r="J417" s="51">
        <f>IF(OR($G417=0,INDEX(Employees!$O$5:$O$29,$A417)&lt;&gt;"Yes"),0,IF(COUNTIF(Settings!$D$4:$D$9,"&lt;="&amp;$H417)=0,0,INDEX(Settings!$E$4:$E$9,COUNTIF(Settings!$D$4:$D$9,"&lt;="&amp;$H417))))</f>
        <v/>
      </c>
      <c r="K417" s="51">
        <f>IF($G417=0,0,IF(INDEX(Employees!$I$5:$I$29,$A417)="Per pay period",(N(INDEX(Employees!$J$5:$J$29,$A417))+$J417)/Settings!$B$13,IF(INDEX(Employees!$I$5:$I$29,$A417)="Per hour worked",N(INDEX(Employees!$K$5:$K$29,$A417))*$I417,IF(INDEX(Employees!$I$5:$I$29,$A417)="Front-loaded",IF(OR($B417=1,N($G416)=0),N(INDEX(Employees!$J$5:$J$29,$A417))+$J417,0),0))))</f>
        <v/>
      </c>
      <c r="L417" s="51">
        <f>IF($F417=0,0,SUMIFS('Time Off Log'!$H$5:$H$504,'Time Off Log'!$A$5:$A$504,$C417,'Time Off Log'!$B$5:$B$504,"PTO",'Time Off Log'!$E$5:$E$504,"Approved",'Time Off Log'!$C$5:$C$504,"&gt;="&amp;INDEX(Periods!$E$5:$E$57,$B417),'Time Off Log'!$C$5:$C$504,"&lt;="&amp;INDEX(Periods!$F$5:$F$57,$B417)))</f>
        <v/>
      </c>
      <c r="M417" s="51">
        <f>IF($B417=1,N(INDEX(Employees!$N$5:$N$29,$A417)),P416)</f>
        <v/>
      </c>
      <c r="N417" s="51">
        <f>IF(INDEX(Employees!$L$5:$L$29,$A417)="",K417,MAX(0,MIN(K417,INDEX(Employees!$L$5:$L$29,$A417)-(M417-L417))))</f>
        <v/>
      </c>
      <c r="O417" s="51">
        <f>K417-N417</f>
        <v/>
      </c>
      <c r="P417" s="51">
        <f>M417-L417+N417</f>
        <v/>
      </c>
      <c r="Q417" s="51">
        <f>IF($G417=0,0,IF(INDEX(Employees!$P$5:$P$29,$A417)="Per pay period",(N(INDEX(Employees!$Q$5:$Q$29,$A417)))/Settings!$B$13,IF(INDEX(Employees!$P$5:$P$29,$A417)="Per hour worked",N(INDEX(Employees!$R$5:$R$29,$A417))*$I417,IF(INDEX(Employees!$P$5:$P$29,$A417)="Front-loaded",IF(OR($B417=1,N($G416)=0),N(INDEX(Employees!$Q$5:$Q$29,$A417)),0),0))))</f>
        <v/>
      </c>
      <c r="R417" s="51">
        <f>IF($F417=0,0,SUMIFS('Time Off Log'!$H$5:$H$504,'Time Off Log'!$A$5:$A$504,$C417,'Time Off Log'!$B$5:$B$504,"Sick",'Time Off Log'!$E$5:$E$504,"Approved",'Time Off Log'!$C$5:$C$504,"&gt;="&amp;INDEX(Periods!$E$5:$E$57,$B417),'Time Off Log'!$C$5:$C$504,"&lt;="&amp;INDEX(Periods!$F$5:$F$57,$B417)))</f>
        <v/>
      </c>
      <c r="S417" s="51">
        <f>IF($B417=1,N(INDEX(Employees!$T$5:$T$29,$A417)),V416)</f>
        <v/>
      </c>
      <c r="T417" s="51">
        <f>IF(INDEX(Employees!$S$5:$S$29,$A417)="",Q417,MAX(0,MIN(Q417,INDEX(Employees!$S$5:$S$29,$A417)-(S417-R417))))</f>
        <v/>
      </c>
      <c r="U417" s="51">
        <f>Q417-T417</f>
        <v/>
      </c>
      <c r="V417" s="51">
        <f>S417-R417+T417</f>
        <v/>
      </c>
    </row>
    <row r="418">
      <c r="A418" s="50" t="n">
        <v>8</v>
      </c>
      <c r="B418" s="50" t="n">
        <v>43</v>
      </c>
      <c r="C418" s="51">
        <f>INDEX(Employees!$B$5:$B$29,$A418)&amp;""</f>
        <v/>
      </c>
      <c r="D418" s="52">
        <f>INDEX(Periods!$B$5:$B$57,$B418)</f>
        <v/>
      </c>
      <c r="E418" s="52">
        <f>INDEX(Periods!$C$5:$C$57,$B418)</f>
        <v/>
      </c>
      <c r="F418" s="50">
        <f>IF(AND($C418&lt;&gt;"",INDEX(Periods!$D$5:$D$57,$B418)=1),1,0)</f>
        <v/>
      </c>
      <c r="G418" s="50">
        <f>IF($F418=0,0,IF(AND(OR(INDEX(Employees!$D$5:$D$29,$A418)="",$E418&gt;=INDEX(Employees!$D$5:$D$29,$A418)+N(INDEX(Employees!$U$5:$U$29,$A418))),OR(INDEX(Employees!$E$5:$E$29,$A418)="",$D418&lt;=INDEX(Employees!$E$5:$E$29,$A418))),1,0))</f>
        <v/>
      </c>
      <c r="H418" s="50">
        <f>IF($G418=0,0,IF(INDEX(Employees!$D$5:$D$29,$A418)="",0,DATEDIF(INDEX(Employees!$D$5:$D$29,$A418),$E418,"y")))</f>
        <v/>
      </c>
      <c r="I418" s="51">
        <f>IF($G418=0,0,IF(INDEX('Hours Worked'!$D$5:$BD$29,$A418,$B418)="",N(INDEX(Employees!$H$5:$H$29,$A418)),INDEX('Hours Worked'!$D$5:$BD$29,$A418,$B418)))</f>
        <v/>
      </c>
      <c r="J418" s="51">
        <f>IF(OR($G418=0,INDEX(Employees!$O$5:$O$29,$A418)&lt;&gt;"Yes"),0,IF(COUNTIF(Settings!$D$4:$D$9,"&lt;="&amp;$H418)=0,0,INDEX(Settings!$E$4:$E$9,COUNTIF(Settings!$D$4:$D$9,"&lt;="&amp;$H418))))</f>
        <v/>
      </c>
      <c r="K418" s="51">
        <f>IF($G418=0,0,IF(INDEX(Employees!$I$5:$I$29,$A418)="Per pay period",(N(INDEX(Employees!$J$5:$J$29,$A418))+$J418)/Settings!$B$13,IF(INDEX(Employees!$I$5:$I$29,$A418)="Per hour worked",N(INDEX(Employees!$K$5:$K$29,$A418))*$I418,IF(INDEX(Employees!$I$5:$I$29,$A418)="Front-loaded",IF(OR($B418=1,N($G417)=0),N(INDEX(Employees!$J$5:$J$29,$A418))+$J418,0),0))))</f>
        <v/>
      </c>
      <c r="L418" s="51">
        <f>IF($F418=0,0,SUMIFS('Time Off Log'!$H$5:$H$504,'Time Off Log'!$A$5:$A$504,$C418,'Time Off Log'!$B$5:$B$504,"PTO",'Time Off Log'!$E$5:$E$504,"Approved",'Time Off Log'!$C$5:$C$504,"&gt;="&amp;INDEX(Periods!$E$5:$E$57,$B418),'Time Off Log'!$C$5:$C$504,"&lt;="&amp;INDEX(Periods!$F$5:$F$57,$B418)))</f>
        <v/>
      </c>
      <c r="M418" s="51">
        <f>IF($B418=1,N(INDEX(Employees!$N$5:$N$29,$A418)),P417)</f>
        <v/>
      </c>
      <c r="N418" s="51">
        <f>IF(INDEX(Employees!$L$5:$L$29,$A418)="",K418,MAX(0,MIN(K418,INDEX(Employees!$L$5:$L$29,$A418)-(M418-L418))))</f>
        <v/>
      </c>
      <c r="O418" s="51">
        <f>K418-N418</f>
        <v/>
      </c>
      <c r="P418" s="51">
        <f>M418-L418+N418</f>
        <v/>
      </c>
      <c r="Q418" s="51">
        <f>IF($G418=0,0,IF(INDEX(Employees!$P$5:$P$29,$A418)="Per pay period",(N(INDEX(Employees!$Q$5:$Q$29,$A418)))/Settings!$B$13,IF(INDEX(Employees!$P$5:$P$29,$A418)="Per hour worked",N(INDEX(Employees!$R$5:$R$29,$A418))*$I418,IF(INDEX(Employees!$P$5:$P$29,$A418)="Front-loaded",IF(OR($B418=1,N($G417)=0),N(INDEX(Employees!$Q$5:$Q$29,$A418)),0),0))))</f>
        <v/>
      </c>
      <c r="R418" s="51">
        <f>IF($F418=0,0,SUMIFS('Time Off Log'!$H$5:$H$504,'Time Off Log'!$A$5:$A$504,$C418,'Time Off Log'!$B$5:$B$504,"Sick",'Time Off Log'!$E$5:$E$504,"Approved",'Time Off Log'!$C$5:$C$504,"&gt;="&amp;INDEX(Periods!$E$5:$E$57,$B418),'Time Off Log'!$C$5:$C$504,"&lt;="&amp;INDEX(Periods!$F$5:$F$57,$B418)))</f>
        <v/>
      </c>
      <c r="S418" s="51">
        <f>IF($B418=1,N(INDEX(Employees!$T$5:$T$29,$A418)),V417)</f>
        <v/>
      </c>
      <c r="T418" s="51">
        <f>IF(INDEX(Employees!$S$5:$S$29,$A418)="",Q418,MAX(0,MIN(Q418,INDEX(Employees!$S$5:$S$29,$A418)-(S418-R418))))</f>
        <v/>
      </c>
      <c r="U418" s="51">
        <f>Q418-T418</f>
        <v/>
      </c>
      <c r="V418" s="51">
        <f>S418-R418+T418</f>
        <v/>
      </c>
    </row>
    <row r="419">
      <c r="A419" s="50" t="n">
        <v>8</v>
      </c>
      <c r="B419" s="50" t="n">
        <v>44</v>
      </c>
      <c r="C419" s="51">
        <f>INDEX(Employees!$B$5:$B$29,$A419)&amp;""</f>
        <v/>
      </c>
      <c r="D419" s="52">
        <f>INDEX(Periods!$B$5:$B$57,$B419)</f>
        <v/>
      </c>
      <c r="E419" s="52">
        <f>INDEX(Periods!$C$5:$C$57,$B419)</f>
        <v/>
      </c>
      <c r="F419" s="50">
        <f>IF(AND($C419&lt;&gt;"",INDEX(Periods!$D$5:$D$57,$B419)=1),1,0)</f>
        <v/>
      </c>
      <c r="G419" s="50">
        <f>IF($F419=0,0,IF(AND(OR(INDEX(Employees!$D$5:$D$29,$A419)="",$E419&gt;=INDEX(Employees!$D$5:$D$29,$A419)+N(INDEX(Employees!$U$5:$U$29,$A419))),OR(INDEX(Employees!$E$5:$E$29,$A419)="",$D419&lt;=INDEX(Employees!$E$5:$E$29,$A419))),1,0))</f>
        <v/>
      </c>
      <c r="H419" s="50">
        <f>IF($G419=0,0,IF(INDEX(Employees!$D$5:$D$29,$A419)="",0,DATEDIF(INDEX(Employees!$D$5:$D$29,$A419),$E419,"y")))</f>
        <v/>
      </c>
      <c r="I419" s="51">
        <f>IF($G419=0,0,IF(INDEX('Hours Worked'!$D$5:$BD$29,$A419,$B419)="",N(INDEX(Employees!$H$5:$H$29,$A419)),INDEX('Hours Worked'!$D$5:$BD$29,$A419,$B419)))</f>
        <v/>
      </c>
      <c r="J419" s="51">
        <f>IF(OR($G419=0,INDEX(Employees!$O$5:$O$29,$A419)&lt;&gt;"Yes"),0,IF(COUNTIF(Settings!$D$4:$D$9,"&lt;="&amp;$H419)=0,0,INDEX(Settings!$E$4:$E$9,COUNTIF(Settings!$D$4:$D$9,"&lt;="&amp;$H419))))</f>
        <v/>
      </c>
      <c r="K419" s="51">
        <f>IF($G419=0,0,IF(INDEX(Employees!$I$5:$I$29,$A419)="Per pay period",(N(INDEX(Employees!$J$5:$J$29,$A419))+$J419)/Settings!$B$13,IF(INDEX(Employees!$I$5:$I$29,$A419)="Per hour worked",N(INDEX(Employees!$K$5:$K$29,$A419))*$I419,IF(INDEX(Employees!$I$5:$I$29,$A419)="Front-loaded",IF(OR($B419=1,N($G418)=0),N(INDEX(Employees!$J$5:$J$29,$A419))+$J419,0),0))))</f>
        <v/>
      </c>
      <c r="L419" s="51">
        <f>IF($F419=0,0,SUMIFS('Time Off Log'!$H$5:$H$504,'Time Off Log'!$A$5:$A$504,$C419,'Time Off Log'!$B$5:$B$504,"PTO",'Time Off Log'!$E$5:$E$504,"Approved",'Time Off Log'!$C$5:$C$504,"&gt;="&amp;INDEX(Periods!$E$5:$E$57,$B419),'Time Off Log'!$C$5:$C$504,"&lt;="&amp;INDEX(Periods!$F$5:$F$57,$B419)))</f>
        <v/>
      </c>
      <c r="M419" s="51">
        <f>IF($B419=1,N(INDEX(Employees!$N$5:$N$29,$A419)),P418)</f>
        <v/>
      </c>
      <c r="N419" s="51">
        <f>IF(INDEX(Employees!$L$5:$L$29,$A419)="",K419,MAX(0,MIN(K419,INDEX(Employees!$L$5:$L$29,$A419)-(M419-L419))))</f>
        <v/>
      </c>
      <c r="O419" s="51">
        <f>K419-N419</f>
        <v/>
      </c>
      <c r="P419" s="51">
        <f>M419-L419+N419</f>
        <v/>
      </c>
      <c r="Q419" s="51">
        <f>IF($G419=0,0,IF(INDEX(Employees!$P$5:$P$29,$A419)="Per pay period",(N(INDEX(Employees!$Q$5:$Q$29,$A419)))/Settings!$B$13,IF(INDEX(Employees!$P$5:$P$29,$A419)="Per hour worked",N(INDEX(Employees!$R$5:$R$29,$A419))*$I419,IF(INDEX(Employees!$P$5:$P$29,$A419)="Front-loaded",IF(OR($B419=1,N($G418)=0),N(INDEX(Employees!$Q$5:$Q$29,$A419)),0),0))))</f>
        <v/>
      </c>
      <c r="R419" s="51">
        <f>IF($F419=0,0,SUMIFS('Time Off Log'!$H$5:$H$504,'Time Off Log'!$A$5:$A$504,$C419,'Time Off Log'!$B$5:$B$504,"Sick",'Time Off Log'!$E$5:$E$504,"Approved",'Time Off Log'!$C$5:$C$504,"&gt;="&amp;INDEX(Periods!$E$5:$E$57,$B419),'Time Off Log'!$C$5:$C$504,"&lt;="&amp;INDEX(Periods!$F$5:$F$57,$B419)))</f>
        <v/>
      </c>
      <c r="S419" s="51">
        <f>IF($B419=1,N(INDEX(Employees!$T$5:$T$29,$A419)),V418)</f>
        <v/>
      </c>
      <c r="T419" s="51">
        <f>IF(INDEX(Employees!$S$5:$S$29,$A419)="",Q419,MAX(0,MIN(Q419,INDEX(Employees!$S$5:$S$29,$A419)-(S419-R419))))</f>
        <v/>
      </c>
      <c r="U419" s="51">
        <f>Q419-T419</f>
        <v/>
      </c>
      <c r="V419" s="51">
        <f>S419-R419+T419</f>
        <v/>
      </c>
    </row>
    <row r="420">
      <c r="A420" s="50" t="n">
        <v>8</v>
      </c>
      <c r="B420" s="50" t="n">
        <v>45</v>
      </c>
      <c r="C420" s="51">
        <f>INDEX(Employees!$B$5:$B$29,$A420)&amp;""</f>
        <v/>
      </c>
      <c r="D420" s="52">
        <f>INDEX(Periods!$B$5:$B$57,$B420)</f>
        <v/>
      </c>
      <c r="E420" s="52">
        <f>INDEX(Periods!$C$5:$C$57,$B420)</f>
        <v/>
      </c>
      <c r="F420" s="50">
        <f>IF(AND($C420&lt;&gt;"",INDEX(Periods!$D$5:$D$57,$B420)=1),1,0)</f>
        <v/>
      </c>
      <c r="G420" s="50">
        <f>IF($F420=0,0,IF(AND(OR(INDEX(Employees!$D$5:$D$29,$A420)="",$E420&gt;=INDEX(Employees!$D$5:$D$29,$A420)+N(INDEX(Employees!$U$5:$U$29,$A420))),OR(INDEX(Employees!$E$5:$E$29,$A420)="",$D420&lt;=INDEX(Employees!$E$5:$E$29,$A420))),1,0))</f>
        <v/>
      </c>
      <c r="H420" s="50">
        <f>IF($G420=0,0,IF(INDEX(Employees!$D$5:$D$29,$A420)="",0,DATEDIF(INDEX(Employees!$D$5:$D$29,$A420),$E420,"y")))</f>
        <v/>
      </c>
      <c r="I420" s="51">
        <f>IF($G420=0,0,IF(INDEX('Hours Worked'!$D$5:$BD$29,$A420,$B420)="",N(INDEX(Employees!$H$5:$H$29,$A420)),INDEX('Hours Worked'!$D$5:$BD$29,$A420,$B420)))</f>
        <v/>
      </c>
      <c r="J420" s="51">
        <f>IF(OR($G420=0,INDEX(Employees!$O$5:$O$29,$A420)&lt;&gt;"Yes"),0,IF(COUNTIF(Settings!$D$4:$D$9,"&lt;="&amp;$H420)=0,0,INDEX(Settings!$E$4:$E$9,COUNTIF(Settings!$D$4:$D$9,"&lt;="&amp;$H420))))</f>
        <v/>
      </c>
      <c r="K420" s="51">
        <f>IF($G420=0,0,IF(INDEX(Employees!$I$5:$I$29,$A420)="Per pay period",(N(INDEX(Employees!$J$5:$J$29,$A420))+$J420)/Settings!$B$13,IF(INDEX(Employees!$I$5:$I$29,$A420)="Per hour worked",N(INDEX(Employees!$K$5:$K$29,$A420))*$I420,IF(INDEX(Employees!$I$5:$I$29,$A420)="Front-loaded",IF(OR($B420=1,N($G419)=0),N(INDEX(Employees!$J$5:$J$29,$A420))+$J420,0),0))))</f>
        <v/>
      </c>
      <c r="L420" s="51">
        <f>IF($F420=0,0,SUMIFS('Time Off Log'!$H$5:$H$504,'Time Off Log'!$A$5:$A$504,$C420,'Time Off Log'!$B$5:$B$504,"PTO",'Time Off Log'!$E$5:$E$504,"Approved",'Time Off Log'!$C$5:$C$504,"&gt;="&amp;INDEX(Periods!$E$5:$E$57,$B420),'Time Off Log'!$C$5:$C$504,"&lt;="&amp;INDEX(Periods!$F$5:$F$57,$B420)))</f>
        <v/>
      </c>
      <c r="M420" s="51">
        <f>IF($B420=1,N(INDEX(Employees!$N$5:$N$29,$A420)),P419)</f>
        <v/>
      </c>
      <c r="N420" s="51">
        <f>IF(INDEX(Employees!$L$5:$L$29,$A420)="",K420,MAX(0,MIN(K420,INDEX(Employees!$L$5:$L$29,$A420)-(M420-L420))))</f>
        <v/>
      </c>
      <c r="O420" s="51">
        <f>K420-N420</f>
        <v/>
      </c>
      <c r="P420" s="51">
        <f>M420-L420+N420</f>
        <v/>
      </c>
      <c r="Q420" s="51">
        <f>IF($G420=0,0,IF(INDEX(Employees!$P$5:$P$29,$A420)="Per pay period",(N(INDEX(Employees!$Q$5:$Q$29,$A420)))/Settings!$B$13,IF(INDEX(Employees!$P$5:$P$29,$A420)="Per hour worked",N(INDEX(Employees!$R$5:$R$29,$A420))*$I420,IF(INDEX(Employees!$P$5:$P$29,$A420)="Front-loaded",IF(OR($B420=1,N($G419)=0),N(INDEX(Employees!$Q$5:$Q$29,$A420)),0),0))))</f>
        <v/>
      </c>
      <c r="R420" s="51">
        <f>IF($F420=0,0,SUMIFS('Time Off Log'!$H$5:$H$504,'Time Off Log'!$A$5:$A$504,$C420,'Time Off Log'!$B$5:$B$504,"Sick",'Time Off Log'!$E$5:$E$504,"Approved",'Time Off Log'!$C$5:$C$504,"&gt;="&amp;INDEX(Periods!$E$5:$E$57,$B420),'Time Off Log'!$C$5:$C$504,"&lt;="&amp;INDEX(Periods!$F$5:$F$57,$B420)))</f>
        <v/>
      </c>
      <c r="S420" s="51">
        <f>IF($B420=1,N(INDEX(Employees!$T$5:$T$29,$A420)),V419)</f>
        <v/>
      </c>
      <c r="T420" s="51">
        <f>IF(INDEX(Employees!$S$5:$S$29,$A420)="",Q420,MAX(0,MIN(Q420,INDEX(Employees!$S$5:$S$29,$A420)-(S420-R420))))</f>
        <v/>
      </c>
      <c r="U420" s="51">
        <f>Q420-T420</f>
        <v/>
      </c>
      <c r="V420" s="51">
        <f>S420-R420+T420</f>
        <v/>
      </c>
    </row>
    <row r="421">
      <c r="A421" s="50" t="n">
        <v>8</v>
      </c>
      <c r="B421" s="50" t="n">
        <v>46</v>
      </c>
      <c r="C421" s="51">
        <f>INDEX(Employees!$B$5:$B$29,$A421)&amp;""</f>
        <v/>
      </c>
      <c r="D421" s="52">
        <f>INDEX(Periods!$B$5:$B$57,$B421)</f>
        <v/>
      </c>
      <c r="E421" s="52">
        <f>INDEX(Periods!$C$5:$C$57,$B421)</f>
        <v/>
      </c>
      <c r="F421" s="50">
        <f>IF(AND($C421&lt;&gt;"",INDEX(Periods!$D$5:$D$57,$B421)=1),1,0)</f>
        <v/>
      </c>
      <c r="G421" s="50">
        <f>IF($F421=0,0,IF(AND(OR(INDEX(Employees!$D$5:$D$29,$A421)="",$E421&gt;=INDEX(Employees!$D$5:$D$29,$A421)+N(INDEX(Employees!$U$5:$U$29,$A421))),OR(INDEX(Employees!$E$5:$E$29,$A421)="",$D421&lt;=INDEX(Employees!$E$5:$E$29,$A421))),1,0))</f>
        <v/>
      </c>
      <c r="H421" s="50">
        <f>IF($G421=0,0,IF(INDEX(Employees!$D$5:$D$29,$A421)="",0,DATEDIF(INDEX(Employees!$D$5:$D$29,$A421),$E421,"y")))</f>
        <v/>
      </c>
      <c r="I421" s="51">
        <f>IF($G421=0,0,IF(INDEX('Hours Worked'!$D$5:$BD$29,$A421,$B421)="",N(INDEX(Employees!$H$5:$H$29,$A421)),INDEX('Hours Worked'!$D$5:$BD$29,$A421,$B421)))</f>
        <v/>
      </c>
      <c r="J421" s="51">
        <f>IF(OR($G421=0,INDEX(Employees!$O$5:$O$29,$A421)&lt;&gt;"Yes"),0,IF(COUNTIF(Settings!$D$4:$D$9,"&lt;="&amp;$H421)=0,0,INDEX(Settings!$E$4:$E$9,COUNTIF(Settings!$D$4:$D$9,"&lt;="&amp;$H421))))</f>
        <v/>
      </c>
      <c r="K421" s="51">
        <f>IF($G421=0,0,IF(INDEX(Employees!$I$5:$I$29,$A421)="Per pay period",(N(INDEX(Employees!$J$5:$J$29,$A421))+$J421)/Settings!$B$13,IF(INDEX(Employees!$I$5:$I$29,$A421)="Per hour worked",N(INDEX(Employees!$K$5:$K$29,$A421))*$I421,IF(INDEX(Employees!$I$5:$I$29,$A421)="Front-loaded",IF(OR($B421=1,N($G420)=0),N(INDEX(Employees!$J$5:$J$29,$A421))+$J421,0),0))))</f>
        <v/>
      </c>
      <c r="L421" s="51">
        <f>IF($F421=0,0,SUMIFS('Time Off Log'!$H$5:$H$504,'Time Off Log'!$A$5:$A$504,$C421,'Time Off Log'!$B$5:$B$504,"PTO",'Time Off Log'!$E$5:$E$504,"Approved",'Time Off Log'!$C$5:$C$504,"&gt;="&amp;INDEX(Periods!$E$5:$E$57,$B421),'Time Off Log'!$C$5:$C$504,"&lt;="&amp;INDEX(Periods!$F$5:$F$57,$B421)))</f>
        <v/>
      </c>
      <c r="M421" s="51">
        <f>IF($B421=1,N(INDEX(Employees!$N$5:$N$29,$A421)),P420)</f>
        <v/>
      </c>
      <c r="N421" s="51">
        <f>IF(INDEX(Employees!$L$5:$L$29,$A421)="",K421,MAX(0,MIN(K421,INDEX(Employees!$L$5:$L$29,$A421)-(M421-L421))))</f>
        <v/>
      </c>
      <c r="O421" s="51">
        <f>K421-N421</f>
        <v/>
      </c>
      <c r="P421" s="51">
        <f>M421-L421+N421</f>
        <v/>
      </c>
      <c r="Q421" s="51">
        <f>IF($G421=0,0,IF(INDEX(Employees!$P$5:$P$29,$A421)="Per pay period",(N(INDEX(Employees!$Q$5:$Q$29,$A421)))/Settings!$B$13,IF(INDEX(Employees!$P$5:$P$29,$A421)="Per hour worked",N(INDEX(Employees!$R$5:$R$29,$A421))*$I421,IF(INDEX(Employees!$P$5:$P$29,$A421)="Front-loaded",IF(OR($B421=1,N($G420)=0),N(INDEX(Employees!$Q$5:$Q$29,$A421)),0),0))))</f>
        <v/>
      </c>
      <c r="R421" s="51">
        <f>IF($F421=0,0,SUMIFS('Time Off Log'!$H$5:$H$504,'Time Off Log'!$A$5:$A$504,$C421,'Time Off Log'!$B$5:$B$504,"Sick",'Time Off Log'!$E$5:$E$504,"Approved",'Time Off Log'!$C$5:$C$504,"&gt;="&amp;INDEX(Periods!$E$5:$E$57,$B421),'Time Off Log'!$C$5:$C$504,"&lt;="&amp;INDEX(Periods!$F$5:$F$57,$B421)))</f>
        <v/>
      </c>
      <c r="S421" s="51">
        <f>IF($B421=1,N(INDEX(Employees!$T$5:$T$29,$A421)),V420)</f>
        <v/>
      </c>
      <c r="T421" s="51">
        <f>IF(INDEX(Employees!$S$5:$S$29,$A421)="",Q421,MAX(0,MIN(Q421,INDEX(Employees!$S$5:$S$29,$A421)-(S421-R421))))</f>
        <v/>
      </c>
      <c r="U421" s="51">
        <f>Q421-T421</f>
        <v/>
      </c>
      <c r="V421" s="51">
        <f>S421-R421+T421</f>
        <v/>
      </c>
    </row>
    <row r="422">
      <c r="A422" s="50" t="n">
        <v>8</v>
      </c>
      <c r="B422" s="50" t="n">
        <v>47</v>
      </c>
      <c r="C422" s="51">
        <f>INDEX(Employees!$B$5:$B$29,$A422)&amp;""</f>
        <v/>
      </c>
      <c r="D422" s="52">
        <f>INDEX(Periods!$B$5:$B$57,$B422)</f>
        <v/>
      </c>
      <c r="E422" s="52">
        <f>INDEX(Periods!$C$5:$C$57,$B422)</f>
        <v/>
      </c>
      <c r="F422" s="50">
        <f>IF(AND($C422&lt;&gt;"",INDEX(Periods!$D$5:$D$57,$B422)=1),1,0)</f>
        <v/>
      </c>
      <c r="G422" s="50">
        <f>IF($F422=0,0,IF(AND(OR(INDEX(Employees!$D$5:$D$29,$A422)="",$E422&gt;=INDEX(Employees!$D$5:$D$29,$A422)+N(INDEX(Employees!$U$5:$U$29,$A422))),OR(INDEX(Employees!$E$5:$E$29,$A422)="",$D422&lt;=INDEX(Employees!$E$5:$E$29,$A422))),1,0))</f>
        <v/>
      </c>
      <c r="H422" s="50">
        <f>IF($G422=0,0,IF(INDEX(Employees!$D$5:$D$29,$A422)="",0,DATEDIF(INDEX(Employees!$D$5:$D$29,$A422),$E422,"y")))</f>
        <v/>
      </c>
      <c r="I422" s="51">
        <f>IF($G422=0,0,IF(INDEX('Hours Worked'!$D$5:$BD$29,$A422,$B422)="",N(INDEX(Employees!$H$5:$H$29,$A422)),INDEX('Hours Worked'!$D$5:$BD$29,$A422,$B422)))</f>
        <v/>
      </c>
      <c r="J422" s="51">
        <f>IF(OR($G422=0,INDEX(Employees!$O$5:$O$29,$A422)&lt;&gt;"Yes"),0,IF(COUNTIF(Settings!$D$4:$D$9,"&lt;="&amp;$H422)=0,0,INDEX(Settings!$E$4:$E$9,COUNTIF(Settings!$D$4:$D$9,"&lt;="&amp;$H422))))</f>
        <v/>
      </c>
      <c r="K422" s="51">
        <f>IF($G422=0,0,IF(INDEX(Employees!$I$5:$I$29,$A422)="Per pay period",(N(INDEX(Employees!$J$5:$J$29,$A422))+$J422)/Settings!$B$13,IF(INDEX(Employees!$I$5:$I$29,$A422)="Per hour worked",N(INDEX(Employees!$K$5:$K$29,$A422))*$I422,IF(INDEX(Employees!$I$5:$I$29,$A422)="Front-loaded",IF(OR($B422=1,N($G421)=0),N(INDEX(Employees!$J$5:$J$29,$A422))+$J422,0),0))))</f>
        <v/>
      </c>
      <c r="L422" s="51">
        <f>IF($F422=0,0,SUMIFS('Time Off Log'!$H$5:$H$504,'Time Off Log'!$A$5:$A$504,$C422,'Time Off Log'!$B$5:$B$504,"PTO",'Time Off Log'!$E$5:$E$504,"Approved",'Time Off Log'!$C$5:$C$504,"&gt;="&amp;INDEX(Periods!$E$5:$E$57,$B422),'Time Off Log'!$C$5:$C$504,"&lt;="&amp;INDEX(Periods!$F$5:$F$57,$B422)))</f>
        <v/>
      </c>
      <c r="M422" s="51">
        <f>IF($B422=1,N(INDEX(Employees!$N$5:$N$29,$A422)),P421)</f>
        <v/>
      </c>
      <c r="N422" s="51">
        <f>IF(INDEX(Employees!$L$5:$L$29,$A422)="",K422,MAX(0,MIN(K422,INDEX(Employees!$L$5:$L$29,$A422)-(M422-L422))))</f>
        <v/>
      </c>
      <c r="O422" s="51">
        <f>K422-N422</f>
        <v/>
      </c>
      <c r="P422" s="51">
        <f>M422-L422+N422</f>
        <v/>
      </c>
      <c r="Q422" s="51">
        <f>IF($G422=0,0,IF(INDEX(Employees!$P$5:$P$29,$A422)="Per pay period",(N(INDEX(Employees!$Q$5:$Q$29,$A422)))/Settings!$B$13,IF(INDEX(Employees!$P$5:$P$29,$A422)="Per hour worked",N(INDEX(Employees!$R$5:$R$29,$A422))*$I422,IF(INDEX(Employees!$P$5:$P$29,$A422)="Front-loaded",IF(OR($B422=1,N($G421)=0),N(INDEX(Employees!$Q$5:$Q$29,$A422)),0),0))))</f>
        <v/>
      </c>
      <c r="R422" s="51">
        <f>IF($F422=0,0,SUMIFS('Time Off Log'!$H$5:$H$504,'Time Off Log'!$A$5:$A$504,$C422,'Time Off Log'!$B$5:$B$504,"Sick",'Time Off Log'!$E$5:$E$504,"Approved",'Time Off Log'!$C$5:$C$504,"&gt;="&amp;INDEX(Periods!$E$5:$E$57,$B422),'Time Off Log'!$C$5:$C$504,"&lt;="&amp;INDEX(Periods!$F$5:$F$57,$B422)))</f>
        <v/>
      </c>
      <c r="S422" s="51">
        <f>IF($B422=1,N(INDEX(Employees!$T$5:$T$29,$A422)),V421)</f>
        <v/>
      </c>
      <c r="T422" s="51">
        <f>IF(INDEX(Employees!$S$5:$S$29,$A422)="",Q422,MAX(0,MIN(Q422,INDEX(Employees!$S$5:$S$29,$A422)-(S422-R422))))</f>
        <v/>
      </c>
      <c r="U422" s="51">
        <f>Q422-T422</f>
        <v/>
      </c>
      <c r="V422" s="51">
        <f>S422-R422+T422</f>
        <v/>
      </c>
    </row>
    <row r="423">
      <c r="A423" s="50" t="n">
        <v>8</v>
      </c>
      <c r="B423" s="50" t="n">
        <v>48</v>
      </c>
      <c r="C423" s="51">
        <f>INDEX(Employees!$B$5:$B$29,$A423)&amp;""</f>
        <v/>
      </c>
      <c r="D423" s="52">
        <f>INDEX(Periods!$B$5:$B$57,$B423)</f>
        <v/>
      </c>
      <c r="E423" s="52">
        <f>INDEX(Periods!$C$5:$C$57,$B423)</f>
        <v/>
      </c>
      <c r="F423" s="50">
        <f>IF(AND($C423&lt;&gt;"",INDEX(Periods!$D$5:$D$57,$B423)=1),1,0)</f>
        <v/>
      </c>
      <c r="G423" s="50">
        <f>IF($F423=0,0,IF(AND(OR(INDEX(Employees!$D$5:$D$29,$A423)="",$E423&gt;=INDEX(Employees!$D$5:$D$29,$A423)+N(INDEX(Employees!$U$5:$U$29,$A423))),OR(INDEX(Employees!$E$5:$E$29,$A423)="",$D423&lt;=INDEX(Employees!$E$5:$E$29,$A423))),1,0))</f>
        <v/>
      </c>
      <c r="H423" s="50">
        <f>IF($G423=0,0,IF(INDEX(Employees!$D$5:$D$29,$A423)="",0,DATEDIF(INDEX(Employees!$D$5:$D$29,$A423),$E423,"y")))</f>
        <v/>
      </c>
      <c r="I423" s="51">
        <f>IF($G423=0,0,IF(INDEX('Hours Worked'!$D$5:$BD$29,$A423,$B423)="",N(INDEX(Employees!$H$5:$H$29,$A423)),INDEX('Hours Worked'!$D$5:$BD$29,$A423,$B423)))</f>
        <v/>
      </c>
      <c r="J423" s="51">
        <f>IF(OR($G423=0,INDEX(Employees!$O$5:$O$29,$A423)&lt;&gt;"Yes"),0,IF(COUNTIF(Settings!$D$4:$D$9,"&lt;="&amp;$H423)=0,0,INDEX(Settings!$E$4:$E$9,COUNTIF(Settings!$D$4:$D$9,"&lt;="&amp;$H423))))</f>
        <v/>
      </c>
      <c r="K423" s="51">
        <f>IF($G423=0,0,IF(INDEX(Employees!$I$5:$I$29,$A423)="Per pay period",(N(INDEX(Employees!$J$5:$J$29,$A423))+$J423)/Settings!$B$13,IF(INDEX(Employees!$I$5:$I$29,$A423)="Per hour worked",N(INDEX(Employees!$K$5:$K$29,$A423))*$I423,IF(INDEX(Employees!$I$5:$I$29,$A423)="Front-loaded",IF(OR($B423=1,N($G422)=0),N(INDEX(Employees!$J$5:$J$29,$A423))+$J423,0),0))))</f>
        <v/>
      </c>
      <c r="L423" s="51">
        <f>IF($F423=0,0,SUMIFS('Time Off Log'!$H$5:$H$504,'Time Off Log'!$A$5:$A$504,$C423,'Time Off Log'!$B$5:$B$504,"PTO",'Time Off Log'!$E$5:$E$504,"Approved",'Time Off Log'!$C$5:$C$504,"&gt;="&amp;INDEX(Periods!$E$5:$E$57,$B423),'Time Off Log'!$C$5:$C$504,"&lt;="&amp;INDEX(Periods!$F$5:$F$57,$B423)))</f>
        <v/>
      </c>
      <c r="M423" s="51">
        <f>IF($B423=1,N(INDEX(Employees!$N$5:$N$29,$A423)),P422)</f>
        <v/>
      </c>
      <c r="N423" s="51">
        <f>IF(INDEX(Employees!$L$5:$L$29,$A423)="",K423,MAX(0,MIN(K423,INDEX(Employees!$L$5:$L$29,$A423)-(M423-L423))))</f>
        <v/>
      </c>
      <c r="O423" s="51">
        <f>K423-N423</f>
        <v/>
      </c>
      <c r="P423" s="51">
        <f>M423-L423+N423</f>
        <v/>
      </c>
      <c r="Q423" s="51">
        <f>IF($G423=0,0,IF(INDEX(Employees!$P$5:$P$29,$A423)="Per pay period",(N(INDEX(Employees!$Q$5:$Q$29,$A423)))/Settings!$B$13,IF(INDEX(Employees!$P$5:$P$29,$A423)="Per hour worked",N(INDEX(Employees!$R$5:$R$29,$A423))*$I423,IF(INDEX(Employees!$P$5:$P$29,$A423)="Front-loaded",IF(OR($B423=1,N($G422)=0),N(INDEX(Employees!$Q$5:$Q$29,$A423)),0),0))))</f>
        <v/>
      </c>
      <c r="R423" s="51">
        <f>IF($F423=0,0,SUMIFS('Time Off Log'!$H$5:$H$504,'Time Off Log'!$A$5:$A$504,$C423,'Time Off Log'!$B$5:$B$504,"Sick",'Time Off Log'!$E$5:$E$504,"Approved",'Time Off Log'!$C$5:$C$504,"&gt;="&amp;INDEX(Periods!$E$5:$E$57,$B423),'Time Off Log'!$C$5:$C$504,"&lt;="&amp;INDEX(Periods!$F$5:$F$57,$B423)))</f>
        <v/>
      </c>
      <c r="S423" s="51">
        <f>IF($B423=1,N(INDEX(Employees!$T$5:$T$29,$A423)),V422)</f>
        <v/>
      </c>
      <c r="T423" s="51">
        <f>IF(INDEX(Employees!$S$5:$S$29,$A423)="",Q423,MAX(0,MIN(Q423,INDEX(Employees!$S$5:$S$29,$A423)-(S423-R423))))</f>
        <v/>
      </c>
      <c r="U423" s="51">
        <f>Q423-T423</f>
        <v/>
      </c>
      <c r="V423" s="51">
        <f>S423-R423+T423</f>
        <v/>
      </c>
    </row>
    <row r="424">
      <c r="A424" s="50" t="n">
        <v>8</v>
      </c>
      <c r="B424" s="50" t="n">
        <v>49</v>
      </c>
      <c r="C424" s="51">
        <f>INDEX(Employees!$B$5:$B$29,$A424)&amp;""</f>
        <v/>
      </c>
      <c r="D424" s="52">
        <f>INDEX(Periods!$B$5:$B$57,$B424)</f>
        <v/>
      </c>
      <c r="E424" s="52">
        <f>INDEX(Periods!$C$5:$C$57,$B424)</f>
        <v/>
      </c>
      <c r="F424" s="50">
        <f>IF(AND($C424&lt;&gt;"",INDEX(Periods!$D$5:$D$57,$B424)=1),1,0)</f>
        <v/>
      </c>
      <c r="G424" s="50">
        <f>IF($F424=0,0,IF(AND(OR(INDEX(Employees!$D$5:$D$29,$A424)="",$E424&gt;=INDEX(Employees!$D$5:$D$29,$A424)+N(INDEX(Employees!$U$5:$U$29,$A424))),OR(INDEX(Employees!$E$5:$E$29,$A424)="",$D424&lt;=INDEX(Employees!$E$5:$E$29,$A424))),1,0))</f>
        <v/>
      </c>
      <c r="H424" s="50">
        <f>IF($G424=0,0,IF(INDEX(Employees!$D$5:$D$29,$A424)="",0,DATEDIF(INDEX(Employees!$D$5:$D$29,$A424),$E424,"y")))</f>
        <v/>
      </c>
      <c r="I424" s="51">
        <f>IF($G424=0,0,IF(INDEX('Hours Worked'!$D$5:$BD$29,$A424,$B424)="",N(INDEX(Employees!$H$5:$H$29,$A424)),INDEX('Hours Worked'!$D$5:$BD$29,$A424,$B424)))</f>
        <v/>
      </c>
      <c r="J424" s="51">
        <f>IF(OR($G424=0,INDEX(Employees!$O$5:$O$29,$A424)&lt;&gt;"Yes"),0,IF(COUNTIF(Settings!$D$4:$D$9,"&lt;="&amp;$H424)=0,0,INDEX(Settings!$E$4:$E$9,COUNTIF(Settings!$D$4:$D$9,"&lt;="&amp;$H424))))</f>
        <v/>
      </c>
      <c r="K424" s="51">
        <f>IF($G424=0,0,IF(INDEX(Employees!$I$5:$I$29,$A424)="Per pay period",(N(INDEX(Employees!$J$5:$J$29,$A424))+$J424)/Settings!$B$13,IF(INDEX(Employees!$I$5:$I$29,$A424)="Per hour worked",N(INDEX(Employees!$K$5:$K$29,$A424))*$I424,IF(INDEX(Employees!$I$5:$I$29,$A424)="Front-loaded",IF(OR($B424=1,N($G423)=0),N(INDEX(Employees!$J$5:$J$29,$A424))+$J424,0),0))))</f>
        <v/>
      </c>
      <c r="L424" s="51">
        <f>IF($F424=0,0,SUMIFS('Time Off Log'!$H$5:$H$504,'Time Off Log'!$A$5:$A$504,$C424,'Time Off Log'!$B$5:$B$504,"PTO",'Time Off Log'!$E$5:$E$504,"Approved",'Time Off Log'!$C$5:$C$504,"&gt;="&amp;INDEX(Periods!$E$5:$E$57,$B424),'Time Off Log'!$C$5:$C$504,"&lt;="&amp;INDEX(Periods!$F$5:$F$57,$B424)))</f>
        <v/>
      </c>
      <c r="M424" s="51">
        <f>IF($B424=1,N(INDEX(Employees!$N$5:$N$29,$A424)),P423)</f>
        <v/>
      </c>
      <c r="N424" s="51">
        <f>IF(INDEX(Employees!$L$5:$L$29,$A424)="",K424,MAX(0,MIN(K424,INDEX(Employees!$L$5:$L$29,$A424)-(M424-L424))))</f>
        <v/>
      </c>
      <c r="O424" s="51">
        <f>K424-N424</f>
        <v/>
      </c>
      <c r="P424" s="51">
        <f>M424-L424+N424</f>
        <v/>
      </c>
      <c r="Q424" s="51">
        <f>IF($G424=0,0,IF(INDEX(Employees!$P$5:$P$29,$A424)="Per pay period",(N(INDEX(Employees!$Q$5:$Q$29,$A424)))/Settings!$B$13,IF(INDEX(Employees!$P$5:$P$29,$A424)="Per hour worked",N(INDEX(Employees!$R$5:$R$29,$A424))*$I424,IF(INDEX(Employees!$P$5:$P$29,$A424)="Front-loaded",IF(OR($B424=1,N($G423)=0),N(INDEX(Employees!$Q$5:$Q$29,$A424)),0),0))))</f>
        <v/>
      </c>
      <c r="R424" s="51">
        <f>IF($F424=0,0,SUMIFS('Time Off Log'!$H$5:$H$504,'Time Off Log'!$A$5:$A$504,$C424,'Time Off Log'!$B$5:$B$504,"Sick",'Time Off Log'!$E$5:$E$504,"Approved",'Time Off Log'!$C$5:$C$504,"&gt;="&amp;INDEX(Periods!$E$5:$E$57,$B424),'Time Off Log'!$C$5:$C$504,"&lt;="&amp;INDEX(Periods!$F$5:$F$57,$B424)))</f>
        <v/>
      </c>
      <c r="S424" s="51">
        <f>IF($B424=1,N(INDEX(Employees!$T$5:$T$29,$A424)),V423)</f>
        <v/>
      </c>
      <c r="T424" s="51">
        <f>IF(INDEX(Employees!$S$5:$S$29,$A424)="",Q424,MAX(0,MIN(Q424,INDEX(Employees!$S$5:$S$29,$A424)-(S424-R424))))</f>
        <v/>
      </c>
      <c r="U424" s="51">
        <f>Q424-T424</f>
        <v/>
      </c>
      <c r="V424" s="51">
        <f>S424-R424+T424</f>
        <v/>
      </c>
    </row>
    <row r="425">
      <c r="A425" s="50" t="n">
        <v>8</v>
      </c>
      <c r="B425" s="50" t="n">
        <v>50</v>
      </c>
      <c r="C425" s="51">
        <f>INDEX(Employees!$B$5:$B$29,$A425)&amp;""</f>
        <v/>
      </c>
      <c r="D425" s="52">
        <f>INDEX(Periods!$B$5:$B$57,$B425)</f>
        <v/>
      </c>
      <c r="E425" s="52">
        <f>INDEX(Periods!$C$5:$C$57,$B425)</f>
        <v/>
      </c>
      <c r="F425" s="50">
        <f>IF(AND($C425&lt;&gt;"",INDEX(Periods!$D$5:$D$57,$B425)=1),1,0)</f>
        <v/>
      </c>
      <c r="G425" s="50">
        <f>IF($F425=0,0,IF(AND(OR(INDEX(Employees!$D$5:$D$29,$A425)="",$E425&gt;=INDEX(Employees!$D$5:$D$29,$A425)+N(INDEX(Employees!$U$5:$U$29,$A425))),OR(INDEX(Employees!$E$5:$E$29,$A425)="",$D425&lt;=INDEX(Employees!$E$5:$E$29,$A425))),1,0))</f>
        <v/>
      </c>
      <c r="H425" s="50">
        <f>IF($G425=0,0,IF(INDEX(Employees!$D$5:$D$29,$A425)="",0,DATEDIF(INDEX(Employees!$D$5:$D$29,$A425),$E425,"y")))</f>
        <v/>
      </c>
      <c r="I425" s="51">
        <f>IF($G425=0,0,IF(INDEX('Hours Worked'!$D$5:$BD$29,$A425,$B425)="",N(INDEX(Employees!$H$5:$H$29,$A425)),INDEX('Hours Worked'!$D$5:$BD$29,$A425,$B425)))</f>
        <v/>
      </c>
      <c r="J425" s="51">
        <f>IF(OR($G425=0,INDEX(Employees!$O$5:$O$29,$A425)&lt;&gt;"Yes"),0,IF(COUNTIF(Settings!$D$4:$D$9,"&lt;="&amp;$H425)=0,0,INDEX(Settings!$E$4:$E$9,COUNTIF(Settings!$D$4:$D$9,"&lt;="&amp;$H425))))</f>
        <v/>
      </c>
      <c r="K425" s="51">
        <f>IF($G425=0,0,IF(INDEX(Employees!$I$5:$I$29,$A425)="Per pay period",(N(INDEX(Employees!$J$5:$J$29,$A425))+$J425)/Settings!$B$13,IF(INDEX(Employees!$I$5:$I$29,$A425)="Per hour worked",N(INDEX(Employees!$K$5:$K$29,$A425))*$I425,IF(INDEX(Employees!$I$5:$I$29,$A425)="Front-loaded",IF(OR($B425=1,N($G424)=0),N(INDEX(Employees!$J$5:$J$29,$A425))+$J425,0),0))))</f>
        <v/>
      </c>
      <c r="L425" s="51">
        <f>IF($F425=0,0,SUMIFS('Time Off Log'!$H$5:$H$504,'Time Off Log'!$A$5:$A$504,$C425,'Time Off Log'!$B$5:$B$504,"PTO",'Time Off Log'!$E$5:$E$504,"Approved",'Time Off Log'!$C$5:$C$504,"&gt;="&amp;INDEX(Periods!$E$5:$E$57,$B425),'Time Off Log'!$C$5:$C$504,"&lt;="&amp;INDEX(Periods!$F$5:$F$57,$B425)))</f>
        <v/>
      </c>
      <c r="M425" s="51">
        <f>IF($B425=1,N(INDEX(Employees!$N$5:$N$29,$A425)),P424)</f>
        <v/>
      </c>
      <c r="N425" s="51">
        <f>IF(INDEX(Employees!$L$5:$L$29,$A425)="",K425,MAX(0,MIN(K425,INDEX(Employees!$L$5:$L$29,$A425)-(M425-L425))))</f>
        <v/>
      </c>
      <c r="O425" s="51">
        <f>K425-N425</f>
        <v/>
      </c>
      <c r="P425" s="51">
        <f>M425-L425+N425</f>
        <v/>
      </c>
      <c r="Q425" s="51">
        <f>IF($G425=0,0,IF(INDEX(Employees!$P$5:$P$29,$A425)="Per pay period",(N(INDEX(Employees!$Q$5:$Q$29,$A425)))/Settings!$B$13,IF(INDEX(Employees!$P$5:$P$29,$A425)="Per hour worked",N(INDEX(Employees!$R$5:$R$29,$A425))*$I425,IF(INDEX(Employees!$P$5:$P$29,$A425)="Front-loaded",IF(OR($B425=1,N($G424)=0),N(INDEX(Employees!$Q$5:$Q$29,$A425)),0),0))))</f>
        <v/>
      </c>
      <c r="R425" s="51">
        <f>IF($F425=0,0,SUMIFS('Time Off Log'!$H$5:$H$504,'Time Off Log'!$A$5:$A$504,$C425,'Time Off Log'!$B$5:$B$504,"Sick",'Time Off Log'!$E$5:$E$504,"Approved",'Time Off Log'!$C$5:$C$504,"&gt;="&amp;INDEX(Periods!$E$5:$E$57,$B425),'Time Off Log'!$C$5:$C$504,"&lt;="&amp;INDEX(Periods!$F$5:$F$57,$B425)))</f>
        <v/>
      </c>
      <c r="S425" s="51">
        <f>IF($B425=1,N(INDEX(Employees!$T$5:$T$29,$A425)),V424)</f>
        <v/>
      </c>
      <c r="T425" s="51">
        <f>IF(INDEX(Employees!$S$5:$S$29,$A425)="",Q425,MAX(0,MIN(Q425,INDEX(Employees!$S$5:$S$29,$A425)-(S425-R425))))</f>
        <v/>
      </c>
      <c r="U425" s="51">
        <f>Q425-T425</f>
        <v/>
      </c>
      <c r="V425" s="51">
        <f>S425-R425+T425</f>
        <v/>
      </c>
    </row>
    <row r="426">
      <c r="A426" s="50" t="n">
        <v>8</v>
      </c>
      <c r="B426" s="50" t="n">
        <v>51</v>
      </c>
      <c r="C426" s="51">
        <f>INDEX(Employees!$B$5:$B$29,$A426)&amp;""</f>
        <v/>
      </c>
      <c r="D426" s="52">
        <f>INDEX(Periods!$B$5:$B$57,$B426)</f>
        <v/>
      </c>
      <c r="E426" s="52">
        <f>INDEX(Periods!$C$5:$C$57,$B426)</f>
        <v/>
      </c>
      <c r="F426" s="50">
        <f>IF(AND($C426&lt;&gt;"",INDEX(Periods!$D$5:$D$57,$B426)=1),1,0)</f>
        <v/>
      </c>
      <c r="G426" s="50">
        <f>IF($F426=0,0,IF(AND(OR(INDEX(Employees!$D$5:$D$29,$A426)="",$E426&gt;=INDEX(Employees!$D$5:$D$29,$A426)+N(INDEX(Employees!$U$5:$U$29,$A426))),OR(INDEX(Employees!$E$5:$E$29,$A426)="",$D426&lt;=INDEX(Employees!$E$5:$E$29,$A426))),1,0))</f>
        <v/>
      </c>
      <c r="H426" s="50">
        <f>IF($G426=0,0,IF(INDEX(Employees!$D$5:$D$29,$A426)="",0,DATEDIF(INDEX(Employees!$D$5:$D$29,$A426),$E426,"y")))</f>
        <v/>
      </c>
      <c r="I426" s="51">
        <f>IF($G426=0,0,IF(INDEX('Hours Worked'!$D$5:$BD$29,$A426,$B426)="",N(INDEX(Employees!$H$5:$H$29,$A426)),INDEX('Hours Worked'!$D$5:$BD$29,$A426,$B426)))</f>
        <v/>
      </c>
      <c r="J426" s="51">
        <f>IF(OR($G426=0,INDEX(Employees!$O$5:$O$29,$A426)&lt;&gt;"Yes"),0,IF(COUNTIF(Settings!$D$4:$D$9,"&lt;="&amp;$H426)=0,0,INDEX(Settings!$E$4:$E$9,COUNTIF(Settings!$D$4:$D$9,"&lt;="&amp;$H426))))</f>
        <v/>
      </c>
      <c r="K426" s="51">
        <f>IF($G426=0,0,IF(INDEX(Employees!$I$5:$I$29,$A426)="Per pay period",(N(INDEX(Employees!$J$5:$J$29,$A426))+$J426)/Settings!$B$13,IF(INDEX(Employees!$I$5:$I$29,$A426)="Per hour worked",N(INDEX(Employees!$K$5:$K$29,$A426))*$I426,IF(INDEX(Employees!$I$5:$I$29,$A426)="Front-loaded",IF(OR($B426=1,N($G425)=0),N(INDEX(Employees!$J$5:$J$29,$A426))+$J426,0),0))))</f>
        <v/>
      </c>
      <c r="L426" s="51">
        <f>IF($F426=0,0,SUMIFS('Time Off Log'!$H$5:$H$504,'Time Off Log'!$A$5:$A$504,$C426,'Time Off Log'!$B$5:$B$504,"PTO",'Time Off Log'!$E$5:$E$504,"Approved",'Time Off Log'!$C$5:$C$504,"&gt;="&amp;INDEX(Periods!$E$5:$E$57,$B426),'Time Off Log'!$C$5:$C$504,"&lt;="&amp;INDEX(Periods!$F$5:$F$57,$B426)))</f>
        <v/>
      </c>
      <c r="M426" s="51">
        <f>IF($B426=1,N(INDEX(Employees!$N$5:$N$29,$A426)),P425)</f>
        <v/>
      </c>
      <c r="N426" s="51">
        <f>IF(INDEX(Employees!$L$5:$L$29,$A426)="",K426,MAX(0,MIN(K426,INDEX(Employees!$L$5:$L$29,$A426)-(M426-L426))))</f>
        <v/>
      </c>
      <c r="O426" s="51">
        <f>K426-N426</f>
        <v/>
      </c>
      <c r="P426" s="51">
        <f>M426-L426+N426</f>
        <v/>
      </c>
      <c r="Q426" s="51">
        <f>IF($G426=0,0,IF(INDEX(Employees!$P$5:$P$29,$A426)="Per pay period",(N(INDEX(Employees!$Q$5:$Q$29,$A426)))/Settings!$B$13,IF(INDEX(Employees!$P$5:$P$29,$A426)="Per hour worked",N(INDEX(Employees!$R$5:$R$29,$A426))*$I426,IF(INDEX(Employees!$P$5:$P$29,$A426)="Front-loaded",IF(OR($B426=1,N($G425)=0),N(INDEX(Employees!$Q$5:$Q$29,$A426)),0),0))))</f>
        <v/>
      </c>
      <c r="R426" s="51">
        <f>IF($F426=0,0,SUMIFS('Time Off Log'!$H$5:$H$504,'Time Off Log'!$A$5:$A$504,$C426,'Time Off Log'!$B$5:$B$504,"Sick",'Time Off Log'!$E$5:$E$504,"Approved",'Time Off Log'!$C$5:$C$504,"&gt;="&amp;INDEX(Periods!$E$5:$E$57,$B426),'Time Off Log'!$C$5:$C$504,"&lt;="&amp;INDEX(Periods!$F$5:$F$57,$B426)))</f>
        <v/>
      </c>
      <c r="S426" s="51">
        <f>IF($B426=1,N(INDEX(Employees!$T$5:$T$29,$A426)),V425)</f>
        <v/>
      </c>
      <c r="T426" s="51">
        <f>IF(INDEX(Employees!$S$5:$S$29,$A426)="",Q426,MAX(0,MIN(Q426,INDEX(Employees!$S$5:$S$29,$A426)-(S426-R426))))</f>
        <v/>
      </c>
      <c r="U426" s="51">
        <f>Q426-T426</f>
        <v/>
      </c>
      <c r="V426" s="51">
        <f>S426-R426+T426</f>
        <v/>
      </c>
    </row>
    <row r="427">
      <c r="A427" s="50" t="n">
        <v>8</v>
      </c>
      <c r="B427" s="50" t="n">
        <v>52</v>
      </c>
      <c r="C427" s="51">
        <f>INDEX(Employees!$B$5:$B$29,$A427)&amp;""</f>
        <v/>
      </c>
      <c r="D427" s="52">
        <f>INDEX(Periods!$B$5:$B$57,$B427)</f>
        <v/>
      </c>
      <c r="E427" s="52">
        <f>INDEX(Periods!$C$5:$C$57,$B427)</f>
        <v/>
      </c>
      <c r="F427" s="50">
        <f>IF(AND($C427&lt;&gt;"",INDEX(Periods!$D$5:$D$57,$B427)=1),1,0)</f>
        <v/>
      </c>
      <c r="G427" s="50">
        <f>IF($F427=0,0,IF(AND(OR(INDEX(Employees!$D$5:$D$29,$A427)="",$E427&gt;=INDEX(Employees!$D$5:$D$29,$A427)+N(INDEX(Employees!$U$5:$U$29,$A427))),OR(INDEX(Employees!$E$5:$E$29,$A427)="",$D427&lt;=INDEX(Employees!$E$5:$E$29,$A427))),1,0))</f>
        <v/>
      </c>
      <c r="H427" s="50">
        <f>IF($G427=0,0,IF(INDEX(Employees!$D$5:$D$29,$A427)="",0,DATEDIF(INDEX(Employees!$D$5:$D$29,$A427),$E427,"y")))</f>
        <v/>
      </c>
      <c r="I427" s="51">
        <f>IF($G427=0,0,IF(INDEX('Hours Worked'!$D$5:$BD$29,$A427,$B427)="",N(INDEX(Employees!$H$5:$H$29,$A427)),INDEX('Hours Worked'!$D$5:$BD$29,$A427,$B427)))</f>
        <v/>
      </c>
      <c r="J427" s="51">
        <f>IF(OR($G427=0,INDEX(Employees!$O$5:$O$29,$A427)&lt;&gt;"Yes"),0,IF(COUNTIF(Settings!$D$4:$D$9,"&lt;="&amp;$H427)=0,0,INDEX(Settings!$E$4:$E$9,COUNTIF(Settings!$D$4:$D$9,"&lt;="&amp;$H427))))</f>
        <v/>
      </c>
      <c r="K427" s="51">
        <f>IF($G427=0,0,IF(INDEX(Employees!$I$5:$I$29,$A427)="Per pay period",(N(INDEX(Employees!$J$5:$J$29,$A427))+$J427)/Settings!$B$13,IF(INDEX(Employees!$I$5:$I$29,$A427)="Per hour worked",N(INDEX(Employees!$K$5:$K$29,$A427))*$I427,IF(INDEX(Employees!$I$5:$I$29,$A427)="Front-loaded",IF(OR($B427=1,N($G426)=0),N(INDEX(Employees!$J$5:$J$29,$A427))+$J427,0),0))))</f>
        <v/>
      </c>
      <c r="L427" s="51">
        <f>IF($F427=0,0,SUMIFS('Time Off Log'!$H$5:$H$504,'Time Off Log'!$A$5:$A$504,$C427,'Time Off Log'!$B$5:$B$504,"PTO",'Time Off Log'!$E$5:$E$504,"Approved",'Time Off Log'!$C$5:$C$504,"&gt;="&amp;INDEX(Periods!$E$5:$E$57,$B427),'Time Off Log'!$C$5:$C$504,"&lt;="&amp;INDEX(Periods!$F$5:$F$57,$B427)))</f>
        <v/>
      </c>
      <c r="M427" s="51">
        <f>IF($B427=1,N(INDEX(Employees!$N$5:$N$29,$A427)),P426)</f>
        <v/>
      </c>
      <c r="N427" s="51">
        <f>IF(INDEX(Employees!$L$5:$L$29,$A427)="",K427,MAX(0,MIN(K427,INDEX(Employees!$L$5:$L$29,$A427)-(M427-L427))))</f>
        <v/>
      </c>
      <c r="O427" s="51">
        <f>K427-N427</f>
        <v/>
      </c>
      <c r="P427" s="51">
        <f>M427-L427+N427</f>
        <v/>
      </c>
      <c r="Q427" s="51">
        <f>IF($G427=0,0,IF(INDEX(Employees!$P$5:$P$29,$A427)="Per pay period",(N(INDEX(Employees!$Q$5:$Q$29,$A427)))/Settings!$B$13,IF(INDEX(Employees!$P$5:$P$29,$A427)="Per hour worked",N(INDEX(Employees!$R$5:$R$29,$A427))*$I427,IF(INDEX(Employees!$P$5:$P$29,$A427)="Front-loaded",IF(OR($B427=1,N($G426)=0),N(INDEX(Employees!$Q$5:$Q$29,$A427)),0),0))))</f>
        <v/>
      </c>
      <c r="R427" s="51">
        <f>IF($F427=0,0,SUMIFS('Time Off Log'!$H$5:$H$504,'Time Off Log'!$A$5:$A$504,$C427,'Time Off Log'!$B$5:$B$504,"Sick",'Time Off Log'!$E$5:$E$504,"Approved",'Time Off Log'!$C$5:$C$504,"&gt;="&amp;INDEX(Periods!$E$5:$E$57,$B427),'Time Off Log'!$C$5:$C$504,"&lt;="&amp;INDEX(Periods!$F$5:$F$57,$B427)))</f>
        <v/>
      </c>
      <c r="S427" s="51">
        <f>IF($B427=1,N(INDEX(Employees!$T$5:$T$29,$A427)),V426)</f>
        <v/>
      </c>
      <c r="T427" s="51">
        <f>IF(INDEX(Employees!$S$5:$S$29,$A427)="",Q427,MAX(0,MIN(Q427,INDEX(Employees!$S$5:$S$29,$A427)-(S427-R427))))</f>
        <v/>
      </c>
      <c r="U427" s="51">
        <f>Q427-T427</f>
        <v/>
      </c>
      <c r="V427" s="51">
        <f>S427-R427+T427</f>
        <v/>
      </c>
    </row>
    <row r="428">
      <c r="A428" s="50" t="n">
        <v>8</v>
      </c>
      <c r="B428" s="50" t="n">
        <v>53</v>
      </c>
      <c r="C428" s="51">
        <f>INDEX(Employees!$B$5:$B$29,$A428)&amp;""</f>
        <v/>
      </c>
      <c r="D428" s="52">
        <f>INDEX(Periods!$B$5:$B$57,$B428)</f>
        <v/>
      </c>
      <c r="E428" s="52">
        <f>INDEX(Periods!$C$5:$C$57,$B428)</f>
        <v/>
      </c>
      <c r="F428" s="50">
        <f>IF(AND($C428&lt;&gt;"",INDEX(Periods!$D$5:$D$57,$B428)=1),1,0)</f>
        <v/>
      </c>
      <c r="G428" s="50">
        <f>IF($F428=0,0,IF(AND(OR(INDEX(Employees!$D$5:$D$29,$A428)="",$E428&gt;=INDEX(Employees!$D$5:$D$29,$A428)+N(INDEX(Employees!$U$5:$U$29,$A428))),OR(INDEX(Employees!$E$5:$E$29,$A428)="",$D428&lt;=INDEX(Employees!$E$5:$E$29,$A428))),1,0))</f>
        <v/>
      </c>
      <c r="H428" s="50">
        <f>IF($G428=0,0,IF(INDEX(Employees!$D$5:$D$29,$A428)="",0,DATEDIF(INDEX(Employees!$D$5:$D$29,$A428),$E428,"y")))</f>
        <v/>
      </c>
      <c r="I428" s="51">
        <f>IF($G428=0,0,IF(INDEX('Hours Worked'!$D$5:$BD$29,$A428,$B428)="",N(INDEX(Employees!$H$5:$H$29,$A428)),INDEX('Hours Worked'!$D$5:$BD$29,$A428,$B428)))</f>
        <v/>
      </c>
      <c r="J428" s="51">
        <f>IF(OR($G428=0,INDEX(Employees!$O$5:$O$29,$A428)&lt;&gt;"Yes"),0,IF(COUNTIF(Settings!$D$4:$D$9,"&lt;="&amp;$H428)=0,0,INDEX(Settings!$E$4:$E$9,COUNTIF(Settings!$D$4:$D$9,"&lt;="&amp;$H428))))</f>
        <v/>
      </c>
      <c r="K428" s="51">
        <f>IF($G428=0,0,IF(INDEX(Employees!$I$5:$I$29,$A428)="Per pay period",(N(INDEX(Employees!$J$5:$J$29,$A428))+$J428)/Settings!$B$13,IF(INDEX(Employees!$I$5:$I$29,$A428)="Per hour worked",N(INDEX(Employees!$K$5:$K$29,$A428))*$I428,IF(INDEX(Employees!$I$5:$I$29,$A428)="Front-loaded",IF(OR($B428=1,N($G427)=0),N(INDEX(Employees!$J$5:$J$29,$A428))+$J428,0),0))))</f>
        <v/>
      </c>
      <c r="L428" s="51">
        <f>IF($F428=0,0,SUMIFS('Time Off Log'!$H$5:$H$504,'Time Off Log'!$A$5:$A$504,$C428,'Time Off Log'!$B$5:$B$504,"PTO",'Time Off Log'!$E$5:$E$504,"Approved",'Time Off Log'!$C$5:$C$504,"&gt;="&amp;INDEX(Periods!$E$5:$E$57,$B428),'Time Off Log'!$C$5:$C$504,"&lt;="&amp;INDEX(Periods!$F$5:$F$57,$B428)))</f>
        <v/>
      </c>
      <c r="M428" s="51">
        <f>IF($B428=1,N(INDEX(Employees!$N$5:$N$29,$A428)),P427)</f>
        <v/>
      </c>
      <c r="N428" s="51">
        <f>IF(INDEX(Employees!$L$5:$L$29,$A428)="",K428,MAX(0,MIN(K428,INDEX(Employees!$L$5:$L$29,$A428)-(M428-L428))))</f>
        <v/>
      </c>
      <c r="O428" s="51">
        <f>K428-N428</f>
        <v/>
      </c>
      <c r="P428" s="51">
        <f>M428-L428+N428</f>
        <v/>
      </c>
      <c r="Q428" s="51">
        <f>IF($G428=0,0,IF(INDEX(Employees!$P$5:$P$29,$A428)="Per pay period",(N(INDEX(Employees!$Q$5:$Q$29,$A428)))/Settings!$B$13,IF(INDEX(Employees!$P$5:$P$29,$A428)="Per hour worked",N(INDEX(Employees!$R$5:$R$29,$A428))*$I428,IF(INDEX(Employees!$P$5:$P$29,$A428)="Front-loaded",IF(OR($B428=1,N($G427)=0),N(INDEX(Employees!$Q$5:$Q$29,$A428)),0),0))))</f>
        <v/>
      </c>
      <c r="R428" s="51">
        <f>IF($F428=0,0,SUMIFS('Time Off Log'!$H$5:$H$504,'Time Off Log'!$A$5:$A$504,$C428,'Time Off Log'!$B$5:$B$504,"Sick",'Time Off Log'!$E$5:$E$504,"Approved",'Time Off Log'!$C$5:$C$504,"&gt;="&amp;INDEX(Periods!$E$5:$E$57,$B428),'Time Off Log'!$C$5:$C$504,"&lt;="&amp;INDEX(Periods!$F$5:$F$57,$B428)))</f>
        <v/>
      </c>
      <c r="S428" s="51">
        <f>IF($B428=1,N(INDEX(Employees!$T$5:$T$29,$A428)),V427)</f>
        <v/>
      </c>
      <c r="T428" s="51">
        <f>IF(INDEX(Employees!$S$5:$S$29,$A428)="",Q428,MAX(0,MIN(Q428,INDEX(Employees!$S$5:$S$29,$A428)-(S428-R428))))</f>
        <v/>
      </c>
      <c r="U428" s="51">
        <f>Q428-T428</f>
        <v/>
      </c>
      <c r="V428" s="51">
        <f>S428-R428+T428</f>
        <v/>
      </c>
    </row>
    <row r="429">
      <c r="A429" s="47" t="n">
        <v>9</v>
      </c>
      <c r="B429" s="47" t="n">
        <v>1</v>
      </c>
      <c r="C429" s="48">
        <f>INDEX(Employees!$B$5:$B$29,$A429)&amp;""</f>
        <v/>
      </c>
      <c r="D429" s="49">
        <f>INDEX(Periods!$B$5:$B$57,$B429)</f>
        <v/>
      </c>
      <c r="E429" s="49">
        <f>INDEX(Periods!$C$5:$C$57,$B429)</f>
        <v/>
      </c>
      <c r="F429" s="47">
        <f>IF(AND($C429&lt;&gt;"",INDEX(Periods!$D$5:$D$57,$B429)=1),1,0)</f>
        <v/>
      </c>
      <c r="G429" s="47">
        <f>IF($F429=0,0,IF(AND(OR(INDEX(Employees!$D$5:$D$29,$A429)="",$E429&gt;=INDEX(Employees!$D$5:$D$29,$A429)+N(INDEX(Employees!$U$5:$U$29,$A429))),OR(INDEX(Employees!$E$5:$E$29,$A429)="",$D429&lt;=INDEX(Employees!$E$5:$E$29,$A429))),1,0))</f>
        <v/>
      </c>
      <c r="H429" s="47">
        <f>IF($G429=0,0,IF(INDEX(Employees!$D$5:$D$29,$A429)="",0,DATEDIF(INDEX(Employees!$D$5:$D$29,$A429),$E429,"y")))</f>
        <v/>
      </c>
      <c r="I429" s="48">
        <f>IF($G429=0,0,IF(INDEX('Hours Worked'!$D$5:$BD$29,$A429,$B429)="",N(INDEX(Employees!$H$5:$H$29,$A429)),INDEX('Hours Worked'!$D$5:$BD$29,$A429,$B429)))</f>
        <v/>
      </c>
      <c r="J429" s="48">
        <f>IF(OR($G429=0,INDEX(Employees!$O$5:$O$29,$A429)&lt;&gt;"Yes"),0,IF(COUNTIF(Settings!$D$4:$D$9,"&lt;="&amp;$H429)=0,0,INDEX(Settings!$E$4:$E$9,COUNTIF(Settings!$D$4:$D$9,"&lt;="&amp;$H429))))</f>
        <v/>
      </c>
      <c r="K429" s="48">
        <f>IF($G429=0,0,IF(INDEX(Employees!$I$5:$I$29,$A429)="Per pay period",(N(INDEX(Employees!$J$5:$J$29,$A429))+$J429)/Settings!$B$13,IF(INDEX(Employees!$I$5:$I$29,$A429)="Per hour worked",N(INDEX(Employees!$K$5:$K$29,$A429))*$I429,IF(INDEX(Employees!$I$5:$I$29,$A429)="Front-loaded",IF(OR($B429=1,N($G428)=0),N(INDEX(Employees!$J$5:$J$29,$A429))+$J429,0),0))))</f>
        <v/>
      </c>
      <c r="L429" s="48">
        <f>IF($F429=0,0,SUMIFS('Time Off Log'!$H$5:$H$504,'Time Off Log'!$A$5:$A$504,$C429,'Time Off Log'!$B$5:$B$504,"PTO",'Time Off Log'!$E$5:$E$504,"Approved",'Time Off Log'!$C$5:$C$504,"&gt;="&amp;INDEX(Periods!$E$5:$E$57,$B429),'Time Off Log'!$C$5:$C$504,"&lt;="&amp;INDEX(Periods!$F$5:$F$57,$B429)))</f>
        <v/>
      </c>
      <c r="M429" s="48">
        <f>N(INDEX(Employees!$N$5:$N$29,$A429))</f>
        <v/>
      </c>
      <c r="N429" s="48">
        <f>IF(INDEX(Employees!$L$5:$L$29,$A429)="",K429,MAX(0,MIN(K429,INDEX(Employees!$L$5:$L$29,$A429)-(M429-L429))))</f>
        <v/>
      </c>
      <c r="O429" s="48">
        <f>K429-N429</f>
        <v/>
      </c>
      <c r="P429" s="48">
        <f>M429-L429+N429</f>
        <v/>
      </c>
      <c r="Q429" s="48">
        <f>IF($G429=0,0,IF(INDEX(Employees!$P$5:$P$29,$A429)="Per pay period",(N(INDEX(Employees!$Q$5:$Q$29,$A429)))/Settings!$B$13,IF(INDEX(Employees!$P$5:$P$29,$A429)="Per hour worked",N(INDEX(Employees!$R$5:$R$29,$A429))*$I429,IF(INDEX(Employees!$P$5:$P$29,$A429)="Front-loaded",IF(OR($B429=1,N($G428)=0),N(INDEX(Employees!$Q$5:$Q$29,$A429)),0),0))))</f>
        <v/>
      </c>
      <c r="R429" s="48">
        <f>IF($F429=0,0,SUMIFS('Time Off Log'!$H$5:$H$504,'Time Off Log'!$A$5:$A$504,$C429,'Time Off Log'!$B$5:$B$504,"Sick",'Time Off Log'!$E$5:$E$504,"Approved",'Time Off Log'!$C$5:$C$504,"&gt;="&amp;INDEX(Periods!$E$5:$E$57,$B429),'Time Off Log'!$C$5:$C$504,"&lt;="&amp;INDEX(Periods!$F$5:$F$57,$B429)))</f>
        <v/>
      </c>
      <c r="S429" s="48">
        <f>N(INDEX(Employees!$T$5:$T$29,$A429))</f>
        <v/>
      </c>
      <c r="T429" s="48">
        <f>IF(INDEX(Employees!$S$5:$S$29,$A429)="",Q429,MAX(0,MIN(Q429,INDEX(Employees!$S$5:$S$29,$A429)-(S429-R429))))</f>
        <v/>
      </c>
      <c r="U429" s="48">
        <f>Q429-T429</f>
        <v/>
      </c>
      <c r="V429" s="48">
        <f>S429-R429+T429</f>
        <v/>
      </c>
    </row>
    <row r="430">
      <c r="A430" s="47" t="n">
        <v>9</v>
      </c>
      <c r="B430" s="47" t="n">
        <v>2</v>
      </c>
      <c r="C430" s="48">
        <f>INDEX(Employees!$B$5:$B$29,$A430)&amp;""</f>
        <v/>
      </c>
      <c r="D430" s="49">
        <f>INDEX(Periods!$B$5:$B$57,$B430)</f>
        <v/>
      </c>
      <c r="E430" s="49">
        <f>INDEX(Periods!$C$5:$C$57,$B430)</f>
        <v/>
      </c>
      <c r="F430" s="47">
        <f>IF(AND($C430&lt;&gt;"",INDEX(Periods!$D$5:$D$57,$B430)=1),1,0)</f>
        <v/>
      </c>
      <c r="G430" s="47">
        <f>IF($F430=0,0,IF(AND(OR(INDEX(Employees!$D$5:$D$29,$A430)="",$E430&gt;=INDEX(Employees!$D$5:$D$29,$A430)+N(INDEX(Employees!$U$5:$U$29,$A430))),OR(INDEX(Employees!$E$5:$E$29,$A430)="",$D430&lt;=INDEX(Employees!$E$5:$E$29,$A430))),1,0))</f>
        <v/>
      </c>
      <c r="H430" s="47">
        <f>IF($G430=0,0,IF(INDEX(Employees!$D$5:$D$29,$A430)="",0,DATEDIF(INDEX(Employees!$D$5:$D$29,$A430),$E430,"y")))</f>
        <v/>
      </c>
      <c r="I430" s="48">
        <f>IF($G430=0,0,IF(INDEX('Hours Worked'!$D$5:$BD$29,$A430,$B430)="",N(INDEX(Employees!$H$5:$H$29,$A430)),INDEX('Hours Worked'!$D$5:$BD$29,$A430,$B430)))</f>
        <v/>
      </c>
      <c r="J430" s="48">
        <f>IF(OR($G430=0,INDEX(Employees!$O$5:$O$29,$A430)&lt;&gt;"Yes"),0,IF(COUNTIF(Settings!$D$4:$D$9,"&lt;="&amp;$H430)=0,0,INDEX(Settings!$E$4:$E$9,COUNTIF(Settings!$D$4:$D$9,"&lt;="&amp;$H430))))</f>
        <v/>
      </c>
      <c r="K430" s="48">
        <f>IF($G430=0,0,IF(INDEX(Employees!$I$5:$I$29,$A430)="Per pay period",(N(INDEX(Employees!$J$5:$J$29,$A430))+$J430)/Settings!$B$13,IF(INDEX(Employees!$I$5:$I$29,$A430)="Per hour worked",N(INDEX(Employees!$K$5:$K$29,$A430))*$I430,IF(INDEX(Employees!$I$5:$I$29,$A430)="Front-loaded",IF(OR($B430=1,N($G429)=0),N(INDEX(Employees!$J$5:$J$29,$A430))+$J430,0),0))))</f>
        <v/>
      </c>
      <c r="L430" s="48">
        <f>IF($F430=0,0,SUMIFS('Time Off Log'!$H$5:$H$504,'Time Off Log'!$A$5:$A$504,$C430,'Time Off Log'!$B$5:$B$504,"PTO",'Time Off Log'!$E$5:$E$504,"Approved",'Time Off Log'!$C$5:$C$504,"&gt;="&amp;INDEX(Periods!$E$5:$E$57,$B430),'Time Off Log'!$C$5:$C$504,"&lt;="&amp;INDEX(Periods!$F$5:$F$57,$B430)))</f>
        <v/>
      </c>
      <c r="M430" s="48">
        <f>IF($B430=1,N(INDEX(Employees!$N$5:$N$29,$A430)),P429)</f>
        <v/>
      </c>
      <c r="N430" s="48">
        <f>IF(INDEX(Employees!$L$5:$L$29,$A430)="",K430,MAX(0,MIN(K430,INDEX(Employees!$L$5:$L$29,$A430)-(M430-L430))))</f>
        <v/>
      </c>
      <c r="O430" s="48">
        <f>K430-N430</f>
        <v/>
      </c>
      <c r="P430" s="48">
        <f>M430-L430+N430</f>
        <v/>
      </c>
      <c r="Q430" s="48">
        <f>IF($G430=0,0,IF(INDEX(Employees!$P$5:$P$29,$A430)="Per pay period",(N(INDEX(Employees!$Q$5:$Q$29,$A430)))/Settings!$B$13,IF(INDEX(Employees!$P$5:$P$29,$A430)="Per hour worked",N(INDEX(Employees!$R$5:$R$29,$A430))*$I430,IF(INDEX(Employees!$P$5:$P$29,$A430)="Front-loaded",IF(OR($B430=1,N($G429)=0),N(INDEX(Employees!$Q$5:$Q$29,$A430)),0),0))))</f>
        <v/>
      </c>
      <c r="R430" s="48">
        <f>IF($F430=0,0,SUMIFS('Time Off Log'!$H$5:$H$504,'Time Off Log'!$A$5:$A$504,$C430,'Time Off Log'!$B$5:$B$504,"Sick",'Time Off Log'!$E$5:$E$504,"Approved",'Time Off Log'!$C$5:$C$504,"&gt;="&amp;INDEX(Periods!$E$5:$E$57,$B430),'Time Off Log'!$C$5:$C$504,"&lt;="&amp;INDEX(Periods!$F$5:$F$57,$B430)))</f>
        <v/>
      </c>
      <c r="S430" s="48">
        <f>IF($B430=1,N(INDEX(Employees!$T$5:$T$29,$A430)),V429)</f>
        <v/>
      </c>
      <c r="T430" s="48">
        <f>IF(INDEX(Employees!$S$5:$S$29,$A430)="",Q430,MAX(0,MIN(Q430,INDEX(Employees!$S$5:$S$29,$A430)-(S430-R430))))</f>
        <v/>
      </c>
      <c r="U430" s="48">
        <f>Q430-T430</f>
        <v/>
      </c>
      <c r="V430" s="48">
        <f>S430-R430+T430</f>
        <v/>
      </c>
    </row>
    <row r="431">
      <c r="A431" s="47" t="n">
        <v>9</v>
      </c>
      <c r="B431" s="47" t="n">
        <v>3</v>
      </c>
      <c r="C431" s="48">
        <f>INDEX(Employees!$B$5:$B$29,$A431)&amp;""</f>
        <v/>
      </c>
      <c r="D431" s="49">
        <f>INDEX(Periods!$B$5:$B$57,$B431)</f>
        <v/>
      </c>
      <c r="E431" s="49">
        <f>INDEX(Periods!$C$5:$C$57,$B431)</f>
        <v/>
      </c>
      <c r="F431" s="47">
        <f>IF(AND($C431&lt;&gt;"",INDEX(Periods!$D$5:$D$57,$B431)=1),1,0)</f>
        <v/>
      </c>
      <c r="G431" s="47">
        <f>IF($F431=0,0,IF(AND(OR(INDEX(Employees!$D$5:$D$29,$A431)="",$E431&gt;=INDEX(Employees!$D$5:$D$29,$A431)+N(INDEX(Employees!$U$5:$U$29,$A431))),OR(INDEX(Employees!$E$5:$E$29,$A431)="",$D431&lt;=INDEX(Employees!$E$5:$E$29,$A431))),1,0))</f>
        <v/>
      </c>
      <c r="H431" s="47">
        <f>IF($G431=0,0,IF(INDEX(Employees!$D$5:$D$29,$A431)="",0,DATEDIF(INDEX(Employees!$D$5:$D$29,$A431),$E431,"y")))</f>
        <v/>
      </c>
      <c r="I431" s="48">
        <f>IF($G431=0,0,IF(INDEX('Hours Worked'!$D$5:$BD$29,$A431,$B431)="",N(INDEX(Employees!$H$5:$H$29,$A431)),INDEX('Hours Worked'!$D$5:$BD$29,$A431,$B431)))</f>
        <v/>
      </c>
      <c r="J431" s="48">
        <f>IF(OR($G431=0,INDEX(Employees!$O$5:$O$29,$A431)&lt;&gt;"Yes"),0,IF(COUNTIF(Settings!$D$4:$D$9,"&lt;="&amp;$H431)=0,0,INDEX(Settings!$E$4:$E$9,COUNTIF(Settings!$D$4:$D$9,"&lt;="&amp;$H431))))</f>
        <v/>
      </c>
      <c r="K431" s="48">
        <f>IF($G431=0,0,IF(INDEX(Employees!$I$5:$I$29,$A431)="Per pay period",(N(INDEX(Employees!$J$5:$J$29,$A431))+$J431)/Settings!$B$13,IF(INDEX(Employees!$I$5:$I$29,$A431)="Per hour worked",N(INDEX(Employees!$K$5:$K$29,$A431))*$I431,IF(INDEX(Employees!$I$5:$I$29,$A431)="Front-loaded",IF(OR($B431=1,N($G430)=0),N(INDEX(Employees!$J$5:$J$29,$A431))+$J431,0),0))))</f>
        <v/>
      </c>
      <c r="L431" s="48">
        <f>IF($F431=0,0,SUMIFS('Time Off Log'!$H$5:$H$504,'Time Off Log'!$A$5:$A$504,$C431,'Time Off Log'!$B$5:$B$504,"PTO",'Time Off Log'!$E$5:$E$504,"Approved",'Time Off Log'!$C$5:$C$504,"&gt;="&amp;INDEX(Periods!$E$5:$E$57,$B431),'Time Off Log'!$C$5:$C$504,"&lt;="&amp;INDEX(Periods!$F$5:$F$57,$B431)))</f>
        <v/>
      </c>
      <c r="M431" s="48">
        <f>IF($B431=1,N(INDEX(Employees!$N$5:$N$29,$A431)),P430)</f>
        <v/>
      </c>
      <c r="N431" s="48">
        <f>IF(INDEX(Employees!$L$5:$L$29,$A431)="",K431,MAX(0,MIN(K431,INDEX(Employees!$L$5:$L$29,$A431)-(M431-L431))))</f>
        <v/>
      </c>
      <c r="O431" s="48">
        <f>K431-N431</f>
        <v/>
      </c>
      <c r="P431" s="48">
        <f>M431-L431+N431</f>
        <v/>
      </c>
      <c r="Q431" s="48">
        <f>IF($G431=0,0,IF(INDEX(Employees!$P$5:$P$29,$A431)="Per pay period",(N(INDEX(Employees!$Q$5:$Q$29,$A431)))/Settings!$B$13,IF(INDEX(Employees!$P$5:$P$29,$A431)="Per hour worked",N(INDEX(Employees!$R$5:$R$29,$A431))*$I431,IF(INDEX(Employees!$P$5:$P$29,$A431)="Front-loaded",IF(OR($B431=1,N($G430)=0),N(INDEX(Employees!$Q$5:$Q$29,$A431)),0),0))))</f>
        <v/>
      </c>
      <c r="R431" s="48">
        <f>IF($F431=0,0,SUMIFS('Time Off Log'!$H$5:$H$504,'Time Off Log'!$A$5:$A$504,$C431,'Time Off Log'!$B$5:$B$504,"Sick",'Time Off Log'!$E$5:$E$504,"Approved",'Time Off Log'!$C$5:$C$504,"&gt;="&amp;INDEX(Periods!$E$5:$E$57,$B431),'Time Off Log'!$C$5:$C$504,"&lt;="&amp;INDEX(Periods!$F$5:$F$57,$B431)))</f>
        <v/>
      </c>
      <c r="S431" s="48">
        <f>IF($B431=1,N(INDEX(Employees!$T$5:$T$29,$A431)),V430)</f>
        <v/>
      </c>
      <c r="T431" s="48">
        <f>IF(INDEX(Employees!$S$5:$S$29,$A431)="",Q431,MAX(0,MIN(Q431,INDEX(Employees!$S$5:$S$29,$A431)-(S431-R431))))</f>
        <v/>
      </c>
      <c r="U431" s="48">
        <f>Q431-T431</f>
        <v/>
      </c>
      <c r="V431" s="48">
        <f>S431-R431+T431</f>
        <v/>
      </c>
    </row>
    <row r="432">
      <c r="A432" s="47" t="n">
        <v>9</v>
      </c>
      <c r="B432" s="47" t="n">
        <v>4</v>
      </c>
      <c r="C432" s="48">
        <f>INDEX(Employees!$B$5:$B$29,$A432)&amp;""</f>
        <v/>
      </c>
      <c r="D432" s="49">
        <f>INDEX(Periods!$B$5:$B$57,$B432)</f>
        <v/>
      </c>
      <c r="E432" s="49">
        <f>INDEX(Periods!$C$5:$C$57,$B432)</f>
        <v/>
      </c>
      <c r="F432" s="47">
        <f>IF(AND($C432&lt;&gt;"",INDEX(Periods!$D$5:$D$57,$B432)=1),1,0)</f>
        <v/>
      </c>
      <c r="G432" s="47">
        <f>IF($F432=0,0,IF(AND(OR(INDEX(Employees!$D$5:$D$29,$A432)="",$E432&gt;=INDEX(Employees!$D$5:$D$29,$A432)+N(INDEX(Employees!$U$5:$U$29,$A432))),OR(INDEX(Employees!$E$5:$E$29,$A432)="",$D432&lt;=INDEX(Employees!$E$5:$E$29,$A432))),1,0))</f>
        <v/>
      </c>
      <c r="H432" s="47">
        <f>IF($G432=0,0,IF(INDEX(Employees!$D$5:$D$29,$A432)="",0,DATEDIF(INDEX(Employees!$D$5:$D$29,$A432),$E432,"y")))</f>
        <v/>
      </c>
      <c r="I432" s="48">
        <f>IF($G432=0,0,IF(INDEX('Hours Worked'!$D$5:$BD$29,$A432,$B432)="",N(INDEX(Employees!$H$5:$H$29,$A432)),INDEX('Hours Worked'!$D$5:$BD$29,$A432,$B432)))</f>
        <v/>
      </c>
      <c r="J432" s="48">
        <f>IF(OR($G432=0,INDEX(Employees!$O$5:$O$29,$A432)&lt;&gt;"Yes"),0,IF(COUNTIF(Settings!$D$4:$D$9,"&lt;="&amp;$H432)=0,0,INDEX(Settings!$E$4:$E$9,COUNTIF(Settings!$D$4:$D$9,"&lt;="&amp;$H432))))</f>
        <v/>
      </c>
      <c r="K432" s="48">
        <f>IF($G432=0,0,IF(INDEX(Employees!$I$5:$I$29,$A432)="Per pay period",(N(INDEX(Employees!$J$5:$J$29,$A432))+$J432)/Settings!$B$13,IF(INDEX(Employees!$I$5:$I$29,$A432)="Per hour worked",N(INDEX(Employees!$K$5:$K$29,$A432))*$I432,IF(INDEX(Employees!$I$5:$I$29,$A432)="Front-loaded",IF(OR($B432=1,N($G431)=0),N(INDEX(Employees!$J$5:$J$29,$A432))+$J432,0),0))))</f>
        <v/>
      </c>
      <c r="L432" s="48">
        <f>IF($F432=0,0,SUMIFS('Time Off Log'!$H$5:$H$504,'Time Off Log'!$A$5:$A$504,$C432,'Time Off Log'!$B$5:$B$504,"PTO",'Time Off Log'!$E$5:$E$504,"Approved",'Time Off Log'!$C$5:$C$504,"&gt;="&amp;INDEX(Periods!$E$5:$E$57,$B432),'Time Off Log'!$C$5:$C$504,"&lt;="&amp;INDEX(Periods!$F$5:$F$57,$B432)))</f>
        <v/>
      </c>
      <c r="M432" s="48">
        <f>IF($B432=1,N(INDEX(Employees!$N$5:$N$29,$A432)),P431)</f>
        <v/>
      </c>
      <c r="N432" s="48">
        <f>IF(INDEX(Employees!$L$5:$L$29,$A432)="",K432,MAX(0,MIN(K432,INDEX(Employees!$L$5:$L$29,$A432)-(M432-L432))))</f>
        <v/>
      </c>
      <c r="O432" s="48">
        <f>K432-N432</f>
        <v/>
      </c>
      <c r="P432" s="48">
        <f>M432-L432+N432</f>
        <v/>
      </c>
      <c r="Q432" s="48">
        <f>IF($G432=0,0,IF(INDEX(Employees!$P$5:$P$29,$A432)="Per pay period",(N(INDEX(Employees!$Q$5:$Q$29,$A432)))/Settings!$B$13,IF(INDEX(Employees!$P$5:$P$29,$A432)="Per hour worked",N(INDEX(Employees!$R$5:$R$29,$A432))*$I432,IF(INDEX(Employees!$P$5:$P$29,$A432)="Front-loaded",IF(OR($B432=1,N($G431)=0),N(INDEX(Employees!$Q$5:$Q$29,$A432)),0),0))))</f>
        <v/>
      </c>
      <c r="R432" s="48">
        <f>IF($F432=0,0,SUMIFS('Time Off Log'!$H$5:$H$504,'Time Off Log'!$A$5:$A$504,$C432,'Time Off Log'!$B$5:$B$504,"Sick",'Time Off Log'!$E$5:$E$504,"Approved",'Time Off Log'!$C$5:$C$504,"&gt;="&amp;INDEX(Periods!$E$5:$E$57,$B432),'Time Off Log'!$C$5:$C$504,"&lt;="&amp;INDEX(Periods!$F$5:$F$57,$B432)))</f>
        <v/>
      </c>
      <c r="S432" s="48">
        <f>IF($B432=1,N(INDEX(Employees!$T$5:$T$29,$A432)),V431)</f>
        <v/>
      </c>
      <c r="T432" s="48">
        <f>IF(INDEX(Employees!$S$5:$S$29,$A432)="",Q432,MAX(0,MIN(Q432,INDEX(Employees!$S$5:$S$29,$A432)-(S432-R432))))</f>
        <v/>
      </c>
      <c r="U432" s="48">
        <f>Q432-T432</f>
        <v/>
      </c>
      <c r="V432" s="48">
        <f>S432-R432+T432</f>
        <v/>
      </c>
    </row>
    <row r="433">
      <c r="A433" s="47" t="n">
        <v>9</v>
      </c>
      <c r="B433" s="47" t="n">
        <v>5</v>
      </c>
      <c r="C433" s="48">
        <f>INDEX(Employees!$B$5:$B$29,$A433)&amp;""</f>
        <v/>
      </c>
      <c r="D433" s="49">
        <f>INDEX(Periods!$B$5:$B$57,$B433)</f>
        <v/>
      </c>
      <c r="E433" s="49">
        <f>INDEX(Periods!$C$5:$C$57,$B433)</f>
        <v/>
      </c>
      <c r="F433" s="47">
        <f>IF(AND($C433&lt;&gt;"",INDEX(Periods!$D$5:$D$57,$B433)=1),1,0)</f>
        <v/>
      </c>
      <c r="G433" s="47">
        <f>IF($F433=0,0,IF(AND(OR(INDEX(Employees!$D$5:$D$29,$A433)="",$E433&gt;=INDEX(Employees!$D$5:$D$29,$A433)+N(INDEX(Employees!$U$5:$U$29,$A433))),OR(INDEX(Employees!$E$5:$E$29,$A433)="",$D433&lt;=INDEX(Employees!$E$5:$E$29,$A433))),1,0))</f>
        <v/>
      </c>
      <c r="H433" s="47">
        <f>IF($G433=0,0,IF(INDEX(Employees!$D$5:$D$29,$A433)="",0,DATEDIF(INDEX(Employees!$D$5:$D$29,$A433),$E433,"y")))</f>
        <v/>
      </c>
      <c r="I433" s="48">
        <f>IF($G433=0,0,IF(INDEX('Hours Worked'!$D$5:$BD$29,$A433,$B433)="",N(INDEX(Employees!$H$5:$H$29,$A433)),INDEX('Hours Worked'!$D$5:$BD$29,$A433,$B433)))</f>
        <v/>
      </c>
      <c r="J433" s="48">
        <f>IF(OR($G433=0,INDEX(Employees!$O$5:$O$29,$A433)&lt;&gt;"Yes"),0,IF(COUNTIF(Settings!$D$4:$D$9,"&lt;="&amp;$H433)=0,0,INDEX(Settings!$E$4:$E$9,COUNTIF(Settings!$D$4:$D$9,"&lt;="&amp;$H433))))</f>
        <v/>
      </c>
      <c r="K433" s="48">
        <f>IF($G433=0,0,IF(INDEX(Employees!$I$5:$I$29,$A433)="Per pay period",(N(INDEX(Employees!$J$5:$J$29,$A433))+$J433)/Settings!$B$13,IF(INDEX(Employees!$I$5:$I$29,$A433)="Per hour worked",N(INDEX(Employees!$K$5:$K$29,$A433))*$I433,IF(INDEX(Employees!$I$5:$I$29,$A433)="Front-loaded",IF(OR($B433=1,N($G432)=0),N(INDEX(Employees!$J$5:$J$29,$A433))+$J433,0),0))))</f>
        <v/>
      </c>
      <c r="L433" s="48">
        <f>IF($F433=0,0,SUMIFS('Time Off Log'!$H$5:$H$504,'Time Off Log'!$A$5:$A$504,$C433,'Time Off Log'!$B$5:$B$504,"PTO",'Time Off Log'!$E$5:$E$504,"Approved",'Time Off Log'!$C$5:$C$504,"&gt;="&amp;INDEX(Periods!$E$5:$E$57,$B433),'Time Off Log'!$C$5:$C$504,"&lt;="&amp;INDEX(Periods!$F$5:$F$57,$B433)))</f>
        <v/>
      </c>
      <c r="M433" s="48">
        <f>IF($B433=1,N(INDEX(Employees!$N$5:$N$29,$A433)),P432)</f>
        <v/>
      </c>
      <c r="N433" s="48">
        <f>IF(INDEX(Employees!$L$5:$L$29,$A433)="",K433,MAX(0,MIN(K433,INDEX(Employees!$L$5:$L$29,$A433)-(M433-L433))))</f>
        <v/>
      </c>
      <c r="O433" s="48">
        <f>K433-N433</f>
        <v/>
      </c>
      <c r="P433" s="48">
        <f>M433-L433+N433</f>
        <v/>
      </c>
      <c r="Q433" s="48">
        <f>IF($G433=0,0,IF(INDEX(Employees!$P$5:$P$29,$A433)="Per pay period",(N(INDEX(Employees!$Q$5:$Q$29,$A433)))/Settings!$B$13,IF(INDEX(Employees!$P$5:$P$29,$A433)="Per hour worked",N(INDEX(Employees!$R$5:$R$29,$A433))*$I433,IF(INDEX(Employees!$P$5:$P$29,$A433)="Front-loaded",IF(OR($B433=1,N($G432)=0),N(INDEX(Employees!$Q$5:$Q$29,$A433)),0),0))))</f>
        <v/>
      </c>
      <c r="R433" s="48">
        <f>IF($F433=0,0,SUMIFS('Time Off Log'!$H$5:$H$504,'Time Off Log'!$A$5:$A$504,$C433,'Time Off Log'!$B$5:$B$504,"Sick",'Time Off Log'!$E$5:$E$504,"Approved",'Time Off Log'!$C$5:$C$504,"&gt;="&amp;INDEX(Periods!$E$5:$E$57,$B433),'Time Off Log'!$C$5:$C$504,"&lt;="&amp;INDEX(Periods!$F$5:$F$57,$B433)))</f>
        <v/>
      </c>
      <c r="S433" s="48">
        <f>IF($B433=1,N(INDEX(Employees!$T$5:$T$29,$A433)),V432)</f>
        <v/>
      </c>
      <c r="T433" s="48">
        <f>IF(INDEX(Employees!$S$5:$S$29,$A433)="",Q433,MAX(0,MIN(Q433,INDEX(Employees!$S$5:$S$29,$A433)-(S433-R433))))</f>
        <v/>
      </c>
      <c r="U433" s="48">
        <f>Q433-T433</f>
        <v/>
      </c>
      <c r="V433" s="48">
        <f>S433-R433+T433</f>
        <v/>
      </c>
    </row>
    <row r="434">
      <c r="A434" s="47" t="n">
        <v>9</v>
      </c>
      <c r="B434" s="47" t="n">
        <v>6</v>
      </c>
      <c r="C434" s="48">
        <f>INDEX(Employees!$B$5:$B$29,$A434)&amp;""</f>
        <v/>
      </c>
      <c r="D434" s="49">
        <f>INDEX(Periods!$B$5:$B$57,$B434)</f>
        <v/>
      </c>
      <c r="E434" s="49">
        <f>INDEX(Periods!$C$5:$C$57,$B434)</f>
        <v/>
      </c>
      <c r="F434" s="47">
        <f>IF(AND($C434&lt;&gt;"",INDEX(Periods!$D$5:$D$57,$B434)=1),1,0)</f>
        <v/>
      </c>
      <c r="G434" s="47">
        <f>IF($F434=0,0,IF(AND(OR(INDEX(Employees!$D$5:$D$29,$A434)="",$E434&gt;=INDEX(Employees!$D$5:$D$29,$A434)+N(INDEX(Employees!$U$5:$U$29,$A434))),OR(INDEX(Employees!$E$5:$E$29,$A434)="",$D434&lt;=INDEX(Employees!$E$5:$E$29,$A434))),1,0))</f>
        <v/>
      </c>
      <c r="H434" s="47">
        <f>IF($G434=0,0,IF(INDEX(Employees!$D$5:$D$29,$A434)="",0,DATEDIF(INDEX(Employees!$D$5:$D$29,$A434),$E434,"y")))</f>
        <v/>
      </c>
      <c r="I434" s="48">
        <f>IF($G434=0,0,IF(INDEX('Hours Worked'!$D$5:$BD$29,$A434,$B434)="",N(INDEX(Employees!$H$5:$H$29,$A434)),INDEX('Hours Worked'!$D$5:$BD$29,$A434,$B434)))</f>
        <v/>
      </c>
      <c r="J434" s="48">
        <f>IF(OR($G434=0,INDEX(Employees!$O$5:$O$29,$A434)&lt;&gt;"Yes"),0,IF(COUNTIF(Settings!$D$4:$D$9,"&lt;="&amp;$H434)=0,0,INDEX(Settings!$E$4:$E$9,COUNTIF(Settings!$D$4:$D$9,"&lt;="&amp;$H434))))</f>
        <v/>
      </c>
      <c r="K434" s="48">
        <f>IF($G434=0,0,IF(INDEX(Employees!$I$5:$I$29,$A434)="Per pay period",(N(INDEX(Employees!$J$5:$J$29,$A434))+$J434)/Settings!$B$13,IF(INDEX(Employees!$I$5:$I$29,$A434)="Per hour worked",N(INDEX(Employees!$K$5:$K$29,$A434))*$I434,IF(INDEX(Employees!$I$5:$I$29,$A434)="Front-loaded",IF(OR($B434=1,N($G433)=0),N(INDEX(Employees!$J$5:$J$29,$A434))+$J434,0),0))))</f>
        <v/>
      </c>
      <c r="L434" s="48">
        <f>IF($F434=0,0,SUMIFS('Time Off Log'!$H$5:$H$504,'Time Off Log'!$A$5:$A$504,$C434,'Time Off Log'!$B$5:$B$504,"PTO",'Time Off Log'!$E$5:$E$504,"Approved",'Time Off Log'!$C$5:$C$504,"&gt;="&amp;INDEX(Periods!$E$5:$E$57,$B434),'Time Off Log'!$C$5:$C$504,"&lt;="&amp;INDEX(Periods!$F$5:$F$57,$B434)))</f>
        <v/>
      </c>
      <c r="M434" s="48">
        <f>IF($B434=1,N(INDEX(Employees!$N$5:$N$29,$A434)),P433)</f>
        <v/>
      </c>
      <c r="N434" s="48">
        <f>IF(INDEX(Employees!$L$5:$L$29,$A434)="",K434,MAX(0,MIN(K434,INDEX(Employees!$L$5:$L$29,$A434)-(M434-L434))))</f>
        <v/>
      </c>
      <c r="O434" s="48">
        <f>K434-N434</f>
        <v/>
      </c>
      <c r="P434" s="48">
        <f>M434-L434+N434</f>
        <v/>
      </c>
      <c r="Q434" s="48">
        <f>IF($G434=0,0,IF(INDEX(Employees!$P$5:$P$29,$A434)="Per pay period",(N(INDEX(Employees!$Q$5:$Q$29,$A434)))/Settings!$B$13,IF(INDEX(Employees!$P$5:$P$29,$A434)="Per hour worked",N(INDEX(Employees!$R$5:$R$29,$A434))*$I434,IF(INDEX(Employees!$P$5:$P$29,$A434)="Front-loaded",IF(OR($B434=1,N($G433)=0),N(INDEX(Employees!$Q$5:$Q$29,$A434)),0),0))))</f>
        <v/>
      </c>
      <c r="R434" s="48">
        <f>IF($F434=0,0,SUMIFS('Time Off Log'!$H$5:$H$504,'Time Off Log'!$A$5:$A$504,$C434,'Time Off Log'!$B$5:$B$504,"Sick",'Time Off Log'!$E$5:$E$504,"Approved",'Time Off Log'!$C$5:$C$504,"&gt;="&amp;INDEX(Periods!$E$5:$E$57,$B434),'Time Off Log'!$C$5:$C$504,"&lt;="&amp;INDEX(Periods!$F$5:$F$57,$B434)))</f>
        <v/>
      </c>
      <c r="S434" s="48">
        <f>IF($B434=1,N(INDEX(Employees!$T$5:$T$29,$A434)),V433)</f>
        <v/>
      </c>
      <c r="T434" s="48">
        <f>IF(INDEX(Employees!$S$5:$S$29,$A434)="",Q434,MAX(0,MIN(Q434,INDEX(Employees!$S$5:$S$29,$A434)-(S434-R434))))</f>
        <v/>
      </c>
      <c r="U434" s="48">
        <f>Q434-T434</f>
        <v/>
      </c>
      <c r="V434" s="48">
        <f>S434-R434+T434</f>
        <v/>
      </c>
    </row>
    <row r="435">
      <c r="A435" s="47" t="n">
        <v>9</v>
      </c>
      <c r="B435" s="47" t="n">
        <v>7</v>
      </c>
      <c r="C435" s="48">
        <f>INDEX(Employees!$B$5:$B$29,$A435)&amp;""</f>
        <v/>
      </c>
      <c r="D435" s="49">
        <f>INDEX(Periods!$B$5:$B$57,$B435)</f>
        <v/>
      </c>
      <c r="E435" s="49">
        <f>INDEX(Periods!$C$5:$C$57,$B435)</f>
        <v/>
      </c>
      <c r="F435" s="47">
        <f>IF(AND($C435&lt;&gt;"",INDEX(Periods!$D$5:$D$57,$B435)=1),1,0)</f>
        <v/>
      </c>
      <c r="G435" s="47">
        <f>IF($F435=0,0,IF(AND(OR(INDEX(Employees!$D$5:$D$29,$A435)="",$E435&gt;=INDEX(Employees!$D$5:$D$29,$A435)+N(INDEX(Employees!$U$5:$U$29,$A435))),OR(INDEX(Employees!$E$5:$E$29,$A435)="",$D435&lt;=INDEX(Employees!$E$5:$E$29,$A435))),1,0))</f>
        <v/>
      </c>
      <c r="H435" s="47">
        <f>IF($G435=0,0,IF(INDEX(Employees!$D$5:$D$29,$A435)="",0,DATEDIF(INDEX(Employees!$D$5:$D$29,$A435),$E435,"y")))</f>
        <v/>
      </c>
      <c r="I435" s="48">
        <f>IF($G435=0,0,IF(INDEX('Hours Worked'!$D$5:$BD$29,$A435,$B435)="",N(INDEX(Employees!$H$5:$H$29,$A435)),INDEX('Hours Worked'!$D$5:$BD$29,$A435,$B435)))</f>
        <v/>
      </c>
      <c r="J435" s="48">
        <f>IF(OR($G435=0,INDEX(Employees!$O$5:$O$29,$A435)&lt;&gt;"Yes"),0,IF(COUNTIF(Settings!$D$4:$D$9,"&lt;="&amp;$H435)=0,0,INDEX(Settings!$E$4:$E$9,COUNTIF(Settings!$D$4:$D$9,"&lt;="&amp;$H435))))</f>
        <v/>
      </c>
      <c r="K435" s="48">
        <f>IF($G435=0,0,IF(INDEX(Employees!$I$5:$I$29,$A435)="Per pay period",(N(INDEX(Employees!$J$5:$J$29,$A435))+$J435)/Settings!$B$13,IF(INDEX(Employees!$I$5:$I$29,$A435)="Per hour worked",N(INDEX(Employees!$K$5:$K$29,$A435))*$I435,IF(INDEX(Employees!$I$5:$I$29,$A435)="Front-loaded",IF(OR($B435=1,N($G434)=0),N(INDEX(Employees!$J$5:$J$29,$A435))+$J435,0),0))))</f>
        <v/>
      </c>
      <c r="L435" s="48">
        <f>IF($F435=0,0,SUMIFS('Time Off Log'!$H$5:$H$504,'Time Off Log'!$A$5:$A$504,$C435,'Time Off Log'!$B$5:$B$504,"PTO",'Time Off Log'!$E$5:$E$504,"Approved",'Time Off Log'!$C$5:$C$504,"&gt;="&amp;INDEX(Periods!$E$5:$E$57,$B435),'Time Off Log'!$C$5:$C$504,"&lt;="&amp;INDEX(Periods!$F$5:$F$57,$B435)))</f>
        <v/>
      </c>
      <c r="M435" s="48">
        <f>IF($B435=1,N(INDEX(Employees!$N$5:$N$29,$A435)),P434)</f>
        <v/>
      </c>
      <c r="N435" s="48">
        <f>IF(INDEX(Employees!$L$5:$L$29,$A435)="",K435,MAX(0,MIN(K435,INDEX(Employees!$L$5:$L$29,$A435)-(M435-L435))))</f>
        <v/>
      </c>
      <c r="O435" s="48">
        <f>K435-N435</f>
        <v/>
      </c>
      <c r="P435" s="48">
        <f>M435-L435+N435</f>
        <v/>
      </c>
      <c r="Q435" s="48">
        <f>IF($G435=0,0,IF(INDEX(Employees!$P$5:$P$29,$A435)="Per pay period",(N(INDEX(Employees!$Q$5:$Q$29,$A435)))/Settings!$B$13,IF(INDEX(Employees!$P$5:$P$29,$A435)="Per hour worked",N(INDEX(Employees!$R$5:$R$29,$A435))*$I435,IF(INDEX(Employees!$P$5:$P$29,$A435)="Front-loaded",IF(OR($B435=1,N($G434)=0),N(INDEX(Employees!$Q$5:$Q$29,$A435)),0),0))))</f>
        <v/>
      </c>
      <c r="R435" s="48">
        <f>IF($F435=0,0,SUMIFS('Time Off Log'!$H$5:$H$504,'Time Off Log'!$A$5:$A$504,$C435,'Time Off Log'!$B$5:$B$504,"Sick",'Time Off Log'!$E$5:$E$504,"Approved",'Time Off Log'!$C$5:$C$504,"&gt;="&amp;INDEX(Periods!$E$5:$E$57,$B435),'Time Off Log'!$C$5:$C$504,"&lt;="&amp;INDEX(Periods!$F$5:$F$57,$B435)))</f>
        <v/>
      </c>
      <c r="S435" s="48">
        <f>IF($B435=1,N(INDEX(Employees!$T$5:$T$29,$A435)),V434)</f>
        <v/>
      </c>
      <c r="T435" s="48">
        <f>IF(INDEX(Employees!$S$5:$S$29,$A435)="",Q435,MAX(0,MIN(Q435,INDEX(Employees!$S$5:$S$29,$A435)-(S435-R435))))</f>
        <v/>
      </c>
      <c r="U435" s="48">
        <f>Q435-T435</f>
        <v/>
      </c>
      <c r="V435" s="48">
        <f>S435-R435+T435</f>
        <v/>
      </c>
    </row>
    <row r="436">
      <c r="A436" s="47" t="n">
        <v>9</v>
      </c>
      <c r="B436" s="47" t="n">
        <v>8</v>
      </c>
      <c r="C436" s="48">
        <f>INDEX(Employees!$B$5:$B$29,$A436)&amp;""</f>
        <v/>
      </c>
      <c r="D436" s="49">
        <f>INDEX(Periods!$B$5:$B$57,$B436)</f>
        <v/>
      </c>
      <c r="E436" s="49">
        <f>INDEX(Periods!$C$5:$C$57,$B436)</f>
        <v/>
      </c>
      <c r="F436" s="47">
        <f>IF(AND($C436&lt;&gt;"",INDEX(Periods!$D$5:$D$57,$B436)=1),1,0)</f>
        <v/>
      </c>
      <c r="G436" s="47">
        <f>IF($F436=0,0,IF(AND(OR(INDEX(Employees!$D$5:$D$29,$A436)="",$E436&gt;=INDEX(Employees!$D$5:$D$29,$A436)+N(INDEX(Employees!$U$5:$U$29,$A436))),OR(INDEX(Employees!$E$5:$E$29,$A436)="",$D436&lt;=INDEX(Employees!$E$5:$E$29,$A436))),1,0))</f>
        <v/>
      </c>
      <c r="H436" s="47">
        <f>IF($G436=0,0,IF(INDEX(Employees!$D$5:$D$29,$A436)="",0,DATEDIF(INDEX(Employees!$D$5:$D$29,$A436),$E436,"y")))</f>
        <v/>
      </c>
      <c r="I436" s="48">
        <f>IF($G436=0,0,IF(INDEX('Hours Worked'!$D$5:$BD$29,$A436,$B436)="",N(INDEX(Employees!$H$5:$H$29,$A436)),INDEX('Hours Worked'!$D$5:$BD$29,$A436,$B436)))</f>
        <v/>
      </c>
      <c r="J436" s="48">
        <f>IF(OR($G436=0,INDEX(Employees!$O$5:$O$29,$A436)&lt;&gt;"Yes"),0,IF(COUNTIF(Settings!$D$4:$D$9,"&lt;="&amp;$H436)=0,0,INDEX(Settings!$E$4:$E$9,COUNTIF(Settings!$D$4:$D$9,"&lt;="&amp;$H436))))</f>
        <v/>
      </c>
      <c r="K436" s="48">
        <f>IF($G436=0,0,IF(INDEX(Employees!$I$5:$I$29,$A436)="Per pay period",(N(INDEX(Employees!$J$5:$J$29,$A436))+$J436)/Settings!$B$13,IF(INDEX(Employees!$I$5:$I$29,$A436)="Per hour worked",N(INDEX(Employees!$K$5:$K$29,$A436))*$I436,IF(INDEX(Employees!$I$5:$I$29,$A436)="Front-loaded",IF(OR($B436=1,N($G435)=0),N(INDEX(Employees!$J$5:$J$29,$A436))+$J436,0),0))))</f>
        <v/>
      </c>
      <c r="L436" s="48">
        <f>IF($F436=0,0,SUMIFS('Time Off Log'!$H$5:$H$504,'Time Off Log'!$A$5:$A$504,$C436,'Time Off Log'!$B$5:$B$504,"PTO",'Time Off Log'!$E$5:$E$504,"Approved",'Time Off Log'!$C$5:$C$504,"&gt;="&amp;INDEX(Periods!$E$5:$E$57,$B436),'Time Off Log'!$C$5:$C$504,"&lt;="&amp;INDEX(Periods!$F$5:$F$57,$B436)))</f>
        <v/>
      </c>
      <c r="M436" s="48">
        <f>IF($B436=1,N(INDEX(Employees!$N$5:$N$29,$A436)),P435)</f>
        <v/>
      </c>
      <c r="N436" s="48">
        <f>IF(INDEX(Employees!$L$5:$L$29,$A436)="",K436,MAX(0,MIN(K436,INDEX(Employees!$L$5:$L$29,$A436)-(M436-L436))))</f>
        <v/>
      </c>
      <c r="O436" s="48">
        <f>K436-N436</f>
        <v/>
      </c>
      <c r="P436" s="48">
        <f>M436-L436+N436</f>
        <v/>
      </c>
      <c r="Q436" s="48">
        <f>IF($G436=0,0,IF(INDEX(Employees!$P$5:$P$29,$A436)="Per pay period",(N(INDEX(Employees!$Q$5:$Q$29,$A436)))/Settings!$B$13,IF(INDEX(Employees!$P$5:$P$29,$A436)="Per hour worked",N(INDEX(Employees!$R$5:$R$29,$A436))*$I436,IF(INDEX(Employees!$P$5:$P$29,$A436)="Front-loaded",IF(OR($B436=1,N($G435)=0),N(INDEX(Employees!$Q$5:$Q$29,$A436)),0),0))))</f>
        <v/>
      </c>
      <c r="R436" s="48">
        <f>IF($F436=0,0,SUMIFS('Time Off Log'!$H$5:$H$504,'Time Off Log'!$A$5:$A$504,$C436,'Time Off Log'!$B$5:$B$504,"Sick",'Time Off Log'!$E$5:$E$504,"Approved",'Time Off Log'!$C$5:$C$504,"&gt;="&amp;INDEX(Periods!$E$5:$E$57,$B436),'Time Off Log'!$C$5:$C$504,"&lt;="&amp;INDEX(Periods!$F$5:$F$57,$B436)))</f>
        <v/>
      </c>
      <c r="S436" s="48">
        <f>IF($B436=1,N(INDEX(Employees!$T$5:$T$29,$A436)),V435)</f>
        <v/>
      </c>
      <c r="T436" s="48">
        <f>IF(INDEX(Employees!$S$5:$S$29,$A436)="",Q436,MAX(0,MIN(Q436,INDEX(Employees!$S$5:$S$29,$A436)-(S436-R436))))</f>
        <v/>
      </c>
      <c r="U436" s="48">
        <f>Q436-T436</f>
        <v/>
      </c>
      <c r="V436" s="48">
        <f>S436-R436+T436</f>
        <v/>
      </c>
    </row>
    <row r="437">
      <c r="A437" s="47" t="n">
        <v>9</v>
      </c>
      <c r="B437" s="47" t="n">
        <v>9</v>
      </c>
      <c r="C437" s="48">
        <f>INDEX(Employees!$B$5:$B$29,$A437)&amp;""</f>
        <v/>
      </c>
      <c r="D437" s="49">
        <f>INDEX(Periods!$B$5:$B$57,$B437)</f>
        <v/>
      </c>
      <c r="E437" s="49">
        <f>INDEX(Periods!$C$5:$C$57,$B437)</f>
        <v/>
      </c>
      <c r="F437" s="47">
        <f>IF(AND($C437&lt;&gt;"",INDEX(Periods!$D$5:$D$57,$B437)=1),1,0)</f>
        <v/>
      </c>
      <c r="G437" s="47">
        <f>IF($F437=0,0,IF(AND(OR(INDEX(Employees!$D$5:$D$29,$A437)="",$E437&gt;=INDEX(Employees!$D$5:$D$29,$A437)+N(INDEX(Employees!$U$5:$U$29,$A437))),OR(INDEX(Employees!$E$5:$E$29,$A437)="",$D437&lt;=INDEX(Employees!$E$5:$E$29,$A437))),1,0))</f>
        <v/>
      </c>
      <c r="H437" s="47">
        <f>IF($G437=0,0,IF(INDEX(Employees!$D$5:$D$29,$A437)="",0,DATEDIF(INDEX(Employees!$D$5:$D$29,$A437),$E437,"y")))</f>
        <v/>
      </c>
      <c r="I437" s="48">
        <f>IF($G437=0,0,IF(INDEX('Hours Worked'!$D$5:$BD$29,$A437,$B437)="",N(INDEX(Employees!$H$5:$H$29,$A437)),INDEX('Hours Worked'!$D$5:$BD$29,$A437,$B437)))</f>
        <v/>
      </c>
      <c r="J437" s="48">
        <f>IF(OR($G437=0,INDEX(Employees!$O$5:$O$29,$A437)&lt;&gt;"Yes"),0,IF(COUNTIF(Settings!$D$4:$D$9,"&lt;="&amp;$H437)=0,0,INDEX(Settings!$E$4:$E$9,COUNTIF(Settings!$D$4:$D$9,"&lt;="&amp;$H437))))</f>
        <v/>
      </c>
      <c r="K437" s="48">
        <f>IF($G437=0,0,IF(INDEX(Employees!$I$5:$I$29,$A437)="Per pay period",(N(INDEX(Employees!$J$5:$J$29,$A437))+$J437)/Settings!$B$13,IF(INDEX(Employees!$I$5:$I$29,$A437)="Per hour worked",N(INDEX(Employees!$K$5:$K$29,$A437))*$I437,IF(INDEX(Employees!$I$5:$I$29,$A437)="Front-loaded",IF(OR($B437=1,N($G436)=0),N(INDEX(Employees!$J$5:$J$29,$A437))+$J437,0),0))))</f>
        <v/>
      </c>
      <c r="L437" s="48">
        <f>IF($F437=0,0,SUMIFS('Time Off Log'!$H$5:$H$504,'Time Off Log'!$A$5:$A$504,$C437,'Time Off Log'!$B$5:$B$504,"PTO",'Time Off Log'!$E$5:$E$504,"Approved",'Time Off Log'!$C$5:$C$504,"&gt;="&amp;INDEX(Periods!$E$5:$E$57,$B437),'Time Off Log'!$C$5:$C$504,"&lt;="&amp;INDEX(Periods!$F$5:$F$57,$B437)))</f>
        <v/>
      </c>
      <c r="M437" s="48">
        <f>IF($B437=1,N(INDEX(Employees!$N$5:$N$29,$A437)),P436)</f>
        <v/>
      </c>
      <c r="N437" s="48">
        <f>IF(INDEX(Employees!$L$5:$L$29,$A437)="",K437,MAX(0,MIN(K437,INDEX(Employees!$L$5:$L$29,$A437)-(M437-L437))))</f>
        <v/>
      </c>
      <c r="O437" s="48">
        <f>K437-N437</f>
        <v/>
      </c>
      <c r="P437" s="48">
        <f>M437-L437+N437</f>
        <v/>
      </c>
      <c r="Q437" s="48">
        <f>IF($G437=0,0,IF(INDEX(Employees!$P$5:$P$29,$A437)="Per pay period",(N(INDEX(Employees!$Q$5:$Q$29,$A437)))/Settings!$B$13,IF(INDEX(Employees!$P$5:$P$29,$A437)="Per hour worked",N(INDEX(Employees!$R$5:$R$29,$A437))*$I437,IF(INDEX(Employees!$P$5:$P$29,$A437)="Front-loaded",IF(OR($B437=1,N($G436)=0),N(INDEX(Employees!$Q$5:$Q$29,$A437)),0),0))))</f>
        <v/>
      </c>
      <c r="R437" s="48">
        <f>IF($F437=0,0,SUMIFS('Time Off Log'!$H$5:$H$504,'Time Off Log'!$A$5:$A$504,$C437,'Time Off Log'!$B$5:$B$504,"Sick",'Time Off Log'!$E$5:$E$504,"Approved",'Time Off Log'!$C$5:$C$504,"&gt;="&amp;INDEX(Periods!$E$5:$E$57,$B437),'Time Off Log'!$C$5:$C$504,"&lt;="&amp;INDEX(Periods!$F$5:$F$57,$B437)))</f>
        <v/>
      </c>
      <c r="S437" s="48">
        <f>IF($B437=1,N(INDEX(Employees!$T$5:$T$29,$A437)),V436)</f>
        <v/>
      </c>
      <c r="T437" s="48">
        <f>IF(INDEX(Employees!$S$5:$S$29,$A437)="",Q437,MAX(0,MIN(Q437,INDEX(Employees!$S$5:$S$29,$A437)-(S437-R437))))</f>
        <v/>
      </c>
      <c r="U437" s="48">
        <f>Q437-T437</f>
        <v/>
      </c>
      <c r="V437" s="48">
        <f>S437-R437+T437</f>
        <v/>
      </c>
    </row>
    <row r="438">
      <c r="A438" s="47" t="n">
        <v>9</v>
      </c>
      <c r="B438" s="47" t="n">
        <v>10</v>
      </c>
      <c r="C438" s="48">
        <f>INDEX(Employees!$B$5:$B$29,$A438)&amp;""</f>
        <v/>
      </c>
      <c r="D438" s="49">
        <f>INDEX(Periods!$B$5:$B$57,$B438)</f>
        <v/>
      </c>
      <c r="E438" s="49">
        <f>INDEX(Periods!$C$5:$C$57,$B438)</f>
        <v/>
      </c>
      <c r="F438" s="47">
        <f>IF(AND($C438&lt;&gt;"",INDEX(Periods!$D$5:$D$57,$B438)=1),1,0)</f>
        <v/>
      </c>
      <c r="G438" s="47">
        <f>IF($F438=0,0,IF(AND(OR(INDEX(Employees!$D$5:$D$29,$A438)="",$E438&gt;=INDEX(Employees!$D$5:$D$29,$A438)+N(INDEX(Employees!$U$5:$U$29,$A438))),OR(INDEX(Employees!$E$5:$E$29,$A438)="",$D438&lt;=INDEX(Employees!$E$5:$E$29,$A438))),1,0))</f>
        <v/>
      </c>
      <c r="H438" s="47">
        <f>IF($G438=0,0,IF(INDEX(Employees!$D$5:$D$29,$A438)="",0,DATEDIF(INDEX(Employees!$D$5:$D$29,$A438),$E438,"y")))</f>
        <v/>
      </c>
      <c r="I438" s="48">
        <f>IF($G438=0,0,IF(INDEX('Hours Worked'!$D$5:$BD$29,$A438,$B438)="",N(INDEX(Employees!$H$5:$H$29,$A438)),INDEX('Hours Worked'!$D$5:$BD$29,$A438,$B438)))</f>
        <v/>
      </c>
      <c r="J438" s="48">
        <f>IF(OR($G438=0,INDEX(Employees!$O$5:$O$29,$A438)&lt;&gt;"Yes"),0,IF(COUNTIF(Settings!$D$4:$D$9,"&lt;="&amp;$H438)=0,0,INDEX(Settings!$E$4:$E$9,COUNTIF(Settings!$D$4:$D$9,"&lt;="&amp;$H438))))</f>
        <v/>
      </c>
      <c r="K438" s="48">
        <f>IF($G438=0,0,IF(INDEX(Employees!$I$5:$I$29,$A438)="Per pay period",(N(INDEX(Employees!$J$5:$J$29,$A438))+$J438)/Settings!$B$13,IF(INDEX(Employees!$I$5:$I$29,$A438)="Per hour worked",N(INDEX(Employees!$K$5:$K$29,$A438))*$I438,IF(INDEX(Employees!$I$5:$I$29,$A438)="Front-loaded",IF(OR($B438=1,N($G437)=0),N(INDEX(Employees!$J$5:$J$29,$A438))+$J438,0),0))))</f>
        <v/>
      </c>
      <c r="L438" s="48">
        <f>IF($F438=0,0,SUMIFS('Time Off Log'!$H$5:$H$504,'Time Off Log'!$A$5:$A$504,$C438,'Time Off Log'!$B$5:$B$504,"PTO",'Time Off Log'!$E$5:$E$504,"Approved",'Time Off Log'!$C$5:$C$504,"&gt;="&amp;INDEX(Periods!$E$5:$E$57,$B438),'Time Off Log'!$C$5:$C$504,"&lt;="&amp;INDEX(Periods!$F$5:$F$57,$B438)))</f>
        <v/>
      </c>
      <c r="M438" s="48">
        <f>IF($B438=1,N(INDEX(Employees!$N$5:$N$29,$A438)),P437)</f>
        <v/>
      </c>
      <c r="N438" s="48">
        <f>IF(INDEX(Employees!$L$5:$L$29,$A438)="",K438,MAX(0,MIN(K438,INDEX(Employees!$L$5:$L$29,$A438)-(M438-L438))))</f>
        <v/>
      </c>
      <c r="O438" s="48">
        <f>K438-N438</f>
        <v/>
      </c>
      <c r="P438" s="48">
        <f>M438-L438+N438</f>
        <v/>
      </c>
      <c r="Q438" s="48">
        <f>IF($G438=0,0,IF(INDEX(Employees!$P$5:$P$29,$A438)="Per pay period",(N(INDEX(Employees!$Q$5:$Q$29,$A438)))/Settings!$B$13,IF(INDEX(Employees!$P$5:$P$29,$A438)="Per hour worked",N(INDEX(Employees!$R$5:$R$29,$A438))*$I438,IF(INDEX(Employees!$P$5:$P$29,$A438)="Front-loaded",IF(OR($B438=1,N($G437)=0),N(INDEX(Employees!$Q$5:$Q$29,$A438)),0),0))))</f>
        <v/>
      </c>
      <c r="R438" s="48">
        <f>IF($F438=0,0,SUMIFS('Time Off Log'!$H$5:$H$504,'Time Off Log'!$A$5:$A$504,$C438,'Time Off Log'!$B$5:$B$504,"Sick",'Time Off Log'!$E$5:$E$504,"Approved",'Time Off Log'!$C$5:$C$504,"&gt;="&amp;INDEX(Periods!$E$5:$E$57,$B438),'Time Off Log'!$C$5:$C$504,"&lt;="&amp;INDEX(Periods!$F$5:$F$57,$B438)))</f>
        <v/>
      </c>
      <c r="S438" s="48">
        <f>IF($B438=1,N(INDEX(Employees!$T$5:$T$29,$A438)),V437)</f>
        <v/>
      </c>
      <c r="T438" s="48">
        <f>IF(INDEX(Employees!$S$5:$S$29,$A438)="",Q438,MAX(0,MIN(Q438,INDEX(Employees!$S$5:$S$29,$A438)-(S438-R438))))</f>
        <v/>
      </c>
      <c r="U438" s="48">
        <f>Q438-T438</f>
        <v/>
      </c>
      <c r="V438" s="48">
        <f>S438-R438+T438</f>
        <v/>
      </c>
    </row>
    <row r="439">
      <c r="A439" s="47" t="n">
        <v>9</v>
      </c>
      <c r="B439" s="47" t="n">
        <v>11</v>
      </c>
      <c r="C439" s="48">
        <f>INDEX(Employees!$B$5:$B$29,$A439)&amp;""</f>
        <v/>
      </c>
      <c r="D439" s="49">
        <f>INDEX(Periods!$B$5:$B$57,$B439)</f>
        <v/>
      </c>
      <c r="E439" s="49">
        <f>INDEX(Periods!$C$5:$C$57,$B439)</f>
        <v/>
      </c>
      <c r="F439" s="47">
        <f>IF(AND($C439&lt;&gt;"",INDEX(Periods!$D$5:$D$57,$B439)=1),1,0)</f>
        <v/>
      </c>
      <c r="G439" s="47">
        <f>IF($F439=0,0,IF(AND(OR(INDEX(Employees!$D$5:$D$29,$A439)="",$E439&gt;=INDEX(Employees!$D$5:$D$29,$A439)+N(INDEX(Employees!$U$5:$U$29,$A439))),OR(INDEX(Employees!$E$5:$E$29,$A439)="",$D439&lt;=INDEX(Employees!$E$5:$E$29,$A439))),1,0))</f>
        <v/>
      </c>
      <c r="H439" s="47">
        <f>IF($G439=0,0,IF(INDEX(Employees!$D$5:$D$29,$A439)="",0,DATEDIF(INDEX(Employees!$D$5:$D$29,$A439),$E439,"y")))</f>
        <v/>
      </c>
      <c r="I439" s="48">
        <f>IF($G439=0,0,IF(INDEX('Hours Worked'!$D$5:$BD$29,$A439,$B439)="",N(INDEX(Employees!$H$5:$H$29,$A439)),INDEX('Hours Worked'!$D$5:$BD$29,$A439,$B439)))</f>
        <v/>
      </c>
      <c r="J439" s="48">
        <f>IF(OR($G439=0,INDEX(Employees!$O$5:$O$29,$A439)&lt;&gt;"Yes"),0,IF(COUNTIF(Settings!$D$4:$D$9,"&lt;="&amp;$H439)=0,0,INDEX(Settings!$E$4:$E$9,COUNTIF(Settings!$D$4:$D$9,"&lt;="&amp;$H439))))</f>
        <v/>
      </c>
      <c r="K439" s="48">
        <f>IF($G439=0,0,IF(INDEX(Employees!$I$5:$I$29,$A439)="Per pay period",(N(INDEX(Employees!$J$5:$J$29,$A439))+$J439)/Settings!$B$13,IF(INDEX(Employees!$I$5:$I$29,$A439)="Per hour worked",N(INDEX(Employees!$K$5:$K$29,$A439))*$I439,IF(INDEX(Employees!$I$5:$I$29,$A439)="Front-loaded",IF(OR($B439=1,N($G438)=0),N(INDEX(Employees!$J$5:$J$29,$A439))+$J439,0),0))))</f>
        <v/>
      </c>
      <c r="L439" s="48">
        <f>IF($F439=0,0,SUMIFS('Time Off Log'!$H$5:$H$504,'Time Off Log'!$A$5:$A$504,$C439,'Time Off Log'!$B$5:$B$504,"PTO",'Time Off Log'!$E$5:$E$504,"Approved",'Time Off Log'!$C$5:$C$504,"&gt;="&amp;INDEX(Periods!$E$5:$E$57,$B439),'Time Off Log'!$C$5:$C$504,"&lt;="&amp;INDEX(Periods!$F$5:$F$57,$B439)))</f>
        <v/>
      </c>
      <c r="M439" s="48">
        <f>IF($B439=1,N(INDEX(Employees!$N$5:$N$29,$A439)),P438)</f>
        <v/>
      </c>
      <c r="N439" s="48">
        <f>IF(INDEX(Employees!$L$5:$L$29,$A439)="",K439,MAX(0,MIN(K439,INDEX(Employees!$L$5:$L$29,$A439)-(M439-L439))))</f>
        <v/>
      </c>
      <c r="O439" s="48">
        <f>K439-N439</f>
        <v/>
      </c>
      <c r="P439" s="48">
        <f>M439-L439+N439</f>
        <v/>
      </c>
      <c r="Q439" s="48">
        <f>IF($G439=0,0,IF(INDEX(Employees!$P$5:$P$29,$A439)="Per pay period",(N(INDEX(Employees!$Q$5:$Q$29,$A439)))/Settings!$B$13,IF(INDEX(Employees!$P$5:$P$29,$A439)="Per hour worked",N(INDEX(Employees!$R$5:$R$29,$A439))*$I439,IF(INDEX(Employees!$P$5:$P$29,$A439)="Front-loaded",IF(OR($B439=1,N($G438)=0),N(INDEX(Employees!$Q$5:$Q$29,$A439)),0),0))))</f>
        <v/>
      </c>
      <c r="R439" s="48">
        <f>IF($F439=0,0,SUMIFS('Time Off Log'!$H$5:$H$504,'Time Off Log'!$A$5:$A$504,$C439,'Time Off Log'!$B$5:$B$504,"Sick",'Time Off Log'!$E$5:$E$504,"Approved",'Time Off Log'!$C$5:$C$504,"&gt;="&amp;INDEX(Periods!$E$5:$E$57,$B439),'Time Off Log'!$C$5:$C$504,"&lt;="&amp;INDEX(Periods!$F$5:$F$57,$B439)))</f>
        <v/>
      </c>
      <c r="S439" s="48">
        <f>IF($B439=1,N(INDEX(Employees!$T$5:$T$29,$A439)),V438)</f>
        <v/>
      </c>
      <c r="T439" s="48">
        <f>IF(INDEX(Employees!$S$5:$S$29,$A439)="",Q439,MAX(0,MIN(Q439,INDEX(Employees!$S$5:$S$29,$A439)-(S439-R439))))</f>
        <v/>
      </c>
      <c r="U439" s="48">
        <f>Q439-T439</f>
        <v/>
      </c>
      <c r="V439" s="48">
        <f>S439-R439+T439</f>
        <v/>
      </c>
    </row>
    <row r="440">
      <c r="A440" s="47" t="n">
        <v>9</v>
      </c>
      <c r="B440" s="47" t="n">
        <v>12</v>
      </c>
      <c r="C440" s="48">
        <f>INDEX(Employees!$B$5:$B$29,$A440)&amp;""</f>
        <v/>
      </c>
      <c r="D440" s="49">
        <f>INDEX(Periods!$B$5:$B$57,$B440)</f>
        <v/>
      </c>
      <c r="E440" s="49">
        <f>INDEX(Periods!$C$5:$C$57,$B440)</f>
        <v/>
      </c>
      <c r="F440" s="47">
        <f>IF(AND($C440&lt;&gt;"",INDEX(Periods!$D$5:$D$57,$B440)=1),1,0)</f>
        <v/>
      </c>
      <c r="G440" s="47">
        <f>IF($F440=0,0,IF(AND(OR(INDEX(Employees!$D$5:$D$29,$A440)="",$E440&gt;=INDEX(Employees!$D$5:$D$29,$A440)+N(INDEX(Employees!$U$5:$U$29,$A440))),OR(INDEX(Employees!$E$5:$E$29,$A440)="",$D440&lt;=INDEX(Employees!$E$5:$E$29,$A440))),1,0))</f>
        <v/>
      </c>
      <c r="H440" s="47">
        <f>IF($G440=0,0,IF(INDEX(Employees!$D$5:$D$29,$A440)="",0,DATEDIF(INDEX(Employees!$D$5:$D$29,$A440),$E440,"y")))</f>
        <v/>
      </c>
      <c r="I440" s="48">
        <f>IF($G440=0,0,IF(INDEX('Hours Worked'!$D$5:$BD$29,$A440,$B440)="",N(INDEX(Employees!$H$5:$H$29,$A440)),INDEX('Hours Worked'!$D$5:$BD$29,$A440,$B440)))</f>
        <v/>
      </c>
      <c r="J440" s="48">
        <f>IF(OR($G440=0,INDEX(Employees!$O$5:$O$29,$A440)&lt;&gt;"Yes"),0,IF(COUNTIF(Settings!$D$4:$D$9,"&lt;="&amp;$H440)=0,0,INDEX(Settings!$E$4:$E$9,COUNTIF(Settings!$D$4:$D$9,"&lt;="&amp;$H440))))</f>
        <v/>
      </c>
      <c r="K440" s="48">
        <f>IF($G440=0,0,IF(INDEX(Employees!$I$5:$I$29,$A440)="Per pay period",(N(INDEX(Employees!$J$5:$J$29,$A440))+$J440)/Settings!$B$13,IF(INDEX(Employees!$I$5:$I$29,$A440)="Per hour worked",N(INDEX(Employees!$K$5:$K$29,$A440))*$I440,IF(INDEX(Employees!$I$5:$I$29,$A440)="Front-loaded",IF(OR($B440=1,N($G439)=0),N(INDEX(Employees!$J$5:$J$29,$A440))+$J440,0),0))))</f>
        <v/>
      </c>
      <c r="L440" s="48">
        <f>IF($F440=0,0,SUMIFS('Time Off Log'!$H$5:$H$504,'Time Off Log'!$A$5:$A$504,$C440,'Time Off Log'!$B$5:$B$504,"PTO",'Time Off Log'!$E$5:$E$504,"Approved",'Time Off Log'!$C$5:$C$504,"&gt;="&amp;INDEX(Periods!$E$5:$E$57,$B440),'Time Off Log'!$C$5:$C$504,"&lt;="&amp;INDEX(Periods!$F$5:$F$57,$B440)))</f>
        <v/>
      </c>
      <c r="M440" s="48">
        <f>IF($B440=1,N(INDEX(Employees!$N$5:$N$29,$A440)),P439)</f>
        <v/>
      </c>
      <c r="N440" s="48">
        <f>IF(INDEX(Employees!$L$5:$L$29,$A440)="",K440,MAX(0,MIN(K440,INDEX(Employees!$L$5:$L$29,$A440)-(M440-L440))))</f>
        <v/>
      </c>
      <c r="O440" s="48">
        <f>K440-N440</f>
        <v/>
      </c>
      <c r="P440" s="48">
        <f>M440-L440+N440</f>
        <v/>
      </c>
      <c r="Q440" s="48">
        <f>IF($G440=0,0,IF(INDEX(Employees!$P$5:$P$29,$A440)="Per pay period",(N(INDEX(Employees!$Q$5:$Q$29,$A440)))/Settings!$B$13,IF(INDEX(Employees!$P$5:$P$29,$A440)="Per hour worked",N(INDEX(Employees!$R$5:$R$29,$A440))*$I440,IF(INDEX(Employees!$P$5:$P$29,$A440)="Front-loaded",IF(OR($B440=1,N($G439)=0),N(INDEX(Employees!$Q$5:$Q$29,$A440)),0),0))))</f>
        <v/>
      </c>
      <c r="R440" s="48">
        <f>IF($F440=0,0,SUMIFS('Time Off Log'!$H$5:$H$504,'Time Off Log'!$A$5:$A$504,$C440,'Time Off Log'!$B$5:$B$504,"Sick",'Time Off Log'!$E$5:$E$504,"Approved",'Time Off Log'!$C$5:$C$504,"&gt;="&amp;INDEX(Periods!$E$5:$E$57,$B440),'Time Off Log'!$C$5:$C$504,"&lt;="&amp;INDEX(Periods!$F$5:$F$57,$B440)))</f>
        <v/>
      </c>
      <c r="S440" s="48">
        <f>IF($B440=1,N(INDEX(Employees!$T$5:$T$29,$A440)),V439)</f>
        <v/>
      </c>
      <c r="T440" s="48">
        <f>IF(INDEX(Employees!$S$5:$S$29,$A440)="",Q440,MAX(0,MIN(Q440,INDEX(Employees!$S$5:$S$29,$A440)-(S440-R440))))</f>
        <v/>
      </c>
      <c r="U440" s="48">
        <f>Q440-T440</f>
        <v/>
      </c>
      <c r="V440" s="48">
        <f>S440-R440+T440</f>
        <v/>
      </c>
    </row>
    <row r="441">
      <c r="A441" s="47" t="n">
        <v>9</v>
      </c>
      <c r="B441" s="47" t="n">
        <v>13</v>
      </c>
      <c r="C441" s="48">
        <f>INDEX(Employees!$B$5:$B$29,$A441)&amp;""</f>
        <v/>
      </c>
      <c r="D441" s="49">
        <f>INDEX(Periods!$B$5:$B$57,$B441)</f>
        <v/>
      </c>
      <c r="E441" s="49">
        <f>INDEX(Periods!$C$5:$C$57,$B441)</f>
        <v/>
      </c>
      <c r="F441" s="47">
        <f>IF(AND($C441&lt;&gt;"",INDEX(Periods!$D$5:$D$57,$B441)=1),1,0)</f>
        <v/>
      </c>
      <c r="G441" s="47">
        <f>IF($F441=0,0,IF(AND(OR(INDEX(Employees!$D$5:$D$29,$A441)="",$E441&gt;=INDEX(Employees!$D$5:$D$29,$A441)+N(INDEX(Employees!$U$5:$U$29,$A441))),OR(INDEX(Employees!$E$5:$E$29,$A441)="",$D441&lt;=INDEX(Employees!$E$5:$E$29,$A441))),1,0))</f>
        <v/>
      </c>
      <c r="H441" s="47">
        <f>IF($G441=0,0,IF(INDEX(Employees!$D$5:$D$29,$A441)="",0,DATEDIF(INDEX(Employees!$D$5:$D$29,$A441),$E441,"y")))</f>
        <v/>
      </c>
      <c r="I441" s="48">
        <f>IF($G441=0,0,IF(INDEX('Hours Worked'!$D$5:$BD$29,$A441,$B441)="",N(INDEX(Employees!$H$5:$H$29,$A441)),INDEX('Hours Worked'!$D$5:$BD$29,$A441,$B441)))</f>
        <v/>
      </c>
      <c r="J441" s="48">
        <f>IF(OR($G441=0,INDEX(Employees!$O$5:$O$29,$A441)&lt;&gt;"Yes"),0,IF(COUNTIF(Settings!$D$4:$D$9,"&lt;="&amp;$H441)=0,0,INDEX(Settings!$E$4:$E$9,COUNTIF(Settings!$D$4:$D$9,"&lt;="&amp;$H441))))</f>
        <v/>
      </c>
      <c r="K441" s="48">
        <f>IF($G441=0,0,IF(INDEX(Employees!$I$5:$I$29,$A441)="Per pay period",(N(INDEX(Employees!$J$5:$J$29,$A441))+$J441)/Settings!$B$13,IF(INDEX(Employees!$I$5:$I$29,$A441)="Per hour worked",N(INDEX(Employees!$K$5:$K$29,$A441))*$I441,IF(INDEX(Employees!$I$5:$I$29,$A441)="Front-loaded",IF(OR($B441=1,N($G440)=0),N(INDEX(Employees!$J$5:$J$29,$A441))+$J441,0),0))))</f>
        <v/>
      </c>
      <c r="L441" s="48">
        <f>IF($F441=0,0,SUMIFS('Time Off Log'!$H$5:$H$504,'Time Off Log'!$A$5:$A$504,$C441,'Time Off Log'!$B$5:$B$504,"PTO",'Time Off Log'!$E$5:$E$504,"Approved",'Time Off Log'!$C$5:$C$504,"&gt;="&amp;INDEX(Periods!$E$5:$E$57,$B441),'Time Off Log'!$C$5:$C$504,"&lt;="&amp;INDEX(Periods!$F$5:$F$57,$B441)))</f>
        <v/>
      </c>
      <c r="M441" s="48">
        <f>IF($B441=1,N(INDEX(Employees!$N$5:$N$29,$A441)),P440)</f>
        <v/>
      </c>
      <c r="N441" s="48">
        <f>IF(INDEX(Employees!$L$5:$L$29,$A441)="",K441,MAX(0,MIN(K441,INDEX(Employees!$L$5:$L$29,$A441)-(M441-L441))))</f>
        <v/>
      </c>
      <c r="O441" s="48">
        <f>K441-N441</f>
        <v/>
      </c>
      <c r="P441" s="48">
        <f>M441-L441+N441</f>
        <v/>
      </c>
      <c r="Q441" s="48">
        <f>IF($G441=0,0,IF(INDEX(Employees!$P$5:$P$29,$A441)="Per pay period",(N(INDEX(Employees!$Q$5:$Q$29,$A441)))/Settings!$B$13,IF(INDEX(Employees!$P$5:$P$29,$A441)="Per hour worked",N(INDEX(Employees!$R$5:$R$29,$A441))*$I441,IF(INDEX(Employees!$P$5:$P$29,$A441)="Front-loaded",IF(OR($B441=1,N($G440)=0),N(INDEX(Employees!$Q$5:$Q$29,$A441)),0),0))))</f>
        <v/>
      </c>
      <c r="R441" s="48">
        <f>IF($F441=0,0,SUMIFS('Time Off Log'!$H$5:$H$504,'Time Off Log'!$A$5:$A$504,$C441,'Time Off Log'!$B$5:$B$504,"Sick",'Time Off Log'!$E$5:$E$504,"Approved",'Time Off Log'!$C$5:$C$504,"&gt;="&amp;INDEX(Periods!$E$5:$E$57,$B441),'Time Off Log'!$C$5:$C$504,"&lt;="&amp;INDEX(Periods!$F$5:$F$57,$B441)))</f>
        <v/>
      </c>
      <c r="S441" s="48">
        <f>IF($B441=1,N(INDEX(Employees!$T$5:$T$29,$A441)),V440)</f>
        <v/>
      </c>
      <c r="T441" s="48">
        <f>IF(INDEX(Employees!$S$5:$S$29,$A441)="",Q441,MAX(0,MIN(Q441,INDEX(Employees!$S$5:$S$29,$A441)-(S441-R441))))</f>
        <v/>
      </c>
      <c r="U441" s="48">
        <f>Q441-T441</f>
        <v/>
      </c>
      <c r="V441" s="48">
        <f>S441-R441+T441</f>
        <v/>
      </c>
    </row>
    <row r="442">
      <c r="A442" s="47" t="n">
        <v>9</v>
      </c>
      <c r="B442" s="47" t="n">
        <v>14</v>
      </c>
      <c r="C442" s="48">
        <f>INDEX(Employees!$B$5:$B$29,$A442)&amp;""</f>
        <v/>
      </c>
      <c r="D442" s="49">
        <f>INDEX(Periods!$B$5:$B$57,$B442)</f>
        <v/>
      </c>
      <c r="E442" s="49">
        <f>INDEX(Periods!$C$5:$C$57,$B442)</f>
        <v/>
      </c>
      <c r="F442" s="47">
        <f>IF(AND($C442&lt;&gt;"",INDEX(Periods!$D$5:$D$57,$B442)=1),1,0)</f>
        <v/>
      </c>
      <c r="G442" s="47">
        <f>IF($F442=0,0,IF(AND(OR(INDEX(Employees!$D$5:$D$29,$A442)="",$E442&gt;=INDEX(Employees!$D$5:$D$29,$A442)+N(INDEX(Employees!$U$5:$U$29,$A442))),OR(INDEX(Employees!$E$5:$E$29,$A442)="",$D442&lt;=INDEX(Employees!$E$5:$E$29,$A442))),1,0))</f>
        <v/>
      </c>
      <c r="H442" s="47">
        <f>IF($G442=0,0,IF(INDEX(Employees!$D$5:$D$29,$A442)="",0,DATEDIF(INDEX(Employees!$D$5:$D$29,$A442),$E442,"y")))</f>
        <v/>
      </c>
      <c r="I442" s="48">
        <f>IF($G442=0,0,IF(INDEX('Hours Worked'!$D$5:$BD$29,$A442,$B442)="",N(INDEX(Employees!$H$5:$H$29,$A442)),INDEX('Hours Worked'!$D$5:$BD$29,$A442,$B442)))</f>
        <v/>
      </c>
      <c r="J442" s="48">
        <f>IF(OR($G442=0,INDEX(Employees!$O$5:$O$29,$A442)&lt;&gt;"Yes"),0,IF(COUNTIF(Settings!$D$4:$D$9,"&lt;="&amp;$H442)=0,0,INDEX(Settings!$E$4:$E$9,COUNTIF(Settings!$D$4:$D$9,"&lt;="&amp;$H442))))</f>
        <v/>
      </c>
      <c r="K442" s="48">
        <f>IF($G442=0,0,IF(INDEX(Employees!$I$5:$I$29,$A442)="Per pay period",(N(INDEX(Employees!$J$5:$J$29,$A442))+$J442)/Settings!$B$13,IF(INDEX(Employees!$I$5:$I$29,$A442)="Per hour worked",N(INDEX(Employees!$K$5:$K$29,$A442))*$I442,IF(INDEX(Employees!$I$5:$I$29,$A442)="Front-loaded",IF(OR($B442=1,N($G441)=0),N(INDEX(Employees!$J$5:$J$29,$A442))+$J442,0),0))))</f>
        <v/>
      </c>
      <c r="L442" s="48">
        <f>IF($F442=0,0,SUMIFS('Time Off Log'!$H$5:$H$504,'Time Off Log'!$A$5:$A$504,$C442,'Time Off Log'!$B$5:$B$504,"PTO",'Time Off Log'!$E$5:$E$504,"Approved",'Time Off Log'!$C$5:$C$504,"&gt;="&amp;INDEX(Periods!$E$5:$E$57,$B442),'Time Off Log'!$C$5:$C$504,"&lt;="&amp;INDEX(Periods!$F$5:$F$57,$B442)))</f>
        <v/>
      </c>
      <c r="M442" s="48">
        <f>IF($B442=1,N(INDEX(Employees!$N$5:$N$29,$A442)),P441)</f>
        <v/>
      </c>
      <c r="N442" s="48">
        <f>IF(INDEX(Employees!$L$5:$L$29,$A442)="",K442,MAX(0,MIN(K442,INDEX(Employees!$L$5:$L$29,$A442)-(M442-L442))))</f>
        <v/>
      </c>
      <c r="O442" s="48">
        <f>K442-N442</f>
        <v/>
      </c>
      <c r="P442" s="48">
        <f>M442-L442+N442</f>
        <v/>
      </c>
      <c r="Q442" s="48">
        <f>IF($G442=0,0,IF(INDEX(Employees!$P$5:$P$29,$A442)="Per pay period",(N(INDEX(Employees!$Q$5:$Q$29,$A442)))/Settings!$B$13,IF(INDEX(Employees!$P$5:$P$29,$A442)="Per hour worked",N(INDEX(Employees!$R$5:$R$29,$A442))*$I442,IF(INDEX(Employees!$P$5:$P$29,$A442)="Front-loaded",IF(OR($B442=1,N($G441)=0),N(INDEX(Employees!$Q$5:$Q$29,$A442)),0),0))))</f>
        <v/>
      </c>
      <c r="R442" s="48">
        <f>IF($F442=0,0,SUMIFS('Time Off Log'!$H$5:$H$504,'Time Off Log'!$A$5:$A$504,$C442,'Time Off Log'!$B$5:$B$504,"Sick",'Time Off Log'!$E$5:$E$504,"Approved",'Time Off Log'!$C$5:$C$504,"&gt;="&amp;INDEX(Periods!$E$5:$E$57,$B442),'Time Off Log'!$C$5:$C$504,"&lt;="&amp;INDEX(Periods!$F$5:$F$57,$B442)))</f>
        <v/>
      </c>
      <c r="S442" s="48">
        <f>IF($B442=1,N(INDEX(Employees!$T$5:$T$29,$A442)),V441)</f>
        <v/>
      </c>
      <c r="T442" s="48">
        <f>IF(INDEX(Employees!$S$5:$S$29,$A442)="",Q442,MAX(0,MIN(Q442,INDEX(Employees!$S$5:$S$29,$A442)-(S442-R442))))</f>
        <v/>
      </c>
      <c r="U442" s="48">
        <f>Q442-T442</f>
        <v/>
      </c>
      <c r="V442" s="48">
        <f>S442-R442+T442</f>
        <v/>
      </c>
    </row>
    <row r="443">
      <c r="A443" s="47" t="n">
        <v>9</v>
      </c>
      <c r="B443" s="47" t="n">
        <v>15</v>
      </c>
      <c r="C443" s="48">
        <f>INDEX(Employees!$B$5:$B$29,$A443)&amp;""</f>
        <v/>
      </c>
      <c r="D443" s="49">
        <f>INDEX(Periods!$B$5:$B$57,$B443)</f>
        <v/>
      </c>
      <c r="E443" s="49">
        <f>INDEX(Periods!$C$5:$C$57,$B443)</f>
        <v/>
      </c>
      <c r="F443" s="47">
        <f>IF(AND($C443&lt;&gt;"",INDEX(Periods!$D$5:$D$57,$B443)=1),1,0)</f>
        <v/>
      </c>
      <c r="G443" s="47">
        <f>IF($F443=0,0,IF(AND(OR(INDEX(Employees!$D$5:$D$29,$A443)="",$E443&gt;=INDEX(Employees!$D$5:$D$29,$A443)+N(INDEX(Employees!$U$5:$U$29,$A443))),OR(INDEX(Employees!$E$5:$E$29,$A443)="",$D443&lt;=INDEX(Employees!$E$5:$E$29,$A443))),1,0))</f>
        <v/>
      </c>
      <c r="H443" s="47">
        <f>IF($G443=0,0,IF(INDEX(Employees!$D$5:$D$29,$A443)="",0,DATEDIF(INDEX(Employees!$D$5:$D$29,$A443),$E443,"y")))</f>
        <v/>
      </c>
      <c r="I443" s="48">
        <f>IF($G443=0,0,IF(INDEX('Hours Worked'!$D$5:$BD$29,$A443,$B443)="",N(INDEX(Employees!$H$5:$H$29,$A443)),INDEX('Hours Worked'!$D$5:$BD$29,$A443,$B443)))</f>
        <v/>
      </c>
      <c r="J443" s="48">
        <f>IF(OR($G443=0,INDEX(Employees!$O$5:$O$29,$A443)&lt;&gt;"Yes"),0,IF(COUNTIF(Settings!$D$4:$D$9,"&lt;="&amp;$H443)=0,0,INDEX(Settings!$E$4:$E$9,COUNTIF(Settings!$D$4:$D$9,"&lt;="&amp;$H443))))</f>
        <v/>
      </c>
      <c r="K443" s="48">
        <f>IF($G443=0,0,IF(INDEX(Employees!$I$5:$I$29,$A443)="Per pay period",(N(INDEX(Employees!$J$5:$J$29,$A443))+$J443)/Settings!$B$13,IF(INDEX(Employees!$I$5:$I$29,$A443)="Per hour worked",N(INDEX(Employees!$K$5:$K$29,$A443))*$I443,IF(INDEX(Employees!$I$5:$I$29,$A443)="Front-loaded",IF(OR($B443=1,N($G442)=0),N(INDEX(Employees!$J$5:$J$29,$A443))+$J443,0),0))))</f>
        <v/>
      </c>
      <c r="L443" s="48">
        <f>IF($F443=0,0,SUMIFS('Time Off Log'!$H$5:$H$504,'Time Off Log'!$A$5:$A$504,$C443,'Time Off Log'!$B$5:$B$504,"PTO",'Time Off Log'!$E$5:$E$504,"Approved",'Time Off Log'!$C$5:$C$504,"&gt;="&amp;INDEX(Periods!$E$5:$E$57,$B443),'Time Off Log'!$C$5:$C$504,"&lt;="&amp;INDEX(Periods!$F$5:$F$57,$B443)))</f>
        <v/>
      </c>
      <c r="M443" s="48">
        <f>IF($B443=1,N(INDEX(Employees!$N$5:$N$29,$A443)),P442)</f>
        <v/>
      </c>
      <c r="N443" s="48">
        <f>IF(INDEX(Employees!$L$5:$L$29,$A443)="",K443,MAX(0,MIN(K443,INDEX(Employees!$L$5:$L$29,$A443)-(M443-L443))))</f>
        <v/>
      </c>
      <c r="O443" s="48">
        <f>K443-N443</f>
        <v/>
      </c>
      <c r="P443" s="48">
        <f>M443-L443+N443</f>
        <v/>
      </c>
      <c r="Q443" s="48">
        <f>IF($G443=0,0,IF(INDEX(Employees!$P$5:$P$29,$A443)="Per pay period",(N(INDEX(Employees!$Q$5:$Q$29,$A443)))/Settings!$B$13,IF(INDEX(Employees!$P$5:$P$29,$A443)="Per hour worked",N(INDEX(Employees!$R$5:$R$29,$A443))*$I443,IF(INDEX(Employees!$P$5:$P$29,$A443)="Front-loaded",IF(OR($B443=1,N($G442)=0),N(INDEX(Employees!$Q$5:$Q$29,$A443)),0),0))))</f>
        <v/>
      </c>
      <c r="R443" s="48">
        <f>IF($F443=0,0,SUMIFS('Time Off Log'!$H$5:$H$504,'Time Off Log'!$A$5:$A$504,$C443,'Time Off Log'!$B$5:$B$504,"Sick",'Time Off Log'!$E$5:$E$504,"Approved",'Time Off Log'!$C$5:$C$504,"&gt;="&amp;INDEX(Periods!$E$5:$E$57,$B443),'Time Off Log'!$C$5:$C$504,"&lt;="&amp;INDEX(Periods!$F$5:$F$57,$B443)))</f>
        <v/>
      </c>
      <c r="S443" s="48">
        <f>IF($B443=1,N(INDEX(Employees!$T$5:$T$29,$A443)),V442)</f>
        <v/>
      </c>
      <c r="T443" s="48">
        <f>IF(INDEX(Employees!$S$5:$S$29,$A443)="",Q443,MAX(0,MIN(Q443,INDEX(Employees!$S$5:$S$29,$A443)-(S443-R443))))</f>
        <v/>
      </c>
      <c r="U443" s="48">
        <f>Q443-T443</f>
        <v/>
      </c>
      <c r="V443" s="48">
        <f>S443-R443+T443</f>
        <v/>
      </c>
    </row>
    <row r="444">
      <c r="A444" s="47" t="n">
        <v>9</v>
      </c>
      <c r="B444" s="47" t="n">
        <v>16</v>
      </c>
      <c r="C444" s="48">
        <f>INDEX(Employees!$B$5:$B$29,$A444)&amp;""</f>
        <v/>
      </c>
      <c r="D444" s="49">
        <f>INDEX(Periods!$B$5:$B$57,$B444)</f>
        <v/>
      </c>
      <c r="E444" s="49">
        <f>INDEX(Periods!$C$5:$C$57,$B444)</f>
        <v/>
      </c>
      <c r="F444" s="47">
        <f>IF(AND($C444&lt;&gt;"",INDEX(Periods!$D$5:$D$57,$B444)=1),1,0)</f>
        <v/>
      </c>
      <c r="G444" s="47">
        <f>IF($F444=0,0,IF(AND(OR(INDEX(Employees!$D$5:$D$29,$A444)="",$E444&gt;=INDEX(Employees!$D$5:$D$29,$A444)+N(INDEX(Employees!$U$5:$U$29,$A444))),OR(INDEX(Employees!$E$5:$E$29,$A444)="",$D444&lt;=INDEX(Employees!$E$5:$E$29,$A444))),1,0))</f>
        <v/>
      </c>
      <c r="H444" s="47">
        <f>IF($G444=0,0,IF(INDEX(Employees!$D$5:$D$29,$A444)="",0,DATEDIF(INDEX(Employees!$D$5:$D$29,$A444),$E444,"y")))</f>
        <v/>
      </c>
      <c r="I444" s="48">
        <f>IF($G444=0,0,IF(INDEX('Hours Worked'!$D$5:$BD$29,$A444,$B444)="",N(INDEX(Employees!$H$5:$H$29,$A444)),INDEX('Hours Worked'!$D$5:$BD$29,$A444,$B444)))</f>
        <v/>
      </c>
      <c r="J444" s="48">
        <f>IF(OR($G444=0,INDEX(Employees!$O$5:$O$29,$A444)&lt;&gt;"Yes"),0,IF(COUNTIF(Settings!$D$4:$D$9,"&lt;="&amp;$H444)=0,0,INDEX(Settings!$E$4:$E$9,COUNTIF(Settings!$D$4:$D$9,"&lt;="&amp;$H444))))</f>
        <v/>
      </c>
      <c r="K444" s="48">
        <f>IF($G444=0,0,IF(INDEX(Employees!$I$5:$I$29,$A444)="Per pay period",(N(INDEX(Employees!$J$5:$J$29,$A444))+$J444)/Settings!$B$13,IF(INDEX(Employees!$I$5:$I$29,$A444)="Per hour worked",N(INDEX(Employees!$K$5:$K$29,$A444))*$I444,IF(INDEX(Employees!$I$5:$I$29,$A444)="Front-loaded",IF(OR($B444=1,N($G443)=0),N(INDEX(Employees!$J$5:$J$29,$A444))+$J444,0),0))))</f>
        <v/>
      </c>
      <c r="L444" s="48">
        <f>IF($F444=0,0,SUMIFS('Time Off Log'!$H$5:$H$504,'Time Off Log'!$A$5:$A$504,$C444,'Time Off Log'!$B$5:$B$504,"PTO",'Time Off Log'!$E$5:$E$504,"Approved",'Time Off Log'!$C$5:$C$504,"&gt;="&amp;INDEX(Periods!$E$5:$E$57,$B444),'Time Off Log'!$C$5:$C$504,"&lt;="&amp;INDEX(Periods!$F$5:$F$57,$B444)))</f>
        <v/>
      </c>
      <c r="M444" s="48">
        <f>IF($B444=1,N(INDEX(Employees!$N$5:$N$29,$A444)),P443)</f>
        <v/>
      </c>
      <c r="N444" s="48">
        <f>IF(INDEX(Employees!$L$5:$L$29,$A444)="",K444,MAX(0,MIN(K444,INDEX(Employees!$L$5:$L$29,$A444)-(M444-L444))))</f>
        <v/>
      </c>
      <c r="O444" s="48">
        <f>K444-N444</f>
        <v/>
      </c>
      <c r="P444" s="48">
        <f>M444-L444+N444</f>
        <v/>
      </c>
      <c r="Q444" s="48">
        <f>IF($G444=0,0,IF(INDEX(Employees!$P$5:$P$29,$A444)="Per pay period",(N(INDEX(Employees!$Q$5:$Q$29,$A444)))/Settings!$B$13,IF(INDEX(Employees!$P$5:$P$29,$A444)="Per hour worked",N(INDEX(Employees!$R$5:$R$29,$A444))*$I444,IF(INDEX(Employees!$P$5:$P$29,$A444)="Front-loaded",IF(OR($B444=1,N($G443)=0),N(INDEX(Employees!$Q$5:$Q$29,$A444)),0),0))))</f>
        <v/>
      </c>
      <c r="R444" s="48">
        <f>IF($F444=0,0,SUMIFS('Time Off Log'!$H$5:$H$504,'Time Off Log'!$A$5:$A$504,$C444,'Time Off Log'!$B$5:$B$504,"Sick",'Time Off Log'!$E$5:$E$504,"Approved",'Time Off Log'!$C$5:$C$504,"&gt;="&amp;INDEX(Periods!$E$5:$E$57,$B444),'Time Off Log'!$C$5:$C$504,"&lt;="&amp;INDEX(Periods!$F$5:$F$57,$B444)))</f>
        <v/>
      </c>
      <c r="S444" s="48">
        <f>IF($B444=1,N(INDEX(Employees!$T$5:$T$29,$A444)),V443)</f>
        <v/>
      </c>
      <c r="T444" s="48">
        <f>IF(INDEX(Employees!$S$5:$S$29,$A444)="",Q444,MAX(0,MIN(Q444,INDEX(Employees!$S$5:$S$29,$A444)-(S444-R444))))</f>
        <v/>
      </c>
      <c r="U444" s="48">
        <f>Q444-T444</f>
        <v/>
      </c>
      <c r="V444" s="48">
        <f>S444-R444+T444</f>
        <v/>
      </c>
    </row>
    <row r="445">
      <c r="A445" s="47" t="n">
        <v>9</v>
      </c>
      <c r="B445" s="47" t="n">
        <v>17</v>
      </c>
      <c r="C445" s="48">
        <f>INDEX(Employees!$B$5:$B$29,$A445)&amp;""</f>
        <v/>
      </c>
      <c r="D445" s="49">
        <f>INDEX(Periods!$B$5:$B$57,$B445)</f>
        <v/>
      </c>
      <c r="E445" s="49">
        <f>INDEX(Periods!$C$5:$C$57,$B445)</f>
        <v/>
      </c>
      <c r="F445" s="47">
        <f>IF(AND($C445&lt;&gt;"",INDEX(Periods!$D$5:$D$57,$B445)=1),1,0)</f>
        <v/>
      </c>
      <c r="G445" s="47">
        <f>IF($F445=0,0,IF(AND(OR(INDEX(Employees!$D$5:$D$29,$A445)="",$E445&gt;=INDEX(Employees!$D$5:$D$29,$A445)+N(INDEX(Employees!$U$5:$U$29,$A445))),OR(INDEX(Employees!$E$5:$E$29,$A445)="",$D445&lt;=INDEX(Employees!$E$5:$E$29,$A445))),1,0))</f>
        <v/>
      </c>
      <c r="H445" s="47">
        <f>IF($G445=0,0,IF(INDEX(Employees!$D$5:$D$29,$A445)="",0,DATEDIF(INDEX(Employees!$D$5:$D$29,$A445),$E445,"y")))</f>
        <v/>
      </c>
      <c r="I445" s="48">
        <f>IF($G445=0,0,IF(INDEX('Hours Worked'!$D$5:$BD$29,$A445,$B445)="",N(INDEX(Employees!$H$5:$H$29,$A445)),INDEX('Hours Worked'!$D$5:$BD$29,$A445,$B445)))</f>
        <v/>
      </c>
      <c r="J445" s="48">
        <f>IF(OR($G445=0,INDEX(Employees!$O$5:$O$29,$A445)&lt;&gt;"Yes"),0,IF(COUNTIF(Settings!$D$4:$D$9,"&lt;="&amp;$H445)=0,0,INDEX(Settings!$E$4:$E$9,COUNTIF(Settings!$D$4:$D$9,"&lt;="&amp;$H445))))</f>
        <v/>
      </c>
      <c r="K445" s="48">
        <f>IF($G445=0,0,IF(INDEX(Employees!$I$5:$I$29,$A445)="Per pay period",(N(INDEX(Employees!$J$5:$J$29,$A445))+$J445)/Settings!$B$13,IF(INDEX(Employees!$I$5:$I$29,$A445)="Per hour worked",N(INDEX(Employees!$K$5:$K$29,$A445))*$I445,IF(INDEX(Employees!$I$5:$I$29,$A445)="Front-loaded",IF(OR($B445=1,N($G444)=0),N(INDEX(Employees!$J$5:$J$29,$A445))+$J445,0),0))))</f>
        <v/>
      </c>
      <c r="L445" s="48">
        <f>IF($F445=0,0,SUMIFS('Time Off Log'!$H$5:$H$504,'Time Off Log'!$A$5:$A$504,$C445,'Time Off Log'!$B$5:$B$504,"PTO",'Time Off Log'!$E$5:$E$504,"Approved",'Time Off Log'!$C$5:$C$504,"&gt;="&amp;INDEX(Periods!$E$5:$E$57,$B445),'Time Off Log'!$C$5:$C$504,"&lt;="&amp;INDEX(Periods!$F$5:$F$57,$B445)))</f>
        <v/>
      </c>
      <c r="M445" s="48">
        <f>IF($B445=1,N(INDEX(Employees!$N$5:$N$29,$A445)),P444)</f>
        <v/>
      </c>
      <c r="N445" s="48">
        <f>IF(INDEX(Employees!$L$5:$L$29,$A445)="",K445,MAX(0,MIN(K445,INDEX(Employees!$L$5:$L$29,$A445)-(M445-L445))))</f>
        <v/>
      </c>
      <c r="O445" s="48">
        <f>K445-N445</f>
        <v/>
      </c>
      <c r="P445" s="48">
        <f>M445-L445+N445</f>
        <v/>
      </c>
      <c r="Q445" s="48">
        <f>IF($G445=0,0,IF(INDEX(Employees!$P$5:$P$29,$A445)="Per pay period",(N(INDEX(Employees!$Q$5:$Q$29,$A445)))/Settings!$B$13,IF(INDEX(Employees!$P$5:$P$29,$A445)="Per hour worked",N(INDEX(Employees!$R$5:$R$29,$A445))*$I445,IF(INDEX(Employees!$P$5:$P$29,$A445)="Front-loaded",IF(OR($B445=1,N($G444)=0),N(INDEX(Employees!$Q$5:$Q$29,$A445)),0),0))))</f>
        <v/>
      </c>
      <c r="R445" s="48">
        <f>IF($F445=0,0,SUMIFS('Time Off Log'!$H$5:$H$504,'Time Off Log'!$A$5:$A$504,$C445,'Time Off Log'!$B$5:$B$504,"Sick",'Time Off Log'!$E$5:$E$504,"Approved",'Time Off Log'!$C$5:$C$504,"&gt;="&amp;INDEX(Periods!$E$5:$E$57,$B445),'Time Off Log'!$C$5:$C$504,"&lt;="&amp;INDEX(Periods!$F$5:$F$57,$B445)))</f>
        <v/>
      </c>
      <c r="S445" s="48">
        <f>IF($B445=1,N(INDEX(Employees!$T$5:$T$29,$A445)),V444)</f>
        <v/>
      </c>
      <c r="T445" s="48">
        <f>IF(INDEX(Employees!$S$5:$S$29,$A445)="",Q445,MAX(0,MIN(Q445,INDEX(Employees!$S$5:$S$29,$A445)-(S445-R445))))</f>
        <v/>
      </c>
      <c r="U445" s="48">
        <f>Q445-T445</f>
        <v/>
      </c>
      <c r="V445" s="48">
        <f>S445-R445+T445</f>
        <v/>
      </c>
    </row>
    <row r="446">
      <c r="A446" s="47" t="n">
        <v>9</v>
      </c>
      <c r="B446" s="47" t="n">
        <v>18</v>
      </c>
      <c r="C446" s="48">
        <f>INDEX(Employees!$B$5:$B$29,$A446)&amp;""</f>
        <v/>
      </c>
      <c r="D446" s="49">
        <f>INDEX(Periods!$B$5:$B$57,$B446)</f>
        <v/>
      </c>
      <c r="E446" s="49">
        <f>INDEX(Periods!$C$5:$C$57,$B446)</f>
        <v/>
      </c>
      <c r="F446" s="47">
        <f>IF(AND($C446&lt;&gt;"",INDEX(Periods!$D$5:$D$57,$B446)=1),1,0)</f>
        <v/>
      </c>
      <c r="G446" s="47">
        <f>IF($F446=0,0,IF(AND(OR(INDEX(Employees!$D$5:$D$29,$A446)="",$E446&gt;=INDEX(Employees!$D$5:$D$29,$A446)+N(INDEX(Employees!$U$5:$U$29,$A446))),OR(INDEX(Employees!$E$5:$E$29,$A446)="",$D446&lt;=INDEX(Employees!$E$5:$E$29,$A446))),1,0))</f>
        <v/>
      </c>
      <c r="H446" s="47">
        <f>IF($G446=0,0,IF(INDEX(Employees!$D$5:$D$29,$A446)="",0,DATEDIF(INDEX(Employees!$D$5:$D$29,$A446),$E446,"y")))</f>
        <v/>
      </c>
      <c r="I446" s="48">
        <f>IF($G446=0,0,IF(INDEX('Hours Worked'!$D$5:$BD$29,$A446,$B446)="",N(INDEX(Employees!$H$5:$H$29,$A446)),INDEX('Hours Worked'!$D$5:$BD$29,$A446,$B446)))</f>
        <v/>
      </c>
      <c r="J446" s="48">
        <f>IF(OR($G446=0,INDEX(Employees!$O$5:$O$29,$A446)&lt;&gt;"Yes"),0,IF(COUNTIF(Settings!$D$4:$D$9,"&lt;="&amp;$H446)=0,0,INDEX(Settings!$E$4:$E$9,COUNTIF(Settings!$D$4:$D$9,"&lt;="&amp;$H446))))</f>
        <v/>
      </c>
      <c r="K446" s="48">
        <f>IF($G446=0,0,IF(INDEX(Employees!$I$5:$I$29,$A446)="Per pay period",(N(INDEX(Employees!$J$5:$J$29,$A446))+$J446)/Settings!$B$13,IF(INDEX(Employees!$I$5:$I$29,$A446)="Per hour worked",N(INDEX(Employees!$K$5:$K$29,$A446))*$I446,IF(INDEX(Employees!$I$5:$I$29,$A446)="Front-loaded",IF(OR($B446=1,N($G445)=0),N(INDEX(Employees!$J$5:$J$29,$A446))+$J446,0),0))))</f>
        <v/>
      </c>
      <c r="L446" s="48">
        <f>IF($F446=0,0,SUMIFS('Time Off Log'!$H$5:$H$504,'Time Off Log'!$A$5:$A$504,$C446,'Time Off Log'!$B$5:$B$504,"PTO",'Time Off Log'!$E$5:$E$504,"Approved",'Time Off Log'!$C$5:$C$504,"&gt;="&amp;INDEX(Periods!$E$5:$E$57,$B446),'Time Off Log'!$C$5:$C$504,"&lt;="&amp;INDEX(Periods!$F$5:$F$57,$B446)))</f>
        <v/>
      </c>
      <c r="M446" s="48">
        <f>IF($B446=1,N(INDEX(Employees!$N$5:$N$29,$A446)),P445)</f>
        <v/>
      </c>
      <c r="N446" s="48">
        <f>IF(INDEX(Employees!$L$5:$L$29,$A446)="",K446,MAX(0,MIN(K446,INDEX(Employees!$L$5:$L$29,$A446)-(M446-L446))))</f>
        <v/>
      </c>
      <c r="O446" s="48">
        <f>K446-N446</f>
        <v/>
      </c>
      <c r="P446" s="48">
        <f>M446-L446+N446</f>
        <v/>
      </c>
      <c r="Q446" s="48">
        <f>IF($G446=0,0,IF(INDEX(Employees!$P$5:$P$29,$A446)="Per pay period",(N(INDEX(Employees!$Q$5:$Q$29,$A446)))/Settings!$B$13,IF(INDEX(Employees!$P$5:$P$29,$A446)="Per hour worked",N(INDEX(Employees!$R$5:$R$29,$A446))*$I446,IF(INDEX(Employees!$P$5:$P$29,$A446)="Front-loaded",IF(OR($B446=1,N($G445)=0),N(INDEX(Employees!$Q$5:$Q$29,$A446)),0),0))))</f>
        <v/>
      </c>
      <c r="R446" s="48">
        <f>IF($F446=0,0,SUMIFS('Time Off Log'!$H$5:$H$504,'Time Off Log'!$A$5:$A$504,$C446,'Time Off Log'!$B$5:$B$504,"Sick",'Time Off Log'!$E$5:$E$504,"Approved",'Time Off Log'!$C$5:$C$504,"&gt;="&amp;INDEX(Periods!$E$5:$E$57,$B446),'Time Off Log'!$C$5:$C$504,"&lt;="&amp;INDEX(Periods!$F$5:$F$57,$B446)))</f>
        <v/>
      </c>
      <c r="S446" s="48">
        <f>IF($B446=1,N(INDEX(Employees!$T$5:$T$29,$A446)),V445)</f>
        <v/>
      </c>
      <c r="T446" s="48">
        <f>IF(INDEX(Employees!$S$5:$S$29,$A446)="",Q446,MAX(0,MIN(Q446,INDEX(Employees!$S$5:$S$29,$A446)-(S446-R446))))</f>
        <v/>
      </c>
      <c r="U446" s="48">
        <f>Q446-T446</f>
        <v/>
      </c>
      <c r="V446" s="48">
        <f>S446-R446+T446</f>
        <v/>
      </c>
    </row>
    <row r="447">
      <c r="A447" s="47" t="n">
        <v>9</v>
      </c>
      <c r="B447" s="47" t="n">
        <v>19</v>
      </c>
      <c r="C447" s="48">
        <f>INDEX(Employees!$B$5:$B$29,$A447)&amp;""</f>
        <v/>
      </c>
      <c r="D447" s="49">
        <f>INDEX(Periods!$B$5:$B$57,$B447)</f>
        <v/>
      </c>
      <c r="E447" s="49">
        <f>INDEX(Periods!$C$5:$C$57,$B447)</f>
        <v/>
      </c>
      <c r="F447" s="47">
        <f>IF(AND($C447&lt;&gt;"",INDEX(Periods!$D$5:$D$57,$B447)=1),1,0)</f>
        <v/>
      </c>
      <c r="G447" s="47">
        <f>IF($F447=0,0,IF(AND(OR(INDEX(Employees!$D$5:$D$29,$A447)="",$E447&gt;=INDEX(Employees!$D$5:$D$29,$A447)+N(INDEX(Employees!$U$5:$U$29,$A447))),OR(INDEX(Employees!$E$5:$E$29,$A447)="",$D447&lt;=INDEX(Employees!$E$5:$E$29,$A447))),1,0))</f>
        <v/>
      </c>
      <c r="H447" s="47">
        <f>IF($G447=0,0,IF(INDEX(Employees!$D$5:$D$29,$A447)="",0,DATEDIF(INDEX(Employees!$D$5:$D$29,$A447),$E447,"y")))</f>
        <v/>
      </c>
      <c r="I447" s="48">
        <f>IF($G447=0,0,IF(INDEX('Hours Worked'!$D$5:$BD$29,$A447,$B447)="",N(INDEX(Employees!$H$5:$H$29,$A447)),INDEX('Hours Worked'!$D$5:$BD$29,$A447,$B447)))</f>
        <v/>
      </c>
      <c r="J447" s="48">
        <f>IF(OR($G447=0,INDEX(Employees!$O$5:$O$29,$A447)&lt;&gt;"Yes"),0,IF(COUNTIF(Settings!$D$4:$D$9,"&lt;="&amp;$H447)=0,0,INDEX(Settings!$E$4:$E$9,COUNTIF(Settings!$D$4:$D$9,"&lt;="&amp;$H447))))</f>
        <v/>
      </c>
      <c r="K447" s="48">
        <f>IF($G447=0,0,IF(INDEX(Employees!$I$5:$I$29,$A447)="Per pay period",(N(INDEX(Employees!$J$5:$J$29,$A447))+$J447)/Settings!$B$13,IF(INDEX(Employees!$I$5:$I$29,$A447)="Per hour worked",N(INDEX(Employees!$K$5:$K$29,$A447))*$I447,IF(INDEX(Employees!$I$5:$I$29,$A447)="Front-loaded",IF(OR($B447=1,N($G446)=0),N(INDEX(Employees!$J$5:$J$29,$A447))+$J447,0),0))))</f>
        <v/>
      </c>
      <c r="L447" s="48">
        <f>IF($F447=0,0,SUMIFS('Time Off Log'!$H$5:$H$504,'Time Off Log'!$A$5:$A$504,$C447,'Time Off Log'!$B$5:$B$504,"PTO",'Time Off Log'!$E$5:$E$504,"Approved",'Time Off Log'!$C$5:$C$504,"&gt;="&amp;INDEX(Periods!$E$5:$E$57,$B447),'Time Off Log'!$C$5:$C$504,"&lt;="&amp;INDEX(Periods!$F$5:$F$57,$B447)))</f>
        <v/>
      </c>
      <c r="M447" s="48">
        <f>IF($B447=1,N(INDEX(Employees!$N$5:$N$29,$A447)),P446)</f>
        <v/>
      </c>
      <c r="N447" s="48">
        <f>IF(INDEX(Employees!$L$5:$L$29,$A447)="",K447,MAX(0,MIN(K447,INDEX(Employees!$L$5:$L$29,$A447)-(M447-L447))))</f>
        <v/>
      </c>
      <c r="O447" s="48">
        <f>K447-N447</f>
        <v/>
      </c>
      <c r="P447" s="48">
        <f>M447-L447+N447</f>
        <v/>
      </c>
      <c r="Q447" s="48">
        <f>IF($G447=0,0,IF(INDEX(Employees!$P$5:$P$29,$A447)="Per pay period",(N(INDEX(Employees!$Q$5:$Q$29,$A447)))/Settings!$B$13,IF(INDEX(Employees!$P$5:$P$29,$A447)="Per hour worked",N(INDEX(Employees!$R$5:$R$29,$A447))*$I447,IF(INDEX(Employees!$P$5:$P$29,$A447)="Front-loaded",IF(OR($B447=1,N($G446)=0),N(INDEX(Employees!$Q$5:$Q$29,$A447)),0),0))))</f>
        <v/>
      </c>
      <c r="R447" s="48">
        <f>IF($F447=0,0,SUMIFS('Time Off Log'!$H$5:$H$504,'Time Off Log'!$A$5:$A$504,$C447,'Time Off Log'!$B$5:$B$504,"Sick",'Time Off Log'!$E$5:$E$504,"Approved",'Time Off Log'!$C$5:$C$504,"&gt;="&amp;INDEX(Periods!$E$5:$E$57,$B447),'Time Off Log'!$C$5:$C$504,"&lt;="&amp;INDEX(Periods!$F$5:$F$57,$B447)))</f>
        <v/>
      </c>
      <c r="S447" s="48">
        <f>IF($B447=1,N(INDEX(Employees!$T$5:$T$29,$A447)),V446)</f>
        <v/>
      </c>
      <c r="T447" s="48">
        <f>IF(INDEX(Employees!$S$5:$S$29,$A447)="",Q447,MAX(0,MIN(Q447,INDEX(Employees!$S$5:$S$29,$A447)-(S447-R447))))</f>
        <v/>
      </c>
      <c r="U447" s="48">
        <f>Q447-T447</f>
        <v/>
      </c>
      <c r="V447" s="48">
        <f>S447-R447+T447</f>
        <v/>
      </c>
    </row>
    <row r="448">
      <c r="A448" s="47" t="n">
        <v>9</v>
      </c>
      <c r="B448" s="47" t="n">
        <v>20</v>
      </c>
      <c r="C448" s="48">
        <f>INDEX(Employees!$B$5:$B$29,$A448)&amp;""</f>
        <v/>
      </c>
      <c r="D448" s="49">
        <f>INDEX(Periods!$B$5:$B$57,$B448)</f>
        <v/>
      </c>
      <c r="E448" s="49">
        <f>INDEX(Periods!$C$5:$C$57,$B448)</f>
        <v/>
      </c>
      <c r="F448" s="47">
        <f>IF(AND($C448&lt;&gt;"",INDEX(Periods!$D$5:$D$57,$B448)=1),1,0)</f>
        <v/>
      </c>
      <c r="G448" s="47">
        <f>IF($F448=0,0,IF(AND(OR(INDEX(Employees!$D$5:$D$29,$A448)="",$E448&gt;=INDEX(Employees!$D$5:$D$29,$A448)+N(INDEX(Employees!$U$5:$U$29,$A448))),OR(INDEX(Employees!$E$5:$E$29,$A448)="",$D448&lt;=INDEX(Employees!$E$5:$E$29,$A448))),1,0))</f>
        <v/>
      </c>
      <c r="H448" s="47">
        <f>IF($G448=0,0,IF(INDEX(Employees!$D$5:$D$29,$A448)="",0,DATEDIF(INDEX(Employees!$D$5:$D$29,$A448),$E448,"y")))</f>
        <v/>
      </c>
      <c r="I448" s="48">
        <f>IF($G448=0,0,IF(INDEX('Hours Worked'!$D$5:$BD$29,$A448,$B448)="",N(INDEX(Employees!$H$5:$H$29,$A448)),INDEX('Hours Worked'!$D$5:$BD$29,$A448,$B448)))</f>
        <v/>
      </c>
      <c r="J448" s="48">
        <f>IF(OR($G448=0,INDEX(Employees!$O$5:$O$29,$A448)&lt;&gt;"Yes"),0,IF(COUNTIF(Settings!$D$4:$D$9,"&lt;="&amp;$H448)=0,0,INDEX(Settings!$E$4:$E$9,COUNTIF(Settings!$D$4:$D$9,"&lt;="&amp;$H448))))</f>
        <v/>
      </c>
      <c r="K448" s="48">
        <f>IF($G448=0,0,IF(INDEX(Employees!$I$5:$I$29,$A448)="Per pay period",(N(INDEX(Employees!$J$5:$J$29,$A448))+$J448)/Settings!$B$13,IF(INDEX(Employees!$I$5:$I$29,$A448)="Per hour worked",N(INDEX(Employees!$K$5:$K$29,$A448))*$I448,IF(INDEX(Employees!$I$5:$I$29,$A448)="Front-loaded",IF(OR($B448=1,N($G447)=0),N(INDEX(Employees!$J$5:$J$29,$A448))+$J448,0),0))))</f>
        <v/>
      </c>
      <c r="L448" s="48">
        <f>IF($F448=0,0,SUMIFS('Time Off Log'!$H$5:$H$504,'Time Off Log'!$A$5:$A$504,$C448,'Time Off Log'!$B$5:$B$504,"PTO",'Time Off Log'!$E$5:$E$504,"Approved",'Time Off Log'!$C$5:$C$504,"&gt;="&amp;INDEX(Periods!$E$5:$E$57,$B448),'Time Off Log'!$C$5:$C$504,"&lt;="&amp;INDEX(Periods!$F$5:$F$57,$B448)))</f>
        <v/>
      </c>
      <c r="M448" s="48">
        <f>IF($B448=1,N(INDEX(Employees!$N$5:$N$29,$A448)),P447)</f>
        <v/>
      </c>
      <c r="N448" s="48">
        <f>IF(INDEX(Employees!$L$5:$L$29,$A448)="",K448,MAX(0,MIN(K448,INDEX(Employees!$L$5:$L$29,$A448)-(M448-L448))))</f>
        <v/>
      </c>
      <c r="O448" s="48">
        <f>K448-N448</f>
        <v/>
      </c>
      <c r="P448" s="48">
        <f>M448-L448+N448</f>
        <v/>
      </c>
      <c r="Q448" s="48">
        <f>IF($G448=0,0,IF(INDEX(Employees!$P$5:$P$29,$A448)="Per pay period",(N(INDEX(Employees!$Q$5:$Q$29,$A448)))/Settings!$B$13,IF(INDEX(Employees!$P$5:$P$29,$A448)="Per hour worked",N(INDEX(Employees!$R$5:$R$29,$A448))*$I448,IF(INDEX(Employees!$P$5:$P$29,$A448)="Front-loaded",IF(OR($B448=1,N($G447)=0),N(INDEX(Employees!$Q$5:$Q$29,$A448)),0),0))))</f>
        <v/>
      </c>
      <c r="R448" s="48">
        <f>IF($F448=0,0,SUMIFS('Time Off Log'!$H$5:$H$504,'Time Off Log'!$A$5:$A$504,$C448,'Time Off Log'!$B$5:$B$504,"Sick",'Time Off Log'!$E$5:$E$504,"Approved",'Time Off Log'!$C$5:$C$504,"&gt;="&amp;INDEX(Periods!$E$5:$E$57,$B448),'Time Off Log'!$C$5:$C$504,"&lt;="&amp;INDEX(Periods!$F$5:$F$57,$B448)))</f>
        <v/>
      </c>
      <c r="S448" s="48">
        <f>IF($B448=1,N(INDEX(Employees!$T$5:$T$29,$A448)),V447)</f>
        <v/>
      </c>
      <c r="T448" s="48">
        <f>IF(INDEX(Employees!$S$5:$S$29,$A448)="",Q448,MAX(0,MIN(Q448,INDEX(Employees!$S$5:$S$29,$A448)-(S448-R448))))</f>
        <v/>
      </c>
      <c r="U448" s="48">
        <f>Q448-T448</f>
        <v/>
      </c>
      <c r="V448" s="48">
        <f>S448-R448+T448</f>
        <v/>
      </c>
    </row>
    <row r="449">
      <c r="A449" s="47" t="n">
        <v>9</v>
      </c>
      <c r="B449" s="47" t="n">
        <v>21</v>
      </c>
      <c r="C449" s="48">
        <f>INDEX(Employees!$B$5:$B$29,$A449)&amp;""</f>
        <v/>
      </c>
      <c r="D449" s="49">
        <f>INDEX(Periods!$B$5:$B$57,$B449)</f>
        <v/>
      </c>
      <c r="E449" s="49">
        <f>INDEX(Periods!$C$5:$C$57,$B449)</f>
        <v/>
      </c>
      <c r="F449" s="47">
        <f>IF(AND($C449&lt;&gt;"",INDEX(Periods!$D$5:$D$57,$B449)=1),1,0)</f>
        <v/>
      </c>
      <c r="G449" s="47">
        <f>IF($F449=0,0,IF(AND(OR(INDEX(Employees!$D$5:$D$29,$A449)="",$E449&gt;=INDEX(Employees!$D$5:$D$29,$A449)+N(INDEX(Employees!$U$5:$U$29,$A449))),OR(INDEX(Employees!$E$5:$E$29,$A449)="",$D449&lt;=INDEX(Employees!$E$5:$E$29,$A449))),1,0))</f>
        <v/>
      </c>
      <c r="H449" s="47">
        <f>IF($G449=0,0,IF(INDEX(Employees!$D$5:$D$29,$A449)="",0,DATEDIF(INDEX(Employees!$D$5:$D$29,$A449),$E449,"y")))</f>
        <v/>
      </c>
      <c r="I449" s="48">
        <f>IF($G449=0,0,IF(INDEX('Hours Worked'!$D$5:$BD$29,$A449,$B449)="",N(INDEX(Employees!$H$5:$H$29,$A449)),INDEX('Hours Worked'!$D$5:$BD$29,$A449,$B449)))</f>
        <v/>
      </c>
      <c r="J449" s="48">
        <f>IF(OR($G449=0,INDEX(Employees!$O$5:$O$29,$A449)&lt;&gt;"Yes"),0,IF(COUNTIF(Settings!$D$4:$D$9,"&lt;="&amp;$H449)=0,0,INDEX(Settings!$E$4:$E$9,COUNTIF(Settings!$D$4:$D$9,"&lt;="&amp;$H449))))</f>
        <v/>
      </c>
      <c r="K449" s="48">
        <f>IF($G449=0,0,IF(INDEX(Employees!$I$5:$I$29,$A449)="Per pay period",(N(INDEX(Employees!$J$5:$J$29,$A449))+$J449)/Settings!$B$13,IF(INDEX(Employees!$I$5:$I$29,$A449)="Per hour worked",N(INDEX(Employees!$K$5:$K$29,$A449))*$I449,IF(INDEX(Employees!$I$5:$I$29,$A449)="Front-loaded",IF(OR($B449=1,N($G448)=0),N(INDEX(Employees!$J$5:$J$29,$A449))+$J449,0),0))))</f>
        <v/>
      </c>
      <c r="L449" s="48">
        <f>IF($F449=0,0,SUMIFS('Time Off Log'!$H$5:$H$504,'Time Off Log'!$A$5:$A$504,$C449,'Time Off Log'!$B$5:$B$504,"PTO",'Time Off Log'!$E$5:$E$504,"Approved",'Time Off Log'!$C$5:$C$504,"&gt;="&amp;INDEX(Periods!$E$5:$E$57,$B449),'Time Off Log'!$C$5:$C$504,"&lt;="&amp;INDEX(Periods!$F$5:$F$57,$B449)))</f>
        <v/>
      </c>
      <c r="M449" s="48">
        <f>IF($B449=1,N(INDEX(Employees!$N$5:$N$29,$A449)),P448)</f>
        <v/>
      </c>
      <c r="N449" s="48">
        <f>IF(INDEX(Employees!$L$5:$L$29,$A449)="",K449,MAX(0,MIN(K449,INDEX(Employees!$L$5:$L$29,$A449)-(M449-L449))))</f>
        <v/>
      </c>
      <c r="O449" s="48">
        <f>K449-N449</f>
        <v/>
      </c>
      <c r="P449" s="48">
        <f>M449-L449+N449</f>
        <v/>
      </c>
      <c r="Q449" s="48">
        <f>IF($G449=0,0,IF(INDEX(Employees!$P$5:$P$29,$A449)="Per pay period",(N(INDEX(Employees!$Q$5:$Q$29,$A449)))/Settings!$B$13,IF(INDEX(Employees!$P$5:$P$29,$A449)="Per hour worked",N(INDEX(Employees!$R$5:$R$29,$A449))*$I449,IF(INDEX(Employees!$P$5:$P$29,$A449)="Front-loaded",IF(OR($B449=1,N($G448)=0),N(INDEX(Employees!$Q$5:$Q$29,$A449)),0),0))))</f>
        <v/>
      </c>
      <c r="R449" s="48">
        <f>IF($F449=0,0,SUMIFS('Time Off Log'!$H$5:$H$504,'Time Off Log'!$A$5:$A$504,$C449,'Time Off Log'!$B$5:$B$504,"Sick",'Time Off Log'!$E$5:$E$504,"Approved",'Time Off Log'!$C$5:$C$504,"&gt;="&amp;INDEX(Periods!$E$5:$E$57,$B449),'Time Off Log'!$C$5:$C$504,"&lt;="&amp;INDEX(Periods!$F$5:$F$57,$B449)))</f>
        <v/>
      </c>
      <c r="S449" s="48">
        <f>IF($B449=1,N(INDEX(Employees!$T$5:$T$29,$A449)),V448)</f>
        <v/>
      </c>
      <c r="T449" s="48">
        <f>IF(INDEX(Employees!$S$5:$S$29,$A449)="",Q449,MAX(0,MIN(Q449,INDEX(Employees!$S$5:$S$29,$A449)-(S449-R449))))</f>
        <v/>
      </c>
      <c r="U449" s="48">
        <f>Q449-T449</f>
        <v/>
      </c>
      <c r="V449" s="48">
        <f>S449-R449+T449</f>
        <v/>
      </c>
    </row>
    <row r="450">
      <c r="A450" s="47" t="n">
        <v>9</v>
      </c>
      <c r="B450" s="47" t="n">
        <v>22</v>
      </c>
      <c r="C450" s="48">
        <f>INDEX(Employees!$B$5:$B$29,$A450)&amp;""</f>
        <v/>
      </c>
      <c r="D450" s="49">
        <f>INDEX(Periods!$B$5:$B$57,$B450)</f>
        <v/>
      </c>
      <c r="E450" s="49">
        <f>INDEX(Periods!$C$5:$C$57,$B450)</f>
        <v/>
      </c>
      <c r="F450" s="47">
        <f>IF(AND($C450&lt;&gt;"",INDEX(Periods!$D$5:$D$57,$B450)=1),1,0)</f>
        <v/>
      </c>
      <c r="G450" s="47">
        <f>IF($F450=0,0,IF(AND(OR(INDEX(Employees!$D$5:$D$29,$A450)="",$E450&gt;=INDEX(Employees!$D$5:$D$29,$A450)+N(INDEX(Employees!$U$5:$U$29,$A450))),OR(INDEX(Employees!$E$5:$E$29,$A450)="",$D450&lt;=INDEX(Employees!$E$5:$E$29,$A450))),1,0))</f>
        <v/>
      </c>
      <c r="H450" s="47">
        <f>IF($G450=0,0,IF(INDEX(Employees!$D$5:$D$29,$A450)="",0,DATEDIF(INDEX(Employees!$D$5:$D$29,$A450),$E450,"y")))</f>
        <v/>
      </c>
      <c r="I450" s="48">
        <f>IF($G450=0,0,IF(INDEX('Hours Worked'!$D$5:$BD$29,$A450,$B450)="",N(INDEX(Employees!$H$5:$H$29,$A450)),INDEX('Hours Worked'!$D$5:$BD$29,$A450,$B450)))</f>
        <v/>
      </c>
      <c r="J450" s="48">
        <f>IF(OR($G450=0,INDEX(Employees!$O$5:$O$29,$A450)&lt;&gt;"Yes"),0,IF(COUNTIF(Settings!$D$4:$D$9,"&lt;="&amp;$H450)=0,0,INDEX(Settings!$E$4:$E$9,COUNTIF(Settings!$D$4:$D$9,"&lt;="&amp;$H450))))</f>
        <v/>
      </c>
      <c r="K450" s="48">
        <f>IF($G450=0,0,IF(INDEX(Employees!$I$5:$I$29,$A450)="Per pay period",(N(INDEX(Employees!$J$5:$J$29,$A450))+$J450)/Settings!$B$13,IF(INDEX(Employees!$I$5:$I$29,$A450)="Per hour worked",N(INDEX(Employees!$K$5:$K$29,$A450))*$I450,IF(INDEX(Employees!$I$5:$I$29,$A450)="Front-loaded",IF(OR($B450=1,N($G449)=0),N(INDEX(Employees!$J$5:$J$29,$A450))+$J450,0),0))))</f>
        <v/>
      </c>
      <c r="L450" s="48">
        <f>IF($F450=0,0,SUMIFS('Time Off Log'!$H$5:$H$504,'Time Off Log'!$A$5:$A$504,$C450,'Time Off Log'!$B$5:$B$504,"PTO",'Time Off Log'!$E$5:$E$504,"Approved",'Time Off Log'!$C$5:$C$504,"&gt;="&amp;INDEX(Periods!$E$5:$E$57,$B450),'Time Off Log'!$C$5:$C$504,"&lt;="&amp;INDEX(Periods!$F$5:$F$57,$B450)))</f>
        <v/>
      </c>
      <c r="M450" s="48">
        <f>IF($B450=1,N(INDEX(Employees!$N$5:$N$29,$A450)),P449)</f>
        <v/>
      </c>
      <c r="N450" s="48">
        <f>IF(INDEX(Employees!$L$5:$L$29,$A450)="",K450,MAX(0,MIN(K450,INDEX(Employees!$L$5:$L$29,$A450)-(M450-L450))))</f>
        <v/>
      </c>
      <c r="O450" s="48">
        <f>K450-N450</f>
        <v/>
      </c>
      <c r="P450" s="48">
        <f>M450-L450+N450</f>
        <v/>
      </c>
      <c r="Q450" s="48">
        <f>IF($G450=0,0,IF(INDEX(Employees!$P$5:$P$29,$A450)="Per pay period",(N(INDEX(Employees!$Q$5:$Q$29,$A450)))/Settings!$B$13,IF(INDEX(Employees!$P$5:$P$29,$A450)="Per hour worked",N(INDEX(Employees!$R$5:$R$29,$A450))*$I450,IF(INDEX(Employees!$P$5:$P$29,$A450)="Front-loaded",IF(OR($B450=1,N($G449)=0),N(INDEX(Employees!$Q$5:$Q$29,$A450)),0),0))))</f>
        <v/>
      </c>
      <c r="R450" s="48">
        <f>IF($F450=0,0,SUMIFS('Time Off Log'!$H$5:$H$504,'Time Off Log'!$A$5:$A$504,$C450,'Time Off Log'!$B$5:$B$504,"Sick",'Time Off Log'!$E$5:$E$504,"Approved",'Time Off Log'!$C$5:$C$504,"&gt;="&amp;INDEX(Periods!$E$5:$E$57,$B450),'Time Off Log'!$C$5:$C$504,"&lt;="&amp;INDEX(Periods!$F$5:$F$57,$B450)))</f>
        <v/>
      </c>
      <c r="S450" s="48">
        <f>IF($B450=1,N(INDEX(Employees!$T$5:$T$29,$A450)),V449)</f>
        <v/>
      </c>
      <c r="T450" s="48">
        <f>IF(INDEX(Employees!$S$5:$S$29,$A450)="",Q450,MAX(0,MIN(Q450,INDEX(Employees!$S$5:$S$29,$A450)-(S450-R450))))</f>
        <v/>
      </c>
      <c r="U450" s="48">
        <f>Q450-T450</f>
        <v/>
      </c>
      <c r="V450" s="48">
        <f>S450-R450+T450</f>
        <v/>
      </c>
    </row>
    <row r="451">
      <c r="A451" s="47" t="n">
        <v>9</v>
      </c>
      <c r="B451" s="47" t="n">
        <v>23</v>
      </c>
      <c r="C451" s="48">
        <f>INDEX(Employees!$B$5:$B$29,$A451)&amp;""</f>
        <v/>
      </c>
      <c r="D451" s="49">
        <f>INDEX(Periods!$B$5:$B$57,$B451)</f>
        <v/>
      </c>
      <c r="E451" s="49">
        <f>INDEX(Periods!$C$5:$C$57,$B451)</f>
        <v/>
      </c>
      <c r="F451" s="47">
        <f>IF(AND($C451&lt;&gt;"",INDEX(Periods!$D$5:$D$57,$B451)=1),1,0)</f>
        <v/>
      </c>
      <c r="G451" s="47">
        <f>IF($F451=0,0,IF(AND(OR(INDEX(Employees!$D$5:$D$29,$A451)="",$E451&gt;=INDEX(Employees!$D$5:$D$29,$A451)+N(INDEX(Employees!$U$5:$U$29,$A451))),OR(INDEX(Employees!$E$5:$E$29,$A451)="",$D451&lt;=INDEX(Employees!$E$5:$E$29,$A451))),1,0))</f>
        <v/>
      </c>
      <c r="H451" s="47">
        <f>IF($G451=0,0,IF(INDEX(Employees!$D$5:$D$29,$A451)="",0,DATEDIF(INDEX(Employees!$D$5:$D$29,$A451),$E451,"y")))</f>
        <v/>
      </c>
      <c r="I451" s="48">
        <f>IF($G451=0,0,IF(INDEX('Hours Worked'!$D$5:$BD$29,$A451,$B451)="",N(INDEX(Employees!$H$5:$H$29,$A451)),INDEX('Hours Worked'!$D$5:$BD$29,$A451,$B451)))</f>
        <v/>
      </c>
      <c r="J451" s="48">
        <f>IF(OR($G451=0,INDEX(Employees!$O$5:$O$29,$A451)&lt;&gt;"Yes"),0,IF(COUNTIF(Settings!$D$4:$D$9,"&lt;="&amp;$H451)=0,0,INDEX(Settings!$E$4:$E$9,COUNTIF(Settings!$D$4:$D$9,"&lt;="&amp;$H451))))</f>
        <v/>
      </c>
      <c r="K451" s="48">
        <f>IF($G451=0,0,IF(INDEX(Employees!$I$5:$I$29,$A451)="Per pay period",(N(INDEX(Employees!$J$5:$J$29,$A451))+$J451)/Settings!$B$13,IF(INDEX(Employees!$I$5:$I$29,$A451)="Per hour worked",N(INDEX(Employees!$K$5:$K$29,$A451))*$I451,IF(INDEX(Employees!$I$5:$I$29,$A451)="Front-loaded",IF(OR($B451=1,N($G450)=0),N(INDEX(Employees!$J$5:$J$29,$A451))+$J451,0),0))))</f>
        <v/>
      </c>
      <c r="L451" s="48">
        <f>IF($F451=0,0,SUMIFS('Time Off Log'!$H$5:$H$504,'Time Off Log'!$A$5:$A$504,$C451,'Time Off Log'!$B$5:$B$504,"PTO",'Time Off Log'!$E$5:$E$504,"Approved",'Time Off Log'!$C$5:$C$504,"&gt;="&amp;INDEX(Periods!$E$5:$E$57,$B451),'Time Off Log'!$C$5:$C$504,"&lt;="&amp;INDEX(Periods!$F$5:$F$57,$B451)))</f>
        <v/>
      </c>
      <c r="M451" s="48">
        <f>IF($B451=1,N(INDEX(Employees!$N$5:$N$29,$A451)),P450)</f>
        <v/>
      </c>
      <c r="N451" s="48">
        <f>IF(INDEX(Employees!$L$5:$L$29,$A451)="",K451,MAX(0,MIN(K451,INDEX(Employees!$L$5:$L$29,$A451)-(M451-L451))))</f>
        <v/>
      </c>
      <c r="O451" s="48">
        <f>K451-N451</f>
        <v/>
      </c>
      <c r="P451" s="48">
        <f>M451-L451+N451</f>
        <v/>
      </c>
      <c r="Q451" s="48">
        <f>IF($G451=0,0,IF(INDEX(Employees!$P$5:$P$29,$A451)="Per pay period",(N(INDEX(Employees!$Q$5:$Q$29,$A451)))/Settings!$B$13,IF(INDEX(Employees!$P$5:$P$29,$A451)="Per hour worked",N(INDEX(Employees!$R$5:$R$29,$A451))*$I451,IF(INDEX(Employees!$P$5:$P$29,$A451)="Front-loaded",IF(OR($B451=1,N($G450)=0),N(INDEX(Employees!$Q$5:$Q$29,$A451)),0),0))))</f>
        <v/>
      </c>
      <c r="R451" s="48">
        <f>IF($F451=0,0,SUMIFS('Time Off Log'!$H$5:$H$504,'Time Off Log'!$A$5:$A$504,$C451,'Time Off Log'!$B$5:$B$504,"Sick",'Time Off Log'!$E$5:$E$504,"Approved",'Time Off Log'!$C$5:$C$504,"&gt;="&amp;INDEX(Periods!$E$5:$E$57,$B451),'Time Off Log'!$C$5:$C$504,"&lt;="&amp;INDEX(Periods!$F$5:$F$57,$B451)))</f>
        <v/>
      </c>
      <c r="S451" s="48">
        <f>IF($B451=1,N(INDEX(Employees!$T$5:$T$29,$A451)),V450)</f>
        <v/>
      </c>
      <c r="T451" s="48">
        <f>IF(INDEX(Employees!$S$5:$S$29,$A451)="",Q451,MAX(0,MIN(Q451,INDEX(Employees!$S$5:$S$29,$A451)-(S451-R451))))</f>
        <v/>
      </c>
      <c r="U451" s="48">
        <f>Q451-T451</f>
        <v/>
      </c>
      <c r="V451" s="48">
        <f>S451-R451+T451</f>
        <v/>
      </c>
    </row>
    <row r="452">
      <c r="A452" s="47" t="n">
        <v>9</v>
      </c>
      <c r="B452" s="47" t="n">
        <v>24</v>
      </c>
      <c r="C452" s="48">
        <f>INDEX(Employees!$B$5:$B$29,$A452)&amp;""</f>
        <v/>
      </c>
      <c r="D452" s="49">
        <f>INDEX(Periods!$B$5:$B$57,$B452)</f>
        <v/>
      </c>
      <c r="E452" s="49">
        <f>INDEX(Periods!$C$5:$C$57,$B452)</f>
        <v/>
      </c>
      <c r="F452" s="47">
        <f>IF(AND($C452&lt;&gt;"",INDEX(Periods!$D$5:$D$57,$B452)=1),1,0)</f>
        <v/>
      </c>
      <c r="G452" s="47">
        <f>IF($F452=0,0,IF(AND(OR(INDEX(Employees!$D$5:$D$29,$A452)="",$E452&gt;=INDEX(Employees!$D$5:$D$29,$A452)+N(INDEX(Employees!$U$5:$U$29,$A452))),OR(INDEX(Employees!$E$5:$E$29,$A452)="",$D452&lt;=INDEX(Employees!$E$5:$E$29,$A452))),1,0))</f>
        <v/>
      </c>
      <c r="H452" s="47">
        <f>IF($G452=0,0,IF(INDEX(Employees!$D$5:$D$29,$A452)="",0,DATEDIF(INDEX(Employees!$D$5:$D$29,$A452),$E452,"y")))</f>
        <v/>
      </c>
      <c r="I452" s="48">
        <f>IF($G452=0,0,IF(INDEX('Hours Worked'!$D$5:$BD$29,$A452,$B452)="",N(INDEX(Employees!$H$5:$H$29,$A452)),INDEX('Hours Worked'!$D$5:$BD$29,$A452,$B452)))</f>
        <v/>
      </c>
      <c r="J452" s="48">
        <f>IF(OR($G452=0,INDEX(Employees!$O$5:$O$29,$A452)&lt;&gt;"Yes"),0,IF(COUNTIF(Settings!$D$4:$D$9,"&lt;="&amp;$H452)=0,0,INDEX(Settings!$E$4:$E$9,COUNTIF(Settings!$D$4:$D$9,"&lt;="&amp;$H452))))</f>
        <v/>
      </c>
      <c r="K452" s="48">
        <f>IF($G452=0,0,IF(INDEX(Employees!$I$5:$I$29,$A452)="Per pay period",(N(INDEX(Employees!$J$5:$J$29,$A452))+$J452)/Settings!$B$13,IF(INDEX(Employees!$I$5:$I$29,$A452)="Per hour worked",N(INDEX(Employees!$K$5:$K$29,$A452))*$I452,IF(INDEX(Employees!$I$5:$I$29,$A452)="Front-loaded",IF(OR($B452=1,N($G451)=0),N(INDEX(Employees!$J$5:$J$29,$A452))+$J452,0),0))))</f>
        <v/>
      </c>
      <c r="L452" s="48">
        <f>IF($F452=0,0,SUMIFS('Time Off Log'!$H$5:$H$504,'Time Off Log'!$A$5:$A$504,$C452,'Time Off Log'!$B$5:$B$504,"PTO",'Time Off Log'!$E$5:$E$504,"Approved",'Time Off Log'!$C$5:$C$504,"&gt;="&amp;INDEX(Periods!$E$5:$E$57,$B452),'Time Off Log'!$C$5:$C$504,"&lt;="&amp;INDEX(Periods!$F$5:$F$57,$B452)))</f>
        <v/>
      </c>
      <c r="M452" s="48">
        <f>IF($B452=1,N(INDEX(Employees!$N$5:$N$29,$A452)),P451)</f>
        <v/>
      </c>
      <c r="N452" s="48">
        <f>IF(INDEX(Employees!$L$5:$L$29,$A452)="",K452,MAX(0,MIN(K452,INDEX(Employees!$L$5:$L$29,$A452)-(M452-L452))))</f>
        <v/>
      </c>
      <c r="O452" s="48">
        <f>K452-N452</f>
        <v/>
      </c>
      <c r="P452" s="48">
        <f>M452-L452+N452</f>
        <v/>
      </c>
      <c r="Q452" s="48">
        <f>IF($G452=0,0,IF(INDEX(Employees!$P$5:$P$29,$A452)="Per pay period",(N(INDEX(Employees!$Q$5:$Q$29,$A452)))/Settings!$B$13,IF(INDEX(Employees!$P$5:$P$29,$A452)="Per hour worked",N(INDEX(Employees!$R$5:$R$29,$A452))*$I452,IF(INDEX(Employees!$P$5:$P$29,$A452)="Front-loaded",IF(OR($B452=1,N($G451)=0),N(INDEX(Employees!$Q$5:$Q$29,$A452)),0),0))))</f>
        <v/>
      </c>
      <c r="R452" s="48">
        <f>IF($F452=0,0,SUMIFS('Time Off Log'!$H$5:$H$504,'Time Off Log'!$A$5:$A$504,$C452,'Time Off Log'!$B$5:$B$504,"Sick",'Time Off Log'!$E$5:$E$504,"Approved",'Time Off Log'!$C$5:$C$504,"&gt;="&amp;INDEX(Periods!$E$5:$E$57,$B452),'Time Off Log'!$C$5:$C$504,"&lt;="&amp;INDEX(Periods!$F$5:$F$57,$B452)))</f>
        <v/>
      </c>
      <c r="S452" s="48">
        <f>IF($B452=1,N(INDEX(Employees!$T$5:$T$29,$A452)),V451)</f>
        <v/>
      </c>
      <c r="T452" s="48">
        <f>IF(INDEX(Employees!$S$5:$S$29,$A452)="",Q452,MAX(0,MIN(Q452,INDEX(Employees!$S$5:$S$29,$A452)-(S452-R452))))</f>
        <v/>
      </c>
      <c r="U452" s="48">
        <f>Q452-T452</f>
        <v/>
      </c>
      <c r="V452" s="48">
        <f>S452-R452+T452</f>
        <v/>
      </c>
    </row>
    <row r="453">
      <c r="A453" s="47" t="n">
        <v>9</v>
      </c>
      <c r="B453" s="47" t="n">
        <v>25</v>
      </c>
      <c r="C453" s="48">
        <f>INDEX(Employees!$B$5:$B$29,$A453)&amp;""</f>
        <v/>
      </c>
      <c r="D453" s="49">
        <f>INDEX(Periods!$B$5:$B$57,$B453)</f>
        <v/>
      </c>
      <c r="E453" s="49">
        <f>INDEX(Periods!$C$5:$C$57,$B453)</f>
        <v/>
      </c>
      <c r="F453" s="47">
        <f>IF(AND($C453&lt;&gt;"",INDEX(Periods!$D$5:$D$57,$B453)=1),1,0)</f>
        <v/>
      </c>
      <c r="G453" s="47">
        <f>IF($F453=0,0,IF(AND(OR(INDEX(Employees!$D$5:$D$29,$A453)="",$E453&gt;=INDEX(Employees!$D$5:$D$29,$A453)+N(INDEX(Employees!$U$5:$U$29,$A453))),OR(INDEX(Employees!$E$5:$E$29,$A453)="",$D453&lt;=INDEX(Employees!$E$5:$E$29,$A453))),1,0))</f>
        <v/>
      </c>
      <c r="H453" s="47">
        <f>IF($G453=0,0,IF(INDEX(Employees!$D$5:$D$29,$A453)="",0,DATEDIF(INDEX(Employees!$D$5:$D$29,$A453),$E453,"y")))</f>
        <v/>
      </c>
      <c r="I453" s="48">
        <f>IF($G453=0,0,IF(INDEX('Hours Worked'!$D$5:$BD$29,$A453,$B453)="",N(INDEX(Employees!$H$5:$H$29,$A453)),INDEX('Hours Worked'!$D$5:$BD$29,$A453,$B453)))</f>
        <v/>
      </c>
      <c r="J453" s="48">
        <f>IF(OR($G453=0,INDEX(Employees!$O$5:$O$29,$A453)&lt;&gt;"Yes"),0,IF(COUNTIF(Settings!$D$4:$D$9,"&lt;="&amp;$H453)=0,0,INDEX(Settings!$E$4:$E$9,COUNTIF(Settings!$D$4:$D$9,"&lt;="&amp;$H453))))</f>
        <v/>
      </c>
      <c r="K453" s="48">
        <f>IF($G453=0,0,IF(INDEX(Employees!$I$5:$I$29,$A453)="Per pay period",(N(INDEX(Employees!$J$5:$J$29,$A453))+$J453)/Settings!$B$13,IF(INDEX(Employees!$I$5:$I$29,$A453)="Per hour worked",N(INDEX(Employees!$K$5:$K$29,$A453))*$I453,IF(INDEX(Employees!$I$5:$I$29,$A453)="Front-loaded",IF(OR($B453=1,N($G452)=0),N(INDEX(Employees!$J$5:$J$29,$A453))+$J453,0),0))))</f>
        <v/>
      </c>
      <c r="L453" s="48">
        <f>IF($F453=0,0,SUMIFS('Time Off Log'!$H$5:$H$504,'Time Off Log'!$A$5:$A$504,$C453,'Time Off Log'!$B$5:$B$504,"PTO",'Time Off Log'!$E$5:$E$504,"Approved",'Time Off Log'!$C$5:$C$504,"&gt;="&amp;INDEX(Periods!$E$5:$E$57,$B453),'Time Off Log'!$C$5:$C$504,"&lt;="&amp;INDEX(Periods!$F$5:$F$57,$B453)))</f>
        <v/>
      </c>
      <c r="M453" s="48">
        <f>IF($B453=1,N(INDEX(Employees!$N$5:$N$29,$A453)),P452)</f>
        <v/>
      </c>
      <c r="N453" s="48">
        <f>IF(INDEX(Employees!$L$5:$L$29,$A453)="",K453,MAX(0,MIN(K453,INDEX(Employees!$L$5:$L$29,$A453)-(M453-L453))))</f>
        <v/>
      </c>
      <c r="O453" s="48">
        <f>K453-N453</f>
        <v/>
      </c>
      <c r="P453" s="48">
        <f>M453-L453+N453</f>
        <v/>
      </c>
      <c r="Q453" s="48">
        <f>IF($G453=0,0,IF(INDEX(Employees!$P$5:$P$29,$A453)="Per pay period",(N(INDEX(Employees!$Q$5:$Q$29,$A453)))/Settings!$B$13,IF(INDEX(Employees!$P$5:$P$29,$A453)="Per hour worked",N(INDEX(Employees!$R$5:$R$29,$A453))*$I453,IF(INDEX(Employees!$P$5:$P$29,$A453)="Front-loaded",IF(OR($B453=1,N($G452)=0),N(INDEX(Employees!$Q$5:$Q$29,$A453)),0),0))))</f>
        <v/>
      </c>
      <c r="R453" s="48">
        <f>IF($F453=0,0,SUMIFS('Time Off Log'!$H$5:$H$504,'Time Off Log'!$A$5:$A$504,$C453,'Time Off Log'!$B$5:$B$504,"Sick",'Time Off Log'!$E$5:$E$504,"Approved",'Time Off Log'!$C$5:$C$504,"&gt;="&amp;INDEX(Periods!$E$5:$E$57,$B453),'Time Off Log'!$C$5:$C$504,"&lt;="&amp;INDEX(Periods!$F$5:$F$57,$B453)))</f>
        <v/>
      </c>
      <c r="S453" s="48">
        <f>IF($B453=1,N(INDEX(Employees!$T$5:$T$29,$A453)),V452)</f>
        <v/>
      </c>
      <c r="T453" s="48">
        <f>IF(INDEX(Employees!$S$5:$S$29,$A453)="",Q453,MAX(0,MIN(Q453,INDEX(Employees!$S$5:$S$29,$A453)-(S453-R453))))</f>
        <v/>
      </c>
      <c r="U453" s="48">
        <f>Q453-T453</f>
        <v/>
      </c>
      <c r="V453" s="48">
        <f>S453-R453+T453</f>
        <v/>
      </c>
    </row>
    <row r="454">
      <c r="A454" s="47" t="n">
        <v>9</v>
      </c>
      <c r="B454" s="47" t="n">
        <v>26</v>
      </c>
      <c r="C454" s="48">
        <f>INDEX(Employees!$B$5:$B$29,$A454)&amp;""</f>
        <v/>
      </c>
      <c r="D454" s="49">
        <f>INDEX(Periods!$B$5:$B$57,$B454)</f>
        <v/>
      </c>
      <c r="E454" s="49">
        <f>INDEX(Periods!$C$5:$C$57,$B454)</f>
        <v/>
      </c>
      <c r="F454" s="47">
        <f>IF(AND($C454&lt;&gt;"",INDEX(Periods!$D$5:$D$57,$B454)=1),1,0)</f>
        <v/>
      </c>
      <c r="G454" s="47">
        <f>IF($F454=0,0,IF(AND(OR(INDEX(Employees!$D$5:$D$29,$A454)="",$E454&gt;=INDEX(Employees!$D$5:$D$29,$A454)+N(INDEX(Employees!$U$5:$U$29,$A454))),OR(INDEX(Employees!$E$5:$E$29,$A454)="",$D454&lt;=INDEX(Employees!$E$5:$E$29,$A454))),1,0))</f>
        <v/>
      </c>
      <c r="H454" s="47">
        <f>IF($G454=0,0,IF(INDEX(Employees!$D$5:$D$29,$A454)="",0,DATEDIF(INDEX(Employees!$D$5:$D$29,$A454),$E454,"y")))</f>
        <v/>
      </c>
      <c r="I454" s="48">
        <f>IF($G454=0,0,IF(INDEX('Hours Worked'!$D$5:$BD$29,$A454,$B454)="",N(INDEX(Employees!$H$5:$H$29,$A454)),INDEX('Hours Worked'!$D$5:$BD$29,$A454,$B454)))</f>
        <v/>
      </c>
      <c r="J454" s="48">
        <f>IF(OR($G454=0,INDEX(Employees!$O$5:$O$29,$A454)&lt;&gt;"Yes"),0,IF(COUNTIF(Settings!$D$4:$D$9,"&lt;="&amp;$H454)=0,0,INDEX(Settings!$E$4:$E$9,COUNTIF(Settings!$D$4:$D$9,"&lt;="&amp;$H454))))</f>
        <v/>
      </c>
      <c r="K454" s="48">
        <f>IF($G454=0,0,IF(INDEX(Employees!$I$5:$I$29,$A454)="Per pay period",(N(INDEX(Employees!$J$5:$J$29,$A454))+$J454)/Settings!$B$13,IF(INDEX(Employees!$I$5:$I$29,$A454)="Per hour worked",N(INDEX(Employees!$K$5:$K$29,$A454))*$I454,IF(INDEX(Employees!$I$5:$I$29,$A454)="Front-loaded",IF(OR($B454=1,N($G453)=0),N(INDEX(Employees!$J$5:$J$29,$A454))+$J454,0),0))))</f>
        <v/>
      </c>
      <c r="L454" s="48">
        <f>IF($F454=0,0,SUMIFS('Time Off Log'!$H$5:$H$504,'Time Off Log'!$A$5:$A$504,$C454,'Time Off Log'!$B$5:$B$504,"PTO",'Time Off Log'!$E$5:$E$504,"Approved",'Time Off Log'!$C$5:$C$504,"&gt;="&amp;INDEX(Periods!$E$5:$E$57,$B454),'Time Off Log'!$C$5:$C$504,"&lt;="&amp;INDEX(Periods!$F$5:$F$57,$B454)))</f>
        <v/>
      </c>
      <c r="M454" s="48">
        <f>IF($B454=1,N(INDEX(Employees!$N$5:$N$29,$A454)),P453)</f>
        <v/>
      </c>
      <c r="N454" s="48">
        <f>IF(INDEX(Employees!$L$5:$L$29,$A454)="",K454,MAX(0,MIN(K454,INDEX(Employees!$L$5:$L$29,$A454)-(M454-L454))))</f>
        <v/>
      </c>
      <c r="O454" s="48">
        <f>K454-N454</f>
        <v/>
      </c>
      <c r="P454" s="48">
        <f>M454-L454+N454</f>
        <v/>
      </c>
      <c r="Q454" s="48">
        <f>IF($G454=0,0,IF(INDEX(Employees!$P$5:$P$29,$A454)="Per pay period",(N(INDEX(Employees!$Q$5:$Q$29,$A454)))/Settings!$B$13,IF(INDEX(Employees!$P$5:$P$29,$A454)="Per hour worked",N(INDEX(Employees!$R$5:$R$29,$A454))*$I454,IF(INDEX(Employees!$P$5:$P$29,$A454)="Front-loaded",IF(OR($B454=1,N($G453)=0),N(INDEX(Employees!$Q$5:$Q$29,$A454)),0),0))))</f>
        <v/>
      </c>
      <c r="R454" s="48">
        <f>IF($F454=0,0,SUMIFS('Time Off Log'!$H$5:$H$504,'Time Off Log'!$A$5:$A$504,$C454,'Time Off Log'!$B$5:$B$504,"Sick",'Time Off Log'!$E$5:$E$504,"Approved",'Time Off Log'!$C$5:$C$504,"&gt;="&amp;INDEX(Periods!$E$5:$E$57,$B454),'Time Off Log'!$C$5:$C$504,"&lt;="&amp;INDEX(Periods!$F$5:$F$57,$B454)))</f>
        <v/>
      </c>
      <c r="S454" s="48">
        <f>IF($B454=1,N(INDEX(Employees!$T$5:$T$29,$A454)),V453)</f>
        <v/>
      </c>
      <c r="T454" s="48">
        <f>IF(INDEX(Employees!$S$5:$S$29,$A454)="",Q454,MAX(0,MIN(Q454,INDEX(Employees!$S$5:$S$29,$A454)-(S454-R454))))</f>
        <v/>
      </c>
      <c r="U454" s="48">
        <f>Q454-T454</f>
        <v/>
      </c>
      <c r="V454" s="48">
        <f>S454-R454+T454</f>
        <v/>
      </c>
    </row>
    <row r="455">
      <c r="A455" s="47" t="n">
        <v>9</v>
      </c>
      <c r="B455" s="47" t="n">
        <v>27</v>
      </c>
      <c r="C455" s="48">
        <f>INDEX(Employees!$B$5:$B$29,$A455)&amp;""</f>
        <v/>
      </c>
      <c r="D455" s="49">
        <f>INDEX(Periods!$B$5:$B$57,$B455)</f>
        <v/>
      </c>
      <c r="E455" s="49">
        <f>INDEX(Periods!$C$5:$C$57,$B455)</f>
        <v/>
      </c>
      <c r="F455" s="47">
        <f>IF(AND($C455&lt;&gt;"",INDEX(Periods!$D$5:$D$57,$B455)=1),1,0)</f>
        <v/>
      </c>
      <c r="G455" s="47">
        <f>IF($F455=0,0,IF(AND(OR(INDEX(Employees!$D$5:$D$29,$A455)="",$E455&gt;=INDEX(Employees!$D$5:$D$29,$A455)+N(INDEX(Employees!$U$5:$U$29,$A455))),OR(INDEX(Employees!$E$5:$E$29,$A455)="",$D455&lt;=INDEX(Employees!$E$5:$E$29,$A455))),1,0))</f>
        <v/>
      </c>
      <c r="H455" s="47">
        <f>IF($G455=0,0,IF(INDEX(Employees!$D$5:$D$29,$A455)="",0,DATEDIF(INDEX(Employees!$D$5:$D$29,$A455),$E455,"y")))</f>
        <v/>
      </c>
      <c r="I455" s="48">
        <f>IF($G455=0,0,IF(INDEX('Hours Worked'!$D$5:$BD$29,$A455,$B455)="",N(INDEX(Employees!$H$5:$H$29,$A455)),INDEX('Hours Worked'!$D$5:$BD$29,$A455,$B455)))</f>
        <v/>
      </c>
      <c r="J455" s="48">
        <f>IF(OR($G455=0,INDEX(Employees!$O$5:$O$29,$A455)&lt;&gt;"Yes"),0,IF(COUNTIF(Settings!$D$4:$D$9,"&lt;="&amp;$H455)=0,0,INDEX(Settings!$E$4:$E$9,COUNTIF(Settings!$D$4:$D$9,"&lt;="&amp;$H455))))</f>
        <v/>
      </c>
      <c r="K455" s="48">
        <f>IF($G455=0,0,IF(INDEX(Employees!$I$5:$I$29,$A455)="Per pay period",(N(INDEX(Employees!$J$5:$J$29,$A455))+$J455)/Settings!$B$13,IF(INDEX(Employees!$I$5:$I$29,$A455)="Per hour worked",N(INDEX(Employees!$K$5:$K$29,$A455))*$I455,IF(INDEX(Employees!$I$5:$I$29,$A455)="Front-loaded",IF(OR($B455=1,N($G454)=0),N(INDEX(Employees!$J$5:$J$29,$A455))+$J455,0),0))))</f>
        <v/>
      </c>
      <c r="L455" s="48">
        <f>IF($F455=0,0,SUMIFS('Time Off Log'!$H$5:$H$504,'Time Off Log'!$A$5:$A$504,$C455,'Time Off Log'!$B$5:$B$504,"PTO",'Time Off Log'!$E$5:$E$504,"Approved",'Time Off Log'!$C$5:$C$504,"&gt;="&amp;INDEX(Periods!$E$5:$E$57,$B455),'Time Off Log'!$C$5:$C$504,"&lt;="&amp;INDEX(Periods!$F$5:$F$57,$B455)))</f>
        <v/>
      </c>
      <c r="M455" s="48">
        <f>IF($B455=1,N(INDEX(Employees!$N$5:$N$29,$A455)),P454)</f>
        <v/>
      </c>
      <c r="N455" s="48">
        <f>IF(INDEX(Employees!$L$5:$L$29,$A455)="",K455,MAX(0,MIN(K455,INDEX(Employees!$L$5:$L$29,$A455)-(M455-L455))))</f>
        <v/>
      </c>
      <c r="O455" s="48">
        <f>K455-N455</f>
        <v/>
      </c>
      <c r="P455" s="48">
        <f>M455-L455+N455</f>
        <v/>
      </c>
      <c r="Q455" s="48">
        <f>IF($G455=0,0,IF(INDEX(Employees!$P$5:$P$29,$A455)="Per pay period",(N(INDEX(Employees!$Q$5:$Q$29,$A455)))/Settings!$B$13,IF(INDEX(Employees!$P$5:$P$29,$A455)="Per hour worked",N(INDEX(Employees!$R$5:$R$29,$A455))*$I455,IF(INDEX(Employees!$P$5:$P$29,$A455)="Front-loaded",IF(OR($B455=1,N($G454)=0),N(INDEX(Employees!$Q$5:$Q$29,$A455)),0),0))))</f>
        <v/>
      </c>
      <c r="R455" s="48">
        <f>IF($F455=0,0,SUMIFS('Time Off Log'!$H$5:$H$504,'Time Off Log'!$A$5:$A$504,$C455,'Time Off Log'!$B$5:$B$504,"Sick",'Time Off Log'!$E$5:$E$504,"Approved",'Time Off Log'!$C$5:$C$504,"&gt;="&amp;INDEX(Periods!$E$5:$E$57,$B455),'Time Off Log'!$C$5:$C$504,"&lt;="&amp;INDEX(Periods!$F$5:$F$57,$B455)))</f>
        <v/>
      </c>
      <c r="S455" s="48">
        <f>IF($B455=1,N(INDEX(Employees!$T$5:$T$29,$A455)),V454)</f>
        <v/>
      </c>
      <c r="T455" s="48">
        <f>IF(INDEX(Employees!$S$5:$S$29,$A455)="",Q455,MAX(0,MIN(Q455,INDEX(Employees!$S$5:$S$29,$A455)-(S455-R455))))</f>
        <v/>
      </c>
      <c r="U455" s="48">
        <f>Q455-T455</f>
        <v/>
      </c>
      <c r="V455" s="48">
        <f>S455-R455+T455</f>
        <v/>
      </c>
    </row>
    <row r="456">
      <c r="A456" s="47" t="n">
        <v>9</v>
      </c>
      <c r="B456" s="47" t="n">
        <v>28</v>
      </c>
      <c r="C456" s="48">
        <f>INDEX(Employees!$B$5:$B$29,$A456)&amp;""</f>
        <v/>
      </c>
      <c r="D456" s="49">
        <f>INDEX(Periods!$B$5:$B$57,$B456)</f>
        <v/>
      </c>
      <c r="E456" s="49">
        <f>INDEX(Periods!$C$5:$C$57,$B456)</f>
        <v/>
      </c>
      <c r="F456" s="47">
        <f>IF(AND($C456&lt;&gt;"",INDEX(Periods!$D$5:$D$57,$B456)=1),1,0)</f>
        <v/>
      </c>
      <c r="G456" s="47">
        <f>IF($F456=0,0,IF(AND(OR(INDEX(Employees!$D$5:$D$29,$A456)="",$E456&gt;=INDEX(Employees!$D$5:$D$29,$A456)+N(INDEX(Employees!$U$5:$U$29,$A456))),OR(INDEX(Employees!$E$5:$E$29,$A456)="",$D456&lt;=INDEX(Employees!$E$5:$E$29,$A456))),1,0))</f>
        <v/>
      </c>
      <c r="H456" s="47">
        <f>IF($G456=0,0,IF(INDEX(Employees!$D$5:$D$29,$A456)="",0,DATEDIF(INDEX(Employees!$D$5:$D$29,$A456),$E456,"y")))</f>
        <v/>
      </c>
      <c r="I456" s="48">
        <f>IF($G456=0,0,IF(INDEX('Hours Worked'!$D$5:$BD$29,$A456,$B456)="",N(INDEX(Employees!$H$5:$H$29,$A456)),INDEX('Hours Worked'!$D$5:$BD$29,$A456,$B456)))</f>
        <v/>
      </c>
      <c r="J456" s="48">
        <f>IF(OR($G456=0,INDEX(Employees!$O$5:$O$29,$A456)&lt;&gt;"Yes"),0,IF(COUNTIF(Settings!$D$4:$D$9,"&lt;="&amp;$H456)=0,0,INDEX(Settings!$E$4:$E$9,COUNTIF(Settings!$D$4:$D$9,"&lt;="&amp;$H456))))</f>
        <v/>
      </c>
      <c r="K456" s="48">
        <f>IF($G456=0,0,IF(INDEX(Employees!$I$5:$I$29,$A456)="Per pay period",(N(INDEX(Employees!$J$5:$J$29,$A456))+$J456)/Settings!$B$13,IF(INDEX(Employees!$I$5:$I$29,$A456)="Per hour worked",N(INDEX(Employees!$K$5:$K$29,$A456))*$I456,IF(INDEX(Employees!$I$5:$I$29,$A456)="Front-loaded",IF(OR($B456=1,N($G455)=0),N(INDEX(Employees!$J$5:$J$29,$A456))+$J456,0),0))))</f>
        <v/>
      </c>
      <c r="L456" s="48">
        <f>IF($F456=0,0,SUMIFS('Time Off Log'!$H$5:$H$504,'Time Off Log'!$A$5:$A$504,$C456,'Time Off Log'!$B$5:$B$504,"PTO",'Time Off Log'!$E$5:$E$504,"Approved",'Time Off Log'!$C$5:$C$504,"&gt;="&amp;INDEX(Periods!$E$5:$E$57,$B456),'Time Off Log'!$C$5:$C$504,"&lt;="&amp;INDEX(Periods!$F$5:$F$57,$B456)))</f>
        <v/>
      </c>
      <c r="M456" s="48">
        <f>IF($B456=1,N(INDEX(Employees!$N$5:$N$29,$A456)),P455)</f>
        <v/>
      </c>
      <c r="N456" s="48">
        <f>IF(INDEX(Employees!$L$5:$L$29,$A456)="",K456,MAX(0,MIN(K456,INDEX(Employees!$L$5:$L$29,$A456)-(M456-L456))))</f>
        <v/>
      </c>
      <c r="O456" s="48">
        <f>K456-N456</f>
        <v/>
      </c>
      <c r="P456" s="48">
        <f>M456-L456+N456</f>
        <v/>
      </c>
      <c r="Q456" s="48">
        <f>IF($G456=0,0,IF(INDEX(Employees!$P$5:$P$29,$A456)="Per pay period",(N(INDEX(Employees!$Q$5:$Q$29,$A456)))/Settings!$B$13,IF(INDEX(Employees!$P$5:$P$29,$A456)="Per hour worked",N(INDEX(Employees!$R$5:$R$29,$A456))*$I456,IF(INDEX(Employees!$P$5:$P$29,$A456)="Front-loaded",IF(OR($B456=1,N($G455)=0),N(INDEX(Employees!$Q$5:$Q$29,$A456)),0),0))))</f>
        <v/>
      </c>
      <c r="R456" s="48">
        <f>IF($F456=0,0,SUMIFS('Time Off Log'!$H$5:$H$504,'Time Off Log'!$A$5:$A$504,$C456,'Time Off Log'!$B$5:$B$504,"Sick",'Time Off Log'!$E$5:$E$504,"Approved",'Time Off Log'!$C$5:$C$504,"&gt;="&amp;INDEX(Periods!$E$5:$E$57,$B456),'Time Off Log'!$C$5:$C$504,"&lt;="&amp;INDEX(Periods!$F$5:$F$57,$B456)))</f>
        <v/>
      </c>
      <c r="S456" s="48">
        <f>IF($B456=1,N(INDEX(Employees!$T$5:$T$29,$A456)),V455)</f>
        <v/>
      </c>
      <c r="T456" s="48">
        <f>IF(INDEX(Employees!$S$5:$S$29,$A456)="",Q456,MAX(0,MIN(Q456,INDEX(Employees!$S$5:$S$29,$A456)-(S456-R456))))</f>
        <v/>
      </c>
      <c r="U456" s="48">
        <f>Q456-T456</f>
        <v/>
      </c>
      <c r="V456" s="48">
        <f>S456-R456+T456</f>
        <v/>
      </c>
    </row>
    <row r="457">
      <c r="A457" s="47" t="n">
        <v>9</v>
      </c>
      <c r="B457" s="47" t="n">
        <v>29</v>
      </c>
      <c r="C457" s="48">
        <f>INDEX(Employees!$B$5:$B$29,$A457)&amp;""</f>
        <v/>
      </c>
      <c r="D457" s="49">
        <f>INDEX(Periods!$B$5:$B$57,$B457)</f>
        <v/>
      </c>
      <c r="E457" s="49">
        <f>INDEX(Periods!$C$5:$C$57,$B457)</f>
        <v/>
      </c>
      <c r="F457" s="47">
        <f>IF(AND($C457&lt;&gt;"",INDEX(Periods!$D$5:$D$57,$B457)=1),1,0)</f>
        <v/>
      </c>
      <c r="G457" s="47">
        <f>IF($F457=0,0,IF(AND(OR(INDEX(Employees!$D$5:$D$29,$A457)="",$E457&gt;=INDEX(Employees!$D$5:$D$29,$A457)+N(INDEX(Employees!$U$5:$U$29,$A457))),OR(INDEX(Employees!$E$5:$E$29,$A457)="",$D457&lt;=INDEX(Employees!$E$5:$E$29,$A457))),1,0))</f>
        <v/>
      </c>
      <c r="H457" s="47">
        <f>IF($G457=0,0,IF(INDEX(Employees!$D$5:$D$29,$A457)="",0,DATEDIF(INDEX(Employees!$D$5:$D$29,$A457),$E457,"y")))</f>
        <v/>
      </c>
      <c r="I457" s="48">
        <f>IF($G457=0,0,IF(INDEX('Hours Worked'!$D$5:$BD$29,$A457,$B457)="",N(INDEX(Employees!$H$5:$H$29,$A457)),INDEX('Hours Worked'!$D$5:$BD$29,$A457,$B457)))</f>
        <v/>
      </c>
      <c r="J457" s="48">
        <f>IF(OR($G457=0,INDEX(Employees!$O$5:$O$29,$A457)&lt;&gt;"Yes"),0,IF(COUNTIF(Settings!$D$4:$D$9,"&lt;="&amp;$H457)=0,0,INDEX(Settings!$E$4:$E$9,COUNTIF(Settings!$D$4:$D$9,"&lt;="&amp;$H457))))</f>
        <v/>
      </c>
      <c r="K457" s="48">
        <f>IF($G457=0,0,IF(INDEX(Employees!$I$5:$I$29,$A457)="Per pay period",(N(INDEX(Employees!$J$5:$J$29,$A457))+$J457)/Settings!$B$13,IF(INDEX(Employees!$I$5:$I$29,$A457)="Per hour worked",N(INDEX(Employees!$K$5:$K$29,$A457))*$I457,IF(INDEX(Employees!$I$5:$I$29,$A457)="Front-loaded",IF(OR($B457=1,N($G456)=0),N(INDEX(Employees!$J$5:$J$29,$A457))+$J457,0),0))))</f>
        <v/>
      </c>
      <c r="L457" s="48">
        <f>IF($F457=0,0,SUMIFS('Time Off Log'!$H$5:$H$504,'Time Off Log'!$A$5:$A$504,$C457,'Time Off Log'!$B$5:$B$504,"PTO",'Time Off Log'!$E$5:$E$504,"Approved",'Time Off Log'!$C$5:$C$504,"&gt;="&amp;INDEX(Periods!$E$5:$E$57,$B457),'Time Off Log'!$C$5:$C$504,"&lt;="&amp;INDEX(Periods!$F$5:$F$57,$B457)))</f>
        <v/>
      </c>
      <c r="M457" s="48">
        <f>IF($B457=1,N(INDEX(Employees!$N$5:$N$29,$A457)),P456)</f>
        <v/>
      </c>
      <c r="N457" s="48">
        <f>IF(INDEX(Employees!$L$5:$L$29,$A457)="",K457,MAX(0,MIN(K457,INDEX(Employees!$L$5:$L$29,$A457)-(M457-L457))))</f>
        <v/>
      </c>
      <c r="O457" s="48">
        <f>K457-N457</f>
        <v/>
      </c>
      <c r="P457" s="48">
        <f>M457-L457+N457</f>
        <v/>
      </c>
      <c r="Q457" s="48">
        <f>IF($G457=0,0,IF(INDEX(Employees!$P$5:$P$29,$A457)="Per pay period",(N(INDEX(Employees!$Q$5:$Q$29,$A457)))/Settings!$B$13,IF(INDEX(Employees!$P$5:$P$29,$A457)="Per hour worked",N(INDEX(Employees!$R$5:$R$29,$A457))*$I457,IF(INDEX(Employees!$P$5:$P$29,$A457)="Front-loaded",IF(OR($B457=1,N($G456)=0),N(INDEX(Employees!$Q$5:$Q$29,$A457)),0),0))))</f>
        <v/>
      </c>
      <c r="R457" s="48">
        <f>IF($F457=0,0,SUMIFS('Time Off Log'!$H$5:$H$504,'Time Off Log'!$A$5:$A$504,$C457,'Time Off Log'!$B$5:$B$504,"Sick",'Time Off Log'!$E$5:$E$504,"Approved",'Time Off Log'!$C$5:$C$504,"&gt;="&amp;INDEX(Periods!$E$5:$E$57,$B457),'Time Off Log'!$C$5:$C$504,"&lt;="&amp;INDEX(Periods!$F$5:$F$57,$B457)))</f>
        <v/>
      </c>
      <c r="S457" s="48">
        <f>IF($B457=1,N(INDEX(Employees!$T$5:$T$29,$A457)),V456)</f>
        <v/>
      </c>
      <c r="T457" s="48">
        <f>IF(INDEX(Employees!$S$5:$S$29,$A457)="",Q457,MAX(0,MIN(Q457,INDEX(Employees!$S$5:$S$29,$A457)-(S457-R457))))</f>
        <v/>
      </c>
      <c r="U457" s="48">
        <f>Q457-T457</f>
        <v/>
      </c>
      <c r="V457" s="48">
        <f>S457-R457+T457</f>
        <v/>
      </c>
    </row>
    <row r="458">
      <c r="A458" s="47" t="n">
        <v>9</v>
      </c>
      <c r="B458" s="47" t="n">
        <v>30</v>
      </c>
      <c r="C458" s="48">
        <f>INDEX(Employees!$B$5:$B$29,$A458)&amp;""</f>
        <v/>
      </c>
      <c r="D458" s="49">
        <f>INDEX(Periods!$B$5:$B$57,$B458)</f>
        <v/>
      </c>
      <c r="E458" s="49">
        <f>INDEX(Periods!$C$5:$C$57,$B458)</f>
        <v/>
      </c>
      <c r="F458" s="47">
        <f>IF(AND($C458&lt;&gt;"",INDEX(Periods!$D$5:$D$57,$B458)=1),1,0)</f>
        <v/>
      </c>
      <c r="G458" s="47">
        <f>IF($F458=0,0,IF(AND(OR(INDEX(Employees!$D$5:$D$29,$A458)="",$E458&gt;=INDEX(Employees!$D$5:$D$29,$A458)+N(INDEX(Employees!$U$5:$U$29,$A458))),OR(INDEX(Employees!$E$5:$E$29,$A458)="",$D458&lt;=INDEX(Employees!$E$5:$E$29,$A458))),1,0))</f>
        <v/>
      </c>
      <c r="H458" s="47">
        <f>IF($G458=0,0,IF(INDEX(Employees!$D$5:$D$29,$A458)="",0,DATEDIF(INDEX(Employees!$D$5:$D$29,$A458),$E458,"y")))</f>
        <v/>
      </c>
      <c r="I458" s="48">
        <f>IF($G458=0,0,IF(INDEX('Hours Worked'!$D$5:$BD$29,$A458,$B458)="",N(INDEX(Employees!$H$5:$H$29,$A458)),INDEX('Hours Worked'!$D$5:$BD$29,$A458,$B458)))</f>
        <v/>
      </c>
      <c r="J458" s="48">
        <f>IF(OR($G458=0,INDEX(Employees!$O$5:$O$29,$A458)&lt;&gt;"Yes"),0,IF(COUNTIF(Settings!$D$4:$D$9,"&lt;="&amp;$H458)=0,0,INDEX(Settings!$E$4:$E$9,COUNTIF(Settings!$D$4:$D$9,"&lt;="&amp;$H458))))</f>
        <v/>
      </c>
      <c r="K458" s="48">
        <f>IF($G458=0,0,IF(INDEX(Employees!$I$5:$I$29,$A458)="Per pay period",(N(INDEX(Employees!$J$5:$J$29,$A458))+$J458)/Settings!$B$13,IF(INDEX(Employees!$I$5:$I$29,$A458)="Per hour worked",N(INDEX(Employees!$K$5:$K$29,$A458))*$I458,IF(INDEX(Employees!$I$5:$I$29,$A458)="Front-loaded",IF(OR($B458=1,N($G457)=0),N(INDEX(Employees!$J$5:$J$29,$A458))+$J458,0),0))))</f>
        <v/>
      </c>
      <c r="L458" s="48">
        <f>IF($F458=0,0,SUMIFS('Time Off Log'!$H$5:$H$504,'Time Off Log'!$A$5:$A$504,$C458,'Time Off Log'!$B$5:$B$504,"PTO",'Time Off Log'!$E$5:$E$504,"Approved",'Time Off Log'!$C$5:$C$504,"&gt;="&amp;INDEX(Periods!$E$5:$E$57,$B458),'Time Off Log'!$C$5:$C$504,"&lt;="&amp;INDEX(Periods!$F$5:$F$57,$B458)))</f>
        <v/>
      </c>
      <c r="M458" s="48">
        <f>IF($B458=1,N(INDEX(Employees!$N$5:$N$29,$A458)),P457)</f>
        <v/>
      </c>
      <c r="N458" s="48">
        <f>IF(INDEX(Employees!$L$5:$L$29,$A458)="",K458,MAX(0,MIN(K458,INDEX(Employees!$L$5:$L$29,$A458)-(M458-L458))))</f>
        <v/>
      </c>
      <c r="O458" s="48">
        <f>K458-N458</f>
        <v/>
      </c>
      <c r="P458" s="48">
        <f>M458-L458+N458</f>
        <v/>
      </c>
      <c r="Q458" s="48">
        <f>IF($G458=0,0,IF(INDEX(Employees!$P$5:$P$29,$A458)="Per pay period",(N(INDEX(Employees!$Q$5:$Q$29,$A458)))/Settings!$B$13,IF(INDEX(Employees!$P$5:$P$29,$A458)="Per hour worked",N(INDEX(Employees!$R$5:$R$29,$A458))*$I458,IF(INDEX(Employees!$P$5:$P$29,$A458)="Front-loaded",IF(OR($B458=1,N($G457)=0),N(INDEX(Employees!$Q$5:$Q$29,$A458)),0),0))))</f>
        <v/>
      </c>
      <c r="R458" s="48">
        <f>IF($F458=0,0,SUMIFS('Time Off Log'!$H$5:$H$504,'Time Off Log'!$A$5:$A$504,$C458,'Time Off Log'!$B$5:$B$504,"Sick",'Time Off Log'!$E$5:$E$504,"Approved",'Time Off Log'!$C$5:$C$504,"&gt;="&amp;INDEX(Periods!$E$5:$E$57,$B458),'Time Off Log'!$C$5:$C$504,"&lt;="&amp;INDEX(Periods!$F$5:$F$57,$B458)))</f>
        <v/>
      </c>
      <c r="S458" s="48">
        <f>IF($B458=1,N(INDEX(Employees!$T$5:$T$29,$A458)),V457)</f>
        <v/>
      </c>
      <c r="T458" s="48">
        <f>IF(INDEX(Employees!$S$5:$S$29,$A458)="",Q458,MAX(0,MIN(Q458,INDEX(Employees!$S$5:$S$29,$A458)-(S458-R458))))</f>
        <v/>
      </c>
      <c r="U458" s="48">
        <f>Q458-T458</f>
        <v/>
      </c>
      <c r="V458" s="48">
        <f>S458-R458+T458</f>
        <v/>
      </c>
    </row>
    <row r="459">
      <c r="A459" s="47" t="n">
        <v>9</v>
      </c>
      <c r="B459" s="47" t="n">
        <v>31</v>
      </c>
      <c r="C459" s="48">
        <f>INDEX(Employees!$B$5:$B$29,$A459)&amp;""</f>
        <v/>
      </c>
      <c r="D459" s="49">
        <f>INDEX(Periods!$B$5:$B$57,$B459)</f>
        <v/>
      </c>
      <c r="E459" s="49">
        <f>INDEX(Periods!$C$5:$C$57,$B459)</f>
        <v/>
      </c>
      <c r="F459" s="47">
        <f>IF(AND($C459&lt;&gt;"",INDEX(Periods!$D$5:$D$57,$B459)=1),1,0)</f>
        <v/>
      </c>
      <c r="G459" s="47">
        <f>IF($F459=0,0,IF(AND(OR(INDEX(Employees!$D$5:$D$29,$A459)="",$E459&gt;=INDEX(Employees!$D$5:$D$29,$A459)+N(INDEX(Employees!$U$5:$U$29,$A459))),OR(INDEX(Employees!$E$5:$E$29,$A459)="",$D459&lt;=INDEX(Employees!$E$5:$E$29,$A459))),1,0))</f>
        <v/>
      </c>
      <c r="H459" s="47">
        <f>IF($G459=0,0,IF(INDEX(Employees!$D$5:$D$29,$A459)="",0,DATEDIF(INDEX(Employees!$D$5:$D$29,$A459),$E459,"y")))</f>
        <v/>
      </c>
      <c r="I459" s="48">
        <f>IF($G459=0,0,IF(INDEX('Hours Worked'!$D$5:$BD$29,$A459,$B459)="",N(INDEX(Employees!$H$5:$H$29,$A459)),INDEX('Hours Worked'!$D$5:$BD$29,$A459,$B459)))</f>
        <v/>
      </c>
      <c r="J459" s="48">
        <f>IF(OR($G459=0,INDEX(Employees!$O$5:$O$29,$A459)&lt;&gt;"Yes"),0,IF(COUNTIF(Settings!$D$4:$D$9,"&lt;="&amp;$H459)=0,0,INDEX(Settings!$E$4:$E$9,COUNTIF(Settings!$D$4:$D$9,"&lt;="&amp;$H459))))</f>
        <v/>
      </c>
      <c r="K459" s="48">
        <f>IF($G459=0,0,IF(INDEX(Employees!$I$5:$I$29,$A459)="Per pay period",(N(INDEX(Employees!$J$5:$J$29,$A459))+$J459)/Settings!$B$13,IF(INDEX(Employees!$I$5:$I$29,$A459)="Per hour worked",N(INDEX(Employees!$K$5:$K$29,$A459))*$I459,IF(INDEX(Employees!$I$5:$I$29,$A459)="Front-loaded",IF(OR($B459=1,N($G458)=0),N(INDEX(Employees!$J$5:$J$29,$A459))+$J459,0),0))))</f>
        <v/>
      </c>
      <c r="L459" s="48">
        <f>IF($F459=0,0,SUMIFS('Time Off Log'!$H$5:$H$504,'Time Off Log'!$A$5:$A$504,$C459,'Time Off Log'!$B$5:$B$504,"PTO",'Time Off Log'!$E$5:$E$504,"Approved",'Time Off Log'!$C$5:$C$504,"&gt;="&amp;INDEX(Periods!$E$5:$E$57,$B459),'Time Off Log'!$C$5:$C$504,"&lt;="&amp;INDEX(Periods!$F$5:$F$57,$B459)))</f>
        <v/>
      </c>
      <c r="M459" s="48">
        <f>IF($B459=1,N(INDEX(Employees!$N$5:$N$29,$A459)),P458)</f>
        <v/>
      </c>
      <c r="N459" s="48">
        <f>IF(INDEX(Employees!$L$5:$L$29,$A459)="",K459,MAX(0,MIN(K459,INDEX(Employees!$L$5:$L$29,$A459)-(M459-L459))))</f>
        <v/>
      </c>
      <c r="O459" s="48">
        <f>K459-N459</f>
        <v/>
      </c>
      <c r="P459" s="48">
        <f>M459-L459+N459</f>
        <v/>
      </c>
      <c r="Q459" s="48">
        <f>IF($G459=0,0,IF(INDEX(Employees!$P$5:$P$29,$A459)="Per pay period",(N(INDEX(Employees!$Q$5:$Q$29,$A459)))/Settings!$B$13,IF(INDEX(Employees!$P$5:$P$29,$A459)="Per hour worked",N(INDEX(Employees!$R$5:$R$29,$A459))*$I459,IF(INDEX(Employees!$P$5:$P$29,$A459)="Front-loaded",IF(OR($B459=1,N($G458)=0),N(INDEX(Employees!$Q$5:$Q$29,$A459)),0),0))))</f>
        <v/>
      </c>
      <c r="R459" s="48">
        <f>IF($F459=0,0,SUMIFS('Time Off Log'!$H$5:$H$504,'Time Off Log'!$A$5:$A$504,$C459,'Time Off Log'!$B$5:$B$504,"Sick",'Time Off Log'!$E$5:$E$504,"Approved",'Time Off Log'!$C$5:$C$504,"&gt;="&amp;INDEX(Periods!$E$5:$E$57,$B459),'Time Off Log'!$C$5:$C$504,"&lt;="&amp;INDEX(Periods!$F$5:$F$57,$B459)))</f>
        <v/>
      </c>
      <c r="S459" s="48">
        <f>IF($B459=1,N(INDEX(Employees!$T$5:$T$29,$A459)),V458)</f>
        <v/>
      </c>
      <c r="T459" s="48">
        <f>IF(INDEX(Employees!$S$5:$S$29,$A459)="",Q459,MAX(0,MIN(Q459,INDEX(Employees!$S$5:$S$29,$A459)-(S459-R459))))</f>
        <v/>
      </c>
      <c r="U459" s="48">
        <f>Q459-T459</f>
        <v/>
      </c>
      <c r="V459" s="48">
        <f>S459-R459+T459</f>
        <v/>
      </c>
    </row>
    <row r="460">
      <c r="A460" s="47" t="n">
        <v>9</v>
      </c>
      <c r="B460" s="47" t="n">
        <v>32</v>
      </c>
      <c r="C460" s="48">
        <f>INDEX(Employees!$B$5:$B$29,$A460)&amp;""</f>
        <v/>
      </c>
      <c r="D460" s="49">
        <f>INDEX(Periods!$B$5:$B$57,$B460)</f>
        <v/>
      </c>
      <c r="E460" s="49">
        <f>INDEX(Periods!$C$5:$C$57,$B460)</f>
        <v/>
      </c>
      <c r="F460" s="47">
        <f>IF(AND($C460&lt;&gt;"",INDEX(Periods!$D$5:$D$57,$B460)=1),1,0)</f>
        <v/>
      </c>
      <c r="G460" s="47">
        <f>IF($F460=0,0,IF(AND(OR(INDEX(Employees!$D$5:$D$29,$A460)="",$E460&gt;=INDEX(Employees!$D$5:$D$29,$A460)+N(INDEX(Employees!$U$5:$U$29,$A460))),OR(INDEX(Employees!$E$5:$E$29,$A460)="",$D460&lt;=INDEX(Employees!$E$5:$E$29,$A460))),1,0))</f>
        <v/>
      </c>
      <c r="H460" s="47">
        <f>IF($G460=0,0,IF(INDEX(Employees!$D$5:$D$29,$A460)="",0,DATEDIF(INDEX(Employees!$D$5:$D$29,$A460),$E460,"y")))</f>
        <v/>
      </c>
      <c r="I460" s="48">
        <f>IF($G460=0,0,IF(INDEX('Hours Worked'!$D$5:$BD$29,$A460,$B460)="",N(INDEX(Employees!$H$5:$H$29,$A460)),INDEX('Hours Worked'!$D$5:$BD$29,$A460,$B460)))</f>
        <v/>
      </c>
      <c r="J460" s="48">
        <f>IF(OR($G460=0,INDEX(Employees!$O$5:$O$29,$A460)&lt;&gt;"Yes"),0,IF(COUNTIF(Settings!$D$4:$D$9,"&lt;="&amp;$H460)=0,0,INDEX(Settings!$E$4:$E$9,COUNTIF(Settings!$D$4:$D$9,"&lt;="&amp;$H460))))</f>
        <v/>
      </c>
      <c r="K460" s="48">
        <f>IF($G460=0,0,IF(INDEX(Employees!$I$5:$I$29,$A460)="Per pay period",(N(INDEX(Employees!$J$5:$J$29,$A460))+$J460)/Settings!$B$13,IF(INDEX(Employees!$I$5:$I$29,$A460)="Per hour worked",N(INDEX(Employees!$K$5:$K$29,$A460))*$I460,IF(INDEX(Employees!$I$5:$I$29,$A460)="Front-loaded",IF(OR($B460=1,N($G459)=0),N(INDEX(Employees!$J$5:$J$29,$A460))+$J460,0),0))))</f>
        <v/>
      </c>
      <c r="L460" s="48">
        <f>IF($F460=0,0,SUMIFS('Time Off Log'!$H$5:$H$504,'Time Off Log'!$A$5:$A$504,$C460,'Time Off Log'!$B$5:$B$504,"PTO",'Time Off Log'!$E$5:$E$504,"Approved",'Time Off Log'!$C$5:$C$504,"&gt;="&amp;INDEX(Periods!$E$5:$E$57,$B460),'Time Off Log'!$C$5:$C$504,"&lt;="&amp;INDEX(Periods!$F$5:$F$57,$B460)))</f>
        <v/>
      </c>
      <c r="M460" s="48">
        <f>IF($B460=1,N(INDEX(Employees!$N$5:$N$29,$A460)),P459)</f>
        <v/>
      </c>
      <c r="N460" s="48">
        <f>IF(INDEX(Employees!$L$5:$L$29,$A460)="",K460,MAX(0,MIN(K460,INDEX(Employees!$L$5:$L$29,$A460)-(M460-L460))))</f>
        <v/>
      </c>
      <c r="O460" s="48">
        <f>K460-N460</f>
        <v/>
      </c>
      <c r="P460" s="48">
        <f>M460-L460+N460</f>
        <v/>
      </c>
      <c r="Q460" s="48">
        <f>IF($G460=0,0,IF(INDEX(Employees!$P$5:$P$29,$A460)="Per pay period",(N(INDEX(Employees!$Q$5:$Q$29,$A460)))/Settings!$B$13,IF(INDEX(Employees!$P$5:$P$29,$A460)="Per hour worked",N(INDEX(Employees!$R$5:$R$29,$A460))*$I460,IF(INDEX(Employees!$P$5:$P$29,$A460)="Front-loaded",IF(OR($B460=1,N($G459)=0),N(INDEX(Employees!$Q$5:$Q$29,$A460)),0),0))))</f>
        <v/>
      </c>
      <c r="R460" s="48">
        <f>IF($F460=0,0,SUMIFS('Time Off Log'!$H$5:$H$504,'Time Off Log'!$A$5:$A$504,$C460,'Time Off Log'!$B$5:$B$504,"Sick",'Time Off Log'!$E$5:$E$504,"Approved",'Time Off Log'!$C$5:$C$504,"&gt;="&amp;INDEX(Periods!$E$5:$E$57,$B460),'Time Off Log'!$C$5:$C$504,"&lt;="&amp;INDEX(Periods!$F$5:$F$57,$B460)))</f>
        <v/>
      </c>
      <c r="S460" s="48">
        <f>IF($B460=1,N(INDEX(Employees!$T$5:$T$29,$A460)),V459)</f>
        <v/>
      </c>
      <c r="T460" s="48">
        <f>IF(INDEX(Employees!$S$5:$S$29,$A460)="",Q460,MAX(0,MIN(Q460,INDEX(Employees!$S$5:$S$29,$A460)-(S460-R460))))</f>
        <v/>
      </c>
      <c r="U460" s="48">
        <f>Q460-T460</f>
        <v/>
      </c>
      <c r="V460" s="48">
        <f>S460-R460+T460</f>
        <v/>
      </c>
    </row>
    <row r="461">
      <c r="A461" s="47" t="n">
        <v>9</v>
      </c>
      <c r="B461" s="47" t="n">
        <v>33</v>
      </c>
      <c r="C461" s="48">
        <f>INDEX(Employees!$B$5:$B$29,$A461)&amp;""</f>
        <v/>
      </c>
      <c r="D461" s="49">
        <f>INDEX(Periods!$B$5:$B$57,$B461)</f>
        <v/>
      </c>
      <c r="E461" s="49">
        <f>INDEX(Periods!$C$5:$C$57,$B461)</f>
        <v/>
      </c>
      <c r="F461" s="47">
        <f>IF(AND($C461&lt;&gt;"",INDEX(Periods!$D$5:$D$57,$B461)=1),1,0)</f>
        <v/>
      </c>
      <c r="G461" s="47">
        <f>IF($F461=0,0,IF(AND(OR(INDEX(Employees!$D$5:$D$29,$A461)="",$E461&gt;=INDEX(Employees!$D$5:$D$29,$A461)+N(INDEX(Employees!$U$5:$U$29,$A461))),OR(INDEX(Employees!$E$5:$E$29,$A461)="",$D461&lt;=INDEX(Employees!$E$5:$E$29,$A461))),1,0))</f>
        <v/>
      </c>
      <c r="H461" s="47">
        <f>IF($G461=0,0,IF(INDEX(Employees!$D$5:$D$29,$A461)="",0,DATEDIF(INDEX(Employees!$D$5:$D$29,$A461),$E461,"y")))</f>
        <v/>
      </c>
      <c r="I461" s="48">
        <f>IF($G461=0,0,IF(INDEX('Hours Worked'!$D$5:$BD$29,$A461,$B461)="",N(INDEX(Employees!$H$5:$H$29,$A461)),INDEX('Hours Worked'!$D$5:$BD$29,$A461,$B461)))</f>
        <v/>
      </c>
      <c r="J461" s="48">
        <f>IF(OR($G461=0,INDEX(Employees!$O$5:$O$29,$A461)&lt;&gt;"Yes"),0,IF(COUNTIF(Settings!$D$4:$D$9,"&lt;="&amp;$H461)=0,0,INDEX(Settings!$E$4:$E$9,COUNTIF(Settings!$D$4:$D$9,"&lt;="&amp;$H461))))</f>
        <v/>
      </c>
      <c r="K461" s="48">
        <f>IF($G461=0,0,IF(INDEX(Employees!$I$5:$I$29,$A461)="Per pay period",(N(INDEX(Employees!$J$5:$J$29,$A461))+$J461)/Settings!$B$13,IF(INDEX(Employees!$I$5:$I$29,$A461)="Per hour worked",N(INDEX(Employees!$K$5:$K$29,$A461))*$I461,IF(INDEX(Employees!$I$5:$I$29,$A461)="Front-loaded",IF(OR($B461=1,N($G460)=0),N(INDEX(Employees!$J$5:$J$29,$A461))+$J461,0),0))))</f>
        <v/>
      </c>
      <c r="L461" s="48">
        <f>IF($F461=0,0,SUMIFS('Time Off Log'!$H$5:$H$504,'Time Off Log'!$A$5:$A$504,$C461,'Time Off Log'!$B$5:$B$504,"PTO",'Time Off Log'!$E$5:$E$504,"Approved",'Time Off Log'!$C$5:$C$504,"&gt;="&amp;INDEX(Periods!$E$5:$E$57,$B461),'Time Off Log'!$C$5:$C$504,"&lt;="&amp;INDEX(Periods!$F$5:$F$57,$B461)))</f>
        <v/>
      </c>
      <c r="M461" s="48">
        <f>IF($B461=1,N(INDEX(Employees!$N$5:$N$29,$A461)),P460)</f>
        <v/>
      </c>
      <c r="N461" s="48">
        <f>IF(INDEX(Employees!$L$5:$L$29,$A461)="",K461,MAX(0,MIN(K461,INDEX(Employees!$L$5:$L$29,$A461)-(M461-L461))))</f>
        <v/>
      </c>
      <c r="O461" s="48">
        <f>K461-N461</f>
        <v/>
      </c>
      <c r="P461" s="48">
        <f>M461-L461+N461</f>
        <v/>
      </c>
      <c r="Q461" s="48">
        <f>IF($G461=0,0,IF(INDEX(Employees!$P$5:$P$29,$A461)="Per pay period",(N(INDEX(Employees!$Q$5:$Q$29,$A461)))/Settings!$B$13,IF(INDEX(Employees!$P$5:$P$29,$A461)="Per hour worked",N(INDEX(Employees!$R$5:$R$29,$A461))*$I461,IF(INDEX(Employees!$P$5:$P$29,$A461)="Front-loaded",IF(OR($B461=1,N($G460)=0),N(INDEX(Employees!$Q$5:$Q$29,$A461)),0),0))))</f>
        <v/>
      </c>
      <c r="R461" s="48">
        <f>IF($F461=0,0,SUMIFS('Time Off Log'!$H$5:$H$504,'Time Off Log'!$A$5:$A$504,$C461,'Time Off Log'!$B$5:$B$504,"Sick",'Time Off Log'!$E$5:$E$504,"Approved",'Time Off Log'!$C$5:$C$504,"&gt;="&amp;INDEX(Periods!$E$5:$E$57,$B461),'Time Off Log'!$C$5:$C$504,"&lt;="&amp;INDEX(Periods!$F$5:$F$57,$B461)))</f>
        <v/>
      </c>
      <c r="S461" s="48">
        <f>IF($B461=1,N(INDEX(Employees!$T$5:$T$29,$A461)),V460)</f>
        <v/>
      </c>
      <c r="T461" s="48">
        <f>IF(INDEX(Employees!$S$5:$S$29,$A461)="",Q461,MAX(0,MIN(Q461,INDEX(Employees!$S$5:$S$29,$A461)-(S461-R461))))</f>
        <v/>
      </c>
      <c r="U461" s="48">
        <f>Q461-T461</f>
        <v/>
      </c>
      <c r="V461" s="48">
        <f>S461-R461+T461</f>
        <v/>
      </c>
    </row>
    <row r="462">
      <c r="A462" s="47" t="n">
        <v>9</v>
      </c>
      <c r="B462" s="47" t="n">
        <v>34</v>
      </c>
      <c r="C462" s="48">
        <f>INDEX(Employees!$B$5:$B$29,$A462)&amp;""</f>
        <v/>
      </c>
      <c r="D462" s="49">
        <f>INDEX(Periods!$B$5:$B$57,$B462)</f>
        <v/>
      </c>
      <c r="E462" s="49">
        <f>INDEX(Periods!$C$5:$C$57,$B462)</f>
        <v/>
      </c>
      <c r="F462" s="47">
        <f>IF(AND($C462&lt;&gt;"",INDEX(Periods!$D$5:$D$57,$B462)=1),1,0)</f>
        <v/>
      </c>
      <c r="G462" s="47">
        <f>IF($F462=0,0,IF(AND(OR(INDEX(Employees!$D$5:$D$29,$A462)="",$E462&gt;=INDEX(Employees!$D$5:$D$29,$A462)+N(INDEX(Employees!$U$5:$U$29,$A462))),OR(INDEX(Employees!$E$5:$E$29,$A462)="",$D462&lt;=INDEX(Employees!$E$5:$E$29,$A462))),1,0))</f>
        <v/>
      </c>
      <c r="H462" s="47">
        <f>IF($G462=0,0,IF(INDEX(Employees!$D$5:$D$29,$A462)="",0,DATEDIF(INDEX(Employees!$D$5:$D$29,$A462),$E462,"y")))</f>
        <v/>
      </c>
      <c r="I462" s="48">
        <f>IF($G462=0,0,IF(INDEX('Hours Worked'!$D$5:$BD$29,$A462,$B462)="",N(INDEX(Employees!$H$5:$H$29,$A462)),INDEX('Hours Worked'!$D$5:$BD$29,$A462,$B462)))</f>
        <v/>
      </c>
      <c r="J462" s="48">
        <f>IF(OR($G462=0,INDEX(Employees!$O$5:$O$29,$A462)&lt;&gt;"Yes"),0,IF(COUNTIF(Settings!$D$4:$D$9,"&lt;="&amp;$H462)=0,0,INDEX(Settings!$E$4:$E$9,COUNTIF(Settings!$D$4:$D$9,"&lt;="&amp;$H462))))</f>
        <v/>
      </c>
      <c r="K462" s="48">
        <f>IF($G462=0,0,IF(INDEX(Employees!$I$5:$I$29,$A462)="Per pay period",(N(INDEX(Employees!$J$5:$J$29,$A462))+$J462)/Settings!$B$13,IF(INDEX(Employees!$I$5:$I$29,$A462)="Per hour worked",N(INDEX(Employees!$K$5:$K$29,$A462))*$I462,IF(INDEX(Employees!$I$5:$I$29,$A462)="Front-loaded",IF(OR($B462=1,N($G461)=0),N(INDEX(Employees!$J$5:$J$29,$A462))+$J462,0),0))))</f>
        <v/>
      </c>
      <c r="L462" s="48">
        <f>IF($F462=0,0,SUMIFS('Time Off Log'!$H$5:$H$504,'Time Off Log'!$A$5:$A$504,$C462,'Time Off Log'!$B$5:$B$504,"PTO",'Time Off Log'!$E$5:$E$504,"Approved",'Time Off Log'!$C$5:$C$504,"&gt;="&amp;INDEX(Periods!$E$5:$E$57,$B462),'Time Off Log'!$C$5:$C$504,"&lt;="&amp;INDEX(Periods!$F$5:$F$57,$B462)))</f>
        <v/>
      </c>
      <c r="M462" s="48">
        <f>IF($B462=1,N(INDEX(Employees!$N$5:$N$29,$A462)),P461)</f>
        <v/>
      </c>
      <c r="N462" s="48">
        <f>IF(INDEX(Employees!$L$5:$L$29,$A462)="",K462,MAX(0,MIN(K462,INDEX(Employees!$L$5:$L$29,$A462)-(M462-L462))))</f>
        <v/>
      </c>
      <c r="O462" s="48">
        <f>K462-N462</f>
        <v/>
      </c>
      <c r="P462" s="48">
        <f>M462-L462+N462</f>
        <v/>
      </c>
      <c r="Q462" s="48">
        <f>IF($G462=0,0,IF(INDEX(Employees!$P$5:$P$29,$A462)="Per pay period",(N(INDEX(Employees!$Q$5:$Q$29,$A462)))/Settings!$B$13,IF(INDEX(Employees!$P$5:$P$29,$A462)="Per hour worked",N(INDEX(Employees!$R$5:$R$29,$A462))*$I462,IF(INDEX(Employees!$P$5:$P$29,$A462)="Front-loaded",IF(OR($B462=1,N($G461)=0),N(INDEX(Employees!$Q$5:$Q$29,$A462)),0),0))))</f>
        <v/>
      </c>
      <c r="R462" s="48">
        <f>IF($F462=0,0,SUMIFS('Time Off Log'!$H$5:$H$504,'Time Off Log'!$A$5:$A$504,$C462,'Time Off Log'!$B$5:$B$504,"Sick",'Time Off Log'!$E$5:$E$504,"Approved",'Time Off Log'!$C$5:$C$504,"&gt;="&amp;INDEX(Periods!$E$5:$E$57,$B462),'Time Off Log'!$C$5:$C$504,"&lt;="&amp;INDEX(Periods!$F$5:$F$57,$B462)))</f>
        <v/>
      </c>
      <c r="S462" s="48">
        <f>IF($B462=1,N(INDEX(Employees!$T$5:$T$29,$A462)),V461)</f>
        <v/>
      </c>
      <c r="T462" s="48">
        <f>IF(INDEX(Employees!$S$5:$S$29,$A462)="",Q462,MAX(0,MIN(Q462,INDEX(Employees!$S$5:$S$29,$A462)-(S462-R462))))</f>
        <v/>
      </c>
      <c r="U462" s="48">
        <f>Q462-T462</f>
        <v/>
      </c>
      <c r="V462" s="48">
        <f>S462-R462+T462</f>
        <v/>
      </c>
    </row>
    <row r="463">
      <c r="A463" s="47" t="n">
        <v>9</v>
      </c>
      <c r="B463" s="47" t="n">
        <v>35</v>
      </c>
      <c r="C463" s="48">
        <f>INDEX(Employees!$B$5:$B$29,$A463)&amp;""</f>
        <v/>
      </c>
      <c r="D463" s="49">
        <f>INDEX(Periods!$B$5:$B$57,$B463)</f>
        <v/>
      </c>
      <c r="E463" s="49">
        <f>INDEX(Periods!$C$5:$C$57,$B463)</f>
        <v/>
      </c>
      <c r="F463" s="47">
        <f>IF(AND($C463&lt;&gt;"",INDEX(Periods!$D$5:$D$57,$B463)=1),1,0)</f>
        <v/>
      </c>
      <c r="G463" s="47">
        <f>IF($F463=0,0,IF(AND(OR(INDEX(Employees!$D$5:$D$29,$A463)="",$E463&gt;=INDEX(Employees!$D$5:$D$29,$A463)+N(INDEX(Employees!$U$5:$U$29,$A463))),OR(INDEX(Employees!$E$5:$E$29,$A463)="",$D463&lt;=INDEX(Employees!$E$5:$E$29,$A463))),1,0))</f>
        <v/>
      </c>
      <c r="H463" s="47">
        <f>IF($G463=0,0,IF(INDEX(Employees!$D$5:$D$29,$A463)="",0,DATEDIF(INDEX(Employees!$D$5:$D$29,$A463),$E463,"y")))</f>
        <v/>
      </c>
      <c r="I463" s="48">
        <f>IF($G463=0,0,IF(INDEX('Hours Worked'!$D$5:$BD$29,$A463,$B463)="",N(INDEX(Employees!$H$5:$H$29,$A463)),INDEX('Hours Worked'!$D$5:$BD$29,$A463,$B463)))</f>
        <v/>
      </c>
      <c r="J463" s="48">
        <f>IF(OR($G463=0,INDEX(Employees!$O$5:$O$29,$A463)&lt;&gt;"Yes"),0,IF(COUNTIF(Settings!$D$4:$D$9,"&lt;="&amp;$H463)=0,0,INDEX(Settings!$E$4:$E$9,COUNTIF(Settings!$D$4:$D$9,"&lt;="&amp;$H463))))</f>
        <v/>
      </c>
      <c r="K463" s="48">
        <f>IF($G463=0,0,IF(INDEX(Employees!$I$5:$I$29,$A463)="Per pay period",(N(INDEX(Employees!$J$5:$J$29,$A463))+$J463)/Settings!$B$13,IF(INDEX(Employees!$I$5:$I$29,$A463)="Per hour worked",N(INDEX(Employees!$K$5:$K$29,$A463))*$I463,IF(INDEX(Employees!$I$5:$I$29,$A463)="Front-loaded",IF(OR($B463=1,N($G462)=0),N(INDEX(Employees!$J$5:$J$29,$A463))+$J463,0),0))))</f>
        <v/>
      </c>
      <c r="L463" s="48">
        <f>IF($F463=0,0,SUMIFS('Time Off Log'!$H$5:$H$504,'Time Off Log'!$A$5:$A$504,$C463,'Time Off Log'!$B$5:$B$504,"PTO",'Time Off Log'!$E$5:$E$504,"Approved",'Time Off Log'!$C$5:$C$504,"&gt;="&amp;INDEX(Periods!$E$5:$E$57,$B463),'Time Off Log'!$C$5:$C$504,"&lt;="&amp;INDEX(Periods!$F$5:$F$57,$B463)))</f>
        <v/>
      </c>
      <c r="M463" s="48">
        <f>IF($B463=1,N(INDEX(Employees!$N$5:$N$29,$A463)),P462)</f>
        <v/>
      </c>
      <c r="N463" s="48">
        <f>IF(INDEX(Employees!$L$5:$L$29,$A463)="",K463,MAX(0,MIN(K463,INDEX(Employees!$L$5:$L$29,$A463)-(M463-L463))))</f>
        <v/>
      </c>
      <c r="O463" s="48">
        <f>K463-N463</f>
        <v/>
      </c>
      <c r="P463" s="48">
        <f>M463-L463+N463</f>
        <v/>
      </c>
      <c r="Q463" s="48">
        <f>IF($G463=0,0,IF(INDEX(Employees!$P$5:$P$29,$A463)="Per pay period",(N(INDEX(Employees!$Q$5:$Q$29,$A463)))/Settings!$B$13,IF(INDEX(Employees!$P$5:$P$29,$A463)="Per hour worked",N(INDEX(Employees!$R$5:$R$29,$A463))*$I463,IF(INDEX(Employees!$P$5:$P$29,$A463)="Front-loaded",IF(OR($B463=1,N($G462)=0),N(INDEX(Employees!$Q$5:$Q$29,$A463)),0),0))))</f>
        <v/>
      </c>
      <c r="R463" s="48">
        <f>IF($F463=0,0,SUMIFS('Time Off Log'!$H$5:$H$504,'Time Off Log'!$A$5:$A$504,$C463,'Time Off Log'!$B$5:$B$504,"Sick",'Time Off Log'!$E$5:$E$504,"Approved",'Time Off Log'!$C$5:$C$504,"&gt;="&amp;INDEX(Periods!$E$5:$E$57,$B463),'Time Off Log'!$C$5:$C$504,"&lt;="&amp;INDEX(Periods!$F$5:$F$57,$B463)))</f>
        <v/>
      </c>
      <c r="S463" s="48">
        <f>IF($B463=1,N(INDEX(Employees!$T$5:$T$29,$A463)),V462)</f>
        <v/>
      </c>
      <c r="T463" s="48">
        <f>IF(INDEX(Employees!$S$5:$S$29,$A463)="",Q463,MAX(0,MIN(Q463,INDEX(Employees!$S$5:$S$29,$A463)-(S463-R463))))</f>
        <v/>
      </c>
      <c r="U463" s="48">
        <f>Q463-T463</f>
        <v/>
      </c>
      <c r="V463" s="48">
        <f>S463-R463+T463</f>
        <v/>
      </c>
    </row>
    <row r="464">
      <c r="A464" s="47" t="n">
        <v>9</v>
      </c>
      <c r="B464" s="47" t="n">
        <v>36</v>
      </c>
      <c r="C464" s="48">
        <f>INDEX(Employees!$B$5:$B$29,$A464)&amp;""</f>
        <v/>
      </c>
      <c r="D464" s="49">
        <f>INDEX(Periods!$B$5:$B$57,$B464)</f>
        <v/>
      </c>
      <c r="E464" s="49">
        <f>INDEX(Periods!$C$5:$C$57,$B464)</f>
        <v/>
      </c>
      <c r="F464" s="47">
        <f>IF(AND($C464&lt;&gt;"",INDEX(Periods!$D$5:$D$57,$B464)=1),1,0)</f>
        <v/>
      </c>
      <c r="G464" s="47">
        <f>IF($F464=0,0,IF(AND(OR(INDEX(Employees!$D$5:$D$29,$A464)="",$E464&gt;=INDEX(Employees!$D$5:$D$29,$A464)+N(INDEX(Employees!$U$5:$U$29,$A464))),OR(INDEX(Employees!$E$5:$E$29,$A464)="",$D464&lt;=INDEX(Employees!$E$5:$E$29,$A464))),1,0))</f>
        <v/>
      </c>
      <c r="H464" s="47">
        <f>IF($G464=0,0,IF(INDEX(Employees!$D$5:$D$29,$A464)="",0,DATEDIF(INDEX(Employees!$D$5:$D$29,$A464),$E464,"y")))</f>
        <v/>
      </c>
      <c r="I464" s="48">
        <f>IF($G464=0,0,IF(INDEX('Hours Worked'!$D$5:$BD$29,$A464,$B464)="",N(INDEX(Employees!$H$5:$H$29,$A464)),INDEX('Hours Worked'!$D$5:$BD$29,$A464,$B464)))</f>
        <v/>
      </c>
      <c r="J464" s="48">
        <f>IF(OR($G464=0,INDEX(Employees!$O$5:$O$29,$A464)&lt;&gt;"Yes"),0,IF(COUNTIF(Settings!$D$4:$D$9,"&lt;="&amp;$H464)=0,0,INDEX(Settings!$E$4:$E$9,COUNTIF(Settings!$D$4:$D$9,"&lt;="&amp;$H464))))</f>
        <v/>
      </c>
      <c r="K464" s="48">
        <f>IF($G464=0,0,IF(INDEX(Employees!$I$5:$I$29,$A464)="Per pay period",(N(INDEX(Employees!$J$5:$J$29,$A464))+$J464)/Settings!$B$13,IF(INDEX(Employees!$I$5:$I$29,$A464)="Per hour worked",N(INDEX(Employees!$K$5:$K$29,$A464))*$I464,IF(INDEX(Employees!$I$5:$I$29,$A464)="Front-loaded",IF(OR($B464=1,N($G463)=0),N(INDEX(Employees!$J$5:$J$29,$A464))+$J464,0),0))))</f>
        <v/>
      </c>
      <c r="L464" s="48">
        <f>IF($F464=0,0,SUMIFS('Time Off Log'!$H$5:$H$504,'Time Off Log'!$A$5:$A$504,$C464,'Time Off Log'!$B$5:$B$504,"PTO",'Time Off Log'!$E$5:$E$504,"Approved",'Time Off Log'!$C$5:$C$504,"&gt;="&amp;INDEX(Periods!$E$5:$E$57,$B464),'Time Off Log'!$C$5:$C$504,"&lt;="&amp;INDEX(Periods!$F$5:$F$57,$B464)))</f>
        <v/>
      </c>
      <c r="M464" s="48">
        <f>IF($B464=1,N(INDEX(Employees!$N$5:$N$29,$A464)),P463)</f>
        <v/>
      </c>
      <c r="N464" s="48">
        <f>IF(INDEX(Employees!$L$5:$L$29,$A464)="",K464,MAX(0,MIN(K464,INDEX(Employees!$L$5:$L$29,$A464)-(M464-L464))))</f>
        <v/>
      </c>
      <c r="O464" s="48">
        <f>K464-N464</f>
        <v/>
      </c>
      <c r="P464" s="48">
        <f>M464-L464+N464</f>
        <v/>
      </c>
      <c r="Q464" s="48">
        <f>IF($G464=0,0,IF(INDEX(Employees!$P$5:$P$29,$A464)="Per pay period",(N(INDEX(Employees!$Q$5:$Q$29,$A464)))/Settings!$B$13,IF(INDEX(Employees!$P$5:$P$29,$A464)="Per hour worked",N(INDEX(Employees!$R$5:$R$29,$A464))*$I464,IF(INDEX(Employees!$P$5:$P$29,$A464)="Front-loaded",IF(OR($B464=1,N($G463)=0),N(INDEX(Employees!$Q$5:$Q$29,$A464)),0),0))))</f>
        <v/>
      </c>
      <c r="R464" s="48">
        <f>IF($F464=0,0,SUMIFS('Time Off Log'!$H$5:$H$504,'Time Off Log'!$A$5:$A$504,$C464,'Time Off Log'!$B$5:$B$504,"Sick",'Time Off Log'!$E$5:$E$504,"Approved",'Time Off Log'!$C$5:$C$504,"&gt;="&amp;INDEX(Periods!$E$5:$E$57,$B464),'Time Off Log'!$C$5:$C$504,"&lt;="&amp;INDEX(Periods!$F$5:$F$57,$B464)))</f>
        <v/>
      </c>
      <c r="S464" s="48">
        <f>IF($B464=1,N(INDEX(Employees!$T$5:$T$29,$A464)),V463)</f>
        <v/>
      </c>
      <c r="T464" s="48">
        <f>IF(INDEX(Employees!$S$5:$S$29,$A464)="",Q464,MAX(0,MIN(Q464,INDEX(Employees!$S$5:$S$29,$A464)-(S464-R464))))</f>
        <v/>
      </c>
      <c r="U464" s="48">
        <f>Q464-T464</f>
        <v/>
      </c>
      <c r="V464" s="48">
        <f>S464-R464+T464</f>
        <v/>
      </c>
    </row>
    <row r="465">
      <c r="A465" s="47" t="n">
        <v>9</v>
      </c>
      <c r="B465" s="47" t="n">
        <v>37</v>
      </c>
      <c r="C465" s="48">
        <f>INDEX(Employees!$B$5:$B$29,$A465)&amp;""</f>
        <v/>
      </c>
      <c r="D465" s="49">
        <f>INDEX(Periods!$B$5:$B$57,$B465)</f>
        <v/>
      </c>
      <c r="E465" s="49">
        <f>INDEX(Periods!$C$5:$C$57,$B465)</f>
        <v/>
      </c>
      <c r="F465" s="47">
        <f>IF(AND($C465&lt;&gt;"",INDEX(Periods!$D$5:$D$57,$B465)=1),1,0)</f>
        <v/>
      </c>
      <c r="G465" s="47">
        <f>IF($F465=0,0,IF(AND(OR(INDEX(Employees!$D$5:$D$29,$A465)="",$E465&gt;=INDEX(Employees!$D$5:$D$29,$A465)+N(INDEX(Employees!$U$5:$U$29,$A465))),OR(INDEX(Employees!$E$5:$E$29,$A465)="",$D465&lt;=INDEX(Employees!$E$5:$E$29,$A465))),1,0))</f>
        <v/>
      </c>
      <c r="H465" s="47">
        <f>IF($G465=0,0,IF(INDEX(Employees!$D$5:$D$29,$A465)="",0,DATEDIF(INDEX(Employees!$D$5:$D$29,$A465),$E465,"y")))</f>
        <v/>
      </c>
      <c r="I465" s="48">
        <f>IF($G465=0,0,IF(INDEX('Hours Worked'!$D$5:$BD$29,$A465,$B465)="",N(INDEX(Employees!$H$5:$H$29,$A465)),INDEX('Hours Worked'!$D$5:$BD$29,$A465,$B465)))</f>
        <v/>
      </c>
      <c r="J465" s="48">
        <f>IF(OR($G465=0,INDEX(Employees!$O$5:$O$29,$A465)&lt;&gt;"Yes"),0,IF(COUNTIF(Settings!$D$4:$D$9,"&lt;="&amp;$H465)=0,0,INDEX(Settings!$E$4:$E$9,COUNTIF(Settings!$D$4:$D$9,"&lt;="&amp;$H465))))</f>
        <v/>
      </c>
      <c r="K465" s="48">
        <f>IF($G465=0,0,IF(INDEX(Employees!$I$5:$I$29,$A465)="Per pay period",(N(INDEX(Employees!$J$5:$J$29,$A465))+$J465)/Settings!$B$13,IF(INDEX(Employees!$I$5:$I$29,$A465)="Per hour worked",N(INDEX(Employees!$K$5:$K$29,$A465))*$I465,IF(INDEX(Employees!$I$5:$I$29,$A465)="Front-loaded",IF(OR($B465=1,N($G464)=0),N(INDEX(Employees!$J$5:$J$29,$A465))+$J465,0),0))))</f>
        <v/>
      </c>
      <c r="L465" s="48">
        <f>IF($F465=0,0,SUMIFS('Time Off Log'!$H$5:$H$504,'Time Off Log'!$A$5:$A$504,$C465,'Time Off Log'!$B$5:$B$504,"PTO",'Time Off Log'!$E$5:$E$504,"Approved",'Time Off Log'!$C$5:$C$504,"&gt;="&amp;INDEX(Periods!$E$5:$E$57,$B465),'Time Off Log'!$C$5:$C$504,"&lt;="&amp;INDEX(Periods!$F$5:$F$57,$B465)))</f>
        <v/>
      </c>
      <c r="M465" s="48">
        <f>IF($B465=1,N(INDEX(Employees!$N$5:$N$29,$A465)),P464)</f>
        <v/>
      </c>
      <c r="N465" s="48">
        <f>IF(INDEX(Employees!$L$5:$L$29,$A465)="",K465,MAX(0,MIN(K465,INDEX(Employees!$L$5:$L$29,$A465)-(M465-L465))))</f>
        <v/>
      </c>
      <c r="O465" s="48">
        <f>K465-N465</f>
        <v/>
      </c>
      <c r="P465" s="48">
        <f>M465-L465+N465</f>
        <v/>
      </c>
      <c r="Q465" s="48">
        <f>IF($G465=0,0,IF(INDEX(Employees!$P$5:$P$29,$A465)="Per pay period",(N(INDEX(Employees!$Q$5:$Q$29,$A465)))/Settings!$B$13,IF(INDEX(Employees!$P$5:$P$29,$A465)="Per hour worked",N(INDEX(Employees!$R$5:$R$29,$A465))*$I465,IF(INDEX(Employees!$P$5:$P$29,$A465)="Front-loaded",IF(OR($B465=1,N($G464)=0),N(INDEX(Employees!$Q$5:$Q$29,$A465)),0),0))))</f>
        <v/>
      </c>
      <c r="R465" s="48">
        <f>IF($F465=0,0,SUMIFS('Time Off Log'!$H$5:$H$504,'Time Off Log'!$A$5:$A$504,$C465,'Time Off Log'!$B$5:$B$504,"Sick",'Time Off Log'!$E$5:$E$504,"Approved",'Time Off Log'!$C$5:$C$504,"&gt;="&amp;INDEX(Periods!$E$5:$E$57,$B465),'Time Off Log'!$C$5:$C$504,"&lt;="&amp;INDEX(Periods!$F$5:$F$57,$B465)))</f>
        <v/>
      </c>
      <c r="S465" s="48">
        <f>IF($B465=1,N(INDEX(Employees!$T$5:$T$29,$A465)),V464)</f>
        <v/>
      </c>
      <c r="T465" s="48">
        <f>IF(INDEX(Employees!$S$5:$S$29,$A465)="",Q465,MAX(0,MIN(Q465,INDEX(Employees!$S$5:$S$29,$A465)-(S465-R465))))</f>
        <v/>
      </c>
      <c r="U465" s="48">
        <f>Q465-T465</f>
        <v/>
      </c>
      <c r="V465" s="48">
        <f>S465-R465+T465</f>
        <v/>
      </c>
    </row>
    <row r="466">
      <c r="A466" s="47" t="n">
        <v>9</v>
      </c>
      <c r="B466" s="47" t="n">
        <v>38</v>
      </c>
      <c r="C466" s="48">
        <f>INDEX(Employees!$B$5:$B$29,$A466)&amp;""</f>
        <v/>
      </c>
      <c r="D466" s="49">
        <f>INDEX(Periods!$B$5:$B$57,$B466)</f>
        <v/>
      </c>
      <c r="E466" s="49">
        <f>INDEX(Periods!$C$5:$C$57,$B466)</f>
        <v/>
      </c>
      <c r="F466" s="47">
        <f>IF(AND($C466&lt;&gt;"",INDEX(Periods!$D$5:$D$57,$B466)=1),1,0)</f>
        <v/>
      </c>
      <c r="G466" s="47">
        <f>IF($F466=0,0,IF(AND(OR(INDEX(Employees!$D$5:$D$29,$A466)="",$E466&gt;=INDEX(Employees!$D$5:$D$29,$A466)+N(INDEX(Employees!$U$5:$U$29,$A466))),OR(INDEX(Employees!$E$5:$E$29,$A466)="",$D466&lt;=INDEX(Employees!$E$5:$E$29,$A466))),1,0))</f>
        <v/>
      </c>
      <c r="H466" s="47">
        <f>IF($G466=0,0,IF(INDEX(Employees!$D$5:$D$29,$A466)="",0,DATEDIF(INDEX(Employees!$D$5:$D$29,$A466),$E466,"y")))</f>
        <v/>
      </c>
      <c r="I466" s="48">
        <f>IF($G466=0,0,IF(INDEX('Hours Worked'!$D$5:$BD$29,$A466,$B466)="",N(INDEX(Employees!$H$5:$H$29,$A466)),INDEX('Hours Worked'!$D$5:$BD$29,$A466,$B466)))</f>
        <v/>
      </c>
      <c r="J466" s="48">
        <f>IF(OR($G466=0,INDEX(Employees!$O$5:$O$29,$A466)&lt;&gt;"Yes"),0,IF(COUNTIF(Settings!$D$4:$D$9,"&lt;="&amp;$H466)=0,0,INDEX(Settings!$E$4:$E$9,COUNTIF(Settings!$D$4:$D$9,"&lt;="&amp;$H466))))</f>
        <v/>
      </c>
      <c r="K466" s="48">
        <f>IF($G466=0,0,IF(INDEX(Employees!$I$5:$I$29,$A466)="Per pay period",(N(INDEX(Employees!$J$5:$J$29,$A466))+$J466)/Settings!$B$13,IF(INDEX(Employees!$I$5:$I$29,$A466)="Per hour worked",N(INDEX(Employees!$K$5:$K$29,$A466))*$I466,IF(INDEX(Employees!$I$5:$I$29,$A466)="Front-loaded",IF(OR($B466=1,N($G465)=0),N(INDEX(Employees!$J$5:$J$29,$A466))+$J466,0),0))))</f>
        <v/>
      </c>
      <c r="L466" s="48">
        <f>IF($F466=0,0,SUMIFS('Time Off Log'!$H$5:$H$504,'Time Off Log'!$A$5:$A$504,$C466,'Time Off Log'!$B$5:$B$504,"PTO",'Time Off Log'!$E$5:$E$504,"Approved",'Time Off Log'!$C$5:$C$504,"&gt;="&amp;INDEX(Periods!$E$5:$E$57,$B466),'Time Off Log'!$C$5:$C$504,"&lt;="&amp;INDEX(Periods!$F$5:$F$57,$B466)))</f>
        <v/>
      </c>
      <c r="M466" s="48">
        <f>IF($B466=1,N(INDEX(Employees!$N$5:$N$29,$A466)),P465)</f>
        <v/>
      </c>
      <c r="N466" s="48">
        <f>IF(INDEX(Employees!$L$5:$L$29,$A466)="",K466,MAX(0,MIN(K466,INDEX(Employees!$L$5:$L$29,$A466)-(M466-L466))))</f>
        <v/>
      </c>
      <c r="O466" s="48">
        <f>K466-N466</f>
        <v/>
      </c>
      <c r="P466" s="48">
        <f>M466-L466+N466</f>
        <v/>
      </c>
      <c r="Q466" s="48">
        <f>IF($G466=0,0,IF(INDEX(Employees!$P$5:$P$29,$A466)="Per pay period",(N(INDEX(Employees!$Q$5:$Q$29,$A466)))/Settings!$B$13,IF(INDEX(Employees!$P$5:$P$29,$A466)="Per hour worked",N(INDEX(Employees!$R$5:$R$29,$A466))*$I466,IF(INDEX(Employees!$P$5:$P$29,$A466)="Front-loaded",IF(OR($B466=1,N($G465)=0),N(INDEX(Employees!$Q$5:$Q$29,$A466)),0),0))))</f>
        <v/>
      </c>
      <c r="R466" s="48">
        <f>IF($F466=0,0,SUMIFS('Time Off Log'!$H$5:$H$504,'Time Off Log'!$A$5:$A$504,$C466,'Time Off Log'!$B$5:$B$504,"Sick",'Time Off Log'!$E$5:$E$504,"Approved",'Time Off Log'!$C$5:$C$504,"&gt;="&amp;INDEX(Periods!$E$5:$E$57,$B466),'Time Off Log'!$C$5:$C$504,"&lt;="&amp;INDEX(Periods!$F$5:$F$57,$B466)))</f>
        <v/>
      </c>
      <c r="S466" s="48">
        <f>IF($B466=1,N(INDEX(Employees!$T$5:$T$29,$A466)),V465)</f>
        <v/>
      </c>
      <c r="T466" s="48">
        <f>IF(INDEX(Employees!$S$5:$S$29,$A466)="",Q466,MAX(0,MIN(Q466,INDEX(Employees!$S$5:$S$29,$A466)-(S466-R466))))</f>
        <v/>
      </c>
      <c r="U466" s="48">
        <f>Q466-T466</f>
        <v/>
      </c>
      <c r="V466" s="48">
        <f>S466-R466+T466</f>
        <v/>
      </c>
    </row>
    <row r="467">
      <c r="A467" s="47" t="n">
        <v>9</v>
      </c>
      <c r="B467" s="47" t="n">
        <v>39</v>
      </c>
      <c r="C467" s="48">
        <f>INDEX(Employees!$B$5:$B$29,$A467)&amp;""</f>
        <v/>
      </c>
      <c r="D467" s="49">
        <f>INDEX(Periods!$B$5:$B$57,$B467)</f>
        <v/>
      </c>
      <c r="E467" s="49">
        <f>INDEX(Periods!$C$5:$C$57,$B467)</f>
        <v/>
      </c>
      <c r="F467" s="47">
        <f>IF(AND($C467&lt;&gt;"",INDEX(Periods!$D$5:$D$57,$B467)=1),1,0)</f>
        <v/>
      </c>
      <c r="G467" s="47">
        <f>IF($F467=0,0,IF(AND(OR(INDEX(Employees!$D$5:$D$29,$A467)="",$E467&gt;=INDEX(Employees!$D$5:$D$29,$A467)+N(INDEX(Employees!$U$5:$U$29,$A467))),OR(INDEX(Employees!$E$5:$E$29,$A467)="",$D467&lt;=INDEX(Employees!$E$5:$E$29,$A467))),1,0))</f>
        <v/>
      </c>
      <c r="H467" s="47">
        <f>IF($G467=0,0,IF(INDEX(Employees!$D$5:$D$29,$A467)="",0,DATEDIF(INDEX(Employees!$D$5:$D$29,$A467),$E467,"y")))</f>
        <v/>
      </c>
      <c r="I467" s="48">
        <f>IF($G467=0,0,IF(INDEX('Hours Worked'!$D$5:$BD$29,$A467,$B467)="",N(INDEX(Employees!$H$5:$H$29,$A467)),INDEX('Hours Worked'!$D$5:$BD$29,$A467,$B467)))</f>
        <v/>
      </c>
      <c r="J467" s="48">
        <f>IF(OR($G467=0,INDEX(Employees!$O$5:$O$29,$A467)&lt;&gt;"Yes"),0,IF(COUNTIF(Settings!$D$4:$D$9,"&lt;="&amp;$H467)=0,0,INDEX(Settings!$E$4:$E$9,COUNTIF(Settings!$D$4:$D$9,"&lt;="&amp;$H467))))</f>
        <v/>
      </c>
      <c r="K467" s="48">
        <f>IF($G467=0,0,IF(INDEX(Employees!$I$5:$I$29,$A467)="Per pay period",(N(INDEX(Employees!$J$5:$J$29,$A467))+$J467)/Settings!$B$13,IF(INDEX(Employees!$I$5:$I$29,$A467)="Per hour worked",N(INDEX(Employees!$K$5:$K$29,$A467))*$I467,IF(INDEX(Employees!$I$5:$I$29,$A467)="Front-loaded",IF(OR($B467=1,N($G466)=0),N(INDEX(Employees!$J$5:$J$29,$A467))+$J467,0),0))))</f>
        <v/>
      </c>
      <c r="L467" s="48">
        <f>IF($F467=0,0,SUMIFS('Time Off Log'!$H$5:$H$504,'Time Off Log'!$A$5:$A$504,$C467,'Time Off Log'!$B$5:$B$504,"PTO",'Time Off Log'!$E$5:$E$504,"Approved",'Time Off Log'!$C$5:$C$504,"&gt;="&amp;INDEX(Periods!$E$5:$E$57,$B467),'Time Off Log'!$C$5:$C$504,"&lt;="&amp;INDEX(Periods!$F$5:$F$57,$B467)))</f>
        <v/>
      </c>
      <c r="M467" s="48">
        <f>IF($B467=1,N(INDEX(Employees!$N$5:$N$29,$A467)),P466)</f>
        <v/>
      </c>
      <c r="N467" s="48">
        <f>IF(INDEX(Employees!$L$5:$L$29,$A467)="",K467,MAX(0,MIN(K467,INDEX(Employees!$L$5:$L$29,$A467)-(M467-L467))))</f>
        <v/>
      </c>
      <c r="O467" s="48">
        <f>K467-N467</f>
        <v/>
      </c>
      <c r="P467" s="48">
        <f>M467-L467+N467</f>
        <v/>
      </c>
      <c r="Q467" s="48">
        <f>IF($G467=0,0,IF(INDEX(Employees!$P$5:$P$29,$A467)="Per pay period",(N(INDEX(Employees!$Q$5:$Q$29,$A467)))/Settings!$B$13,IF(INDEX(Employees!$P$5:$P$29,$A467)="Per hour worked",N(INDEX(Employees!$R$5:$R$29,$A467))*$I467,IF(INDEX(Employees!$P$5:$P$29,$A467)="Front-loaded",IF(OR($B467=1,N($G466)=0),N(INDEX(Employees!$Q$5:$Q$29,$A467)),0),0))))</f>
        <v/>
      </c>
      <c r="R467" s="48">
        <f>IF($F467=0,0,SUMIFS('Time Off Log'!$H$5:$H$504,'Time Off Log'!$A$5:$A$504,$C467,'Time Off Log'!$B$5:$B$504,"Sick",'Time Off Log'!$E$5:$E$504,"Approved",'Time Off Log'!$C$5:$C$504,"&gt;="&amp;INDEX(Periods!$E$5:$E$57,$B467),'Time Off Log'!$C$5:$C$504,"&lt;="&amp;INDEX(Periods!$F$5:$F$57,$B467)))</f>
        <v/>
      </c>
      <c r="S467" s="48">
        <f>IF($B467=1,N(INDEX(Employees!$T$5:$T$29,$A467)),V466)</f>
        <v/>
      </c>
      <c r="T467" s="48">
        <f>IF(INDEX(Employees!$S$5:$S$29,$A467)="",Q467,MAX(0,MIN(Q467,INDEX(Employees!$S$5:$S$29,$A467)-(S467-R467))))</f>
        <v/>
      </c>
      <c r="U467" s="48">
        <f>Q467-T467</f>
        <v/>
      </c>
      <c r="V467" s="48">
        <f>S467-R467+T467</f>
        <v/>
      </c>
    </row>
    <row r="468">
      <c r="A468" s="47" t="n">
        <v>9</v>
      </c>
      <c r="B468" s="47" t="n">
        <v>40</v>
      </c>
      <c r="C468" s="48">
        <f>INDEX(Employees!$B$5:$B$29,$A468)&amp;""</f>
        <v/>
      </c>
      <c r="D468" s="49">
        <f>INDEX(Periods!$B$5:$B$57,$B468)</f>
        <v/>
      </c>
      <c r="E468" s="49">
        <f>INDEX(Periods!$C$5:$C$57,$B468)</f>
        <v/>
      </c>
      <c r="F468" s="47">
        <f>IF(AND($C468&lt;&gt;"",INDEX(Periods!$D$5:$D$57,$B468)=1),1,0)</f>
        <v/>
      </c>
      <c r="G468" s="47">
        <f>IF($F468=0,0,IF(AND(OR(INDEX(Employees!$D$5:$D$29,$A468)="",$E468&gt;=INDEX(Employees!$D$5:$D$29,$A468)+N(INDEX(Employees!$U$5:$U$29,$A468))),OR(INDEX(Employees!$E$5:$E$29,$A468)="",$D468&lt;=INDEX(Employees!$E$5:$E$29,$A468))),1,0))</f>
        <v/>
      </c>
      <c r="H468" s="47">
        <f>IF($G468=0,0,IF(INDEX(Employees!$D$5:$D$29,$A468)="",0,DATEDIF(INDEX(Employees!$D$5:$D$29,$A468),$E468,"y")))</f>
        <v/>
      </c>
      <c r="I468" s="48">
        <f>IF($G468=0,0,IF(INDEX('Hours Worked'!$D$5:$BD$29,$A468,$B468)="",N(INDEX(Employees!$H$5:$H$29,$A468)),INDEX('Hours Worked'!$D$5:$BD$29,$A468,$B468)))</f>
        <v/>
      </c>
      <c r="J468" s="48">
        <f>IF(OR($G468=0,INDEX(Employees!$O$5:$O$29,$A468)&lt;&gt;"Yes"),0,IF(COUNTIF(Settings!$D$4:$D$9,"&lt;="&amp;$H468)=0,0,INDEX(Settings!$E$4:$E$9,COUNTIF(Settings!$D$4:$D$9,"&lt;="&amp;$H468))))</f>
        <v/>
      </c>
      <c r="K468" s="48">
        <f>IF($G468=0,0,IF(INDEX(Employees!$I$5:$I$29,$A468)="Per pay period",(N(INDEX(Employees!$J$5:$J$29,$A468))+$J468)/Settings!$B$13,IF(INDEX(Employees!$I$5:$I$29,$A468)="Per hour worked",N(INDEX(Employees!$K$5:$K$29,$A468))*$I468,IF(INDEX(Employees!$I$5:$I$29,$A468)="Front-loaded",IF(OR($B468=1,N($G467)=0),N(INDEX(Employees!$J$5:$J$29,$A468))+$J468,0),0))))</f>
        <v/>
      </c>
      <c r="L468" s="48">
        <f>IF($F468=0,0,SUMIFS('Time Off Log'!$H$5:$H$504,'Time Off Log'!$A$5:$A$504,$C468,'Time Off Log'!$B$5:$B$504,"PTO",'Time Off Log'!$E$5:$E$504,"Approved",'Time Off Log'!$C$5:$C$504,"&gt;="&amp;INDEX(Periods!$E$5:$E$57,$B468),'Time Off Log'!$C$5:$C$504,"&lt;="&amp;INDEX(Periods!$F$5:$F$57,$B468)))</f>
        <v/>
      </c>
      <c r="M468" s="48">
        <f>IF($B468=1,N(INDEX(Employees!$N$5:$N$29,$A468)),P467)</f>
        <v/>
      </c>
      <c r="N468" s="48">
        <f>IF(INDEX(Employees!$L$5:$L$29,$A468)="",K468,MAX(0,MIN(K468,INDEX(Employees!$L$5:$L$29,$A468)-(M468-L468))))</f>
        <v/>
      </c>
      <c r="O468" s="48">
        <f>K468-N468</f>
        <v/>
      </c>
      <c r="P468" s="48">
        <f>M468-L468+N468</f>
        <v/>
      </c>
      <c r="Q468" s="48">
        <f>IF($G468=0,0,IF(INDEX(Employees!$P$5:$P$29,$A468)="Per pay period",(N(INDEX(Employees!$Q$5:$Q$29,$A468)))/Settings!$B$13,IF(INDEX(Employees!$P$5:$P$29,$A468)="Per hour worked",N(INDEX(Employees!$R$5:$R$29,$A468))*$I468,IF(INDEX(Employees!$P$5:$P$29,$A468)="Front-loaded",IF(OR($B468=1,N($G467)=0),N(INDEX(Employees!$Q$5:$Q$29,$A468)),0),0))))</f>
        <v/>
      </c>
      <c r="R468" s="48">
        <f>IF($F468=0,0,SUMIFS('Time Off Log'!$H$5:$H$504,'Time Off Log'!$A$5:$A$504,$C468,'Time Off Log'!$B$5:$B$504,"Sick",'Time Off Log'!$E$5:$E$504,"Approved",'Time Off Log'!$C$5:$C$504,"&gt;="&amp;INDEX(Periods!$E$5:$E$57,$B468),'Time Off Log'!$C$5:$C$504,"&lt;="&amp;INDEX(Periods!$F$5:$F$57,$B468)))</f>
        <v/>
      </c>
      <c r="S468" s="48">
        <f>IF($B468=1,N(INDEX(Employees!$T$5:$T$29,$A468)),V467)</f>
        <v/>
      </c>
      <c r="T468" s="48">
        <f>IF(INDEX(Employees!$S$5:$S$29,$A468)="",Q468,MAX(0,MIN(Q468,INDEX(Employees!$S$5:$S$29,$A468)-(S468-R468))))</f>
        <v/>
      </c>
      <c r="U468" s="48">
        <f>Q468-T468</f>
        <v/>
      </c>
      <c r="V468" s="48">
        <f>S468-R468+T468</f>
        <v/>
      </c>
    </row>
    <row r="469">
      <c r="A469" s="47" t="n">
        <v>9</v>
      </c>
      <c r="B469" s="47" t="n">
        <v>41</v>
      </c>
      <c r="C469" s="48">
        <f>INDEX(Employees!$B$5:$B$29,$A469)&amp;""</f>
        <v/>
      </c>
      <c r="D469" s="49">
        <f>INDEX(Periods!$B$5:$B$57,$B469)</f>
        <v/>
      </c>
      <c r="E469" s="49">
        <f>INDEX(Periods!$C$5:$C$57,$B469)</f>
        <v/>
      </c>
      <c r="F469" s="47">
        <f>IF(AND($C469&lt;&gt;"",INDEX(Periods!$D$5:$D$57,$B469)=1),1,0)</f>
        <v/>
      </c>
      <c r="G469" s="47">
        <f>IF($F469=0,0,IF(AND(OR(INDEX(Employees!$D$5:$D$29,$A469)="",$E469&gt;=INDEX(Employees!$D$5:$D$29,$A469)+N(INDEX(Employees!$U$5:$U$29,$A469))),OR(INDEX(Employees!$E$5:$E$29,$A469)="",$D469&lt;=INDEX(Employees!$E$5:$E$29,$A469))),1,0))</f>
        <v/>
      </c>
      <c r="H469" s="47">
        <f>IF($G469=0,0,IF(INDEX(Employees!$D$5:$D$29,$A469)="",0,DATEDIF(INDEX(Employees!$D$5:$D$29,$A469),$E469,"y")))</f>
        <v/>
      </c>
      <c r="I469" s="48">
        <f>IF($G469=0,0,IF(INDEX('Hours Worked'!$D$5:$BD$29,$A469,$B469)="",N(INDEX(Employees!$H$5:$H$29,$A469)),INDEX('Hours Worked'!$D$5:$BD$29,$A469,$B469)))</f>
        <v/>
      </c>
      <c r="J469" s="48">
        <f>IF(OR($G469=0,INDEX(Employees!$O$5:$O$29,$A469)&lt;&gt;"Yes"),0,IF(COUNTIF(Settings!$D$4:$D$9,"&lt;="&amp;$H469)=0,0,INDEX(Settings!$E$4:$E$9,COUNTIF(Settings!$D$4:$D$9,"&lt;="&amp;$H469))))</f>
        <v/>
      </c>
      <c r="K469" s="48">
        <f>IF($G469=0,0,IF(INDEX(Employees!$I$5:$I$29,$A469)="Per pay period",(N(INDEX(Employees!$J$5:$J$29,$A469))+$J469)/Settings!$B$13,IF(INDEX(Employees!$I$5:$I$29,$A469)="Per hour worked",N(INDEX(Employees!$K$5:$K$29,$A469))*$I469,IF(INDEX(Employees!$I$5:$I$29,$A469)="Front-loaded",IF(OR($B469=1,N($G468)=0),N(INDEX(Employees!$J$5:$J$29,$A469))+$J469,0),0))))</f>
        <v/>
      </c>
      <c r="L469" s="48">
        <f>IF($F469=0,0,SUMIFS('Time Off Log'!$H$5:$H$504,'Time Off Log'!$A$5:$A$504,$C469,'Time Off Log'!$B$5:$B$504,"PTO",'Time Off Log'!$E$5:$E$504,"Approved",'Time Off Log'!$C$5:$C$504,"&gt;="&amp;INDEX(Periods!$E$5:$E$57,$B469),'Time Off Log'!$C$5:$C$504,"&lt;="&amp;INDEX(Periods!$F$5:$F$57,$B469)))</f>
        <v/>
      </c>
      <c r="M469" s="48">
        <f>IF($B469=1,N(INDEX(Employees!$N$5:$N$29,$A469)),P468)</f>
        <v/>
      </c>
      <c r="N469" s="48">
        <f>IF(INDEX(Employees!$L$5:$L$29,$A469)="",K469,MAX(0,MIN(K469,INDEX(Employees!$L$5:$L$29,$A469)-(M469-L469))))</f>
        <v/>
      </c>
      <c r="O469" s="48">
        <f>K469-N469</f>
        <v/>
      </c>
      <c r="P469" s="48">
        <f>M469-L469+N469</f>
        <v/>
      </c>
      <c r="Q469" s="48">
        <f>IF($G469=0,0,IF(INDEX(Employees!$P$5:$P$29,$A469)="Per pay period",(N(INDEX(Employees!$Q$5:$Q$29,$A469)))/Settings!$B$13,IF(INDEX(Employees!$P$5:$P$29,$A469)="Per hour worked",N(INDEX(Employees!$R$5:$R$29,$A469))*$I469,IF(INDEX(Employees!$P$5:$P$29,$A469)="Front-loaded",IF(OR($B469=1,N($G468)=0),N(INDEX(Employees!$Q$5:$Q$29,$A469)),0),0))))</f>
        <v/>
      </c>
      <c r="R469" s="48">
        <f>IF($F469=0,0,SUMIFS('Time Off Log'!$H$5:$H$504,'Time Off Log'!$A$5:$A$504,$C469,'Time Off Log'!$B$5:$B$504,"Sick",'Time Off Log'!$E$5:$E$504,"Approved",'Time Off Log'!$C$5:$C$504,"&gt;="&amp;INDEX(Periods!$E$5:$E$57,$B469),'Time Off Log'!$C$5:$C$504,"&lt;="&amp;INDEX(Periods!$F$5:$F$57,$B469)))</f>
        <v/>
      </c>
      <c r="S469" s="48">
        <f>IF($B469=1,N(INDEX(Employees!$T$5:$T$29,$A469)),V468)</f>
        <v/>
      </c>
      <c r="T469" s="48">
        <f>IF(INDEX(Employees!$S$5:$S$29,$A469)="",Q469,MAX(0,MIN(Q469,INDEX(Employees!$S$5:$S$29,$A469)-(S469-R469))))</f>
        <v/>
      </c>
      <c r="U469" s="48">
        <f>Q469-T469</f>
        <v/>
      </c>
      <c r="V469" s="48">
        <f>S469-R469+T469</f>
        <v/>
      </c>
    </row>
    <row r="470">
      <c r="A470" s="47" t="n">
        <v>9</v>
      </c>
      <c r="B470" s="47" t="n">
        <v>42</v>
      </c>
      <c r="C470" s="48">
        <f>INDEX(Employees!$B$5:$B$29,$A470)&amp;""</f>
        <v/>
      </c>
      <c r="D470" s="49">
        <f>INDEX(Periods!$B$5:$B$57,$B470)</f>
        <v/>
      </c>
      <c r="E470" s="49">
        <f>INDEX(Periods!$C$5:$C$57,$B470)</f>
        <v/>
      </c>
      <c r="F470" s="47">
        <f>IF(AND($C470&lt;&gt;"",INDEX(Periods!$D$5:$D$57,$B470)=1),1,0)</f>
        <v/>
      </c>
      <c r="G470" s="47">
        <f>IF($F470=0,0,IF(AND(OR(INDEX(Employees!$D$5:$D$29,$A470)="",$E470&gt;=INDEX(Employees!$D$5:$D$29,$A470)+N(INDEX(Employees!$U$5:$U$29,$A470))),OR(INDEX(Employees!$E$5:$E$29,$A470)="",$D470&lt;=INDEX(Employees!$E$5:$E$29,$A470))),1,0))</f>
        <v/>
      </c>
      <c r="H470" s="47">
        <f>IF($G470=0,0,IF(INDEX(Employees!$D$5:$D$29,$A470)="",0,DATEDIF(INDEX(Employees!$D$5:$D$29,$A470),$E470,"y")))</f>
        <v/>
      </c>
      <c r="I470" s="48">
        <f>IF($G470=0,0,IF(INDEX('Hours Worked'!$D$5:$BD$29,$A470,$B470)="",N(INDEX(Employees!$H$5:$H$29,$A470)),INDEX('Hours Worked'!$D$5:$BD$29,$A470,$B470)))</f>
        <v/>
      </c>
      <c r="J470" s="48">
        <f>IF(OR($G470=0,INDEX(Employees!$O$5:$O$29,$A470)&lt;&gt;"Yes"),0,IF(COUNTIF(Settings!$D$4:$D$9,"&lt;="&amp;$H470)=0,0,INDEX(Settings!$E$4:$E$9,COUNTIF(Settings!$D$4:$D$9,"&lt;="&amp;$H470))))</f>
        <v/>
      </c>
      <c r="K470" s="48">
        <f>IF($G470=0,0,IF(INDEX(Employees!$I$5:$I$29,$A470)="Per pay period",(N(INDEX(Employees!$J$5:$J$29,$A470))+$J470)/Settings!$B$13,IF(INDEX(Employees!$I$5:$I$29,$A470)="Per hour worked",N(INDEX(Employees!$K$5:$K$29,$A470))*$I470,IF(INDEX(Employees!$I$5:$I$29,$A470)="Front-loaded",IF(OR($B470=1,N($G469)=0),N(INDEX(Employees!$J$5:$J$29,$A470))+$J470,0),0))))</f>
        <v/>
      </c>
      <c r="L470" s="48">
        <f>IF($F470=0,0,SUMIFS('Time Off Log'!$H$5:$H$504,'Time Off Log'!$A$5:$A$504,$C470,'Time Off Log'!$B$5:$B$504,"PTO",'Time Off Log'!$E$5:$E$504,"Approved",'Time Off Log'!$C$5:$C$504,"&gt;="&amp;INDEX(Periods!$E$5:$E$57,$B470),'Time Off Log'!$C$5:$C$504,"&lt;="&amp;INDEX(Periods!$F$5:$F$57,$B470)))</f>
        <v/>
      </c>
      <c r="M470" s="48">
        <f>IF($B470=1,N(INDEX(Employees!$N$5:$N$29,$A470)),P469)</f>
        <v/>
      </c>
      <c r="N470" s="48">
        <f>IF(INDEX(Employees!$L$5:$L$29,$A470)="",K470,MAX(0,MIN(K470,INDEX(Employees!$L$5:$L$29,$A470)-(M470-L470))))</f>
        <v/>
      </c>
      <c r="O470" s="48">
        <f>K470-N470</f>
        <v/>
      </c>
      <c r="P470" s="48">
        <f>M470-L470+N470</f>
        <v/>
      </c>
      <c r="Q470" s="48">
        <f>IF($G470=0,0,IF(INDEX(Employees!$P$5:$P$29,$A470)="Per pay period",(N(INDEX(Employees!$Q$5:$Q$29,$A470)))/Settings!$B$13,IF(INDEX(Employees!$P$5:$P$29,$A470)="Per hour worked",N(INDEX(Employees!$R$5:$R$29,$A470))*$I470,IF(INDEX(Employees!$P$5:$P$29,$A470)="Front-loaded",IF(OR($B470=1,N($G469)=0),N(INDEX(Employees!$Q$5:$Q$29,$A470)),0),0))))</f>
        <v/>
      </c>
      <c r="R470" s="48">
        <f>IF($F470=0,0,SUMIFS('Time Off Log'!$H$5:$H$504,'Time Off Log'!$A$5:$A$504,$C470,'Time Off Log'!$B$5:$B$504,"Sick",'Time Off Log'!$E$5:$E$504,"Approved",'Time Off Log'!$C$5:$C$504,"&gt;="&amp;INDEX(Periods!$E$5:$E$57,$B470),'Time Off Log'!$C$5:$C$504,"&lt;="&amp;INDEX(Periods!$F$5:$F$57,$B470)))</f>
        <v/>
      </c>
      <c r="S470" s="48">
        <f>IF($B470=1,N(INDEX(Employees!$T$5:$T$29,$A470)),V469)</f>
        <v/>
      </c>
      <c r="T470" s="48">
        <f>IF(INDEX(Employees!$S$5:$S$29,$A470)="",Q470,MAX(0,MIN(Q470,INDEX(Employees!$S$5:$S$29,$A470)-(S470-R470))))</f>
        <v/>
      </c>
      <c r="U470" s="48">
        <f>Q470-T470</f>
        <v/>
      </c>
      <c r="V470" s="48">
        <f>S470-R470+T470</f>
        <v/>
      </c>
    </row>
    <row r="471">
      <c r="A471" s="47" t="n">
        <v>9</v>
      </c>
      <c r="B471" s="47" t="n">
        <v>43</v>
      </c>
      <c r="C471" s="48">
        <f>INDEX(Employees!$B$5:$B$29,$A471)&amp;""</f>
        <v/>
      </c>
      <c r="D471" s="49">
        <f>INDEX(Periods!$B$5:$B$57,$B471)</f>
        <v/>
      </c>
      <c r="E471" s="49">
        <f>INDEX(Periods!$C$5:$C$57,$B471)</f>
        <v/>
      </c>
      <c r="F471" s="47">
        <f>IF(AND($C471&lt;&gt;"",INDEX(Periods!$D$5:$D$57,$B471)=1),1,0)</f>
        <v/>
      </c>
      <c r="G471" s="47">
        <f>IF($F471=0,0,IF(AND(OR(INDEX(Employees!$D$5:$D$29,$A471)="",$E471&gt;=INDEX(Employees!$D$5:$D$29,$A471)+N(INDEX(Employees!$U$5:$U$29,$A471))),OR(INDEX(Employees!$E$5:$E$29,$A471)="",$D471&lt;=INDEX(Employees!$E$5:$E$29,$A471))),1,0))</f>
        <v/>
      </c>
      <c r="H471" s="47">
        <f>IF($G471=0,0,IF(INDEX(Employees!$D$5:$D$29,$A471)="",0,DATEDIF(INDEX(Employees!$D$5:$D$29,$A471),$E471,"y")))</f>
        <v/>
      </c>
      <c r="I471" s="48">
        <f>IF($G471=0,0,IF(INDEX('Hours Worked'!$D$5:$BD$29,$A471,$B471)="",N(INDEX(Employees!$H$5:$H$29,$A471)),INDEX('Hours Worked'!$D$5:$BD$29,$A471,$B471)))</f>
        <v/>
      </c>
      <c r="J471" s="48">
        <f>IF(OR($G471=0,INDEX(Employees!$O$5:$O$29,$A471)&lt;&gt;"Yes"),0,IF(COUNTIF(Settings!$D$4:$D$9,"&lt;="&amp;$H471)=0,0,INDEX(Settings!$E$4:$E$9,COUNTIF(Settings!$D$4:$D$9,"&lt;="&amp;$H471))))</f>
        <v/>
      </c>
      <c r="K471" s="48">
        <f>IF($G471=0,0,IF(INDEX(Employees!$I$5:$I$29,$A471)="Per pay period",(N(INDEX(Employees!$J$5:$J$29,$A471))+$J471)/Settings!$B$13,IF(INDEX(Employees!$I$5:$I$29,$A471)="Per hour worked",N(INDEX(Employees!$K$5:$K$29,$A471))*$I471,IF(INDEX(Employees!$I$5:$I$29,$A471)="Front-loaded",IF(OR($B471=1,N($G470)=0),N(INDEX(Employees!$J$5:$J$29,$A471))+$J471,0),0))))</f>
        <v/>
      </c>
      <c r="L471" s="48">
        <f>IF($F471=0,0,SUMIFS('Time Off Log'!$H$5:$H$504,'Time Off Log'!$A$5:$A$504,$C471,'Time Off Log'!$B$5:$B$504,"PTO",'Time Off Log'!$E$5:$E$504,"Approved",'Time Off Log'!$C$5:$C$504,"&gt;="&amp;INDEX(Periods!$E$5:$E$57,$B471),'Time Off Log'!$C$5:$C$504,"&lt;="&amp;INDEX(Periods!$F$5:$F$57,$B471)))</f>
        <v/>
      </c>
      <c r="M471" s="48">
        <f>IF($B471=1,N(INDEX(Employees!$N$5:$N$29,$A471)),P470)</f>
        <v/>
      </c>
      <c r="N471" s="48">
        <f>IF(INDEX(Employees!$L$5:$L$29,$A471)="",K471,MAX(0,MIN(K471,INDEX(Employees!$L$5:$L$29,$A471)-(M471-L471))))</f>
        <v/>
      </c>
      <c r="O471" s="48">
        <f>K471-N471</f>
        <v/>
      </c>
      <c r="P471" s="48">
        <f>M471-L471+N471</f>
        <v/>
      </c>
      <c r="Q471" s="48">
        <f>IF($G471=0,0,IF(INDEX(Employees!$P$5:$P$29,$A471)="Per pay period",(N(INDEX(Employees!$Q$5:$Q$29,$A471)))/Settings!$B$13,IF(INDEX(Employees!$P$5:$P$29,$A471)="Per hour worked",N(INDEX(Employees!$R$5:$R$29,$A471))*$I471,IF(INDEX(Employees!$P$5:$P$29,$A471)="Front-loaded",IF(OR($B471=1,N($G470)=0),N(INDEX(Employees!$Q$5:$Q$29,$A471)),0),0))))</f>
        <v/>
      </c>
      <c r="R471" s="48">
        <f>IF($F471=0,0,SUMIFS('Time Off Log'!$H$5:$H$504,'Time Off Log'!$A$5:$A$504,$C471,'Time Off Log'!$B$5:$B$504,"Sick",'Time Off Log'!$E$5:$E$504,"Approved",'Time Off Log'!$C$5:$C$504,"&gt;="&amp;INDEX(Periods!$E$5:$E$57,$B471),'Time Off Log'!$C$5:$C$504,"&lt;="&amp;INDEX(Periods!$F$5:$F$57,$B471)))</f>
        <v/>
      </c>
      <c r="S471" s="48">
        <f>IF($B471=1,N(INDEX(Employees!$T$5:$T$29,$A471)),V470)</f>
        <v/>
      </c>
      <c r="T471" s="48">
        <f>IF(INDEX(Employees!$S$5:$S$29,$A471)="",Q471,MAX(0,MIN(Q471,INDEX(Employees!$S$5:$S$29,$A471)-(S471-R471))))</f>
        <v/>
      </c>
      <c r="U471" s="48">
        <f>Q471-T471</f>
        <v/>
      </c>
      <c r="V471" s="48">
        <f>S471-R471+T471</f>
        <v/>
      </c>
    </row>
    <row r="472">
      <c r="A472" s="47" t="n">
        <v>9</v>
      </c>
      <c r="B472" s="47" t="n">
        <v>44</v>
      </c>
      <c r="C472" s="48">
        <f>INDEX(Employees!$B$5:$B$29,$A472)&amp;""</f>
        <v/>
      </c>
      <c r="D472" s="49">
        <f>INDEX(Periods!$B$5:$B$57,$B472)</f>
        <v/>
      </c>
      <c r="E472" s="49">
        <f>INDEX(Periods!$C$5:$C$57,$B472)</f>
        <v/>
      </c>
      <c r="F472" s="47">
        <f>IF(AND($C472&lt;&gt;"",INDEX(Periods!$D$5:$D$57,$B472)=1),1,0)</f>
        <v/>
      </c>
      <c r="G472" s="47">
        <f>IF($F472=0,0,IF(AND(OR(INDEX(Employees!$D$5:$D$29,$A472)="",$E472&gt;=INDEX(Employees!$D$5:$D$29,$A472)+N(INDEX(Employees!$U$5:$U$29,$A472))),OR(INDEX(Employees!$E$5:$E$29,$A472)="",$D472&lt;=INDEX(Employees!$E$5:$E$29,$A472))),1,0))</f>
        <v/>
      </c>
      <c r="H472" s="47">
        <f>IF($G472=0,0,IF(INDEX(Employees!$D$5:$D$29,$A472)="",0,DATEDIF(INDEX(Employees!$D$5:$D$29,$A472),$E472,"y")))</f>
        <v/>
      </c>
      <c r="I472" s="48">
        <f>IF($G472=0,0,IF(INDEX('Hours Worked'!$D$5:$BD$29,$A472,$B472)="",N(INDEX(Employees!$H$5:$H$29,$A472)),INDEX('Hours Worked'!$D$5:$BD$29,$A472,$B472)))</f>
        <v/>
      </c>
      <c r="J472" s="48">
        <f>IF(OR($G472=0,INDEX(Employees!$O$5:$O$29,$A472)&lt;&gt;"Yes"),0,IF(COUNTIF(Settings!$D$4:$D$9,"&lt;="&amp;$H472)=0,0,INDEX(Settings!$E$4:$E$9,COUNTIF(Settings!$D$4:$D$9,"&lt;="&amp;$H472))))</f>
        <v/>
      </c>
      <c r="K472" s="48">
        <f>IF($G472=0,0,IF(INDEX(Employees!$I$5:$I$29,$A472)="Per pay period",(N(INDEX(Employees!$J$5:$J$29,$A472))+$J472)/Settings!$B$13,IF(INDEX(Employees!$I$5:$I$29,$A472)="Per hour worked",N(INDEX(Employees!$K$5:$K$29,$A472))*$I472,IF(INDEX(Employees!$I$5:$I$29,$A472)="Front-loaded",IF(OR($B472=1,N($G471)=0),N(INDEX(Employees!$J$5:$J$29,$A472))+$J472,0),0))))</f>
        <v/>
      </c>
      <c r="L472" s="48">
        <f>IF($F472=0,0,SUMIFS('Time Off Log'!$H$5:$H$504,'Time Off Log'!$A$5:$A$504,$C472,'Time Off Log'!$B$5:$B$504,"PTO",'Time Off Log'!$E$5:$E$504,"Approved",'Time Off Log'!$C$5:$C$504,"&gt;="&amp;INDEX(Periods!$E$5:$E$57,$B472),'Time Off Log'!$C$5:$C$504,"&lt;="&amp;INDEX(Periods!$F$5:$F$57,$B472)))</f>
        <v/>
      </c>
      <c r="M472" s="48">
        <f>IF($B472=1,N(INDEX(Employees!$N$5:$N$29,$A472)),P471)</f>
        <v/>
      </c>
      <c r="N472" s="48">
        <f>IF(INDEX(Employees!$L$5:$L$29,$A472)="",K472,MAX(0,MIN(K472,INDEX(Employees!$L$5:$L$29,$A472)-(M472-L472))))</f>
        <v/>
      </c>
      <c r="O472" s="48">
        <f>K472-N472</f>
        <v/>
      </c>
      <c r="P472" s="48">
        <f>M472-L472+N472</f>
        <v/>
      </c>
      <c r="Q472" s="48">
        <f>IF($G472=0,0,IF(INDEX(Employees!$P$5:$P$29,$A472)="Per pay period",(N(INDEX(Employees!$Q$5:$Q$29,$A472)))/Settings!$B$13,IF(INDEX(Employees!$P$5:$P$29,$A472)="Per hour worked",N(INDEX(Employees!$R$5:$R$29,$A472))*$I472,IF(INDEX(Employees!$P$5:$P$29,$A472)="Front-loaded",IF(OR($B472=1,N($G471)=0),N(INDEX(Employees!$Q$5:$Q$29,$A472)),0),0))))</f>
        <v/>
      </c>
      <c r="R472" s="48">
        <f>IF($F472=0,0,SUMIFS('Time Off Log'!$H$5:$H$504,'Time Off Log'!$A$5:$A$504,$C472,'Time Off Log'!$B$5:$B$504,"Sick",'Time Off Log'!$E$5:$E$504,"Approved",'Time Off Log'!$C$5:$C$504,"&gt;="&amp;INDEX(Periods!$E$5:$E$57,$B472),'Time Off Log'!$C$5:$C$504,"&lt;="&amp;INDEX(Periods!$F$5:$F$57,$B472)))</f>
        <v/>
      </c>
      <c r="S472" s="48">
        <f>IF($B472=1,N(INDEX(Employees!$T$5:$T$29,$A472)),V471)</f>
        <v/>
      </c>
      <c r="T472" s="48">
        <f>IF(INDEX(Employees!$S$5:$S$29,$A472)="",Q472,MAX(0,MIN(Q472,INDEX(Employees!$S$5:$S$29,$A472)-(S472-R472))))</f>
        <v/>
      </c>
      <c r="U472" s="48">
        <f>Q472-T472</f>
        <v/>
      </c>
      <c r="V472" s="48">
        <f>S472-R472+T472</f>
        <v/>
      </c>
    </row>
    <row r="473">
      <c r="A473" s="47" t="n">
        <v>9</v>
      </c>
      <c r="B473" s="47" t="n">
        <v>45</v>
      </c>
      <c r="C473" s="48">
        <f>INDEX(Employees!$B$5:$B$29,$A473)&amp;""</f>
        <v/>
      </c>
      <c r="D473" s="49">
        <f>INDEX(Periods!$B$5:$B$57,$B473)</f>
        <v/>
      </c>
      <c r="E473" s="49">
        <f>INDEX(Periods!$C$5:$C$57,$B473)</f>
        <v/>
      </c>
      <c r="F473" s="47">
        <f>IF(AND($C473&lt;&gt;"",INDEX(Periods!$D$5:$D$57,$B473)=1),1,0)</f>
        <v/>
      </c>
      <c r="G473" s="47">
        <f>IF($F473=0,0,IF(AND(OR(INDEX(Employees!$D$5:$D$29,$A473)="",$E473&gt;=INDEX(Employees!$D$5:$D$29,$A473)+N(INDEX(Employees!$U$5:$U$29,$A473))),OR(INDEX(Employees!$E$5:$E$29,$A473)="",$D473&lt;=INDEX(Employees!$E$5:$E$29,$A473))),1,0))</f>
        <v/>
      </c>
      <c r="H473" s="47">
        <f>IF($G473=0,0,IF(INDEX(Employees!$D$5:$D$29,$A473)="",0,DATEDIF(INDEX(Employees!$D$5:$D$29,$A473),$E473,"y")))</f>
        <v/>
      </c>
      <c r="I473" s="48">
        <f>IF($G473=0,0,IF(INDEX('Hours Worked'!$D$5:$BD$29,$A473,$B473)="",N(INDEX(Employees!$H$5:$H$29,$A473)),INDEX('Hours Worked'!$D$5:$BD$29,$A473,$B473)))</f>
        <v/>
      </c>
      <c r="J473" s="48">
        <f>IF(OR($G473=0,INDEX(Employees!$O$5:$O$29,$A473)&lt;&gt;"Yes"),0,IF(COUNTIF(Settings!$D$4:$D$9,"&lt;="&amp;$H473)=0,0,INDEX(Settings!$E$4:$E$9,COUNTIF(Settings!$D$4:$D$9,"&lt;="&amp;$H473))))</f>
        <v/>
      </c>
      <c r="K473" s="48">
        <f>IF($G473=0,0,IF(INDEX(Employees!$I$5:$I$29,$A473)="Per pay period",(N(INDEX(Employees!$J$5:$J$29,$A473))+$J473)/Settings!$B$13,IF(INDEX(Employees!$I$5:$I$29,$A473)="Per hour worked",N(INDEX(Employees!$K$5:$K$29,$A473))*$I473,IF(INDEX(Employees!$I$5:$I$29,$A473)="Front-loaded",IF(OR($B473=1,N($G472)=0),N(INDEX(Employees!$J$5:$J$29,$A473))+$J473,0),0))))</f>
        <v/>
      </c>
      <c r="L473" s="48">
        <f>IF($F473=0,0,SUMIFS('Time Off Log'!$H$5:$H$504,'Time Off Log'!$A$5:$A$504,$C473,'Time Off Log'!$B$5:$B$504,"PTO",'Time Off Log'!$E$5:$E$504,"Approved",'Time Off Log'!$C$5:$C$504,"&gt;="&amp;INDEX(Periods!$E$5:$E$57,$B473),'Time Off Log'!$C$5:$C$504,"&lt;="&amp;INDEX(Periods!$F$5:$F$57,$B473)))</f>
        <v/>
      </c>
      <c r="M473" s="48">
        <f>IF($B473=1,N(INDEX(Employees!$N$5:$N$29,$A473)),P472)</f>
        <v/>
      </c>
      <c r="N473" s="48">
        <f>IF(INDEX(Employees!$L$5:$L$29,$A473)="",K473,MAX(0,MIN(K473,INDEX(Employees!$L$5:$L$29,$A473)-(M473-L473))))</f>
        <v/>
      </c>
      <c r="O473" s="48">
        <f>K473-N473</f>
        <v/>
      </c>
      <c r="P473" s="48">
        <f>M473-L473+N473</f>
        <v/>
      </c>
      <c r="Q473" s="48">
        <f>IF($G473=0,0,IF(INDEX(Employees!$P$5:$P$29,$A473)="Per pay period",(N(INDEX(Employees!$Q$5:$Q$29,$A473)))/Settings!$B$13,IF(INDEX(Employees!$P$5:$P$29,$A473)="Per hour worked",N(INDEX(Employees!$R$5:$R$29,$A473))*$I473,IF(INDEX(Employees!$P$5:$P$29,$A473)="Front-loaded",IF(OR($B473=1,N($G472)=0),N(INDEX(Employees!$Q$5:$Q$29,$A473)),0),0))))</f>
        <v/>
      </c>
      <c r="R473" s="48">
        <f>IF($F473=0,0,SUMIFS('Time Off Log'!$H$5:$H$504,'Time Off Log'!$A$5:$A$504,$C473,'Time Off Log'!$B$5:$B$504,"Sick",'Time Off Log'!$E$5:$E$504,"Approved",'Time Off Log'!$C$5:$C$504,"&gt;="&amp;INDEX(Periods!$E$5:$E$57,$B473),'Time Off Log'!$C$5:$C$504,"&lt;="&amp;INDEX(Periods!$F$5:$F$57,$B473)))</f>
        <v/>
      </c>
      <c r="S473" s="48">
        <f>IF($B473=1,N(INDEX(Employees!$T$5:$T$29,$A473)),V472)</f>
        <v/>
      </c>
      <c r="T473" s="48">
        <f>IF(INDEX(Employees!$S$5:$S$29,$A473)="",Q473,MAX(0,MIN(Q473,INDEX(Employees!$S$5:$S$29,$A473)-(S473-R473))))</f>
        <v/>
      </c>
      <c r="U473" s="48">
        <f>Q473-T473</f>
        <v/>
      </c>
      <c r="V473" s="48">
        <f>S473-R473+T473</f>
        <v/>
      </c>
    </row>
    <row r="474">
      <c r="A474" s="47" t="n">
        <v>9</v>
      </c>
      <c r="B474" s="47" t="n">
        <v>46</v>
      </c>
      <c r="C474" s="48">
        <f>INDEX(Employees!$B$5:$B$29,$A474)&amp;""</f>
        <v/>
      </c>
      <c r="D474" s="49">
        <f>INDEX(Periods!$B$5:$B$57,$B474)</f>
        <v/>
      </c>
      <c r="E474" s="49">
        <f>INDEX(Periods!$C$5:$C$57,$B474)</f>
        <v/>
      </c>
      <c r="F474" s="47">
        <f>IF(AND($C474&lt;&gt;"",INDEX(Periods!$D$5:$D$57,$B474)=1),1,0)</f>
        <v/>
      </c>
      <c r="G474" s="47">
        <f>IF($F474=0,0,IF(AND(OR(INDEX(Employees!$D$5:$D$29,$A474)="",$E474&gt;=INDEX(Employees!$D$5:$D$29,$A474)+N(INDEX(Employees!$U$5:$U$29,$A474))),OR(INDEX(Employees!$E$5:$E$29,$A474)="",$D474&lt;=INDEX(Employees!$E$5:$E$29,$A474))),1,0))</f>
        <v/>
      </c>
      <c r="H474" s="47">
        <f>IF($G474=0,0,IF(INDEX(Employees!$D$5:$D$29,$A474)="",0,DATEDIF(INDEX(Employees!$D$5:$D$29,$A474),$E474,"y")))</f>
        <v/>
      </c>
      <c r="I474" s="48">
        <f>IF($G474=0,0,IF(INDEX('Hours Worked'!$D$5:$BD$29,$A474,$B474)="",N(INDEX(Employees!$H$5:$H$29,$A474)),INDEX('Hours Worked'!$D$5:$BD$29,$A474,$B474)))</f>
        <v/>
      </c>
      <c r="J474" s="48">
        <f>IF(OR($G474=0,INDEX(Employees!$O$5:$O$29,$A474)&lt;&gt;"Yes"),0,IF(COUNTIF(Settings!$D$4:$D$9,"&lt;="&amp;$H474)=0,0,INDEX(Settings!$E$4:$E$9,COUNTIF(Settings!$D$4:$D$9,"&lt;="&amp;$H474))))</f>
        <v/>
      </c>
      <c r="K474" s="48">
        <f>IF($G474=0,0,IF(INDEX(Employees!$I$5:$I$29,$A474)="Per pay period",(N(INDEX(Employees!$J$5:$J$29,$A474))+$J474)/Settings!$B$13,IF(INDEX(Employees!$I$5:$I$29,$A474)="Per hour worked",N(INDEX(Employees!$K$5:$K$29,$A474))*$I474,IF(INDEX(Employees!$I$5:$I$29,$A474)="Front-loaded",IF(OR($B474=1,N($G473)=0),N(INDEX(Employees!$J$5:$J$29,$A474))+$J474,0),0))))</f>
        <v/>
      </c>
      <c r="L474" s="48">
        <f>IF($F474=0,0,SUMIFS('Time Off Log'!$H$5:$H$504,'Time Off Log'!$A$5:$A$504,$C474,'Time Off Log'!$B$5:$B$504,"PTO",'Time Off Log'!$E$5:$E$504,"Approved",'Time Off Log'!$C$5:$C$504,"&gt;="&amp;INDEX(Periods!$E$5:$E$57,$B474),'Time Off Log'!$C$5:$C$504,"&lt;="&amp;INDEX(Periods!$F$5:$F$57,$B474)))</f>
        <v/>
      </c>
      <c r="M474" s="48">
        <f>IF($B474=1,N(INDEX(Employees!$N$5:$N$29,$A474)),P473)</f>
        <v/>
      </c>
      <c r="N474" s="48">
        <f>IF(INDEX(Employees!$L$5:$L$29,$A474)="",K474,MAX(0,MIN(K474,INDEX(Employees!$L$5:$L$29,$A474)-(M474-L474))))</f>
        <v/>
      </c>
      <c r="O474" s="48">
        <f>K474-N474</f>
        <v/>
      </c>
      <c r="P474" s="48">
        <f>M474-L474+N474</f>
        <v/>
      </c>
      <c r="Q474" s="48">
        <f>IF($G474=0,0,IF(INDEX(Employees!$P$5:$P$29,$A474)="Per pay period",(N(INDEX(Employees!$Q$5:$Q$29,$A474)))/Settings!$B$13,IF(INDEX(Employees!$P$5:$P$29,$A474)="Per hour worked",N(INDEX(Employees!$R$5:$R$29,$A474))*$I474,IF(INDEX(Employees!$P$5:$P$29,$A474)="Front-loaded",IF(OR($B474=1,N($G473)=0),N(INDEX(Employees!$Q$5:$Q$29,$A474)),0),0))))</f>
        <v/>
      </c>
      <c r="R474" s="48">
        <f>IF($F474=0,0,SUMIFS('Time Off Log'!$H$5:$H$504,'Time Off Log'!$A$5:$A$504,$C474,'Time Off Log'!$B$5:$B$504,"Sick",'Time Off Log'!$E$5:$E$504,"Approved",'Time Off Log'!$C$5:$C$504,"&gt;="&amp;INDEX(Periods!$E$5:$E$57,$B474),'Time Off Log'!$C$5:$C$504,"&lt;="&amp;INDEX(Periods!$F$5:$F$57,$B474)))</f>
        <v/>
      </c>
      <c r="S474" s="48">
        <f>IF($B474=1,N(INDEX(Employees!$T$5:$T$29,$A474)),V473)</f>
        <v/>
      </c>
      <c r="T474" s="48">
        <f>IF(INDEX(Employees!$S$5:$S$29,$A474)="",Q474,MAX(0,MIN(Q474,INDEX(Employees!$S$5:$S$29,$A474)-(S474-R474))))</f>
        <v/>
      </c>
      <c r="U474" s="48">
        <f>Q474-T474</f>
        <v/>
      </c>
      <c r="V474" s="48">
        <f>S474-R474+T474</f>
        <v/>
      </c>
    </row>
    <row r="475">
      <c r="A475" s="47" t="n">
        <v>9</v>
      </c>
      <c r="B475" s="47" t="n">
        <v>47</v>
      </c>
      <c r="C475" s="48">
        <f>INDEX(Employees!$B$5:$B$29,$A475)&amp;""</f>
        <v/>
      </c>
      <c r="D475" s="49">
        <f>INDEX(Periods!$B$5:$B$57,$B475)</f>
        <v/>
      </c>
      <c r="E475" s="49">
        <f>INDEX(Periods!$C$5:$C$57,$B475)</f>
        <v/>
      </c>
      <c r="F475" s="47">
        <f>IF(AND($C475&lt;&gt;"",INDEX(Periods!$D$5:$D$57,$B475)=1),1,0)</f>
        <v/>
      </c>
      <c r="G475" s="47">
        <f>IF($F475=0,0,IF(AND(OR(INDEX(Employees!$D$5:$D$29,$A475)="",$E475&gt;=INDEX(Employees!$D$5:$D$29,$A475)+N(INDEX(Employees!$U$5:$U$29,$A475))),OR(INDEX(Employees!$E$5:$E$29,$A475)="",$D475&lt;=INDEX(Employees!$E$5:$E$29,$A475))),1,0))</f>
        <v/>
      </c>
      <c r="H475" s="47">
        <f>IF($G475=0,0,IF(INDEX(Employees!$D$5:$D$29,$A475)="",0,DATEDIF(INDEX(Employees!$D$5:$D$29,$A475),$E475,"y")))</f>
        <v/>
      </c>
      <c r="I475" s="48">
        <f>IF($G475=0,0,IF(INDEX('Hours Worked'!$D$5:$BD$29,$A475,$B475)="",N(INDEX(Employees!$H$5:$H$29,$A475)),INDEX('Hours Worked'!$D$5:$BD$29,$A475,$B475)))</f>
        <v/>
      </c>
      <c r="J475" s="48">
        <f>IF(OR($G475=0,INDEX(Employees!$O$5:$O$29,$A475)&lt;&gt;"Yes"),0,IF(COUNTIF(Settings!$D$4:$D$9,"&lt;="&amp;$H475)=0,0,INDEX(Settings!$E$4:$E$9,COUNTIF(Settings!$D$4:$D$9,"&lt;="&amp;$H475))))</f>
        <v/>
      </c>
      <c r="K475" s="48">
        <f>IF($G475=0,0,IF(INDEX(Employees!$I$5:$I$29,$A475)="Per pay period",(N(INDEX(Employees!$J$5:$J$29,$A475))+$J475)/Settings!$B$13,IF(INDEX(Employees!$I$5:$I$29,$A475)="Per hour worked",N(INDEX(Employees!$K$5:$K$29,$A475))*$I475,IF(INDEX(Employees!$I$5:$I$29,$A475)="Front-loaded",IF(OR($B475=1,N($G474)=0),N(INDEX(Employees!$J$5:$J$29,$A475))+$J475,0),0))))</f>
        <v/>
      </c>
      <c r="L475" s="48">
        <f>IF($F475=0,0,SUMIFS('Time Off Log'!$H$5:$H$504,'Time Off Log'!$A$5:$A$504,$C475,'Time Off Log'!$B$5:$B$504,"PTO",'Time Off Log'!$E$5:$E$504,"Approved",'Time Off Log'!$C$5:$C$504,"&gt;="&amp;INDEX(Periods!$E$5:$E$57,$B475),'Time Off Log'!$C$5:$C$504,"&lt;="&amp;INDEX(Periods!$F$5:$F$57,$B475)))</f>
        <v/>
      </c>
      <c r="M475" s="48">
        <f>IF($B475=1,N(INDEX(Employees!$N$5:$N$29,$A475)),P474)</f>
        <v/>
      </c>
      <c r="N475" s="48">
        <f>IF(INDEX(Employees!$L$5:$L$29,$A475)="",K475,MAX(0,MIN(K475,INDEX(Employees!$L$5:$L$29,$A475)-(M475-L475))))</f>
        <v/>
      </c>
      <c r="O475" s="48">
        <f>K475-N475</f>
        <v/>
      </c>
      <c r="P475" s="48">
        <f>M475-L475+N475</f>
        <v/>
      </c>
      <c r="Q475" s="48">
        <f>IF($G475=0,0,IF(INDEX(Employees!$P$5:$P$29,$A475)="Per pay period",(N(INDEX(Employees!$Q$5:$Q$29,$A475)))/Settings!$B$13,IF(INDEX(Employees!$P$5:$P$29,$A475)="Per hour worked",N(INDEX(Employees!$R$5:$R$29,$A475))*$I475,IF(INDEX(Employees!$P$5:$P$29,$A475)="Front-loaded",IF(OR($B475=1,N($G474)=0),N(INDEX(Employees!$Q$5:$Q$29,$A475)),0),0))))</f>
        <v/>
      </c>
      <c r="R475" s="48">
        <f>IF($F475=0,0,SUMIFS('Time Off Log'!$H$5:$H$504,'Time Off Log'!$A$5:$A$504,$C475,'Time Off Log'!$B$5:$B$504,"Sick",'Time Off Log'!$E$5:$E$504,"Approved",'Time Off Log'!$C$5:$C$504,"&gt;="&amp;INDEX(Periods!$E$5:$E$57,$B475),'Time Off Log'!$C$5:$C$504,"&lt;="&amp;INDEX(Periods!$F$5:$F$57,$B475)))</f>
        <v/>
      </c>
      <c r="S475" s="48">
        <f>IF($B475=1,N(INDEX(Employees!$T$5:$T$29,$A475)),V474)</f>
        <v/>
      </c>
      <c r="T475" s="48">
        <f>IF(INDEX(Employees!$S$5:$S$29,$A475)="",Q475,MAX(0,MIN(Q475,INDEX(Employees!$S$5:$S$29,$A475)-(S475-R475))))</f>
        <v/>
      </c>
      <c r="U475" s="48">
        <f>Q475-T475</f>
        <v/>
      </c>
      <c r="V475" s="48">
        <f>S475-R475+T475</f>
        <v/>
      </c>
    </row>
    <row r="476">
      <c r="A476" s="47" t="n">
        <v>9</v>
      </c>
      <c r="B476" s="47" t="n">
        <v>48</v>
      </c>
      <c r="C476" s="48">
        <f>INDEX(Employees!$B$5:$B$29,$A476)&amp;""</f>
        <v/>
      </c>
      <c r="D476" s="49">
        <f>INDEX(Periods!$B$5:$B$57,$B476)</f>
        <v/>
      </c>
      <c r="E476" s="49">
        <f>INDEX(Periods!$C$5:$C$57,$B476)</f>
        <v/>
      </c>
      <c r="F476" s="47">
        <f>IF(AND($C476&lt;&gt;"",INDEX(Periods!$D$5:$D$57,$B476)=1),1,0)</f>
        <v/>
      </c>
      <c r="G476" s="47">
        <f>IF($F476=0,0,IF(AND(OR(INDEX(Employees!$D$5:$D$29,$A476)="",$E476&gt;=INDEX(Employees!$D$5:$D$29,$A476)+N(INDEX(Employees!$U$5:$U$29,$A476))),OR(INDEX(Employees!$E$5:$E$29,$A476)="",$D476&lt;=INDEX(Employees!$E$5:$E$29,$A476))),1,0))</f>
        <v/>
      </c>
      <c r="H476" s="47">
        <f>IF($G476=0,0,IF(INDEX(Employees!$D$5:$D$29,$A476)="",0,DATEDIF(INDEX(Employees!$D$5:$D$29,$A476),$E476,"y")))</f>
        <v/>
      </c>
      <c r="I476" s="48">
        <f>IF($G476=0,0,IF(INDEX('Hours Worked'!$D$5:$BD$29,$A476,$B476)="",N(INDEX(Employees!$H$5:$H$29,$A476)),INDEX('Hours Worked'!$D$5:$BD$29,$A476,$B476)))</f>
        <v/>
      </c>
      <c r="J476" s="48">
        <f>IF(OR($G476=0,INDEX(Employees!$O$5:$O$29,$A476)&lt;&gt;"Yes"),0,IF(COUNTIF(Settings!$D$4:$D$9,"&lt;="&amp;$H476)=0,0,INDEX(Settings!$E$4:$E$9,COUNTIF(Settings!$D$4:$D$9,"&lt;="&amp;$H476))))</f>
        <v/>
      </c>
      <c r="K476" s="48">
        <f>IF($G476=0,0,IF(INDEX(Employees!$I$5:$I$29,$A476)="Per pay period",(N(INDEX(Employees!$J$5:$J$29,$A476))+$J476)/Settings!$B$13,IF(INDEX(Employees!$I$5:$I$29,$A476)="Per hour worked",N(INDEX(Employees!$K$5:$K$29,$A476))*$I476,IF(INDEX(Employees!$I$5:$I$29,$A476)="Front-loaded",IF(OR($B476=1,N($G475)=0),N(INDEX(Employees!$J$5:$J$29,$A476))+$J476,0),0))))</f>
        <v/>
      </c>
      <c r="L476" s="48">
        <f>IF($F476=0,0,SUMIFS('Time Off Log'!$H$5:$H$504,'Time Off Log'!$A$5:$A$504,$C476,'Time Off Log'!$B$5:$B$504,"PTO",'Time Off Log'!$E$5:$E$504,"Approved",'Time Off Log'!$C$5:$C$504,"&gt;="&amp;INDEX(Periods!$E$5:$E$57,$B476),'Time Off Log'!$C$5:$C$504,"&lt;="&amp;INDEX(Periods!$F$5:$F$57,$B476)))</f>
        <v/>
      </c>
      <c r="M476" s="48">
        <f>IF($B476=1,N(INDEX(Employees!$N$5:$N$29,$A476)),P475)</f>
        <v/>
      </c>
      <c r="N476" s="48">
        <f>IF(INDEX(Employees!$L$5:$L$29,$A476)="",K476,MAX(0,MIN(K476,INDEX(Employees!$L$5:$L$29,$A476)-(M476-L476))))</f>
        <v/>
      </c>
      <c r="O476" s="48">
        <f>K476-N476</f>
        <v/>
      </c>
      <c r="P476" s="48">
        <f>M476-L476+N476</f>
        <v/>
      </c>
      <c r="Q476" s="48">
        <f>IF($G476=0,0,IF(INDEX(Employees!$P$5:$P$29,$A476)="Per pay period",(N(INDEX(Employees!$Q$5:$Q$29,$A476)))/Settings!$B$13,IF(INDEX(Employees!$P$5:$P$29,$A476)="Per hour worked",N(INDEX(Employees!$R$5:$R$29,$A476))*$I476,IF(INDEX(Employees!$P$5:$P$29,$A476)="Front-loaded",IF(OR($B476=1,N($G475)=0),N(INDEX(Employees!$Q$5:$Q$29,$A476)),0),0))))</f>
        <v/>
      </c>
      <c r="R476" s="48">
        <f>IF($F476=0,0,SUMIFS('Time Off Log'!$H$5:$H$504,'Time Off Log'!$A$5:$A$504,$C476,'Time Off Log'!$B$5:$B$504,"Sick",'Time Off Log'!$E$5:$E$504,"Approved",'Time Off Log'!$C$5:$C$504,"&gt;="&amp;INDEX(Periods!$E$5:$E$57,$B476),'Time Off Log'!$C$5:$C$504,"&lt;="&amp;INDEX(Periods!$F$5:$F$57,$B476)))</f>
        <v/>
      </c>
      <c r="S476" s="48">
        <f>IF($B476=1,N(INDEX(Employees!$T$5:$T$29,$A476)),V475)</f>
        <v/>
      </c>
      <c r="T476" s="48">
        <f>IF(INDEX(Employees!$S$5:$S$29,$A476)="",Q476,MAX(0,MIN(Q476,INDEX(Employees!$S$5:$S$29,$A476)-(S476-R476))))</f>
        <v/>
      </c>
      <c r="U476" s="48">
        <f>Q476-T476</f>
        <v/>
      </c>
      <c r="V476" s="48">
        <f>S476-R476+T476</f>
        <v/>
      </c>
    </row>
    <row r="477">
      <c r="A477" s="47" t="n">
        <v>9</v>
      </c>
      <c r="B477" s="47" t="n">
        <v>49</v>
      </c>
      <c r="C477" s="48">
        <f>INDEX(Employees!$B$5:$B$29,$A477)&amp;""</f>
        <v/>
      </c>
      <c r="D477" s="49">
        <f>INDEX(Periods!$B$5:$B$57,$B477)</f>
        <v/>
      </c>
      <c r="E477" s="49">
        <f>INDEX(Periods!$C$5:$C$57,$B477)</f>
        <v/>
      </c>
      <c r="F477" s="47">
        <f>IF(AND($C477&lt;&gt;"",INDEX(Periods!$D$5:$D$57,$B477)=1),1,0)</f>
        <v/>
      </c>
      <c r="G477" s="47">
        <f>IF($F477=0,0,IF(AND(OR(INDEX(Employees!$D$5:$D$29,$A477)="",$E477&gt;=INDEX(Employees!$D$5:$D$29,$A477)+N(INDEX(Employees!$U$5:$U$29,$A477))),OR(INDEX(Employees!$E$5:$E$29,$A477)="",$D477&lt;=INDEX(Employees!$E$5:$E$29,$A477))),1,0))</f>
        <v/>
      </c>
      <c r="H477" s="47">
        <f>IF($G477=0,0,IF(INDEX(Employees!$D$5:$D$29,$A477)="",0,DATEDIF(INDEX(Employees!$D$5:$D$29,$A477),$E477,"y")))</f>
        <v/>
      </c>
      <c r="I477" s="48">
        <f>IF($G477=0,0,IF(INDEX('Hours Worked'!$D$5:$BD$29,$A477,$B477)="",N(INDEX(Employees!$H$5:$H$29,$A477)),INDEX('Hours Worked'!$D$5:$BD$29,$A477,$B477)))</f>
        <v/>
      </c>
      <c r="J477" s="48">
        <f>IF(OR($G477=0,INDEX(Employees!$O$5:$O$29,$A477)&lt;&gt;"Yes"),0,IF(COUNTIF(Settings!$D$4:$D$9,"&lt;="&amp;$H477)=0,0,INDEX(Settings!$E$4:$E$9,COUNTIF(Settings!$D$4:$D$9,"&lt;="&amp;$H477))))</f>
        <v/>
      </c>
      <c r="K477" s="48">
        <f>IF($G477=0,0,IF(INDEX(Employees!$I$5:$I$29,$A477)="Per pay period",(N(INDEX(Employees!$J$5:$J$29,$A477))+$J477)/Settings!$B$13,IF(INDEX(Employees!$I$5:$I$29,$A477)="Per hour worked",N(INDEX(Employees!$K$5:$K$29,$A477))*$I477,IF(INDEX(Employees!$I$5:$I$29,$A477)="Front-loaded",IF(OR($B477=1,N($G476)=0),N(INDEX(Employees!$J$5:$J$29,$A477))+$J477,0),0))))</f>
        <v/>
      </c>
      <c r="L477" s="48">
        <f>IF($F477=0,0,SUMIFS('Time Off Log'!$H$5:$H$504,'Time Off Log'!$A$5:$A$504,$C477,'Time Off Log'!$B$5:$B$504,"PTO",'Time Off Log'!$E$5:$E$504,"Approved",'Time Off Log'!$C$5:$C$504,"&gt;="&amp;INDEX(Periods!$E$5:$E$57,$B477),'Time Off Log'!$C$5:$C$504,"&lt;="&amp;INDEX(Periods!$F$5:$F$57,$B477)))</f>
        <v/>
      </c>
      <c r="M477" s="48">
        <f>IF($B477=1,N(INDEX(Employees!$N$5:$N$29,$A477)),P476)</f>
        <v/>
      </c>
      <c r="N477" s="48">
        <f>IF(INDEX(Employees!$L$5:$L$29,$A477)="",K477,MAX(0,MIN(K477,INDEX(Employees!$L$5:$L$29,$A477)-(M477-L477))))</f>
        <v/>
      </c>
      <c r="O477" s="48">
        <f>K477-N477</f>
        <v/>
      </c>
      <c r="P477" s="48">
        <f>M477-L477+N477</f>
        <v/>
      </c>
      <c r="Q477" s="48">
        <f>IF($G477=0,0,IF(INDEX(Employees!$P$5:$P$29,$A477)="Per pay period",(N(INDEX(Employees!$Q$5:$Q$29,$A477)))/Settings!$B$13,IF(INDEX(Employees!$P$5:$P$29,$A477)="Per hour worked",N(INDEX(Employees!$R$5:$R$29,$A477))*$I477,IF(INDEX(Employees!$P$5:$P$29,$A477)="Front-loaded",IF(OR($B477=1,N($G476)=0),N(INDEX(Employees!$Q$5:$Q$29,$A477)),0),0))))</f>
        <v/>
      </c>
      <c r="R477" s="48">
        <f>IF($F477=0,0,SUMIFS('Time Off Log'!$H$5:$H$504,'Time Off Log'!$A$5:$A$504,$C477,'Time Off Log'!$B$5:$B$504,"Sick",'Time Off Log'!$E$5:$E$504,"Approved",'Time Off Log'!$C$5:$C$504,"&gt;="&amp;INDEX(Periods!$E$5:$E$57,$B477),'Time Off Log'!$C$5:$C$504,"&lt;="&amp;INDEX(Periods!$F$5:$F$57,$B477)))</f>
        <v/>
      </c>
      <c r="S477" s="48">
        <f>IF($B477=1,N(INDEX(Employees!$T$5:$T$29,$A477)),V476)</f>
        <v/>
      </c>
      <c r="T477" s="48">
        <f>IF(INDEX(Employees!$S$5:$S$29,$A477)="",Q477,MAX(0,MIN(Q477,INDEX(Employees!$S$5:$S$29,$A477)-(S477-R477))))</f>
        <v/>
      </c>
      <c r="U477" s="48">
        <f>Q477-T477</f>
        <v/>
      </c>
      <c r="V477" s="48">
        <f>S477-R477+T477</f>
        <v/>
      </c>
    </row>
    <row r="478">
      <c r="A478" s="47" t="n">
        <v>9</v>
      </c>
      <c r="B478" s="47" t="n">
        <v>50</v>
      </c>
      <c r="C478" s="48">
        <f>INDEX(Employees!$B$5:$B$29,$A478)&amp;""</f>
        <v/>
      </c>
      <c r="D478" s="49">
        <f>INDEX(Periods!$B$5:$B$57,$B478)</f>
        <v/>
      </c>
      <c r="E478" s="49">
        <f>INDEX(Periods!$C$5:$C$57,$B478)</f>
        <v/>
      </c>
      <c r="F478" s="47">
        <f>IF(AND($C478&lt;&gt;"",INDEX(Periods!$D$5:$D$57,$B478)=1),1,0)</f>
        <v/>
      </c>
      <c r="G478" s="47">
        <f>IF($F478=0,0,IF(AND(OR(INDEX(Employees!$D$5:$D$29,$A478)="",$E478&gt;=INDEX(Employees!$D$5:$D$29,$A478)+N(INDEX(Employees!$U$5:$U$29,$A478))),OR(INDEX(Employees!$E$5:$E$29,$A478)="",$D478&lt;=INDEX(Employees!$E$5:$E$29,$A478))),1,0))</f>
        <v/>
      </c>
      <c r="H478" s="47">
        <f>IF($G478=0,0,IF(INDEX(Employees!$D$5:$D$29,$A478)="",0,DATEDIF(INDEX(Employees!$D$5:$D$29,$A478),$E478,"y")))</f>
        <v/>
      </c>
      <c r="I478" s="48">
        <f>IF($G478=0,0,IF(INDEX('Hours Worked'!$D$5:$BD$29,$A478,$B478)="",N(INDEX(Employees!$H$5:$H$29,$A478)),INDEX('Hours Worked'!$D$5:$BD$29,$A478,$B478)))</f>
        <v/>
      </c>
      <c r="J478" s="48">
        <f>IF(OR($G478=0,INDEX(Employees!$O$5:$O$29,$A478)&lt;&gt;"Yes"),0,IF(COUNTIF(Settings!$D$4:$D$9,"&lt;="&amp;$H478)=0,0,INDEX(Settings!$E$4:$E$9,COUNTIF(Settings!$D$4:$D$9,"&lt;="&amp;$H478))))</f>
        <v/>
      </c>
      <c r="K478" s="48">
        <f>IF($G478=0,0,IF(INDEX(Employees!$I$5:$I$29,$A478)="Per pay period",(N(INDEX(Employees!$J$5:$J$29,$A478))+$J478)/Settings!$B$13,IF(INDEX(Employees!$I$5:$I$29,$A478)="Per hour worked",N(INDEX(Employees!$K$5:$K$29,$A478))*$I478,IF(INDEX(Employees!$I$5:$I$29,$A478)="Front-loaded",IF(OR($B478=1,N($G477)=0),N(INDEX(Employees!$J$5:$J$29,$A478))+$J478,0),0))))</f>
        <v/>
      </c>
      <c r="L478" s="48">
        <f>IF($F478=0,0,SUMIFS('Time Off Log'!$H$5:$H$504,'Time Off Log'!$A$5:$A$504,$C478,'Time Off Log'!$B$5:$B$504,"PTO",'Time Off Log'!$E$5:$E$504,"Approved",'Time Off Log'!$C$5:$C$504,"&gt;="&amp;INDEX(Periods!$E$5:$E$57,$B478),'Time Off Log'!$C$5:$C$504,"&lt;="&amp;INDEX(Periods!$F$5:$F$57,$B478)))</f>
        <v/>
      </c>
      <c r="M478" s="48">
        <f>IF($B478=1,N(INDEX(Employees!$N$5:$N$29,$A478)),P477)</f>
        <v/>
      </c>
      <c r="N478" s="48">
        <f>IF(INDEX(Employees!$L$5:$L$29,$A478)="",K478,MAX(0,MIN(K478,INDEX(Employees!$L$5:$L$29,$A478)-(M478-L478))))</f>
        <v/>
      </c>
      <c r="O478" s="48">
        <f>K478-N478</f>
        <v/>
      </c>
      <c r="P478" s="48">
        <f>M478-L478+N478</f>
        <v/>
      </c>
      <c r="Q478" s="48">
        <f>IF($G478=0,0,IF(INDEX(Employees!$P$5:$P$29,$A478)="Per pay period",(N(INDEX(Employees!$Q$5:$Q$29,$A478)))/Settings!$B$13,IF(INDEX(Employees!$P$5:$P$29,$A478)="Per hour worked",N(INDEX(Employees!$R$5:$R$29,$A478))*$I478,IF(INDEX(Employees!$P$5:$P$29,$A478)="Front-loaded",IF(OR($B478=1,N($G477)=0),N(INDEX(Employees!$Q$5:$Q$29,$A478)),0),0))))</f>
        <v/>
      </c>
      <c r="R478" s="48">
        <f>IF($F478=0,0,SUMIFS('Time Off Log'!$H$5:$H$504,'Time Off Log'!$A$5:$A$504,$C478,'Time Off Log'!$B$5:$B$504,"Sick",'Time Off Log'!$E$5:$E$504,"Approved",'Time Off Log'!$C$5:$C$504,"&gt;="&amp;INDEX(Periods!$E$5:$E$57,$B478),'Time Off Log'!$C$5:$C$504,"&lt;="&amp;INDEX(Periods!$F$5:$F$57,$B478)))</f>
        <v/>
      </c>
      <c r="S478" s="48">
        <f>IF($B478=1,N(INDEX(Employees!$T$5:$T$29,$A478)),V477)</f>
        <v/>
      </c>
      <c r="T478" s="48">
        <f>IF(INDEX(Employees!$S$5:$S$29,$A478)="",Q478,MAX(0,MIN(Q478,INDEX(Employees!$S$5:$S$29,$A478)-(S478-R478))))</f>
        <v/>
      </c>
      <c r="U478" s="48">
        <f>Q478-T478</f>
        <v/>
      </c>
      <c r="V478" s="48">
        <f>S478-R478+T478</f>
        <v/>
      </c>
    </row>
    <row r="479">
      <c r="A479" s="47" t="n">
        <v>9</v>
      </c>
      <c r="B479" s="47" t="n">
        <v>51</v>
      </c>
      <c r="C479" s="48">
        <f>INDEX(Employees!$B$5:$B$29,$A479)&amp;""</f>
        <v/>
      </c>
      <c r="D479" s="49">
        <f>INDEX(Periods!$B$5:$B$57,$B479)</f>
        <v/>
      </c>
      <c r="E479" s="49">
        <f>INDEX(Periods!$C$5:$C$57,$B479)</f>
        <v/>
      </c>
      <c r="F479" s="47">
        <f>IF(AND($C479&lt;&gt;"",INDEX(Periods!$D$5:$D$57,$B479)=1),1,0)</f>
        <v/>
      </c>
      <c r="G479" s="47">
        <f>IF($F479=0,0,IF(AND(OR(INDEX(Employees!$D$5:$D$29,$A479)="",$E479&gt;=INDEX(Employees!$D$5:$D$29,$A479)+N(INDEX(Employees!$U$5:$U$29,$A479))),OR(INDEX(Employees!$E$5:$E$29,$A479)="",$D479&lt;=INDEX(Employees!$E$5:$E$29,$A479))),1,0))</f>
        <v/>
      </c>
      <c r="H479" s="47">
        <f>IF($G479=0,0,IF(INDEX(Employees!$D$5:$D$29,$A479)="",0,DATEDIF(INDEX(Employees!$D$5:$D$29,$A479),$E479,"y")))</f>
        <v/>
      </c>
      <c r="I479" s="48">
        <f>IF($G479=0,0,IF(INDEX('Hours Worked'!$D$5:$BD$29,$A479,$B479)="",N(INDEX(Employees!$H$5:$H$29,$A479)),INDEX('Hours Worked'!$D$5:$BD$29,$A479,$B479)))</f>
        <v/>
      </c>
      <c r="J479" s="48">
        <f>IF(OR($G479=0,INDEX(Employees!$O$5:$O$29,$A479)&lt;&gt;"Yes"),0,IF(COUNTIF(Settings!$D$4:$D$9,"&lt;="&amp;$H479)=0,0,INDEX(Settings!$E$4:$E$9,COUNTIF(Settings!$D$4:$D$9,"&lt;="&amp;$H479))))</f>
        <v/>
      </c>
      <c r="K479" s="48">
        <f>IF($G479=0,0,IF(INDEX(Employees!$I$5:$I$29,$A479)="Per pay period",(N(INDEX(Employees!$J$5:$J$29,$A479))+$J479)/Settings!$B$13,IF(INDEX(Employees!$I$5:$I$29,$A479)="Per hour worked",N(INDEX(Employees!$K$5:$K$29,$A479))*$I479,IF(INDEX(Employees!$I$5:$I$29,$A479)="Front-loaded",IF(OR($B479=1,N($G478)=0),N(INDEX(Employees!$J$5:$J$29,$A479))+$J479,0),0))))</f>
        <v/>
      </c>
      <c r="L479" s="48">
        <f>IF($F479=0,0,SUMIFS('Time Off Log'!$H$5:$H$504,'Time Off Log'!$A$5:$A$504,$C479,'Time Off Log'!$B$5:$B$504,"PTO",'Time Off Log'!$E$5:$E$504,"Approved",'Time Off Log'!$C$5:$C$504,"&gt;="&amp;INDEX(Periods!$E$5:$E$57,$B479),'Time Off Log'!$C$5:$C$504,"&lt;="&amp;INDEX(Periods!$F$5:$F$57,$B479)))</f>
        <v/>
      </c>
      <c r="M479" s="48">
        <f>IF($B479=1,N(INDEX(Employees!$N$5:$N$29,$A479)),P478)</f>
        <v/>
      </c>
      <c r="N479" s="48">
        <f>IF(INDEX(Employees!$L$5:$L$29,$A479)="",K479,MAX(0,MIN(K479,INDEX(Employees!$L$5:$L$29,$A479)-(M479-L479))))</f>
        <v/>
      </c>
      <c r="O479" s="48">
        <f>K479-N479</f>
        <v/>
      </c>
      <c r="P479" s="48">
        <f>M479-L479+N479</f>
        <v/>
      </c>
      <c r="Q479" s="48">
        <f>IF($G479=0,0,IF(INDEX(Employees!$P$5:$P$29,$A479)="Per pay period",(N(INDEX(Employees!$Q$5:$Q$29,$A479)))/Settings!$B$13,IF(INDEX(Employees!$P$5:$P$29,$A479)="Per hour worked",N(INDEX(Employees!$R$5:$R$29,$A479))*$I479,IF(INDEX(Employees!$P$5:$P$29,$A479)="Front-loaded",IF(OR($B479=1,N($G478)=0),N(INDEX(Employees!$Q$5:$Q$29,$A479)),0),0))))</f>
        <v/>
      </c>
      <c r="R479" s="48">
        <f>IF($F479=0,0,SUMIFS('Time Off Log'!$H$5:$H$504,'Time Off Log'!$A$5:$A$504,$C479,'Time Off Log'!$B$5:$B$504,"Sick",'Time Off Log'!$E$5:$E$504,"Approved",'Time Off Log'!$C$5:$C$504,"&gt;="&amp;INDEX(Periods!$E$5:$E$57,$B479),'Time Off Log'!$C$5:$C$504,"&lt;="&amp;INDEX(Periods!$F$5:$F$57,$B479)))</f>
        <v/>
      </c>
      <c r="S479" s="48">
        <f>IF($B479=1,N(INDEX(Employees!$T$5:$T$29,$A479)),V478)</f>
        <v/>
      </c>
      <c r="T479" s="48">
        <f>IF(INDEX(Employees!$S$5:$S$29,$A479)="",Q479,MAX(0,MIN(Q479,INDEX(Employees!$S$5:$S$29,$A479)-(S479-R479))))</f>
        <v/>
      </c>
      <c r="U479" s="48">
        <f>Q479-T479</f>
        <v/>
      </c>
      <c r="V479" s="48">
        <f>S479-R479+T479</f>
        <v/>
      </c>
    </row>
    <row r="480">
      <c r="A480" s="47" t="n">
        <v>9</v>
      </c>
      <c r="B480" s="47" t="n">
        <v>52</v>
      </c>
      <c r="C480" s="48">
        <f>INDEX(Employees!$B$5:$B$29,$A480)&amp;""</f>
        <v/>
      </c>
      <c r="D480" s="49">
        <f>INDEX(Periods!$B$5:$B$57,$B480)</f>
        <v/>
      </c>
      <c r="E480" s="49">
        <f>INDEX(Periods!$C$5:$C$57,$B480)</f>
        <v/>
      </c>
      <c r="F480" s="47">
        <f>IF(AND($C480&lt;&gt;"",INDEX(Periods!$D$5:$D$57,$B480)=1),1,0)</f>
        <v/>
      </c>
      <c r="G480" s="47">
        <f>IF($F480=0,0,IF(AND(OR(INDEX(Employees!$D$5:$D$29,$A480)="",$E480&gt;=INDEX(Employees!$D$5:$D$29,$A480)+N(INDEX(Employees!$U$5:$U$29,$A480))),OR(INDEX(Employees!$E$5:$E$29,$A480)="",$D480&lt;=INDEX(Employees!$E$5:$E$29,$A480))),1,0))</f>
        <v/>
      </c>
      <c r="H480" s="47">
        <f>IF($G480=0,0,IF(INDEX(Employees!$D$5:$D$29,$A480)="",0,DATEDIF(INDEX(Employees!$D$5:$D$29,$A480),$E480,"y")))</f>
        <v/>
      </c>
      <c r="I480" s="48">
        <f>IF($G480=0,0,IF(INDEX('Hours Worked'!$D$5:$BD$29,$A480,$B480)="",N(INDEX(Employees!$H$5:$H$29,$A480)),INDEX('Hours Worked'!$D$5:$BD$29,$A480,$B480)))</f>
        <v/>
      </c>
      <c r="J480" s="48">
        <f>IF(OR($G480=0,INDEX(Employees!$O$5:$O$29,$A480)&lt;&gt;"Yes"),0,IF(COUNTIF(Settings!$D$4:$D$9,"&lt;="&amp;$H480)=0,0,INDEX(Settings!$E$4:$E$9,COUNTIF(Settings!$D$4:$D$9,"&lt;="&amp;$H480))))</f>
        <v/>
      </c>
      <c r="K480" s="48">
        <f>IF($G480=0,0,IF(INDEX(Employees!$I$5:$I$29,$A480)="Per pay period",(N(INDEX(Employees!$J$5:$J$29,$A480))+$J480)/Settings!$B$13,IF(INDEX(Employees!$I$5:$I$29,$A480)="Per hour worked",N(INDEX(Employees!$K$5:$K$29,$A480))*$I480,IF(INDEX(Employees!$I$5:$I$29,$A480)="Front-loaded",IF(OR($B480=1,N($G479)=0),N(INDEX(Employees!$J$5:$J$29,$A480))+$J480,0),0))))</f>
        <v/>
      </c>
      <c r="L480" s="48">
        <f>IF($F480=0,0,SUMIFS('Time Off Log'!$H$5:$H$504,'Time Off Log'!$A$5:$A$504,$C480,'Time Off Log'!$B$5:$B$504,"PTO",'Time Off Log'!$E$5:$E$504,"Approved",'Time Off Log'!$C$5:$C$504,"&gt;="&amp;INDEX(Periods!$E$5:$E$57,$B480),'Time Off Log'!$C$5:$C$504,"&lt;="&amp;INDEX(Periods!$F$5:$F$57,$B480)))</f>
        <v/>
      </c>
      <c r="M480" s="48">
        <f>IF($B480=1,N(INDEX(Employees!$N$5:$N$29,$A480)),P479)</f>
        <v/>
      </c>
      <c r="N480" s="48">
        <f>IF(INDEX(Employees!$L$5:$L$29,$A480)="",K480,MAX(0,MIN(K480,INDEX(Employees!$L$5:$L$29,$A480)-(M480-L480))))</f>
        <v/>
      </c>
      <c r="O480" s="48">
        <f>K480-N480</f>
        <v/>
      </c>
      <c r="P480" s="48">
        <f>M480-L480+N480</f>
        <v/>
      </c>
      <c r="Q480" s="48">
        <f>IF($G480=0,0,IF(INDEX(Employees!$P$5:$P$29,$A480)="Per pay period",(N(INDEX(Employees!$Q$5:$Q$29,$A480)))/Settings!$B$13,IF(INDEX(Employees!$P$5:$P$29,$A480)="Per hour worked",N(INDEX(Employees!$R$5:$R$29,$A480))*$I480,IF(INDEX(Employees!$P$5:$P$29,$A480)="Front-loaded",IF(OR($B480=1,N($G479)=0),N(INDEX(Employees!$Q$5:$Q$29,$A480)),0),0))))</f>
        <v/>
      </c>
      <c r="R480" s="48">
        <f>IF($F480=0,0,SUMIFS('Time Off Log'!$H$5:$H$504,'Time Off Log'!$A$5:$A$504,$C480,'Time Off Log'!$B$5:$B$504,"Sick",'Time Off Log'!$E$5:$E$504,"Approved",'Time Off Log'!$C$5:$C$504,"&gt;="&amp;INDEX(Periods!$E$5:$E$57,$B480),'Time Off Log'!$C$5:$C$504,"&lt;="&amp;INDEX(Periods!$F$5:$F$57,$B480)))</f>
        <v/>
      </c>
      <c r="S480" s="48">
        <f>IF($B480=1,N(INDEX(Employees!$T$5:$T$29,$A480)),V479)</f>
        <v/>
      </c>
      <c r="T480" s="48">
        <f>IF(INDEX(Employees!$S$5:$S$29,$A480)="",Q480,MAX(0,MIN(Q480,INDEX(Employees!$S$5:$S$29,$A480)-(S480-R480))))</f>
        <v/>
      </c>
      <c r="U480" s="48">
        <f>Q480-T480</f>
        <v/>
      </c>
      <c r="V480" s="48">
        <f>S480-R480+T480</f>
        <v/>
      </c>
    </row>
    <row r="481">
      <c r="A481" s="47" t="n">
        <v>9</v>
      </c>
      <c r="B481" s="47" t="n">
        <v>53</v>
      </c>
      <c r="C481" s="48">
        <f>INDEX(Employees!$B$5:$B$29,$A481)&amp;""</f>
        <v/>
      </c>
      <c r="D481" s="49">
        <f>INDEX(Periods!$B$5:$B$57,$B481)</f>
        <v/>
      </c>
      <c r="E481" s="49">
        <f>INDEX(Periods!$C$5:$C$57,$B481)</f>
        <v/>
      </c>
      <c r="F481" s="47">
        <f>IF(AND($C481&lt;&gt;"",INDEX(Periods!$D$5:$D$57,$B481)=1),1,0)</f>
        <v/>
      </c>
      <c r="G481" s="47">
        <f>IF($F481=0,0,IF(AND(OR(INDEX(Employees!$D$5:$D$29,$A481)="",$E481&gt;=INDEX(Employees!$D$5:$D$29,$A481)+N(INDEX(Employees!$U$5:$U$29,$A481))),OR(INDEX(Employees!$E$5:$E$29,$A481)="",$D481&lt;=INDEX(Employees!$E$5:$E$29,$A481))),1,0))</f>
        <v/>
      </c>
      <c r="H481" s="47">
        <f>IF($G481=0,0,IF(INDEX(Employees!$D$5:$D$29,$A481)="",0,DATEDIF(INDEX(Employees!$D$5:$D$29,$A481),$E481,"y")))</f>
        <v/>
      </c>
      <c r="I481" s="48">
        <f>IF($G481=0,0,IF(INDEX('Hours Worked'!$D$5:$BD$29,$A481,$B481)="",N(INDEX(Employees!$H$5:$H$29,$A481)),INDEX('Hours Worked'!$D$5:$BD$29,$A481,$B481)))</f>
        <v/>
      </c>
      <c r="J481" s="48">
        <f>IF(OR($G481=0,INDEX(Employees!$O$5:$O$29,$A481)&lt;&gt;"Yes"),0,IF(COUNTIF(Settings!$D$4:$D$9,"&lt;="&amp;$H481)=0,0,INDEX(Settings!$E$4:$E$9,COUNTIF(Settings!$D$4:$D$9,"&lt;="&amp;$H481))))</f>
        <v/>
      </c>
      <c r="K481" s="48">
        <f>IF($G481=0,0,IF(INDEX(Employees!$I$5:$I$29,$A481)="Per pay period",(N(INDEX(Employees!$J$5:$J$29,$A481))+$J481)/Settings!$B$13,IF(INDEX(Employees!$I$5:$I$29,$A481)="Per hour worked",N(INDEX(Employees!$K$5:$K$29,$A481))*$I481,IF(INDEX(Employees!$I$5:$I$29,$A481)="Front-loaded",IF(OR($B481=1,N($G480)=0),N(INDEX(Employees!$J$5:$J$29,$A481))+$J481,0),0))))</f>
        <v/>
      </c>
      <c r="L481" s="48">
        <f>IF($F481=0,0,SUMIFS('Time Off Log'!$H$5:$H$504,'Time Off Log'!$A$5:$A$504,$C481,'Time Off Log'!$B$5:$B$504,"PTO",'Time Off Log'!$E$5:$E$504,"Approved",'Time Off Log'!$C$5:$C$504,"&gt;="&amp;INDEX(Periods!$E$5:$E$57,$B481),'Time Off Log'!$C$5:$C$504,"&lt;="&amp;INDEX(Periods!$F$5:$F$57,$B481)))</f>
        <v/>
      </c>
      <c r="M481" s="48">
        <f>IF($B481=1,N(INDEX(Employees!$N$5:$N$29,$A481)),P480)</f>
        <v/>
      </c>
      <c r="N481" s="48">
        <f>IF(INDEX(Employees!$L$5:$L$29,$A481)="",K481,MAX(0,MIN(K481,INDEX(Employees!$L$5:$L$29,$A481)-(M481-L481))))</f>
        <v/>
      </c>
      <c r="O481" s="48">
        <f>K481-N481</f>
        <v/>
      </c>
      <c r="P481" s="48">
        <f>M481-L481+N481</f>
        <v/>
      </c>
      <c r="Q481" s="48">
        <f>IF($G481=0,0,IF(INDEX(Employees!$P$5:$P$29,$A481)="Per pay period",(N(INDEX(Employees!$Q$5:$Q$29,$A481)))/Settings!$B$13,IF(INDEX(Employees!$P$5:$P$29,$A481)="Per hour worked",N(INDEX(Employees!$R$5:$R$29,$A481))*$I481,IF(INDEX(Employees!$P$5:$P$29,$A481)="Front-loaded",IF(OR($B481=1,N($G480)=0),N(INDEX(Employees!$Q$5:$Q$29,$A481)),0),0))))</f>
        <v/>
      </c>
      <c r="R481" s="48">
        <f>IF($F481=0,0,SUMIFS('Time Off Log'!$H$5:$H$504,'Time Off Log'!$A$5:$A$504,$C481,'Time Off Log'!$B$5:$B$504,"Sick",'Time Off Log'!$E$5:$E$504,"Approved",'Time Off Log'!$C$5:$C$504,"&gt;="&amp;INDEX(Periods!$E$5:$E$57,$B481),'Time Off Log'!$C$5:$C$504,"&lt;="&amp;INDEX(Periods!$F$5:$F$57,$B481)))</f>
        <v/>
      </c>
      <c r="S481" s="48">
        <f>IF($B481=1,N(INDEX(Employees!$T$5:$T$29,$A481)),V480)</f>
        <v/>
      </c>
      <c r="T481" s="48">
        <f>IF(INDEX(Employees!$S$5:$S$29,$A481)="",Q481,MAX(0,MIN(Q481,INDEX(Employees!$S$5:$S$29,$A481)-(S481-R481))))</f>
        <v/>
      </c>
      <c r="U481" s="48">
        <f>Q481-T481</f>
        <v/>
      </c>
      <c r="V481" s="48">
        <f>S481-R481+T481</f>
        <v/>
      </c>
    </row>
    <row r="482">
      <c r="A482" s="50" t="n">
        <v>10</v>
      </c>
      <c r="B482" s="50" t="n">
        <v>1</v>
      </c>
      <c r="C482" s="51">
        <f>INDEX(Employees!$B$5:$B$29,$A482)&amp;""</f>
        <v/>
      </c>
      <c r="D482" s="52">
        <f>INDEX(Periods!$B$5:$B$57,$B482)</f>
        <v/>
      </c>
      <c r="E482" s="52">
        <f>INDEX(Periods!$C$5:$C$57,$B482)</f>
        <v/>
      </c>
      <c r="F482" s="50">
        <f>IF(AND($C482&lt;&gt;"",INDEX(Periods!$D$5:$D$57,$B482)=1),1,0)</f>
        <v/>
      </c>
      <c r="G482" s="50">
        <f>IF($F482=0,0,IF(AND(OR(INDEX(Employees!$D$5:$D$29,$A482)="",$E482&gt;=INDEX(Employees!$D$5:$D$29,$A482)+N(INDEX(Employees!$U$5:$U$29,$A482))),OR(INDEX(Employees!$E$5:$E$29,$A482)="",$D482&lt;=INDEX(Employees!$E$5:$E$29,$A482))),1,0))</f>
        <v/>
      </c>
      <c r="H482" s="50">
        <f>IF($G482=0,0,IF(INDEX(Employees!$D$5:$D$29,$A482)="",0,DATEDIF(INDEX(Employees!$D$5:$D$29,$A482),$E482,"y")))</f>
        <v/>
      </c>
      <c r="I482" s="51">
        <f>IF($G482=0,0,IF(INDEX('Hours Worked'!$D$5:$BD$29,$A482,$B482)="",N(INDEX(Employees!$H$5:$H$29,$A482)),INDEX('Hours Worked'!$D$5:$BD$29,$A482,$B482)))</f>
        <v/>
      </c>
      <c r="J482" s="51">
        <f>IF(OR($G482=0,INDEX(Employees!$O$5:$O$29,$A482)&lt;&gt;"Yes"),0,IF(COUNTIF(Settings!$D$4:$D$9,"&lt;="&amp;$H482)=0,0,INDEX(Settings!$E$4:$E$9,COUNTIF(Settings!$D$4:$D$9,"&lt;="&amp;$H482))))</f>
        <v/>
      </c>
      <c r="K482" s="51">
        <f>IF($G482=0,0,IF(INDEX(Employees!$I$5:$I$29,$A482)="Per pay period",(N(INDEX(Employees!$J$5:$J$29,$A482))+$J482)/Settings!$B$13,IF(INDEX(Employees!$I$5:$I$29,$A482)="Per hour worked",N(INDEX(Employees!$K$5:$K$29,$A482))*$I482,IF(INDEX(Employees!$I$5:$I$29,$A482)="Front-loaded",IF(OR($B482=1,N($G481)=0),N(INDEX(Employees!$J$5:$J$29,$A482))+$J482,0),0))))</f>
        <v/>
      </c>
      <c r="L482" s="51">
        <f>IF($F482=0,0,SUMIFS('Time Off Log'!$H$5:$H$504,'Time Off Log'!$A$5:$A$504,$C482,'Time Off Log'!$B$5:$B$504,"PTO",'Time Off Log'!$E$5:$E$504,"Approved",'Time Off Log'!$C$5:$C$504,"&gt;="&amp;INDEX(Periods!$E$5:$E$57,$B482),'Time Off Log'!$C$5:$C$504,"&lt;="&amp;INDEX(Periods!$F$5:$F$57,$B482)))</f>
        <v/>
      </c>
      <c r="M482" s="51">
        <f>N(INDEX(Employees!$N$5:$N$29,$A482))</f>
        <v/>
      </c>
      <c r="N482" s="51">
        <f>IF(INDEX(Employees!$L$5:$L$29,$A482)="",K482,MAX(0,MIN(K482,INDEX(Employees!$L$5:$L$29,$A482)-(M482-L482))))</f>
        <v/>
      </c>
      <c r="O482" s="51">
        <f>K482-N482</f>
        <v/>
      </c>
      <c r="P482" s="51">
        <f>M482-L482+N482</f>
        <v/>
      </c>
      <c r="Q482" s="51">
        <f>IF($G482=0,0,IF(INDEX(Employees!$P$5:$P$29,$A482)="Per pay period",(N(INDEX(Employees!$Q$5:$Q$29,$A482)))/Settings!$B$13,IF(INDEX(Employees!$P$5:$P$29,$A482)="Per hour worked",N(INDEX(Employees!$R$5:$R$29,$A482))*$I482,IF(INDEX(Employees!$P$5:$P$29,$A482)="Front-loaded",IF(OR($B482=1,N($G481)=0),N(INDEX(Employees!$Q$5:$Q$29,$A482)),0),0))))</f>
        <v/>
      </c>
      <c r="R482" s="51">
        <f>IF($F482=0,0,SUMIFS('Time Off Log'!$H$5:$H$504,'Time Off Log'!$A$5:$A$504,$C482,'Time Off Log'!$B$5:$B$504,"Sick",'Time Off Log'!$E$5:$E$504,"Approved",'Time Off Log'!$C$5:$C$504,"&gt;="&amp;INDEX(Periods!$E$5:$E$57,$B482),'Time Off Log'!$C$5:$C$504,"&lt;="&amp;INDEX(Periods!$F$5:$F$57,$B482)))</f>
        <v/>
      </c>
      <c r="S482" s="51">
        <f>N(INDEX(Employees!$T$5:$T$29,$A482))</f>
        <v/>
      </c>
      <c r="T482" s="51">
        <f>IF(INDEX(Employees!$S$5:$S$29,$A482)="",Q482,MAX(0,MIN(Q482,INDEX(Employees!$S$5:$S$29,$A482)-(S482-R482))))</f>
        <v/>
      </c>
      <c r="U482" s="51">
        <f>Q482-T482</f>
        <v/>
      </c>
      <c r="V482" s="51">
        <f>S482-R482+T482</f>
        <v/>
      </c>
    </row>
    <row r="483">
      <c r="A483" s="50" t="n">
        <v>10</v>
      </c>
      <c r="B483" s="50" t="n">
        <v>2</v>
      </c>
      <c r="C483" s="51">
        <f>INDEX(Employees!$B$5:$B$29,$A483)&amp;""</f>
        <v/>
      </c>
      <c r="D483" s="52">
        <f>INDEX(Periods!$B$5:$B$57,$B483)</f>
        <v/>
      </c>
      <c r="E483" s="52">
        <f>INDEX(Periods!$C$5:$C$57,$B483)</f>
        <v/>
      </c>
      <c r="F483" s="50">
        <f>IF(AND($C483&lt;&gt;"",INDEX(Periods!$D$5:$D$57,$B483)=1),1,0)</f>
        <v/>
      </c>
      <c r="G483" s="50">
        <f>IF($F483=0,0,IF(AND(OR(INDEX(Employees!$D$5:$D$29,$A483)="",$E483&gt;=INDEX(Employees!$D$5:$D$29,$A483)+N(INDEX(Employees!$U$5:$U$29,$A483))),OR(INDEX(Employees!$E$5:$E$29,$A483)="",$D483&lt;=INDEX(Employees!$E$5:$E$29,$A483))),1,0))</f>
        <v/>
      </c>
      <c r="H483" s="50">
        <f>IF($G483=0,0,IF(INDEX(Employees!$D$5:$D$29,$A483)="",0,DATEDIF(INDEX(Employees!$D$5:$D$29,$A483),$E483,"y")))</f>
        <v/>
      </c>
      <c r="I483" s="51">
        <f>IF($G483=0,0,IF(INDEX('Hours Worked'!$D$5:$BD$29,$A483,$B483)="",N(INDEX(Employees!$H$5:$H$29,$A483)),INDEX('Hours Worked'!$D$5:$BD$29,$A483,$B483)))</f>
        <v/>
      </c>
      <c r="J483" s="51">
        <f>IF(OR($G483=0,INDEX(Employees!$O$5:$O$29,$A483)&lt;&gt;"Yes"),0,IF(COUNTIF(Settings!$D$4:$D$9,"&lt;="&amp;$H483)=0,0,INDEX(Settings!$E$4:$E$9,COUNTIF(Settings!$D$4:$D$9,"&lt;="&amp;$H483))))</f>
        <v/>
      </c>
      <c r="K483" s="51">
        <f>IF($G483=0,0,IF(INDEX(Employees!$I$5:$I$29,$A483)="Per pay period",(N(INDEX(Employees!$J$5:$J$29,$A483))+$J483)/Settings!$B$13,IF(INDEX(Employees!$I$5:$I$29,$A483)="Per hour worked",N(INDEX(Employees!$K$5:$K$29,$A483))*$I483,IF(INDEX(Employees!$I$5:$I$29,$A483)="Front-loaded",IF(OR($B483=1,N($G482)=0),N(INDEX(Employees!$J$5:$J$29,$A483))+$J483,0),0))))</f>
        <v/>
      </c>
      <c r="L483" s="51">
        <f>IF($F483=0,0,SUMIFS('Time Off Log'!$H$5:$H$504,'Time Off Log'!$A$5:$A$504,$C483,'Time Off Log'!$B$5:$B$504,"PTO",'Time Off Log'!$E$5:$E$504,"Approved",'Time Off Log'!$C$5:$C$504,"&gt;="&amp;INDEX(Periods!$E$5:$E$57,$B483),'Time Off Log'!$C$5:$C$504,"&lt;="&amp;INDEX(Periods!$F$5:$F$57,$B483)))</f>
        <v/>
      </c>
      <c r="M483" s="51">
        <f>IF($B483=1,N(INDEX(Employees!$N$5:$N$29,$A483)),P482)</f>
        <v/>
      </c>
      <c r="N483" s="51">
        <f>IF(INDEX(Employees!$L$5:$L$29,$A483)="",K483,MAX(0,MIN(K483,INDEX(Employees!$L$5:$L$29,$A483)-(M483-L483))))</f>
        <v/>
      </c>
      <c r="O483" s="51">
        <f>K483-N483</f>
        <v/>
      </c>
      <c r="P483" s="51">
        <f>M483-L483+N483</f>
        <v/>
      </c>
      <c r="Q483" s="51">
        <f>IF($G483=0,0,IF(INDEX(Employees!$P$5:$P$29,$A483)="Per pay period",(N(INDEX(Employees!$Q$5:$Q$29,$A483)))/Settings!$B$13,IF(INDEX(Employees!$P$5:$P$29,$A483)="Per hour worked",N(INDEX(Employees!$R$5:$R$29,$A483))*$I483,IF(INDEX(Employees!$P$5:$P$29,$A483)="Front-loaded",IF(OR($B483=1,N($G482)=0),N(INDEX(Employees!$Q$5:$Q$29,$A483)),0),0))))</f>
        <v/>
      </c>
      <c r="R483" s="51">
        <f>IF($F483=0,0,SUMIFS('Time Off Log'!$H$5:$H$504,'Time Off Log'!$A$5:$A$504,$C483,'Time Off Log'!$B$5:$B$504,"Sick",'Time Off Log'!$E$5:$E$504,"Approved",'Time Off Log'!$C$5:$C$504,"&gt;="&amp;INDEX(Periods!$E$5:$E$57,$B483),'Time Off Log'!$C$5:$C$504,"&lt;="&amp;INDEX(Periods!$F$5:$F$57,$B483)))</f>
        <v/>
      </c>
      <c r="S483" s="51">
        <f>IF($B483=1,N(INDEX(Employees!$T$5:$T$29,$A483)),V482)</f>
        <v/>
      </c>
      <c r="T483" s="51">
        <f>IF(INDEX(Employees!$S$5:$S$29,$A483)="",Q483,MAX(0,MIN(Q483,INDEX(Employees!$S$5:$S$29,$A483)-(S483-R483))))</f>
        <v/>
      </c>
      <c r="U483" s="51">
        <f>Q483-T483</f>
        <v/>
      </c>
      <c r="V483" s="51">
        <f>S483-R483+T483</f>
        <v/>
      </c>
    </row>
    <row r="484">
      <c r="A484" s="50" t="n">
        <v>10</v>
      </c>
      <c r="B484" s="50" t="n">
        <v>3</v>
      </c>
      <c r="C484" s="51">
        <f>INDEX(Employees!$B$5:$B$29,$A484)&amp;""</f>
        <v/>
      </c>
      <c r="D484" s="52">
        <f>INDEX(Periods!$B$5:$B$57,$B484)</f>
        <v/>
      </c>
      <c r="E484" s="52">
        <f>INDEX(Periods!$C$5:$C$57,$B484)</f>
        <v/>
      </c>
      <c r="F484" s="50">
        <f>IF(AND($C484&lt;&gt;"",INDEX(Periods!$D$5:$D$57,$B484)=1),1,0)</f>
        <v/>
      </c>
      <c r="G484" s="50">
        <f>IF($F484=0,0,IF(AND(OR(INDEX(Employees!$D$5:$D$29,$A484)="",$E484&gt;=INDEX(Employees!$D$5:$D$29,$A484)+N(INDEX(Employees!$U$5:$U$29,$A484))),OR(INDEX(Employees!$E$5:$E$29,$A484)="",$D484&lt;=INDEX(Employees!$E$5:$E$29,$A484))),1,0))</f>
        <v/>
      </c>
      <c r="H484" s="50">
        <f>IF($G484=0,0,IF(INDEX(Employees!$D$5:$D$29,$A484)="",0,DATEDIF(INDEX(Employees!$D$5:$D$29,$A484),$E484,"y")))</f>
        <v/>
      </c>
      <c r="I484" s="51">
        <f>IF($G484=0,0,IF(INDEX('Hours Worked'!$D$5:$BD$29,$A484,$B484)="",N(INDEX(Employees!$H$5:$H$29,$A484)),INDEX('Hours Worked'!$D$5:$BD$29,$A484,$B484)))</f>
        <v/>
      </c>
      <c r="J484" s="51">
        <f>IF(OR($G484=0,INDEX(Employees!$O$5:$O$29,$A484)&lt;&gt;"Yes"),0,IF(COUNTIF(Settings!$D$4:$D$9,"&lt;="&amp;$H484)=0,0,INDEX(Settings!$E$4:$E$9,COUNTIF(Settings!$D$4:$D$9,"&lt;="&amp;$H484))))</f>
        <v/>
      </c>
      <c r="K484" s="51">
        <f>IF($G484=0,0,IF(INDEX(Employees!$I$5:$I$29,$A484)="Per pay period",(N(INDEX(Employees!$J$5:$J$29,$A484))+$J484)/Settings!$B$13,IF(INDEX(Employees!$I$5:$I$29,$A484)="Per hour worked",N(INDEX(Employees!$K$5:$K$29,$A484))*$I484,IF(INDEX(Employees!$I$5:$I$29,$A484)="Front-loaded",IF(OR($B484=1,N($G483)=0),N(INDEX(Employees!$J$5:$J$29,$A484))+$J484,0),0))))</f>
        <v/>
      </c>
      <c r="L484" s="51">
        <f>IF($F484=0,0,SUMIFS('Time Off Log'!$H$5:$H$504,'Time Off Log'!$A$5:$A$504,$C484,'Time Off Log'!$B$5:$B$504,"PTO",'Time Off Log'!$E$5:$E$504,"Approved",'Time Off Log'!$C$5:$C$504,"&gt;="&amp;INDEX(Periods!$E$5:$E$57,$B484),'Time Off Log'!$C$5:$C$504,"&lt;="&amp;INDEX(Periods!$F$5:$F$57,$B484)))</f>
        <v/>
      </c>
      <c r="M484" s="51">
        <f>IF($B484=1,N(INDEX(Employees!$N$5:$N$29,$A484)),P483)</f>
        <v/>
      </c>
      <c r="N484" s="51">
        <f>IF(INDEX(Employees!$L$5:$L$29,$A484)="",K484,MAX(0,MIN(K484,INDEX(Employees!$L$5:$L$29,$A484)-(M484-L484))))</f>
        <v/>
      </c>
      <c r="O484" s="51">
        <f>K484-N484</f>
        <v/>
      </c>
      <c r="P484" s="51">
        <f>M484-L484+N484</f>
        <v/>
      </c>
      <c r="Q484" s="51">
        <f>IF($G484=0,0,IF(INDEX(Employees!$P$5:$P$29,$A484)="Per pay period",(N(INDEX(Employees!$Q$5:$Q$29,$A484)))/Settings!$B$13,IF(INDEX(Employees!$P$5:$P$29,$A484)="Per hour worked",N(INDEX(Employees!$R$5:$R$29,$A484))*$I484,IF(INDEX(Employees!$P$5:$P$29,$A484)="Front-loaded",IF(OR($B484=1,N($G483)=0),N(INDEX(Employees!$Q$5:$Q$29,$A484)),0),0))))</f>
        <v/>
      </c>
      <c r="R484" s="51">
        <f>IF($F484=0,0,SUMIFS('Time Off Log'!$H$5:$H$504,'Time Off Log'!$A$5:$A$504,$C484,'Time Off Log'!$B$5:$B$504,"Sick",'Time Off Log'!$E$5:$E$504,"Approved",'Time Off Log'!$C$5:$C$504,"&gt;="&amp;INDEX(Periods!$E$5:$E$57,$B484),'Time Off Log'!$C$5:$C$504,"&lt;="&amp;INDEX(Periods!$F$5:$F$57,$B484)))</f>
        <v/>
      </c>
      <c r="S484" s="51">
        <f>IF($B484=1,N(INDEX(Employees!$T$5:$T$29,$A484)),V483)</f>
        <v/>
      </c>
      <c r="T484" s="51">
        <f>IF(INDEX(Employees!$S$5:$S$29,$A484)="",Q484,MAX(0,MIN(Q484,INDEX(Employees!$S$5:$S$29,$A484)-(S484-R484))))</f>
        <v/>
      </c>
      <c r="U484" s="51">
        <f>Q484-T484</f>
        <v/>
      </c>
      <c r="V484" s="51">
        <f>S484-R484+T484</f>
        <v/>
      </c>
    </row>
    <row r="485">
      <c r="A485" s="50" t="n">
        <v>10</v>
      </c>
      <c r="B485" s="50" t="n">
        <v>4</v>
      </c>
      <c r="C485" s="51">
        <f>INDEX(Employees!$B$5:$B$29,$A485)&amp;""</f>
        <v/>
      </c>
      <c r="D485" s="52">
        <f>INDEX(Periods!$B$5:$B$57,$B485)</f>
        <v/>
      </c>
      <c r="E485" s="52">
        <f>INDEX(Periods!$C$5:$C$57,$B485)</f>
        <v/>
      </c>
      <c r="F485" s="50">
        <f>IF(AND($C485&lt;&gt;"",INDEX(Periods!$D$5:$D$57,$B485)=1),1,0)</f>
        <v/>
      </c>
      <c r="G485" s="50">
        <f>IF($F485=0,0,IF(AND(OR(INDEX(Employees!$D$5:$D$29,$A485)="",$E485&gt;=INDEX(Employees!$D$5:$D$29,$A485)+N(INDEX(Employees!$U$5:$U$29,$A485))),OR(INDEX(Employees!$E$5:$E$29,$A485)="",$D485&lt;=INDEX(Employees!$E$5:$E$29,$A485))),1,0))</f>
        <v/>
      </c>
      <c r="H485" s="50">
        <f>IF($G485=0,0,IF(INDEX(Employees!$D$5:$D$29,$A485)="",0,DATEDIF(INDEX(Employees!$D$5:$D$29,$A485),$E485,"y")))</f>
        <v/>
      </c>
      <c r="I485" s="51">
        <f>IF($G485=0,0,IF(INDEX('Hours Worked'!$D$5:$BD$29,$A485,$B485)="",N(INDEX(Employees!$H$5:$H$29,$A485)),INDEX('Hours Worked'!$D$5:$BD$29,$A485,$B485)))</f>
        <v/>
      </c>
      <c r="J485" s="51">
        <f>IF(OR($G485=0,INDEX(Employees!$O$5:$O$29,$A485)&lt;&gt;"Yes"),0,IF(COUNTIF(Settings!$D$4:$D$9,"&lt;="&amp;$H485)=0,0,INDEX(Settings!$E$4:$E$9,COUNTIF(Settings!$D$4:$D$9,"&lt;="&amp;$H485))))</f>
        <v/>
      </c>
      <c r="K485" s="51">
        <f>IF($G485=0,0,IF(INDEX(Employees!$I$5:$I$29,$A485)="Per pay period",(N(INDEX(Employees!$J$5:$J$29,$A485))+$J485)/Settings!$B$13,IF(INDEX(Employees!$I$5:$I$29,$A485)="Per hour worked",N(INDEX(Employees!$K$5:$K$29,$A485))*$I485,IF(INDEX(Employees!$I$5:$I$29,$A485)="Front-loaded",IF(OR($B485=1,N($G484)=0),N(INDEX(Employees!$J$5:$J$29,$A485))+$J485,0),0))))</f>
        <v/>
      </c>
      <c r="L485" s="51">
        <f>IF($F485=0,0,SUMIFS('Time Off Log'!$H$5:$H$504,'Time Off Log'!$A$5:$A$504,$C485,'Time Off Log'!$B$5:$B$504,"PTO",'Time Off Log'!$E$5:$E$504,"Approved",'Time Off Log'!$C$5:$C$504,"&gt;="&amp;INDEX(Periods!$E$5:$E$57,$B485),'Time Off Log'!$C$5:$C$504,"&lt;="&amp;INDEX(Periods!$F$5:$F$57,$B485)))</f>
        <v/>
      </c>
      <c r="M485" s="51">
        <f>IF($B485=1,N(INDEX(Employees!$N$5:$N$29,$A485)),P484)</f>
        <v/>
      </c>
      <c r="N485" s="51">
        <f>IF(INDEX(Employees!$L$5:$L$29,$A485)="",K485,MAX(0,MIN(K485,INDEX(Employees!$L$5:$L$29,$A485)-(M485-L485))))</f>
        <v/>
      </c>
      <c r="O485" s="51">
        <f>K485-N485</f>
        <v/>
      </c>
      <c r="P485" s="51">
        <f>M485-L485+N485</f>
        <v/>
      </c>
      <c r="Q485" s="51">
        <f>IF($G485=0,0,IF(INDEX(Employees!$P$5:$P$29,$A485)="Per pay period",(N(INDEX(Employees!$Q$5:$Q$29,$A485)))/Settings!$B$13,IF(INDEX(Employees!$P$5:$P$29,$A485)="Per hour worked",N(INDEX(Employees!$R$5:$R$29,$A485))*$I485,IF(INDEX(Employees!$P$5:$P$29,$A485)="Front-loaded",IF(OR($B485=1,N($G484)=0),N(INDEX(Employees!$Q$5:$Q$29,$A485)),0),0))))</f>
        <v/>
      </c>
      <c r="R485" s="51">
        <f>IF($F485=0,0,SUMIFS('Time Off Log'!$H$5:$H$504,'Time Off Log'!$A$5:$A$504,$C485,'Time Off Log'!$B$5:$B$504,"Sick",'Time Off Log'!$E$5:$E$504,"Approved",'Time Off Log'!$C$5:$C$504,"&gt;="&amp;INDEX(Periods!$E$5:$E$57,$B485),'Time Off Log'!$C$5:$C$504,"&lt;="&amp;INDEX(Periods!$F$5:$F$57,$B485)))</f>
        <v/>
      </c>
      <c r="S485" s="51">
        <f>IF($B485=1,N(INDEX(Employees!$T$5:$T$29,$A485)),V484)</f>
        <v/>
      </c>
      <c r="T485" s="51">
        <f>IF(INDEX(Employees!$S$5:$S$29,$A485)="",Q485,MAX(0,MIN(Q485,INDEX(Employees!$S$5:$S$29,$A485)-(S485-R485))))</f>
        <v/>
      </c>
      <c r="U485" s="51">
        <f>Q485-T485</f>
        <v/>
      </c>
      <c r="V485" s="51">
        <f>S485-R485+T485</f>
        <v/>
      </c>
    </row>
    <row r="486">
      <c r="A486" s="50" t="n">
        <v>10</v>
      </c>
      <c r="B486" s="50" t="n">
        <v>5</v>
      </c>
      <c r="C486" s="51">
        <f>INDEX(Employees!$B$5:$B$29,$A486)&amp;""</f>
        <v/>
      </c>
      <c r="D486" s="52">
        <f>INDEX(Periods!$B$5:$B$57,$B486)</f>
        <v/>
      </c>
      <c r="E486" s="52">
        <f>INDEX(Periods!$C$5:$C$57,$B486)</f>
        <v/>
      </c>
      <c r="F486" s="50">
        <f>IF(AND($C486&lt;&gt;"",INDEX(Periods!$D$5:$D$57,$B486)=1),1,0)</f>
        <v/>
      </c>
      <c r="G486" s="50">
        <f>IF($F486=0,0,IF(AND(OR(INDEX(Employees!$D$5:$D$29,$A486)="",$E486&gt;=INDEX(Employees!$D$5:$D$29,$A486)+N(INDEX(Employees!$U$5:$U$29,$A486))),OR(INDEX(Employees!$E$5:$E$29,$A486)="",$D486&lt;=INDEX(Employees!$E$5:$E$29,$A486))),1,0))</f>
        <v/>
      </c>
      <c r="H486" s="50">
        <f>IF($G486=0,0,IF(INDEX(Employees!$D$5:$D$29,$A486)="",0,DATEDIF(INDEX(Employees!$D$5:$D$29,$A486),$E486,"y")))</f>
        <v/>
      </c>
      <c r="I486" s="51">
        <f>IF($G486=0,0,IF(INDEX('Hours Worked'!$D$5:$BD$29,$A486,$B486)="",N(INDEX(Employees!$H$5:$H$29,$A486)),INDEX('Hours Worked'!$D$5:$BD$29,$A486,$B486)))</f>
        <v/>
      </c>
      <c r="J486" s="51">
        <f>IF(OR($G486=0,INDEX(Employees!$O$5:$O$29,$A486)&lt;&gt;"Yes"),0,IF(COUNTIF(Settings!$D$4:$D$9,"&lt;="&amp;$H486)=0,0,INDEX(Settings!$E$4:$E$9,COUNTIF(Settings!$D$4:$D$9,"&lt;="&amp;$H486))))</f>
        <v/>
      </c>
      <c r="K486" s="51">
        <f>IF($G486=0,0,IF(INDEX(Employees!$I$5:$I$29,$A486)="Per pay period",(N(INDEX(Employees!$J$5:$J$29,$A486))+$J486)/Settings!$B$13,IF(INDEX(Employees!$I$5:$I$29,$A486)="Per hour worked",N(INDEX(Employees!$K$5:$K$29,$A486))*$I486,IF(INDEX(Employees!$I$5:$I$29,$A486)="Front-loaded",IF(OR($B486=1,N($G485)=0),N(INDEX(Employees!$J$5:$J$29,$A486))+$J486,0),0))))</f>
        <v/>
      </c>
      <c r="L486" s="51">
        <f>IF($F486=0,0,SUMIFS('Time Off Log'!$H$5:$H$504,'Time Off Log'!$A$5:$A$504,$C486,'Time Off Log'!$B$5:$B$504,"PTO",'Time Off Log'!$E$5:$E$504,"Approved",'Time Off Log'!$C$5:$C$504,"&gt;="&amp;INDEX(Periods!$E$5:$E$57,$B486),'Time Off Log'!$C$5:$C$504,"&lt;="&amp;INDEX(Periods!$F$5:$F$57,$B486)))</f>
        <v/>
      </c>
      <c r="M486" s="51">
        <f>IF($B486=1,N(INDEX(Employees!$N$5:$N$29,$A486)),P485)</f>
        <v/>
      </c>
      <c r="N486" s="51">
        <f>IF(INDEX(Employees!$L$5:$L$29,$A486)="",K486,MAX(0,MIN(K486,INDEX(Employees!$L$5:$L$29,$A486)-(M486-L486))))</f>
        <v/>
      </c>
      <c r="O486" s="51">
        <f>K486-N486</f>
        <v/>
      </c>
      <c r="P486" s="51">
        <f>M486-L486+N486</f>
        <v/>
      </c>
      <c r="Q486" s="51">
        <f>IF($G486=0,0,IF(INDEX(Employees!$P$5:$P$29,$A486)="Per pay period",(N(INDEX(Employees!$Q$5:$Q$29,$A486)))/Settings!$B$13,IF(INDEX(Employees!$P$5:$P$29,$A486)="Per hour worked",N(INDEX(Employees!$R$5:$R$29,$A486))*$I486,IF(INDEX(Employees!$P$5:$P$29,$A486)="Front-loaded",IF(OR($B486=1,N($G485)=0),N(INDEX(Employees!$Q$5:$Q$29,$A486)),0),0))))</f>
        <v/>
      </c>
      <c r="R486" s="51">
        <f>IF($F486=0,0,SUMIFS('Time Off Log'!$H$5:$H$504,'Time Off Log'!$A$5:$A$504,$C486,'Time Off Log'!$B$5:$B$504,"Sick",'Time Off Log'!$E$5:$E$504,"Approved",'Time Off Log'!$C$5:$C$504,"&gt;="&amp;INDEX(Periods!$E$5:$E$57,$B486),'Time Off Log'!$C$5:$C$504,"&lt;="&amp;INDEX(Periods!$F$5:$F$57,$B486)))</f>
        <v/>
      </c>
      <c r="S486" s="51">
        <f>IF($B486=1,N(INDEX(Employees!$T$5:$T$29,$A486)),V485)</f>
        <v/>
      </c>
      <c r="T486" s="51">
        <f>IF(INDEX(Employees!$S$5:$S$29,$A486)="",Q486,MAX(0,MIN(Q486,INDEX(Employees!$S$5:$S$29,$A486)-(S486-R486))))</f>
        <v/>
      </c>
      <c r="U486" s="51">
        <f>Q486-T486</f>
        <v/>
      </c>
      <c r="V486" s="51">
        <f>S486-R486+T486</f>
        <v/>
      </c>
    </row>
    <row r="487">
      <c r="A487" s="50" t="n">
        <v>10</v>
      </c>
      <c r="B487" s="50" t="n">
        <v>6</v>
      </c>
      <c r="C487" s="51">
        <f>INDEX(Employees!$B$5:$B$29,$A487)&amp;""</f>
        <v/>
      </c>
      <c r="D487" s="52">
        <f>INDEX(Periods!$B$5:$B$57,$B487)</f>
        <v/>
      </c>
      <c r="E487" s="52">
        <f>INDEX(Periods!$C$5:$C$57,$B487)</f>
        <v/>
      </c>
      <c r="F487" s="50">
        <f>IF(AND($C487&lt;&gt;"",INDEX(Periods!$D$5:$D$57,$B487)=1),1,0)</f>
        <v/>
      </c>
      <c r="G487" s="50">
        <f>IF($F487=0,0,IF(AND(OR(INDEX(Employees!$D$5:$D$29,$A487)="",$E487&gt;=INDEX(Employees!$D$5:$D$29,$A487)+N(INDEX(Employees!$U$5:$U$29,$A487))),OR(INDEX(Employees!$E$5:$E$29,$A487)="",$D487&lt;=INDEX(Employees!$E$5:$E$29,$A487))),1,0))</f>
        <v/>
      </c>
      <c r="H487" s="50">
        <f>IF($G487=0,0,IF(INDEX(Employees!$D$5:$D$29,$A487)="",0,DATEDIF(INDEX(Employees!$D$5:$D$29,$A487),$E487,"y")))</f>
        <v/>
      </c>
      <c r="I487" s="51">
        <f>IF($G487=0,0,IF(INDEX('Hours Worked'!$D$5:$BD$29,$A487,$B487)="",N(INDEX(Employees!$H$5:$H$29,$A487)),INDEX('Hours Worked'!$D$5:$BD$29,$A487,$B487)))</f>
        <v/>
      </c>
      <c r="J487" s="51">
        <f>IF(OR($G487=0,INDEX(Employees!$O$5:$O$29,$A487)&lt;&gt;"Yes"),0,IF(COUNTIF(Settings!$D$4:$D$9,"&lt;="&amp;$H487)=0,0,INDEX(Settings!$E$4:$E$9,COUNTIF(Settings!$D$4:$D$9,"&lt;="&amp;$H487))))</f>
        <v/>
      </c>
      <c r="K487" s="51">
        <f>IF($G487=0,0,IF(INDEX(Employees!$I$5:$I$29,$A487)="Per pay period",(N(INDEX(Employees!$J$5:$J$29,$A487))+$J487)/Settings!$B$13,IF(INDEX(Employees!$I$5:$I$29,$A487)="Per hour worked",N(INDEX(Employees!$K$5:$K$29,$A487))*$I487,IF(INDEX(Employees!$I$5:$I$29,$A487)="Front-loaded",IF(OR($B487=1,N($G486)=0),N(INDEX(Employees!$J$5:$J$29,$A487))+$J487,0),0))))</f>
        <v/>
      </c>
      <c r="L487" s="51">
        <f>IF($F487=0,0,SUMIFS('Time Off Log'!$H$5:$H$504,'Time Off Log'!$A$5:$A$504,$C487,'Time Off Log'!$B$5:$B$504,"PTO",'Time Off Log'!$E$5:$E$504,"Approved",'Time Off Log'!$C$5:$C$504,"&gt;="&amp;INDEX(Periods!$E$5:$E$57,$B487),'Time Off Log'!$C$5:$C$504,"&lt;="&amp;INDEX(Periods!$F$5:$F$57,$B487)))</f>
        <v/>
      </c>
      <c r="M487" s="51">
        <f>IF($B487=1,N(INDEX(Employees!$N$5:$N$29,$A487)),P486)</f>
        <v/>
      </c>
      <c r="N487" s="51">
        <f>IF(INDEX(Employees!$L$5:$L$29,$A487)="",K487,MAX(0,MIN(K487,INDEX(Employees!$L$5:$L$29,$A487)-(M487-L487))))</f>
        <v/>
      </c>
      <c r="O487" s="51">
        <f>K487-N487</f>
        <v/>
      </c>
      <c r="P487" s="51">
        <f>M487-L487+N487</f>
        <v/>
      </c>
      <c r="Q487" s="51">
        <f>IF($G487=0,0,IF(INDEX(Employees!$P$5:$P$29,$A487)="Per pay period",(N(INDEX(Employees!$Q$5:$Q$29,$A487)))/Settings!$B$13,IF(INDEX(Employees!$P$5:$P$29,$A487)="Per hour worked",N(INDEX(Employees!$R$5:$R$29,$A487))*$I487,IF(INDEX(Employees!$P$5:$P$29,$A487)="Front-loaded",IF(OR($B487=1,N($G486)=0),N(INDEX(Employees!$Q$5:$Q$29,$A487)),0),0))))</f>
        <v/>
      </c>
      <c r="R487" s="51">
        <f>IF($F487=0,0,SUMIFS('Time Off Log'!$H$5:$H$504,'Time Off Log'!$A$5:$A$504,$C487,'Time Off Log'!$B$5:$B$504,"Sick",'Time Off Log'!$E$5:$E$504,"Approved",'Time Off Log'!$C$5:$C$504,"&gt;="&amp;INDEX(Periods!$E$5:$E$57,$B487),'Time Off Log'!$C$5:$C$504,"&lt;="&amp;INDEX(Periods!$F$5:$F$57,$B487)))</f>
        <v/>
      </c>
      <c r="S487" s="51">
        <f>IF($B487=1,N(INDEX(Employees!$T$5:$T$29,$A487)),V486)</f>
        <v/>
      </c>
      <c r="T487" s="51">
        <f>IF(INDEX(Employees!$S$5:$S$29,$A487)="",Q487,MAX(0,MIN(Q487,INDEX(Employees!$S$5:$S$29,$A487)-(S487-R487))))</f>
        <v/>
      </c>
      <c r="U487" s="51">
        <f>Q487-T487</f>
        <v/>
      </c>
      <c r="V487" s="51">
        <f>S487-R487+T487</f>
        <v/>
      </c>
    </row>
    <row r="488">
      <c r="A488" s="50" t="n">
        <v>10</v>
      </c>
      <c r="B488" s="50" t="n">
        <v>7</v>
      </c>
      <c r="C488" s="51">
        <f>INDEX(Employees!$B$5:$B$29,$A488)&amp;""</f>
        <v/>
      </c>
      <c r="D488" s="52">
        <f>INDEX(Periods!$B$5:$B$57,$B488)</f>
        <v/>
      </c>
      <c r="E488" s="52">
        <f>INDEX(Periods!$C$5:$C$57,$B488)</f>
        <v/>
      </c>
      <c r="F488" s="50">
        <f>IF(AND($C488&lt;&gt;"",INDEX(Periods!$D$5:$D$57,$B488)=1),1,0)</f>
        <v/>
      </c>
      <c r="G488" s="50">
        <f>IF($F488=0,0,IF(AND(OR(INDEX(Employees!$D$5:$D$29,$A488)="",$E488&gt;=INDEX(Employees!$D$5:$D$29,$A488)+N(INDEX(Employees!$U$5:$U$29,$A488))),OR(INDEX(Employees!$E$5:$E$29,$A488)="",$D488&lt;=INDEX(Employees!$E$5:$E$29,$A488))),1,0))</f>
        <v/>
      </c>
      <c r="H488" s="50">
        <f>IF($G488=0,0,IF(INDEX(Employees!$D$5:$D$29,$A488)="",0,DATEDIF(INDEX(Employees!$D$5:$D$29,$A488),$E488,"y")))</f>
        <v/>
      </c>
      <c r="I488" s="51">
        <f>IF($G488=0,0,IF(INDEX('Hours Worked'!$D$5:$BD$29,$A488,$B488)="",N(INDEX(Employees!$H$5:$H$29,$A488)),INDEX('Hours Worked'!$D$5:$BD$29,$A488,$B488)))</f>
        <v/>
      </c>
      <c r="J488" s="51">
        <f>IF(OR($G488=0,INDEX(Employees!$O$5:$O$29,$A488)&lt;&gt;"Yes"),0,IF(COUNTIF(Settings!$D$4:$D$9,"&lt;="&amp;$H488)=0,0,INDEX(Settings!$E$4:$E$9,COUNTIF(Settings!$D$4:$D$9,"&lt;="&amp;$H488))))</f>
        <v/>
      </c>
      <c r="K488" s="51">
        <f>IF($G488=0,0,IF(INDEX(Employees!$I$5:$I$29,$A488)="Per pay period",(N(INDEX(Employees!$J$5:$J$29,$A488))+$J488)/Settings!$B$13,IF(INDEX(Employees!$I$5:$I$29,$A488)="Per hour worked",N(INDEX(Employees!$K$5:$K$29,$A488))*$I488,IF(INDEX(Employees!$I$5:$I$29,$A488)="Front-loaded",IF(OR($B488=1,N($G487)=0),N(INDEX(Employees!$J$5:$J$29,$A488))+$J488,0),0))))</f>
        <v/>
      </c>
      <c r="L488" s="51">
        <f>IF($F488=0,0,SUMIFS('Time Off Log'!$H$5:$H$504,'Time Off Log'!$A$5:$A$504,$C488,'Time Off Log'!$B$5:$B$504,"PTO",'Time Off Log'!$E$5:$E$504,"Approved",'Time Off Log'!$C$5:$C$504,"&gt;="&amp;INDEX(Periods!$E$5:$E$57,$B488),'Time Off Log'!$C$5:$C$504,"&lt;="&amp;INDEX(Periods!$F$5:$F$57,$B488)))</f>
        <v/>
      </c>
      <c r="M488" s="51">
        <f>IF($B488=1,N(INDEX(Employees!$N$5:$N$29,$A488)),P487)</f>
        <v/>
      </c>
      <c r="N488" s="51">
        <f>IF(INDEX(Employees!$L$5:$L$29,$A488)="",K488,MAX(0,MIN(K488,INDEX(Employees!$L$5:$L$29,$A488)-(M488-L488))))</f>
        <v/>
      </c>
      <c r="O488" s="51">
        <f>K488-N488</f>
        <v/>
      </c>
      <c r="P488" s="51">
        <f>M488-L488+N488</f>
        <v/>
      </c>
      <c r="Q488" s="51">
        <f>IF($G488=0,0,IF(INDEX(Employees!$P$5:$P$29,$A488)="Per pay period",(N(INDEX(Employees!$Q$5:$Q$29,$A488)))/Settings!$B$13,IF(INDEX(Employees!$P$5:$P$29,$A488)="Per hour worked",N(INDEX(Employees!$R$5:$R$29,$A488))*$I488,IF(INDEX(Employees!$P$5:$P$29,$A488)="Front-loaded",IF(OR($B488=1,N($G487)=0),N(INDEX(Employees!$Q$5:$Q$29,$A488)),0),0))))</f>
        <v/>
      </c>
      <c r="R488" s="51">
        <f>IF($F488=0,0,SUMIFS('Time Off Log'!$H$5:$H$504,'Time Off Log'!$A$5:$A$504,$C488,'Time Off Log'!$B$5:$B$504,"Sick",'Time Off Log'!$E$5:$E$504,"Approved",'Time Off Log'!$C$5:$C$504,"&gt;="&amp;INDEX(Periods!$E$5:$E$57,$B488),'Time Off Log'!$C$5:$C$504,"&lt;="&amp;INDEX(Periods!$F$5:$F$57,$B488)))</f>
        <v/>
      </c>
      <c r="S488" s="51">
        <f>IF($B488=1,N(INDEX(Employees!$T$5:$T$29,$A488)),V487)</f>
        <v/>
      </c>
      <c r="T488" s="51">
        <f>IF(INDEX(Employees!$S$5:$S$29,$A488)="",Q488,MAX(0,MIN(Q488,INDEX(Employees!$S$5:$S$29,$A488)-(S488-R488))))</f>
        <v/>
      </c>
      <c r="U488" s="51">
        <f>Q488-T488</f>
        <v/>
      </c>
      <c r="V488" s="51">
        <f>S488-R488+T488</f>
        <v/>
      </c>
    </row>
    <row r="489">
      <c r="A489" s="50" t="n">
        <v>10</v>
      </c>
      <c r="B489" s="50" t="n">
        <v>8</v>
      </c>
      <c r="C489" s="51">
        <f>INDEX(Employees!$B$5:$B$29,$A489)&amp;""</f>
        <v/>
      </c>
      <c r="D489" s="52">
        <f>INDEX(Periods!$B$5:$B$57,$B489)</f>
        <v/>
      </c>
      <c r="E489" s="52">
        <f>INDEX(Periods!$C$5:$C$57,$B489)</f>
        <v/>
      </c>
      <c r="F489" s="50">
        <f>IF(AND($C489&lt;&gt;"",INDEX(Periods!$D$5:$D$57,$B489)=1),1,0)</f>
        <v/>
      </c>
      <c r="G489" s="50">
        <f>IF($F489=0,0,IF(AND(OR(INDEX(Employees!$D$5:$D$29,$A489)="",$E489&gt;=INDEX(Employees!$D$5:$D$29,$A489)+N(INDEX(Employees!$U$5:$U$29,$A489))),OR(INDEX(Employees!$E$5:$E$29,$A489)="",$D489&lt;=INDEX(Employees!$E$5:$E$29,$A489))),1,0))</f>
        <v/>
      </c>
      <c r="H489" s="50">
        <f>IF($G489=0,0,IF(INDEX(Employees!$D$5:$D$29,$A489)="",0,DATEDIF(INDEX(Employees!$D$5:$D$29,$A489),$E489,"y")))</f>
        <v/>
      </c>
      <c r="I489" s="51">
        <f>IF($G489=0,0,IF(INDEX('Hours Worked'!$D$5:$BD$29,$A489,$B489)="",N(INDEX(Employees!$H$5:$H$29,$A489)),INDEX('Hours Worked'!$D$5:$BD$29,$A489,$B489)))</f>
        <v/>
      </c>
      <c r="J489" s="51">
        <f>IF(OR($G489=0,INDEX(Employees!$O$5:$O$29,$A489)&lt;&gt;"Yes"),0,IF(COUNTIF(Settings!$D$4:$D$9,"&lt;="&amp;$H489)=0,0,INDEX(Settings!$E$4:$E$9,COUNTIF(Settings!$D$4:$D$9,"&lt;="&amp;$H489))))</f>
        <v/>
      </c>
      <c r="K489" s="51">
        <f>IF($G489=0,0,IF(INDEX(Employees!$I$5:$I$29,$A489)="Per pay period",(N(INDEX(Employees!$J$5:$J$29,$A489))+$J489)/Settings!$B$13,IF(INDEX(Employees!$I$5:$I$29,$A489)="Per hour worked",N(INDEX(Employees!$K$5:$K$29,$A489))*$I489,IF(INDEX(Employees!$I$5:$I$29,$A489)="Front-loaded",IF(OR($B489=1,N($G488)=0),N(INDEX(Employees!$J$5:$J$29,$A489))+$J489,0),0))))</f>
        <v/>
      </c>
      <c r="L489" s="51">
        <f>IF($F489=0,0,SUMIFS('Time Off Log'!$H$5:$H$504,'Time Off Log'!$A$5:$A$504,$C489,'Time Off Log'!$B$5:$B$504,"PTO",'Time Off Log'!$E$5:$E$504,"Approved",'Time Off Log'!$C$5:$C$504,"&gt;="&amp;INDEX(Periods!$E$5:$E$57,$B489),'Time Off Log'!$C$5:$C$504,"&lt;="&amp;INDEX(Periods!$F$5:$F$57,$B489)))</f>
        <v/>
      </c>
      <c r="M489" s="51">
        <f>IF($B489=1,N(INDEX(Employees!$N$5:$N$29,$A489)),P488)</f>
        <v/>
      </c>
      <c r="N489" s="51">
        <f>IF(INDEX(Employees!$L$5:$L$29,$A489)="",K489,MAX(0,MIN(K489,INDEX(Employees!$L$5:$L$29,$A489)-(M489-L489))))</f>
        <v/>
      </c>
      <c r="O489" s="51">
        <f>K489-N489</f>
        <v/>
      </c>
      <c r="P489" s="51">
        <f>M489-L489+N489</f>
        <v/>
      </c>
      <c r="Q489" s="51">
        <f>IF($G489=0,0,IF(INDEX(Employees!$P$5:$P$29,$A489)="Per pay period",(N(INDEX(Employees!$Q$5:$Q$29,$A489)))/Settings!$B$13,IF(INDEX(Employees!$P$5:$P$29,$A489)="Per hour worked",N(INDEX(Employees!$R$5:$R$29,$A489))*$I489,IF(INDEX(Employees!$P$5:$P$29,$A489)="Front-loaded",IF(OR($B489=1,N($G488)=0),N(INDEX(Employees!$Q$5:$Q$29,$A489)),0),0))))</f>
        <v/>
      </c>
      <c r="R489" s="51">
        <f>IF($F489=0,0,SUMIFS('Time Off Log'!$H$5:$H$504,'Time Off Log'!$A$5:$A$504,$C489,'Time Off Log'!$B$5:$B$504,"Sick",'Time Off Log'!$E$5:$E$504,"Approved",'Time Off Log'!$C$5:$C$504,"&gt;="&amp;INDEX(Periods!$E$5:$E$57,$B489),'Time Off Log'!$C$5:$C$504,"&lt;="&amp;INDEX(Periods!$F$5:$F$57,$B489)))</f>
        <v/>
      </c>
      <c r="S489" s="51">
        <f>IF($B489=1,N(INDEX(Employees!$T$5:$T$29,$A489)),V488)</f>
        <v/>
      </c>
      <c r="T489" s="51">
        <f>IF(INDEX(Employees!$S$5:$S$29,$A489)="",Q489,MAX(0,MIN(Q489,INDEX(Employees!$S$5:$S$29,$A489)-(S489-R489))))</f>
        <v/>
      </c>
      <c r="U489" s="51">
        <f>Q489-T489</f>
        <v/>
      </c>
      <c r="V489" s="51">
        <f>S489-R489+T489</f>
        <v/>
      </c>
    </row>
    <row r="490">
      <c r="A490" s="50" t="n">
        <v>10</v>
      </c>
      <c r="B490" s="50" t="n">
        <v>9</v>
      </c>
      <c r="C490" s="51">
        <f>INDEX(Employees!$B$5:$B$29,$A490)&amp;""</f>
        <v/>
      </c>
      <c r="D490" s="52">
        <f>INDEX(Periods!$B$5:$B$57,$B490)</f>
        <v/>
      </c>
      <c r="E490" s="52">
        <f>INDEX(Periods!$C$5:$C$57,$B490)</f>
        <v/>
      </c>
      <c r="F490" s="50">
        <f>IF(AND($C490&lt;&gt;"",INDEX(Periods!$D$5:$D$57,$B490)=1),1,0)</f>
        <v/>
      </c>
      <c r="G490" s="50">
        <f>IF($F490=0,0,IF(AND(OR(INDEX(Employees!$D$5:$D$29,$A490)="",$E490&gt;=INDEX(Employees!$D$5:$D$29,$A490)+N(INDEX(Employees!$U$5:$U$29,$A490))),OR(INDEX(Employees!$E$5:$E$29,$A490)="",$D490&lt;=INDEX(Employees!$E$5:$E$29,$A490))),1,0))</f>
        <v/>
      </c>
      <c r="H490" s="50">
        <f>IF($G490=0,0,IF(INDEX(Employees!$D$5:$D$29,$A490)="",0,DATEDIF(INDEX(Employees!$D$5:$D$29,$A490),$E490,"y")))</f>
        <v/>
      </c>
      <c r="I490" s="51">
        <f>IF($G490=0,0,IF(INDEX('Hours Worked'!$D$5:$BD$29,$A490,$B490)="",N(INDEX(Employees!$H$5:$H$29,$A490)),INDEX('Hours Worked'!$D$5:$BD$29,$A490,$B490)))</f>
        <v/>
      </c>
      <c r="J490" s="51">
        <f>IF(OR($G490=0,INDEX(Employees!$O$5:$O$29,$A490)&lt;&gt;"Yes"),0,IF(COUNTIF(Settings!$D$4:$D$9,"&lt;="&amp;$H490)=0,0,INDEX(Settings!$E$4:$E$9,COUNTIF(Settings!$D$4:$D$9,"&lt;="&amp;$H490))))</f>
        <v/>
      </c>
      <c r="K490" s="51">
        <f>IF($G490=0,0,IF(INDEX(Employees!$I$5:$I$29,$A490)="Per pay period",(N(INDEX(Employees!$J$5:$J$29,$A490))+$J490)/Settings!$B$13,IF(INDEX(Employees!$I$5:$I$29,$A490)="Per hour worked",N(INDEX(Employees!$K$5:$K$29,$A490))*$I490,IF(INDEX(Employees!$I$5:$I$29,$A490)="Front-loaded",IF(OR($B490=1,N($G489)=0),N(INDEX(Employees!$J$5:$J$29,$A490))+$J490,0),0))))</f>
        <v/>
      </c>
      <c r="L490" s="51">
        <f>IF($F490=0,0,SUMIFS('Time Off Log'!$H$5:$H$504,'Time Off Log'!$A$5:$A$504,$C490,'Time Off Log'!$B$5:$B$504,"PTO",'Time Off Log'!$E$5:$E$504,"Approved",'Time Off Log'!$C$5:$C$504,"&gt;="&amp;INDEX(Periods!$E$5:$E$57,$B490),'Time Off Log'!$C$5:$C$504,"&lt;="&amp;INDEX(Periods!$F$5:$F$57,$B490)))</f>
        <v/>
      </c>
      <c r="M490" s="51">
        <f>IF($B490=1,N(INDEX(Employees!$N$5:$N$29,$A490)),P489)</f>
        <v/>
      </c>
      <c r="N490" s="51">
        <f>IF(INDEX(Employees!$L$5:$L$29,$A490)="",K490,MAX(0,MIN(K490,INDEX(Employees!$L$5:$L$29,$A490)-(M490-L490))))</f>
        <v/>
      </c>
      <c r="O490" s="51">
        <f>K490-N490</f>
        <v/>
      </c>
      <c r="P490" s="51">
        <f>M490-L490+N490</f>
        <v/>
      </c>
      <c r="Q490" s="51">
        <f>IF($G490=0,0,IF(INDEX(Employees!$P$5:$P$29,$A490)="Per pay period",(N(INDEX(Employees!$Q$5:$Q$29,$A490)))/Settings!$B$13,IF(INDEX(Employees!$P$5:$P$29,$A490)="Per hour worked",N(INDEX(Employees!$R$5:$R$29,$A490))*$I490,IF(INDEX(Employees!$P$5:$P$29,$A490)="Front-loaded",IF(OR($B490=1,N($G489)=0),N(INDEX(Employees!$Q$5:$Q$29,$A490)),0),0))))</f>
        <v/>
      </c>
      <c r="R490" s="51">
        <f>IF($F490=0,0,SUMIFS('Time Off Log'!$H$5:$H$504,'Time Off Log'!$A$5:$A$504,$C490,'Time Off Log'!$B$5:$B$504,"Sick",'Time Off Log'!$E$5:$E$504,"Approved",'Time Off Log'!$C$5:$C$504,"&gt;="&amp;INDEX(Periods!$E$5:$E$57,$B490),'Time Off Log'!$C$5:$C$504,"&lt;="&amp;INDEX(Periods!$F$5:$F$57,$B490)))</f>
        <v/>
      </c>
      <c r="S490" s="51">
        <f>IF($B490=1,N(INDEX(Employees!$T$5:$T$29,$A490)),V489)</f>
        <v/>
      </c>
      <c r="T490" s="51">
        <f>IF(INDEX(Employees!$S$5:$S$29,$A490)="",Q490,MAX(0,MIN(Q490,INDEX(Employees!$S$5:$S$29,$A490)-(S490-R490))))</f>
        <v/>
      </c>
      <c r="U490" s="51">
        <f>Q490-T490</f>
        <v/>
      </c>
      <c r="V490" s="51">
        <f>S490-R490+T490</f>
        <v/>
      </c>
    </row>
    <row r="491">
      <c r="A491" s="50" t="n">
        <v>10</v>
      </c>
      <c r="B491" s="50" t="n">
        <v>10</v>
      </c>
      <c r="C491" s="51">
        <f>INDEX(Employees!$B$5:$B$29,$A491)&amp;""</f>
        <v/>
      </c>
      <c r="D491" s="52">
        <f>INDEX(Periods!$B$5:$B$57,$B491)</f>
        <v/>
      </c>
      <c r="E491" s="52">
        <f>INDEX(Periods!$C$5:$C$57,$B491)</f>
        <v/>
      </c>
      <c r="F491" s="50">
        <f>IF(AND($C491&lt;&gt;"",INDEX(Periods!$D$5:$D$57,$B491)=1),1,0)</f>
        <v/>
      </c>
      <c r="G491" s="50">
        <f>IF($F491=0,0,IF(AND(OR(INDEX(Employees!$D$5:$D$29,$A491)="",$E491&gt;=INDEX(Employees!$D$5:$D$29,$A491)+N(INDEX(Employees!$U$5:$U$29,$A491))),OR(INDEX(Employees!$E$5:$E$29,$A491)="",$D491&lt;=INDEX(Employees!$E$5:$E$29,$A491))),1,0))</f>
        <v/>
      </c>
      <c r="H491" s="50">
        <f>IF($G491=0,0,IF(INDEX(Employees!$D$5:$D$29,$A491)="",0,DATEDIF(INDEX(Employees!$D$5:$D$29,$A491),$E491,"y")))</f>
        <v/>
      </c>
      <c r="I491" s="51">
        <f>IF($G491=0,0,IF(INDEX('Hours Worked'!$D$5:$BD$29,$A491,$B491)="",N(INDEX(Employees!$H$5:$H$29,$A491)),INDEX('Hours Worked'!$D$5:$BD$29,$A491,$B491)))</f>
        <v/>
      </c>
      <c r="J491" s="51">
        <f>IF(OR($G491=0,INDEX(Employees!$O$5:$O$29,$A491)&lt;&gt;"Yes"),0,IF(COUNTIF(Settings!$D$4:$D$9,"&lt;="&amp;$H491)=0,0,INDEX(Settings!$E$4:$E$9,COUNTIF(Settings!$D$4:$D$9,"&lt;="&amp;$H491))))</f>
        <v/>
      </c>
      <c r="K491" s="51">
        <f>IF($G491=0,0,IF(INDEX(Employees!$I$5:$I$29,$A491)="Per pay period",(N(INDEX(Employees!$J$5:$J$29,$A491))+$J491)/Settings!$B$13,IF(INDEX(Employees!$I$5:$I$29,$A491)="Per hour worked",N(INDEX(Employees!$K$5:$K$29,$A491))*$I491,IF(INDEX(Employees!$I$5:$I$29,$A491)="Front-loaded",IF(OR($B491=1,N($G490)=0),N(INDEX(Employees!$J$5:$J$29,$A491))+$J491,0),0))))</f>
        <v/>
      </c>
      <c r="L491" s="51">
        <f>IF($F491=0,0,SUMIFS('Time Off Log'!$H$5:$H$504,'Time Off Log'!$A$5:$A$504,$C491,'Time Off Log'!$B$5:$B$504,"PTO",'Time Off Log'!$E$5:$E$504,"Approved",'Time Off Log'!$C$5:$C$504,"&gt;="&amp;INDEX(Periods!$E$5:$E$57,$B491),'Time Off Log'!$C$5:$C$504,"&lt;="&amp;INDEX(Periods!$F$5:$F$57,$B491)))</f>
        <v/>
      </c>
      <c r="M491" s="51">
        <f>IF($B491=1,N(INDEX(Employees!$N$5:$N$29,$A491)),P490)</f>
        <v/>
      </c>
      <c r="N491" s="51">
        <f>IF(INDEX(Employees!$L$5:$L$29,$A491)="",K491,MAX(0,MIN(K491,INDEX(Employees!$L$5:$L$29,$A491)-(M491-L491))))</f>
        <v/>
      </c>
      <c r="O491" s="51">
        <f>K491-N491</f>
        <v/>
      </c>
      <c r="P491" s="51">
        <f>M491-L491+N491</f>
        <v/>
      </c>
      <c r="Q491" s="51">
        <f>IF($G491=0,0,IF(INDEX(Employees!$P$5:$P$29,$A491)="Per pay period",(N(INDEX(Employees!$Q$5:$Q$29,$A491)))/Settings!$B$13,IF(INDEX(Employees!$P$5:$P$29,$A491)="Per hour worked",N(INDEX(Employees!$R$5:$R$29,$A491))*$I491,IF(INDEX(Employees!$P$5:$P$29,$A491)="Front-loaded",IF(OR($B491=1,N($G490)=0),N(INDEX(Employees!$Q$5:$Q$29,$A491)),0),0))))</f>
        <v/>
      </c>
      <c r="R491" s="51">
        <f>IF($F491=0,0,SUMIFS('Time Off Log'!$H$5:$H$504,'Time Off Log'!$A$5:$A$504,$C491,'Time Off Log'!$B$5:$B$504,"Sick",'Time Off Log'!$E$5:$E$504,"Approved",'Time Off Log'!$C$5:$C$504,"&gt;="&amp;INDEX(Periods!$E$5:$E$57,$B491),'Time Off Log'!$C$5:$C$504,"&lt;="&amp;INDEX(Periods!$F$5:$F$57,$B491)))</f>
        <v/>
      </c>
      <c r="S491" s="51">
        <f>IF($B491=1,N(INDEX(Employees!$T$5:$T$29,$A491)),V490)</f>
        <v/>
      </c>
      <c r="T491" s="51">
        <f>IF(INDEX(Employees!$S$5:$S$29,$A491)="",Q491,MAX(0,MIN(Q491,INDEX(Employees!$S$5:$S$29,$A491)-(S491-R491))))</f>
        <v/>
      </c>
      <c r="U491" s="51">
        <f>Q491-T491</f>
        <v/>
      </c>
      <c r="V491" s="51">
        <f>S491-R491+T491</f>
        <v/>
      </c>
    </row>
    <row r="492">
      <c r="A492" s="50" t="n">
        <v>10</v>
      </c>
      <c r="B492" s="50" t="n">
        <v>11</v>
      </c>
      <c r="C492" s="51">
        <f>INDEX(Employees!$B$5:$B$29,$A492)&amp;""</f>
        <v/>
      </c>
      <c r="D492" s="52">
        <f>INDEX(Periods!$B$5:$B$57,$B492)</f>
        <v/>
      </c>
      <c r="E492" s="52">
        <f>INDEX(Periods!$C$5:$C$57,$B492)</f>
        <v/>
      </c>
      <c r="F492" s="50">
        <f>IF(AND($C492&lt;&gt;"",INDEX(Periods!$D$5:$D$57,$B492)=1),1,0)</f>
        <v/>
      </c>
      <c r="G492" s="50">
        <f>IF($F492=0,0,IF(AND(OR(INDEX(Employees!$D$5:$D$29,$A492)="",$E492&gt;=INDEX(Employees!$D$5:$D$29,$A492)+N(INDEX(Employees!$U$5:$U$29,$A492))),OR(INDEX(Employees!$E$5:$E$29,$A492)="",$D492&lt;=INDEX(Employees!$E$5:$E$29,$A492))),1,0))</f>
        <v/>
      </c>
      <c r="H492" s="50">
        <f>IF($G492=0,0,IF(INDEX(Employees!$D$5:$D$29,$A492)="",0,DATEDIF(INDEX(Employees!$D$5:$D$29,$A492),$E492,"y")))</f>
        <v/>
      </c>
      <c r="I492" s="51">
        <f>IF($G492=0,0,IF(INDEX('Hours Worked'!$D$5:$BD$29,$A492,$B492)="",N(INDEX(Employees!$H$5:$H$29,$A492)),INDEX('Hours Worked'!$D$5:$BD$29,$A492,$B492)))</f>
        <v/>
      </c>
      <c r="J492" s="51">
        <f>IF(OR($G492=0,INDEX(Employees!$O$5:$O$29,$A492)&lt;&gt;"Yes"),0,IF(COUNTIF(Settings!$D$4:$D$9,"&lt;="&amp;$H492)=0,0,INDEX(Settings!$E$4:$E$9,COUNTIF(Settings!$D$4:$D$9,"&lt;="&amp;$H492))))</f>
        <v/>
      </c>
      <c r="K492" s="51">
        <f>IF($G492=0,0,IF(INDEX(Employees!$I$5:$I$29,$A492)="Per pay period",(N(INDEX(Employees!$J$5:$J$29,$A492))+$J492)/Settings!$B$13,IF(INDEX(Employees!$I$5:$I$29,$A492)="Per hour worked",N(INDEX(Employees!$K$5:$K$29,$A492))*$I492,IF(INDEX(Employees!$I$5:$I$29,$A492)="Front-loaded",IF(OR($B492=1,N($G491)=0),N(INDEX(Employees!$J$5:$J$29,$A492))+$J492,0),0))))</f>
        <v/>
      </c>
      <c r="L492" s="51">
        <f>IF($F492=0,0,SUMIFS('Time Off Log'!$H$5:$H$504,'Time Off Log'!$A$5:$A$504,$C492,'Time Off Log'!$B$5:$B$504,"PTO",'Time Off Log'!$E$5:$E$504,"Approved",'Time Off Log'!$C$5:$C$504,"&gt;="&amp;INDEX(Periods!$E$5:$E$57,$B492),'Time Off Log'!$C$5:$C$504,"&lt;="&amp;INDEX(Periods!$F$5:$F$57,$B492)))</f>
        <v/>
      </c>
      <c r="M492" s="51">
        <f>IF($B492=1,N(INDEX(Employees!$N$5:$N$29,$A492)),P491)</f>
        <v/>
      </c>
      <c r="N492" s="51">
        <f>IF(INDEX(Employees!$L$5:$L$29,$A492)="",K492,MAX(0,MIN(K492,INDEX(Employees!$L$5:$L$29,$A492)-(M492-L492))))</f>
        <v/>
      </c>
      <c r="O492" s="51">
        <f>K492-N492</f>
        <v/>
      </c>
      <c r="P492" s="51">
        <f>M492-L492+N492</f>
        <v/>
      </c>
      <c r="Q492" s="51">
        <f>IF($G492=0,0,IF(INDEX(Employees!$P$5:$P$29,$A492)="Per pay period",(N(INDEX(Employees!$Q$5:$Q$29,$A492)))/Settings!$B$13,IF(INDEX(Employees!$P$5:$P$29,$A492)="Per hour worked",N(INDEX(Employees!$R$5:$R$29,$A492))*$I492,IF(INDEX(Employees!$P$5:$P$29,$A492)="Front-loaded",IF(OR($B492=1,N($G491)=0),N(INDEX(Employees!$Q$5:$Q$29,$A492)),0),0))))</f>
        <v/>
      </c>
      <c r="R492" s="51">
        <f>IF($F492=0,0,SUMIFS('Time Off Log'!$H$5:$H$504,'Time Off Log'!$A$5:$A$504,$C492,'Time Off Log'!$B$5:$B$504,"Sick",'Time Off Log'!$E$5:$E$504,"Approved",'Time Off Log'!$C$5:$C$504,"&gt;="&amp;INDEX(Periods!$E$5:$E$57,$B492),'Time Off Log'!$C$5:$C$504,"&lt;="&amp;INDEX(Periods!$F$5:$F$57,$B492)))</f>
        <v/>
      </c>
      <c r="S492" s="51">
        <f>IF($B492=1,N(INDEX(Employees!$T$5:$T$29,$A492)),V491)</f>
        <v/>
      </c>
      <c r="T492" s="51">
        <f>IF(INDEX(Employees!$S$5:$S$29,$A492)="",Q492,MAX(0,MIN(Q492,INDEX(Employees!$S$5:$S$29,$A492)-(S492-R492))))</f>
        <v/>
      </c>
      <c r="U492" s="51">
        <f>Q492-T492</f>
        <v/>
      </c>
      <c r="V492" s="51">
        <f>S492-R492+T492</f>
        <v/>
      </c>
    </row>
    <row r="493">
      <c r="A493" s="50" t="n">
        <v>10</v>
      </c>
      <c r="B493" s="50" t="n">
        <v>12</v>
      </c>
      <c r="C493" s="51">
        <f>INDEX(Employees!$B$5:$B$29,$A493)&amp;""</f>
        <v/>
      </c>
      <c r="D493" s="52">
        <f>INDEX(Periods!$B$5:$B$57,$B493)</f>
        <v/>
      </c>
      <c r="E493" s="52">
        <f>INDEX(Periods!$C$5:$C$57,$B493)</f>
        <v/>
      </c>
      <c r="F493" s="50">
        <f>IF(AND($C493&lt;&gt;"",INDEX(Periods!$D$5:$D$57,$B493)=1),1,0)</f>
        <v/>
      </c>
      <c r="G493" s="50">
        <f>IF($F493=0,0,IF(AND(OR(INDEX(Employees!$D$5:$D$29,$A493)="",$E493&gt;=INDEX(Employees!$D$5:$D$29,$A493)+N(INDEX(Employees!$U$5:$U$29,$A493))),OR(INDEX(Employees!$E$5:$E$29,$A493)="",$D493&lt;=INDEX(Employees!$E$5:$E$29,$A493))),1,0))</f>
        <v/>
      </c>
      <c r="H493" s="50">
        <f>IF($G493=0,0,IF(INDEX(Employees!$D$5:$D$29,$A493)="",0,DATEDIF(INDEX(Employees!$D$5:$D$29,$A493),$E493,"y")))</f>
        <v/>
      </c>
      <c r="I493" s="51">
        <f>IF($G493=0,0,IF(INDEX('Hours Worked'!$D$5:$BD$29,$A493,$B493)="",N(INDEX(Employees!$H$5:$H$29,$A493)),INDEX('Hours Worked'!$D$5:$BD$29,$A493,$B493)))</f>
        <v/>
      </c>
      <c r="J493" s="51">
        <f>IF(OR($G493=0,INDEX(Employees!$O$5:$O$29,$A493)&lt;&gt;"Yes"),0,IF(COUNTIF(Settings!$D$4:$D$9,"&lt;="&amp;$H493)=0,0,INDEX(Settings!$E$4:$E$9,COUNTIF(Settings!$D$4:$D$9,"&lt;="&amp;$H493))))</f>
        <v/>
      </c>
      <c r="K493" s="51">
        <f>IF($G493=0,0,IF(INDEX(Employees!$I$5:$I$29,$A493)="Per pay period",(N(INDEX(Employees!$J$5:$J$29,$A493))+$J493)/Settings!$B$13,IF(INDEX(Employees!$I$5:$I$29,$A493)="Per hour worked",N(INDEX(Employees!$K$5:$K$29,$A493))*$I493,IF(INDEX(Employees!$I$5:$I$29,$A493)="Front-loaded",IF(OR($B493=1,N($G492)=0),N(INDEX(Employees!$J$5:$J$29,$A493))+$J493,0),0))))</f>
        <v/>
      </c>
      <c r="L493" s="51">
        <f>IF($F493=0,0,SUMIFS('Time Off Log'!$H$5:$H$504,'Time Off Log'!$A$5:$A$504,$C493,'Time Off Log'!$B$5:$B$504,"PTO",'Time Off Log'!$E$5:$E$504,"Approved",'Time Off Log'!$C$5:$C$504,"&gt;="&amp;INDEX(Periods!$E$5:$E$57,$B493),'Time Off Log'!$C$5:$C$504,"&lt;="&amp;INDEX(Periods!$F$5:$F$57,$B493)))</f>
        <v/>
      </c>
      <c r="M493" s="51">
        <f>IF($B493=1,N(INDEX(Employees!$N$5:$N$29,$A493)),P492)</f>
        <v/>
      </c>
      <c r="N493" s="51">
        <f>IF(INDEX(Employees!$L$5:$L$29,$A493)="",K493,MAX(0,MIN(K493,INDEX(Employees!$L$5:$L$29,$A493)-(M493-L493))))</f>
        <v/>
      </c>
      <c r="O493" s="51">
        <f>K493-N493</f>
        <v/>
      </c>
      <c r="P493" s="51">
        <f>M493-L493+N493</f>
        <v/>
      </c>
      <c r="Q493" s="51">
        <f>IF($G493=0,0,IF(INDEX(Employees!$P$5:$P$29,$A493)="Per pay period",(N(INDEX(Employees!$Q$5:$Q$29,$A493)))/Settings!$B$13,IF(INDEX(Employees!$P$5:$P$29,$A493)="Per hour worked",N(INDEX(Employees!$R$5:$R$29,$A493))*$I493,IF(INDEX(Employees!$P$5:$P$29,$A493)="Front-loaded",IF(OR($B493=1,N($G492)=0),N(INDEX(Employees!$Q$5:$Q$29,$A493)),0),0))))</f>
        <v/>
      </c>
      <c r="R493" s="51">
        <f>IF($F493=0,0,SUMIFS('Time Off Log'!$H$5:$H$504,'Time Off Log'!$A$5:$A$504,$C493,'Time Off Log'!$B$5:$B$504,"Sick",'Time Off Log'!$E$5:$E$504,"Approved",'Time Off Log'!$C$5:$C$504,"&gt;="&amp;INDEX(Periods!$E$5:$E$57,$B493),'Time Off Log'!$C$5:$C$504,"&lt;="&amp;INDEX(Periods!$F$5:$F$57,$B493)))</f>
        <v/>
      </c>
      <c r="S493" s="51">
        <f>IF($B493=1,N(INDEX(Employees!$T$5:$T$29,$A493)),V492)</f>
        <v/>
      </c>
      <c r="T493" s="51">
        <f>IF(INDEX(Employees!$S$5:$S$29,$A493)="",Q493,MAX(0,MIN(Q493,INDEX(Employees!$S$5:$S$29,$A493)-(S493-R493))))</f>
        <v/>
      </c>
      <c r="U493" s="51">
        <f>Q493-T493</f>
        <v/>
      </c>
      <c r="V493" s="51">
        <f>S493-R493+T493</f>
        <v/>
      </c>
    </row>
    <row r="494">
      <c r="A494" s="50" t="n">
        <v>10</v>
      </c>
      <c r="B494" s="50" t="n">
        <v>13</v>
      </c>
      <c r="C494" s="51">
        <f>INDEX(Employees!$B$5:$B$29,$A494)&amp;""</f>
        <v/>
      </c>
      <c r="D494" s="52">
        <f>INDEX(Periods!$B$5:$B$57,$B494)</f>
        <v/>
      </c>
      <c r="E494" s="52">
        <f>INDEX(Periods!$C$5:$C$57,$B494)</f>
        <v/>
      </c>
      <c r="F494" s="50">
        <f>IF(AND($C494&lt;&gt;"",INDEX(Periods!$D$5:$D$57,$B494)=1),1,0)</f>
        <v/>
      </c>
      <c r="G494" s="50">
        <f>IF($F494=0,0,IF(AND(OR(INDEX(Employees!$D$5:$D$29,$A494)="",$E494&gt;=INDEX(Employees!$D$5:$D$29,$A494)+N(INDEX(Employees!$U$5:$U$29,$A494))),OR(INDEX(Employees!$E$5:$E$29,$A494)="",$D494&lt;=INDEX(Employees!$E$5:$E$29,$A494))),1,0))</f>
        <v/>
      </c>
      <c r="H494" s="50">
        <f>IF($G494=0,0,IF(INDEX(Employees!$D$5:$D$29,$A494)="",0,DATEDIF(INDEX(Employees!$D$5:$D$29,$A494),$E494,"y")))</f>
        <v/>
      </c>
      <c r="I494" s="51">
        <f>IF($G494=0,0,IF(INDEX('Hours Worked'!$D$5:$BD$29,$A494,$B494)="",N(INDEX(Employees!$H$5:$H$29,$A494)),INDEX('Hours Worked'!$D$5:$BD$29,$A494,$B494)))</f>
        <v/>
      </c>
      <c r="J494" s="51">
        <f>IF(OR($G494=0,INDEX(Employees!$O$5:$O$29,$A494)&lt;&gt;"Yes"),0,IF(COUNTIF(Settings!$D$4:$D$9,"&lt;="&amp;$H494)=0,0,INDEX(Settings!$E$4:$E$9,COUNTIF(Settings!$D$4:$D$9,"&lt;="&amp;$H494))))</f>
        <v/>
      </c>
      <c r="K494" s="51">
        <f>IF($G494=0,0,IF(INDEX(Employees!$I$5:$I$29,$A494)="Per pay period",(N(INDEX(Employees!$J$5:$J$29,$A494))+$J494)/Settings!$B$13,IF(INDEX(Employees!$I$5:$I$29,$A494)="Per hour worked",N(INDEX(Employees!$K$5:$K$29,$A494))*$I494,IF(INDEX(Employees!$I$5:$I$29,$A494)="Front-loaded",IF(OR($B494=1,N($G493)=0),N(INDEX(Employees!$J$5:$J$29,$A494))+$J494,0),0))))</f>
        <v/>
      </c>
      <c r="L494" s="51">
        <f>IF($F494=0,0,SUMIFS('Time Off Log'!$H$5:$H$504,'Time Off Log'!$A$5:$A$504,$C494,'Time Off Log'!$B$5:$B$504,"PTO",'Time Off Log'!$E$5:$E$504,"Approved",'Time Off Log'!$C$5:$C$504,"&gt;="&amp;INDEX(Periods!$E$5:$E$57,$B494),'Time Off Log'!$C$5:$C$504,"&lt;="&amp;INDEX(Periods!$F$5:$F$57,$B494)))</f>
        <v/>
      </c>
      <c r="M494" s="51">
        <f>IF($B494=1,N(INDEX(Employees!$N$5:$N$29,$A494)),P493)</f>
        <v/>
      </c>
      <c r="N494" s="51">
        <f>IF(INDEX(Employees!$L$5:$L$29,$A494)="",K494,MAX(0,MIN(K494,INDEX(Employees!$L$5:$L$29,$A494)-(M494-L494))))</f>
        <v/>
      </c>
      <c r="O494" s="51">
        <f>K494-N494</f>
        <v/>
      </c>
      <c r="P494" s="51">
        <f>M494-L494+N494</f>
        <v/>
      </c>
      <c r="Q494" s="51">
        <f>IF($G494=0,0,IF(INDEX(Employees!$P$5:$P$29,$A494)="Per pay period",(N(INDEX(Employees!$Q$5:$Q$29,$A494)))/Settings!$B$13,IF(INDEX(Employees!$P$5:$P$29,$A494)="Per hour worked",N(INDEX(Employees!$R$5:$R$29,$A494))*$I494,IF(INDEX(Employees!$P$5:$P$29,$A494)="Front-loaded",IF(OR($B494=1,N($G493)=0),N(INDEX(Employees!$Q$5:$Q$29,$A494)),0),0))))</f>
        <v/>
      </c>
      <c r="R494" s="51">
        <f>IF($F494=0,0,SUMIFS('Time Off Log'!$H$5:$H$504,'Time Off Log'!$A$5:$A$504,$C494,'Time Off Log'!$B$5:$B$504,"Sick",'Time Off Log'!$E$5:$E$504,"Approved",'Time Off Log'!$C$5:$C$504,"&gt;="&amp;INDEX(Periods!$E$5:$E$57,$B494),'Time Off Log'!$C$5:$C$504,"&lt;="&amp;INDEX(Periods!$F$5:$F$57,$B494)))</f>
        <v/>
      </c>
      <c r="S494" s="51">
        <f>IF($B494=1,N(INDEX(Employees!$T$5:$T$29,$A494)),V493)</f>
        <v/>
      </c>
      <c r="T494" s="51">
        <f>IF(INDEX(Employees!$S$5:$S$29,$A494)="",Q494,MAX(0,MIN(Q494,INDEX(Employees!$S$5:$S$29,$A494)-(S494-R494))))</f>
        <v/>
      </c>
      <c r="U494" s="51">
        <f>Q494-T494</f>
        <v/>
      </c>
      <c r="V494" s="51">
        <f>S494-R494+T494</f>
        <v/>
      </c>
    </row>
    <row r="495">
      <c r="A495" s="50" t="n">
        <v>10</v>
      </c>
      <c r="B495" s="50" t="n">
        <v>14</v>
      </c>
      <c r="C495" s="51">
        <f>INDEX(Employees!$B$5:$B$29,$A495)&amp;""</f>
        <v/>
      </c>
      <c r="D495" s="52">
        <f>INDEX(Periods!$B$5:$B$57,$B495)</f>
        <v/>
      </c>
      <c r="E495" s="52">
        <f>INDEX(Periods!$C$5:$C$57,$B495)</f>
        <v/>
      </c>
      <c r="F495" s="50">
        <f>IF(AND($C495&lt;&gt;"",INDEX(Periods!$D$5:$D$57,$B495)=1),1,0)</f>
        <v/>
      </c>
      <c r="G495" s="50">
        <f>IF($F495=0,0,IF(AND(OR(INDEX(Employees!$D$5:$D$29,$A495)="",$E495&gt;=INDEX(Employees!$D$5:$D$29,$A495)+N(INDEX(Employees!$U$5:$U$29,$A495))),OR(INDEX(Employees!$E$5:$E$29,$A495)="",$D495&lt;=INDEX(Employees!$E$5:$E$29,$A495))),1,0))</f>
        <v/>
      </c>
      <c r="H495" s="50">
        <f>IF($G495=0,0,IF(INDEX(Employees!$D$5:$D$29,$A495)="",0,DATEDIF(INDEX(Employees!$D$5:$D$29,$A495),$E495,"y")))</f>
        <v/>
      </c>
      <c r="I495" s="51">
        <f>IF($G495=0,0,IF(INDEX('Hours Worked'!$D$5:$BD$29,$A495,$B495)="",N(INDEX(Employees!$H$5:$H$29,$A495)),INDEX('Hours Worked'!$D$5:$BD$29,$A495,$B495)))</f>
        <v/>
      </c>
      <c r="J495" s="51">
        <f>IF(OR($G495=0,INDEX(Employees!$O$5:$O$29,$A495)&lt;&gt;"Yes"),0,IF(COUNTIF(Settings!$D$4:$D$9,"&lt;="&amp;$H495)=0,0,INDEX(Settings!$E$4:$E$9,COUNTIF(Settings!$D$4:$D$9,"&lt;="&amp;$H495))))</f>
        <v/>
      </c>
      <c r="K495" s="51">
        <f>IF($G495=0,0,IF(INDEX(Employees!$I$5:$I$29,$A495)="Per pay period",(N(INDEX(Employees!$J$5:$J$29,$A495))+$J495)/Settings!$B$13,IF(INDEX(Employees!$I$5:$I$29,$A495)="Per hour worked",N(INDEX(Employees!$K$5:$K$29,$A495))*$I495,IF(INDEX(Employees!$I$5:$I$29,$A495)="Front-loaded",IF(OR($B495=1,N($G494)=0),N(INDEX(Employees!$J$5:$J$29,$A495))+$J495,0),0))))</f>
        <v/>
      </c>
      <c r="L495" s="51">
        <f>IF($F495=0,0,SUMIFS('Time Off Log'!$H$5:$H$504,'Time Off Log'!$A$5:$A$504,$C495,'Time Off Log'!$B$5:$B$504,"PTO",'Time Off Log'!$E$5:$E$504,"Approved",'Time Off Log'!$C$5:$C$504,"&gt;="&amp;INDEX(Periods!$E$5:$E$57,$B495),'Time Off Log'!$C$5:$C$504,"&lt;="&amp;INDEX(Periods!$F$5:$F$57,$B495)))</f>
        <v/>
      </c>
      <c r="M495" s="51">
        <f>IF($B495=1,N(INDEX(Employees!$N$5:$N$29,$A495)),P494)</f>
        <v/>
      </c>
      <c r="N495" s="51">
        <f>IF(INDEX(Employees!$L$5:$L$29,$A495)="",K495,MAX(0,MIN(K495,INDEX(Employees!$L$5:$L$29,$A495)-(M495-L495))))</f>
        <v/>
      </c>
      <c r="O495" s="51">
        <f>K495-N495</f>
        <v/>
      </c>
      <c r="P495" s="51">
        <f>M495-L495+N495</f>
        <v/>
      </c>
      <c r="Q495" s="51">
        <f>IF($G495=0,0,IF(INDEX(Employees!$P$5:$P$29,$A495)="Per pay period",(N(INDEX(Employees!$Q$5:$Q$29,$A495)))/Settings!$B$13,IF(INDEX(Employees!$P$5:$P$29,$A495)="Per hour worked",N(INDEX(Employees!$R$5:$R$29,$A495))*$I495,IF(INDEX(Employees!$P$5:$P$29,$A495)="Front-loaded",IF(OR($B495=1,N($G494)=0),N(INDEX(Employees!$Q$5:$Q$29,$A495)),0),0))))</f>
        <v/>
      </c>
      <c r="R495" s="51">
        <f>IF($F495=0,0,SUMIFS('Time Off Log'!$H$5:$H$504,'Time Off Log'!$A$5:$A$504,$C495,'Time Off Log'!$B$5:$B$504,"Sick",'Time Off Log'!$E$5:$E$504,"Approved",'Time Off Log'!$C$5:$C$504,"&gt;="&amp;INDEX(Periods!$E$5:$E$57,$B495),'Time Off Log'!$C$5:$C$504,"&lt;="&amp;INDEX(Periods!$F$5:$F$57,$B495)))</f>
        <v/>
      </c>
      <c r="S495" s="51">
        <f>IF($B495=1,N(INDEX(Employees!$T$5:$T$29,$A495)),V494)</f>
        <v/>
      </c>
      <c r="T495" s="51">
        <f>IF(INDEX(Employees!$S$5:$S$29,$A495)="",Q495,MAX(0,MIN(Q495,INDEX(Employees!$S$5:$S$29,$A495)-(S495-R495))))</f>
        <v/>
      </c>
      <c r="U495" s="51">
        <f>Q495-T495</f>
        <v/>
      </c>
      <c r="V495" s="51">
        <f>S495-R495+T495</f>
        <v/>
      </c>
    </row>
    <row r="496">
      <c r="A496" s="50" t="n">
        <v>10</v>
      </c>
      <c r="B496" s="50" t="n">
        <v>15</v>
      </c>
      <c r="C496" s="51">
        <f>INDEX(Employees!$B$5:$B$29,$A496)&amp;""</f>
        <v/>
      </c>
      <c r="D496" s="52">
        <f>INDEX(Periods!$B$5:$B$57,$B496)</f>
        <v/>
      </c>
      <c r="E496" s="52">
        <f>INDEX(Periods!$C$5:$C$57,$B496)</f>
        <v/>
      </c>
      <c r="F496" s="50">
        <f>IF(AND($C496&lt;&gt;"",INDEX(Periods!$D$5:$D$57,$B496)=1),1,0)</f>
        <v/>
      </c>
      <c r="G496" s="50">
        <f>IF($F496=0,0,IF(AND(OR(INDEX(Employees!$D$5:$D$29,$A496)="",$E496&gt;=INDEX(Employees!$D$5:$D$29,$A496)+N(INDEX(Employees!$U$5:$U$29,$A496))),OR(INDEX(Employees!$E$5:$E$29,$A496)="",$D496&lt;=INDEX(Employees!$E$5:$E$29,$A496))),1,0))</f>
        <v/>
      </c>
      <c r="H496" s="50">
        <f>IF($G496=0,0,IF(INDEX(Employees!$D$5:$D$29,$A496)="",0,DATEDIF(INDEX(Employees!$D$5:$D$29,$A496),$E496,"y")))</f>
        <v/>
      </c>
      <c r="I496" s="51">
        <f>IF($G496=0,0,IF(INDEX('Hours Worked'!$D$5:$BD$29,$A496,$B496)="",N(INDEX(Employees!$H$5:$H$29,$A496)),INDEX('Hours Worked'!$D$5:$BD$29,$A496,$B496)))</f>
        <v/>
      </c>
      <c r="J496" s="51">
        <f>IF(OR($G496=0,INDEX(Employees!$O$5:$O$29,$A496)&lt;&gt;"Yes"),0,IF(COUNTIF(Settings!$D$4:$D$9,"&lt;="&amp;$H496)=0,0,INDEX(Settings!$E$4:$E$9,COUNTIF(Settings!$D$4:$D$9,"&lt;="&amp;$H496))))</f>
        <v/>
      </c>
      <c r="K496" s="51">
        <f>IF($G496=0,0,IF(INDEX(Employees!$I$5:$I$29,$A496)="Per pay period",(N(INDEX(Employees!$J$5:$J$29,$A496))+$J496)/Settings!$B$13,IF(INDEX(Employees!$I$5:$I$29,$A496)="Per hour worked",N(INDEX(Employees!$K$5:$K$29,$A496))*$I496,IF(INDEX(Employees!$I$5:$I$29,$A496)="Front-loaded",IF(OR($B496=1,N($G495)=0),N(INDEX(Employees!$J$5:$J$29,$A496))+$J496,0),0))))</f>
        <v/>
      </c>
      <c r="L496" s="51">
        <f>IF($F496=0,0,SUMIFS('Time Off Log'!$H$5:$H$504,'Time Off Log'!$A$5:$A$504,$C496,'Time Off Log'!$B$5:$B$504,"PTO",'Time Off Log'!$E$5:$E$504,"Approved",'Time Off Log'!$C$5:$C$504,"&gt;="&amp;INDEX(Periods!$E$5:$E$57,$B496),'Time Off Log'!$C$5:$C$504,"&lt;="&amp;INDEX(Periods!$F$5:$F$57,$B496)))</f>
        <v/>
      </c>
      <c r="M496" s="51">
        <f>IF($B496=1,N(INDEX(Employees!$N$5:$N$29,$A496)),P495)</f>
        <v/>
      </c>
      <c r="N496" s="51">
        <f>IF(INDEX(Employees!$L$5:$L$29,$A496)="",K496,MAX(0,MIN(K496,INDEX(Employees!$L$5:$L$29,$A496)-(M496-L496))))</f>
        <v/>
      </c>
      <c r="O496" s="51">
        <f>K496-N496</f>
        <v/>
      </c>
      <c r="P496" s="51">
        <f>M496-L496+N496</f>
        <v/>
      </c>
      <c r="Q496" s="51">
        <f>IF($G496=0,0,IF(INDEX(Employees!$P$5:$P$29,$A496)="Per pay period",(N(INDEX(Employees!$Q$5:$Q$29,$A496)))/Settings!$B$13,IF(INDEX(Employees!$P$5:$P$29,$A496)="Per hour worked",N(INDEX(Employees!$R$5:$R$29,$A496))*$I496,IF(INDEX(Employees!$P$5:$P$29,$A496)="Front-loaded",IF(OR($B496=1,N($G495)=0),N(INDEX(Employees!$Q$5:$Q$29,$A496)),0),0))))</f>
        <v/>
      </c>
      <c r="R496" s="51">
        <f>IF($F496=0,0,SUMIFS('Time Off Log'!$H$5:$H$504,'Time Off Log'!$A$5:$A$504,$C496,'Time Off Log'!$B$5:$B$504,"Sick",'Time Off Log'!$E$5:$E$504,"Approved",'Time Off Log'!$C$5:$C$504,"&gt;="&amp;INDEX(Periods!$E$5:$E$57,$B496),'Time Off Log'!$C$5:$C$504,"&lt;="&amp;INDEX(Periods!$F$5:$F$57,$B496)))</f>
        <v/>
      </c>
      <c r="S496" s="51">
        <f>IF($B496=1,N(INDEX(Employees!$T$5:$T$29,$A496)),V495)</f>
        <v/>
      </c>
      <c r="T496" s="51">
        <f>IF(INDEX(Employees!$S$5:$S$29,$A496)="",Q496,MAX(0,MIN(Q496,INDEX(Employees!$S$5:$S$29,$A496)-(S496-R496))))</f>
        <v/>
      </c>
      <c r="U496" s="51">
        <f>Q496-T496</f>
        <v/>
      </c>
      <c r="V496" s="51">
        <f>S496-R496+T496</f>
        <v/>
      </c>
    </row>
    <row r="497">
      <c r="A497" s="50" t="n">
        <v>10</v>
      </c>
      <c r="B497" s="50" t="n">
        <v>16</v>
      </c>
      <c r="C497" s="51">
        <f>INDEX(Employees!$B$5:$B$29,$A497)&amp;""</f>
        <v/>
      </c>
      <c r="D497" s="52">
        <f>INDEX(Periods!$B$5:$B$57,$B497)</f>
        <v/>
      </c>
      <c r="E497" s="52">
        <f>INDEX(Periods!$C$5:$C$57,$B497)</f>
        <v/>
      </c>
      <c r="F497" s="50">
        <f>IF(AND($C497&lt;&gt;"",INDEX(Periods!$D$5:$D$57,$B497)=1),1,0)</f>
        <v/>
      </c>
      <c r="G497" s="50">
        <f>IF($F497=0,0,IF(AND(OR(INDEX(Employees!$D$5:$D$29,$A497)="",$E497&gt;=INDEX(Employees!$D$5:$D$29,$A497)+N(INDEX(Employees!$U$5:$U$29,$A497))),OR(INDEX(Employees!$E$5:$E$29,$A497)="",$D497&lt;=INDEX(Employees!$E$5:$E$29,$A497))),1,0))</f>
        <v/>
      </c>
      <c r="H497" s="50">
        <f>IF($G497=0,0,IF(INDEX(Employees!$D$5:$D$29,$A497)="",0,DATEDIF(INDEX(Employees!$D$5:$D$29,$A497),$E497,"y")))</f>
        <v/>
      </c>
      <c r="I497" s="51">
        <f>IF($G497=0,0,IF(INDEX('Hours Worked'!$D$5:$BD$29,$A497,$B497)="",N(INDEX(Employees!$H$5:$H$29,$A497)),INDEX('Hours Worked'!$D$5:$BD$29,$A497,$B497)))</f>
        <v/>
      </c>
      <c r="J497" s="51">
        <f>IF(OR($G497=0,INDEX(Employees!$O$5:$O$29,$A497)&lt;&gt;"Yes"),0,IF(COUNTIF(Settings!$D$4:$D$9,"&lt;="&amp;$H497)=0,0,INDEX(Settings!$E$4:$E$9,COUNTIF(Settings!$D$4:$D$9,"&lt;="&amp;$H497))))</f>
        <v/>
      </c>
      <c r="K497" s="51">
        <f>IF($G497=0,0,IF(INDEX(Employees!$I$5:$I$29,$A497)="Per pay period",(N(INDEX(Employees!$J$5:$J$29,$A497))+$J497)/Settings!$B$13,IF(INDEX(Employees!$I$5:$I$29,$A497)="Per hour worked",N(INDEX(Employees!$K$5:$K$29,$A497))*$I497,IF(INDEX(Employees!$I$5:$I$29,$A497)="Front-loaded",IF(OR($B497=1,N($G496)=0),N(INDEX(Employees!$J$5:$J$29,$A497))+$J497,0),0))))</f>
        <v/>
      </c>
      <c r="L497" s="51">
        <f>IF($F497=0,0,SUMIFS('Time Off Log'!$H$5:$H$504,'Time Off Log'!$A$5:$A$504,$C497,'Time Off Log'!$B$5:$B$504,"PTO",'Time Off Log'!$E$5:$E$504,"Approved",'Time Off Log'!$C$5:$C$504,"&gt;="&amp;INDEX(Periods!$E$5:$E$57,$B497),'Time Off Log'!$C$5:$C$504,"&lt;="&amp;INDEX(Periods!$F$5:$F$57,$B497)))</f>
        <v/>
      </c>
      <c r="M497" s="51">
        <f>IF($B497=1,N(INDEX(Employees!$N$5:$N$29,$A497)),P496)</f>
        <v/>
      </c>
      <c r="N497" s="51">
        <f>IF(INDEX(Employees!$L$5:$L$29,$A497)="",K497,MAX(0,MIN(K497,INDEX(Employees!$L$5:$L$29,$A497)-(M497-L497))))</f>
        <v/>
      </c>
      <c r="O497" s="51">
        <f>K497-N497</f>
        <v/>
      </c>
      <c r="P497" s="51">
        <f>M497-L497+N497</f>
        <v/>
      </c>
      <c r="Q497" s="51">
        <f>IF($G497=0,0,IF(INDEX(Employees!$P$5:$P$29,$A497)="Per pay period",(N(INDEX(Employees!$Q$5:$Q$29,$A497)))/Settings!$B$13,IF(INDEX(Employees!$P$5:$P$29,$A497)="Per hour worked",N(INDEX(Employees!$R$5:$R$29,$A497))*$I497,IF(INDEX(Employees!$P$5:$P$29,$A497)="Front-loaded",IF(OR($B497=1,N($G496)=0),N(INDEX(Employees!$Q$5:$Q$29,$A497)),0),0))))</f>
        <v/>
      </c>
      <c r="R497" s="51">
        <f>IF($F497=0,0,SUMIFS('Time Off Log'!$H$5:$H$504,'Time Off Log'!$A$5:$A$504,$C497,'Time Off Log'!$B$5:$B$504,"Sick",'Time Off Log'!$E$5:$E$504,"Approved",'Time Off Log'!$C$5:$C$504,"&gt;="&amp;INDEX(Periods!$E$5:$E$57,$B497),'Time Off Log'!$C$5:$C$504,"&lt;="&amp;INDEX(Periods!$F$5:$F$57,$B497)))</f>
        <v/>
      </c>
      <c r="S497" s="51">
        <f>IF($B497=1,N(INDEX(Employees!$T$5:$T$29,$A497)),V496)</f>
        <v/>
      </c>
      <c r="T497" s="51">
        <f>IF(INDEX(Employees!$S$5:$S$29,$A497)="",Q497,MAX(0,MIN(Q497,INDEX(Employees!$S$5:$S$29,$A497)-(S497-R497))))</f>
        <v/>
      </c>
      <c r="U497" s="51">
        <f>Q497-T497</f>
        <v/>
      </c>
      <c r="V497" s="51">
        <f>S497-R497+T497</f>
        <v/>
      </c>
    </row>
    <row r="498">
      <c r="A498" s="50" t="n">
        <v>10</v>
      </c>
      <c r="B498" s="50" t="n">
        <v>17</v>
      </c>
      <c r="C498" s="51">
        <f>INDEX(Employees!$B$5:$B$29,$A498)&amp;""</f>
        <v/>
      </c>
      <c r="D498" s="52">
        <f>INDEX(Periods!$B$5:$B$57,$B498)</f>
        <v/>
      </c>
      <c r="E498" s="52">
        <f>INDEX(Periods!$C$5:$C$57,$B498)</f>
        <v/>
      </c>
      <c r="F498" s="50">
        <f>IF(AND($C498&lt;&gt;"",INDEX(Periods!$D$5:$D$57,$B498)=1),1,0)</f>
        <v/>
      </c>
      <c r="G498" s="50">
        <f>IF($F498=0,0,IF(AND(OR(INDEX(Employees!$D$5:$D$29,$A498)="",$E498&gt;=INDEX(Employees!$D$5:$D$29,$A498)+N(INDEX(Employees!$U$5:$U$29,$A498))),OR(INDEX(Employees!$E$5:$E$29,$A498)="",$D498&lt;=INDEX(Employees!$E$5:$E$29,$A498))),1,0))</f>
        <v/>
      </c>
      <c r="H498" s="50">
        <f>IF($G498=0,0,IF(INDEX(Employees!$D$5:$D$29,$A498)="",0,DATEDIF(INDEX(Employees!$D$5:$D$29,$A498),$E498,"y")))</f>
        <v/>
      </c>
      <c r="I498" s="51">
        <f>IF($G498=0,0,IF(INDEX('Hours Worked'!$D$5:$BD$29,$A498,$B498)="",N(INDEX(Employees!$H$5:$H$29,$A498)),INDEX('Hours Worked'!$D$5:$BD$29,$A498,$B498)))</f>
        <v/>
      </c>
      <c r="J498" s="51">
        <f>IF(OR($G498=0,INDEX(Employees!$O$5:$O$29,$A498)&lt;&gt;"Yes"),0,IF(COUNTIF(Settings!$D$4:$D$9,"&lt;="&amp;$H498)=0,0,INDEX(Settings!$E$4:$E$9,COUNTIF(Settings!$D$4:$D$9,"&lt;="&amp;$H498))))</f>
        <v/>
      </c>
      <c r="K498" s="51">
        <f>IF($G498=0,0,IF(INDEX(Employees!$I$5:$I$29,$A498)="Per pay period",(N(INDEX(Employees!$J$5:$J$29,$A498))+$J498)/Settings!$B$13,IF(INDEX(Employees!$I$5:$I$29,$A498)="Per hour worked",N(INDEX(Employees!$K$5:$K$29,$A498))*$I498,IF(INDEX(Employees!$I$5:$I$29,$A498)="Front-loaded",IF(OR($B498=1,N($G497)=0),N(INDEX(Employees!$J$5:$J$29,$A498))+$J498,0),0))))</f>
        <v/>
      </c>
      <c r="L498" s="51">
        <f>IF($F498=0,0,SUMIFS('Time Off Log'!$H$5:$H$504,'Time Off Log'!$A$5:$A$504,$C498,'Time Off Log'!$B$5:$B$504,"PTO",'Time Off Log'!$E$5:$E$504,"Approved",'Time Off Log'!$C$5:$C$504,"&gt;="&amp;INDEX(Periods!$E$5:$E$57,$B498),'Time Off Log'!$C$5:$C$504,"&lt;="&amp;INDEX(Periods!$F$5:$F$57,$B498)))</f>
        <v/>
      </c>
      <c r="M498" s="51">
        <f>IF($B498=1,N(INDEX(Employees!$N$5:$N$29,$A498)),P497)</f>
        <v/>
      </c>
      <c r="N498" s="51">
        <f>IF(INDEX(Employees!$L$5:$L$29,$A498)="",K498,MAX(0,MIN(K498,INDEX(Employees!$L$5:$L$29,$A498)-(M498-L498))))</f>
        <v/>
      </c>
      <c r="O498" s="51">
        <f>K498-N498</f>
        <v/>
      </c>
      <c r="P498" s="51">
        <f>M498-L498+N498</f>
        <v/>
      </c>
      <c r="Q498" s="51">
        <f>IF($G498=0,0,IF(INDEX(Employees!$P$5:$P$29,$A498)="Per pay period",(N(INDEX(Employees!$Q$5:$Q$29,$A498)))/Settings!$B$13,IF(INDEX(Employees!$P$5:$P$29,$A498)="Per hour worked",N(INDEX(Employees!$R$5:$R$29,$A498))*$I498,IF(INDEX(Employees!$P$5:$P$29,$A498)="Front-loaded",IF(OR($B498=1,N($G497)=0),N(INDEX(Employees!$Q$5:$Q$29,$A498)),0),0))))</f>
        <v/>
      </c>
      <c r="R498" s="51">
        <f>IF($F498=0,0,SUMIFS('Time Off Log'!$H$5:$H$504,'Time Off Log'!$A$5:$A$504,$C498,'Time Off Log'!$B$5:$B$504,"Sick",'Time Off Log'!$E$5:$E$504,"Approved",'Time Off Log'!$C$5:$C$504,"&gt;="&amp;INDEX(Periods!$E$5:$E$57,$B498),'Time Off Log'!$C$5:$C$504,"&lt;="&amp;INDEX(Periods!$F$5:$F$57,$B498)))</f>
        <v/>
      </c>
      <c r="S498" s="51">
        <f>IF($B498=1,N(INDEX(Employees!$T$5:$T$29,$A498)),V497)</f>
        <v/>
      </c>
      <c r="T498" s="51">
        <f>IF(INDEX(Employees!$S$5:$S$29,$A498)="",Q498,MAX(0,MIN(Q498,INDEX(Employees!$S$5:$S$29,$A498)-(S498-R498))))</f>
        <v/>
      </c>
      <c r="U498" s="51">
        <f>Q498-T498</f>
        <v/>
      </c>
      <c r="V498" s="51">
        <f>S498-R498+T498</f>
        <v/>
      </c>
    </row>
    <row r="499">
      <c r="A499" s="50" t="n">
        <v>10</v>
      </c>
      <c r="B499" s="50" t="n">
        <v>18</v>
      </c>
      <c r="C499" s="51">
        <f>INDEX(Employees!$B$5:$B$29,$A499)&amp;""</f>
        <v/>
      </c>
      <c r="D499" s="52">
        <f>INDEX(Periods!$B$5:$B$57,$B499)</f>
        <v/>
      </c>
      <c r="E499" s="52">
        <f>INDEX(Periods!$C$5:$C$57,$B499)</f>
        <v/>
      </c>
      <c r="F499" s="50">
        <f>IF(AND($C499&lt;&gt;"",INDEX(Periods!$D$5:$D$57,$B499)=1),1,0)</f>
        <v/>
      </c>
      <c r="G499" s="50">
        <f>IF($F499=0,0,IF(AND(OR(INDEX(Employees!$D$5:$D$29,$A499)="",$E499&gt;=INDEX(Employees!$D$5:$D$29,$A499)+N(INDEX(Employees!$U$5:$U$29,$A499))),OR(INDEX(Employees!$E$5:$E$29,$A499)="",$D499&lt;=INDEX(Employees!$E$5:$E$29,$A499))),1,0))</f>
        <v/>
      </c>
      <c r="H499" s="50">
        <f>IF($G499=0,0,IF(INDEX(Employees!$D$5:$D$29,$A499)="",0,DATEDIF(INDEX(Employees!$D$5:$D$29,$A499),$E499,"y")))</f>
        <v/>
      </c>
      <c r="I499" s="51">
        <f>IF($G499=0,0,IF(INDEX('Hours Worked'!$D$5:$BD$29,$A499,$B499)="",N(INDEX(Employees!$H$5:$H$29,$A499)),INDEX('Hours Worked'!$D$5:$BD$29,$A499,$B499)))</f>
        <v/>
      </c>
      <c r="J499" s="51">
        <f>IF(OR($G499=0,INDEX(Employees!$O$5:$O$29,$A499)&lt;&gt;"Yes"),0,IF(COUNTIF(Settings!$D$4:$D$9,"&lt;="&amp;$H499)=0,0,INDEX(Settings!$E$4:$E$9,COUNTIF(Settings!$D$4:$D$9,"&lt;="&amp;$H499))))</f>
        <v/>
      </c>
      <c r="K499" s="51">
        <f>IF($G499=0,0,IF(INDEX(Employees!$I$5:$I$29,$A499)="Per pay period",(N(INDEX(Employees!$J$5:$J$29,$A499))+$J499)/Settings!$B$13,IF(INDEX(Employees!$I$5:$I$29,$A499)="Per hour worked",N(INDEX(Employees!$K$5:$K$29,$A499))*$I499,IF(INDEX(Employees!$I$5:$I$29,$A499)="Front-loaded",IF(OR($B499=1,N($G498)=0),N(INDEX(Employees!$J$5:$J$29,$A499))+$J499,0),0))))</f>
        <v/>
      </c>
      <c r="L499" s="51">
        <f>IF($F499=0,0,SUMIFS('Time Off Log'!$H$5:$H$504,'Time Off Log'!$A$5:$A$504,$C499,'Time Off Log'!$B$5:$B$504,"PTO",'Time Off Log'!$E$5:$E$504,"Approved",'Time Off Log'!$C$5:$C$504,"&gt;="&amp;INDEX(Periods!$E$5:$E$57,$B499),'Time Off Log'!$C$5:$C$504,"&lt;="&amp;INDEX(Periods!$F$5:$F$57,$B499)))</f>
        <v/>
      </c>
      <c r="M499" s="51">
        <f>IF($B499=1,N(INDEX(Employees!$N$5:$N$29,$A499)),P498)</f>
        <v/>
      </c>
      <c r="N499" s="51">
        <f>IF(INDEX(Employees!$L$5:$L$29,$A499)="",K499,MAX(0,MIN(K499,INDEX(Employees!$L$5:$L$29,$A499)-(M499-L499))))</f>
        <v/>
      </c>
      <c r="O499" s="51">
        <f>K499-N499</f>
        <v/>
      </c>
      <c r="P499" s="51">
        <f>M499-L499+N499</f>
        <v/>
      </c>
      <c r="Q499" s="51">
        <f>IF($G499=0,0,IF(INDEX(Employees!$P$5:$P$29,$A499)="Per pay period",(N(INDEX(Employees!$Q$5:$Q$29,$A499)))/Settings!$B$13,IF(INDEX(Employees!$P$5:$P$29,$A499)="Per hour worked",N(INDEX(Employees!$R$5:$R$29,$A499))*$I499,IF(INDEX(Employees!$P$5:$P$29,$A499)="Front-loaded",IF(OR($B499=1,N($G498)=0),N(INDEX(Employees!$Q$5:$Q$29,$A499)),0),0))))</f>
        <v/>
      </c>
      <c r="R499" s="51">
        <f>IF($F499=0,0,SUMIFS('Time Off Log'!$H$5:$H$504,'Time Off Log'!$A$5:$A$504,$C499,'Time Off Log'!$B$5:$B$504,"Sick",'Time Off Log'!$E$5:$E$504,"Approved",'Time Off Log'!$C$5:$C$504,"&gt;="&amp;INDEX(Periods!$E$5:$E$57,$B499),'Time Off Log'!$C$5:$C$504,"&lt;="&amp;INDEX(Periods!$F$5:$F$57,$B499)))</f>
        <v/>
      </c>
      <c r="S499" s="51">
        <f>IF($B499=1,N(INDEX(Employees!$T$5:$T$29,$A499)),V498)</f>
        <v/>
      </c>
      <c r="T499" s="51">
        <f>IF(INDEX(Employees!$S$5:$S$29,$A499)="",Q499,MAX(0,MIN(Q499,INDEX(Employees!$S$5:$S$29,$A499)-(S499-R499))))</f>
        <v/>
      </c>
      <c r="U499" s="51">
        <f>Q499-T499</f>
        <v/>
      </c>
      <c r="V499" s="51">
        <f>S499-R499+T499</f>
        <v/>
      </c>
    </row>
    <row r="500">
      <c r="A500" s="50" t="n">
        <v>10</v>
      </c>
      <c r="B500" s="50" t="n">
        <v>19</v>
      </c>
      <c r="C500" s="51">
        <f>INDEX(Employees!$B$5:$B$29,$A500)&amp;""</f>
        <v/>
      </c>
      <c r="D500" s="52">
        <f>INDEX(Periods!$B$5:$B$57,$B500)</f>
        <v/>
      </c>
      <c r="E500" s="52">
        <f>INDEX(Periods!$C$5:$C$57,$B500)</f>
        <v/>
      </c>
      <c r="F500" s="50">
        <f>IF(AND($C500&lt;&gt;"",INDEX(Periods!$D$5:$D$57,$B500)=1),1,0)</f>
        <v/>
      </c>
      <c r="G500" s="50">
        <f>IF($F500=0,0,IF(AND(OR(INDEX(Employees!$D$5:$D$29,$A500)="",$E500&gt;=INDEX(Employees!$D$5:$D$29,$A500)+N(INDEX(Employees!$U$5:$U$29,$A500))),OR(INDEX(Employees!$E$5:$E$29,$A500)="",$D500&lt;=INDEX(Employees!$E$5:$E$29,$A500))),1,0))</f>
        <v/>
      </c>
      <c r="H500" s="50">
        <f>IF($G500=0,0,IF(INDEX(Employees!$D$5:$D$29,$A500)="",0,DATEDIF(INDEX(Employees!$D$5:$D$29,$A500),$E500,"y")))</f>
        <v/>
      </c>
      <c r="I500" s="51">
        <f>IF($G500=0,0,IF(INDEX('Hours Worked'!$D$5:$BD$29,$A500,$B500)="",N(INDEX(Employees!$H$5:$H$29,$A500)),INDEX('Hours Worked'!$D$5:$BD$29,$A500,$B500)))</f>
        <v/>
      </c>
      <c r="J500" s="51">
        <f>IF(OR($G500=0,INDEX(Employees!$O$5:$O$29,$A500)&lt;&gt;"Yes"),0,IF(COUNTIF(Settings!$D$4:$D$9,"&lt;="&amp;$H500)=0,0,INDEX(Settings!$E$4:$E$9,COUNTIF(Settings!$D$4:$D$9,"&lt;="&amp;$H500))))</f>
        <v/>
      </c>
      <c r="K500" s="51">
        <f>IF($G500=0,0,IF(INDEX(Employees!$I$5:$I$29,$A500)="Per pay period",(N(INDEX(Employees!$J$5:$J$29,$A500))+$J500)/Settings!$B$13,IF(INDEX(Employees!$I$5:$I$29,$A500)="Per hour worked",N(INDEX(Employees!$K$5:$K$29,$A500))*$I500,IF(INDEX(Employees!$I$5:$I$29,$A500)="Front-loaded",IF(OR($B500=1,N($G499)=0),N(INDEX(Employees!$J$5:$J$29,$A500))+$J500,0),0))))</f>
        <v/>
      </c>
      <c r="L500" s="51">
        <f>IF($F500=0,0,SUMIFS('Time Off Log'!$H$5:$H$504,'Time Off Log'!$A$5:$A$504,$C500,'Time Off Log'!$B$5:$B$504,"PTO",'Time Off Log'!$E$5:$E$504,"Approved",'Time Off Log'!$C$5:$C$504,"&gt;="&amp;INDEX(Periods!$E$5:$E$57,$B500),'Time Off Log'!$C$5:$C$504,"&lt;="&amp;INDEX(Periods!$F$5:$F$57,$B500)))</f>
        <v/>
      </c>
      <c r="M500" s="51">
        <f>IF($B500=1,N(INDEX(Employees!$N$5:$N$29,$A500)),P499)</f>
        <v/>
      </c>
      <c r="N500" s="51">
        <f>IF(INDEX(Employees!$L$5:$L$29,$A500)="",K500,MAX(0,MIN(K500,INDEX(Employees!$L$5:$L$29,$A500)-(M500-L500))))</f>
        <v/>
      </c>
      <c r="O500" s="51">
        <f>K500-N500</f>
        <v/>
      </c>
      <c r="P500" s="51">
        <f>M500-L500+N500</f>
        <v/>
      </c>
      <c r="Q500" s="51">
        <f>IF($G500=0,0,IF(INDEX(Employees!$P$5:$P$29,$A500)="Per pay period",(N(INDEX(Employees!$Q$5:$Q$29,$A500)))/Settings!$B$13,IF(INDEX(Employees!$P$5:$P$29,$A500)="Per hour worked",N(INDEX(Employees!$R$5:$R$29,$A500))*$I500,IF(INDEX(Employees!$P$5:$P$29,$A500)="Front-loaded",IF(OR($B500=1,N($G499)=0),N(INDEX(Employees!$Q$5:$Q$29,$A500)),0),0))))</f>
        <v/>
      </c>
      <c r="R500" s="51">
        <f>IF($F500=0,0,SUMIFS('Time Off Log'!$H$5:$H$504,'Time Off Log'!$A$5:$A$504,$C500,'Time Off Log'!$B$5:$B$504,"Sick",'Time Off Log'!$E$5:$E$504,"Approved",'Time Off Log'!$C$5:$C$504,"&gt;="&amp;INDEX(Periods!$E$5:$E$57,$B500),'Time Off Log'!$C$5:$C$504,"&lt;="&amp;INDEX(Periods!$F$5:$F$57,$B500)))</f>
        <v/>
      </c>
      <c r="S500" s="51">
        <f>IF($B500=1,N(INDEX(Employees!$T$5:$T$29,$A500)),V499)</f>
        <v/>
      </c>
      <c r="T500" s="51">
        <f>IF(INDEX(Employees!$S$5:$S$29,$A500)="",Q500,MAX(0,MIN(Q500,INDEX(Employees!$S$5:$S$29,$A500)-(S500-R500))))</f>
        <v/>
      </c>
      <c r="U500" s="51">
        <f>Q500-T500</f>
        <v/>
      </c>
      <c r="V500" s="51">
        <f>S500-R500+T500</f>
        <v/>
      </c>
    </row>
    <row r="501">
      <c r="A501" s="50" t="n">
        <v>10</v>
      </c>
      <c r="B501" s="50" t="n">
        <v>20</v>
      </c>
      <c r="C501" s="51">
        <f>INDEX(Employees!$B$5:$B$29,$A501)&amp;""</f>
        <v/>
      </c>
      <c r="D501" s="52">
        <f>INDEX(Periods!$B$5:$B$57,$B501)</f>
        <v/>
      </c>
      <c r="E501" s="52">
        <f>INDEX(Periods!$C$5:$C$57,$B501)</f>
        <v/>
      </c>
      <c r="F501" s="50">
        <f>IF(AND($C501&lt;&gt;"",INDEX(Periods!$D$5:$D$57,$B501)=1),1,0)</f>
        <v/>
      </c>
      <c r="G501" s="50">
        <f>IF($F501=0,0,IF(AND(OR(INDEX(Employees!$D$5:$D$29,$A501)="",$E501&gt;=INDEX(Employees!$D$5:$D$29,$A501)+N(INDEX(Employees!$U$5:$U$29,$A501))),OR(INDEX(Employees!$E$5:$E$29,$A501)="",$D501&lt;=INDEX(Employees!$E$5:$E$29,$A501))),1,0))</f>
        <v/>
      </c>
      <c r="H501" s="50">
        <f>IF($G501=0,0,IF(INDEX(Employees!$D$5:$D$29,$A501)="",0,DATEDIF(INDEX(Employees!$D$5:$D$29,$A501),$E501,"y")))</f>
        <v/>
      </c>
      <c r="I501" s="51">
        <f>IF($G501=0,0,IF(INDEX('Hours Worked'!$D$5:$BD$29,$A501,$B501)="",N(INDEX(Employees!$H$5:$H$29,$A501)),INDEX('Hours Worked'!$D$5:$BD$29,$A501,$B501)))</f>
        <v/>
      </c>
      <c r="J501" s="51">
        <f>IF(OR($G501=0,INDEX(Employees!$O$5:$O$29,$A501)&lt;&gt;"Yes"),0,IF(COUNTIF(Settings!$D$4:$D$9,"&lt;="&amp;$H501)=0,0,INDEX(Settings!$E$4:$E$9,COUNTIF(Settings!$D$4:$D$9,"&lt;="&amp;$H501))))</f>
        <v/>
      </c>
      <c r="K501" s="51">
        <f>IF($G501=0,0,IF(INDEX(Employees!$I$5:$I$29,$A501)="Per pay period",(N(INDEX(Employees!$J$5:$J$29,$A501))+$J501)/Settings!$B$13,IF(INDEX(Employees!$I$5:$I$29,$A501)="Per hour worked",N(INDEX(Employees!$K$5:$K$29,$A501))*$I501,IF(INDEX(Employees!$I$5:$I$29,$A501)="Front-loaded",IF(OR($B501=1,N($G500)=0),N(INDEX(Employees!$J$5:$J$29,$A501))+$J501,0),0))))</f>
        <v/>
      </c>
      <c r="L501" s="51">
        <f>IF($F501=0,0,SUMIFS('Time Off Log'!$H$5:$H$504,'Time Off Log'!$A$5:$A$504,$C501,'Time Off Log'!$B$5:$B$504,"PTO",'Time Off Log'!$E$5:$E$504,"Approved",'Time Off Log'!$C$5:$C$504,"&gt;="&amp;INDEX(Periods!$E$5:$E$57,$B501),'Time Off Log'!$C$5:$C$504,"&lt;="&amp;INDEX(Periods!$F$5:$F$57,$B501)))</f>
        <v/>
      </c>
      <c r="M501" s="51">
        <f>IF($B501=1,N(INDEX(Employees!$N$5:$N$29,$A501)),P500)</f>
        <v/>
      </c>
      <c r="N501" s="51">
        <f>IF(INDEX(Employees!$L$5:$L$29,$A501)="",K501,MAX(0,MIN(K501,INDEX(Employees!$L$5:$L$29,$A501)-(M501-L501))))</f>
        <v/>
      </c>
      <c r="O501" s="51">
        <f>K501-N501</f>
        <v/>
      </c>
      <c r="P501" s="51">
        <f>M501-L501+N501</f>
        <v/>
      </c>
      <c r="Q501" s="51">
        <f>IF($G501=0,0,IF(INDEX(Employees!$P$5:$P$29,$A501)="Per pay period",(N(INDEX(Employees!$Q$5:$Q$29,$A501)))/Settings!$B$13,IF(INDEX(Employees!$P$5:$P$29,$A501)="Per hour worked",N(INDEX(Employees!$R$5:$R$29,$A501))*$I501,IF(INDEX(Employees!$P$5:$P$29,$A501)="Front-loaded",IF(OR($B501=1,N($G500)=0),N(INDEX(Employees!$Q$5:$Q$29,$A501)),0),0))))</f>
        <v/>
      </c>
      <c r="R501" s="51">
        <f>IF($F501=0,0,SUMIFS('Time Off Log'!$H$5:$H$504,'Time Off Log'!$A$5:$A$504,$C501,'Time Off Log'!$B$5:$B$504,"Sick",'Time Off Log'!$E$5:$E$504,"Approved",'Time Off Log'!$C$5:$C$504,"&gt;="&amp;INDEX(Periods!$E$5:$E$57,$B501),'Time Off Log'!$C$5:$C$504,"&lt;="&amp;INDEX(Periods!$F$5:$F$57,$B501)))</f>
        <v/>
      </c>
      <c r="S501" s="51">
        <f>IF($B501=1,N(INDEX(Employees!$T$5:$T$29,$A501)),V500)</f>
        <v/>
      </c>
      <c r="T501" s="51">
        <f>IF(INDEX(Employees!$S$5:$S$29,$A501)="",Q501,MAX(0,MIN(Q501,INDEX(Employees!$S$5:$S$29,$A501)-(S501-R501))))</f>
        <v/>
      </c>
      <c r="U501" s="51">
        <f>Q501-T501</f>
        <v/>
      </c>
      <c r="V501" s="51">
        <f>S501-R501+T501</f>
        <v/>
      </c>
    </row>
    <row r="502">
      <c r="A502" s="50" t="n">
        <v>10</v>
      </c>
      <c r="B502" s="50" t="n">
        <v>21</v>
      </c>
      <c r="C502" s="51">
        <f>INDEX(Employees!$B$5:$B$29,$A502)&amp;""</f>
        <v/>
      </c>
      <c r="D502" s="52">
        <f>INDEX(Periods!$B$5:$B$57,$B502)</f>
        <v/>
      </c>
      <c r="E502" s="52">
        <f>INDEX(Periods!$C$5:$C$57,$B502)</f>
        <v/>
      </c>
      <c r="F502" s="50">
        <f>IF(AND($C502&lt;&gt;"",INDEX(Periods!$D$5:$D$57,$B502)=1),1,0)</f>
        <v/>
      </c>
      <c r="G502" s="50">
        <f>IF($F502=0,0,IF(AND(OR(INDEX(Employees!$D$5:$D$29,$A502)="",$E502&gt;=INDEX(Employees!$D$5:$D$29,$A502)+N(INDEX(Employees!$U$5:$U$29,$A502))),OR(INDEX(Employees!$E$5:$E$29,$A502)="",$D502&lt;=INDEX(Employees!$E$5:$E$29,$A502))),1,0))</f>
        <v/>
      </c>
      <c r="H502" s="50">
        <f>IF($G502=0,0,IF(INDEX(Employees!$D$5:$D$29,$A502)="",0,DATEDIF(INDEX(Employees!$D$5:$D$29,$A502),$E502,"y")))</f>
        <v/>
      </c>
      <c r="I502" s="51">
        <f>IF($G502=0,0,IF(INDEX('Hours Worked'!$D$5:$BD$29,$A502,$B502)="",N(INDEX(Employees!$H$5:$H$29,$A502)),INDEX('Hours Worked'!$D$5:$BD$29,$A502,$B502)))</f>
        <v/>
      </c>
      <c r="J502" s="51">
        <f>IF(OR($G502=0,INDEX(Employees!$O$5:$O$29,$A502)&lt;&gt;"Yes"),0,IF(COUNTIF(Settings!$D$4:$D$9,"&lt;="&amp;$H502)=0,0,INDEX(Settings!$E$4:$E$9,COUNTIF(Settings!$D$4:$D$9,"&lt;="&amp;$H502))))</f>
        <v/>
      </c>
      <c r="K502" s="51">
        <f>IF($G502=0,0,IF(INDEX(Employees!$I$5:$I$29,$A502)="Per pay period",(N(INDEX(Employees!$J$5:$J$29,$A502))+$J502)/Settings!$B$13,IF(INDEX(Employees!$I$5:$I$29,$A502)="Per hour worked",N(INDEX(Employees!$K$5:$K$29,$A502))*$I502,IF(INDEX(Employees!$I$5:$I$29,$A502)="Front-loaded",IF(OR($B502=1,N($G501)=0),N(INDEX(Employees!$J$5:$J$29,$A502))+$J502,0),0))))</f>
        <v/>
      </c>
      <c r="L502" s="51">
        <f>IF($F502=0,0,SUMIFS('Time Off Log'!$H$5:$H$504,'Time Off Log'!$A$5:$A$504,$C502,'Time Off Log'!$B$5:$B$504,"PTO",'Time Off Log'!$E$5:$E$504,"Approved",'Time Off Log'!$C$5:$C$504,"&gt;="&amp;INDEX(Periods!$E$5:$E$57,$B502),'Time Off Log'!$C$5:$C$504,"&lt;="&amp;INDEX(Periods!$F$5:$F$57,$B502)))</f>
        <v/>
      </c>
      <c r="M502" s="51">
        <f>IF($B502=1,N(INDEX(Employees!$N$5:$N$29,$A502)),P501)</f>
        <v/>
      </c>
      <c r="N502" s="51">
        <f>IF(INDEX(Employees!$L$5:$L$29,$A502)="",K502,MAX(0,MIN(K502,INDEX(Employees!$L$5:$L$29,$A502)-(M502-L502))))</f>
        <v/>
      </c>
      <c r="O502" s="51">
        <f>K502-N502</f>
        <v/>
      </c>
      <c r="P502" s="51">
        <f>M502-L502+N502</f>
        <v/>
      </c>
      <c r="Q502" s="51">
        <f>IF($G502=0,0,IF(INDEX(Employees!$P$5:$P$29,$A502)="Per pay period",(N(INDEX(Employees!$Q$5:$Q$29,$A502)))/Settings!$B$13,IF(INDEX(Employees!$P$5:$P$29,$A502)="Per hour worked",N(INDEX(Employees!$R$5:$R$29,$A502))*$I502,IF(INDEX(Employees!$P$5:$P$29,$A502)="Front-loaded",IF(OR($B502=1,N($G501)=0),N(INDEX(Employees!$Q$5:$Q$29,$A502)),0),0))))</f>
        <v/>
      </c>
      <c r="R502" s="51">
        <f>IF($F502=0,0,SUMIFS('Time Off Log'!$H$5:$H$504,'Time Off Log'!$A$5:$A$504,$C502,'Time Off Log'!$B$5:$B$504,"Sick",'Time Off Log'!$E$5:$E$504,"Approved",'Time Off Log'!$C$5:$C$504,"&gt;="&amp;INDEX(Periods!$E$5:$E$57,$B502),'Time Off Log'!$C$5:$C$504,"&lt;="&amp;INDEX(Periods!$F$5:$F$57,$B502)))</f>
        <v/>
      </c>
      <c r="S502" s="51">
        <f>IF($B502=1,N(INDEX(Employees!$T$5:$T$29,$A502)),V501)</f>
        <v/>
      </c>
      <c r="T502" s="51">
        <f>IF(INDEX(Employees!$S$5:$S$29,$A502)="",Q502,MAX(0,MIN(Q502,INDEX(Employees!$S$5:$S$29,$A502)-(S502-R502))))</f>
        <v/>
      </c>
      <c r="U502" s="51">
        <f>Q502-T502</f>
        <v/>
      </c>
      <c r="V502" s="51">
        <f>S502-R502+T502</f>
        <v/>
      </c>
    </row>
    <row r="503">
      <c r="A503" s="50" t="n">
        <v>10</v>
      </c>
      <c r="B503" s="50" t="n">
        <v>22</v>
      </c>
      <c r="C503" s="51">
        <f>INDEX(Employees!$B$5:$B$29,$A503)&amp;""</f>
        <v/>
      </c>
      <c r="D503" s="52">
        <f>INDEX(Periods!$B$5:$B$57,$B503)</f>
        <v/>
      </c>
      <c r="E503" s="52">
        <f>INDEX(Periods!$C$5:$C$57,$B503)</f>
        <v/>
      </c>
      <c r="F503" s="50">
        <f>IF(AND($C503&lt;&gt;"",INDEX(Periods!$D$5:$D$57,$B503)=1),1,0)</f>
        <v/>
      </c>
      <c r="G503" s="50">
        <f>IF($F503=0,0,IF(AND(OR(INDEX(Employees!$D$5:$D$29,$A503)="",$E503&gt;=INDEX(Employees!$D$5:$D$29,$A503)+N(INDEX(Employees!$U$5:$U$29,$A503))),OR(INDEX(Employees!$E$5:$E$29,$A503)="",$D503&lt;=INDEX(Employees!$E$5:$E$29,$A503))),1,0))</f>
        <v/>
      </c>
      <c r="H503" s="50">
        <f>IF($G503=0,0,IF(INDEX(Employees!$D$5:$D$29,$A503)="",0,DATEDIF(INDEX(Employees!$D$5:$D$29,$A503),$E503,"y")))</f>
        <v/>
      </c>
      <c r="I503" s="51">
        <f>IF($G503=0,0,IF(INDEX('Hours Worked'!$D$5:$BD$29,$A503,$B503)="",N(INDEX(Employees!$H$5:$H$29,$A503)),INDEX('Hours Worked'!$D$5:$BD$29,$A503,$B503)))</f>
        <v/>
      </c>
      <c r="J503" s="51">
        <f>IF(OR($G503=0,INDEX(Employees!$O$5:$O$29,$A503)&lt;&gt;"Yes"),0,IF(COUNTIF(Settings!$D$4:$D$9,"&lt;="&amp;$H503)=0,0,INDEX(Settings!$E$4:$E$9,COUNTIF(Settings!$D$4:$D$9,"&lt;="&amp;$H503))))</f>
        <v/>
      </c>
      <c r="K503" s="51">
        <f>IF($G503=0,0,IF(INDEX(Employees!$I$5:$I$29,$A503)="Per pay period",(N(INDEX(Employees!$J$5:$J$29,$A503))+$J503)/Settings!$B$13,IF(INDEX(Employees!$I$5:$I$29,$A503)="Per hour worked",N(INDEX(Employees!$K$5:$K$29,$A503))*$I503,IF(INDEX(Employees!$I$5:$I$29,$A503)="Front-loaded",IF(OR($B503=1,N($G502)=0),N(INDEX(Employees!$J$5:$J$29,$A503))+$J503,0),0))))</f>
        <v/>
      </c>
      <c r="L503" s="51">
        <f>IF($F503=0,0,SUMIFS('Time Off Log'!$H$5:$H$504,'Time Off Log'!$A$5:$A$504,$C503,'Time Off Log'!$B$5:$B$504,"PTO",'Time Off Log'!$E$5:$E$504,"Approved",'Time Off Log'!$C$5:$C$504,"&gt;="&amp;INDEX(Periods!$E$5:$E$57,$B503),'Time Off Log'!$C$5:$C$504,"&lt;="&amp;INDEX(Periods!$F$5:$F$57,$B503)))</f>
        <v/>
      </c>
      <c r="M503" s="51">
        <f>IF($B503=1,N(INDEX(Employees!$N$5:$N$29,$A503)),P502)</f>
        <v/>
      </c>
      <c r="N503" s="51">
        <f>IF(INDEX(Employees!$L$5:$L$29,$A503)="",K503,MAX(0,MIN(K503,INDEX(Employees!$L$5:$L$29,$A503)-(M503-L503))))</f>
        <v/>
      </c>
      <c r="O503" s="51">
        <f>K503-N503</f>
        <v/>
      </c>
      <c r="P503" s="51">
        <f>M503-L503+N503</f>
        <v/>
      </c>
      <c r="Q503" s="51">
        <f>IF($G503=0,0,IF(INDEX(Employees!$P$5:$P$29,$A503)="Per pay period",(N(INDEX(Employees!$Q$5:$Q$29,$A503)))/Settings!$B$13,IF(INDEX(Employees!$P$5:$P$29,$A503)="Per hour worked",N(INDEX(Employees!$R$5:$R$29,$A503))*$I503,IF(INDEX(Employees!$P$5:$P$29,$A503)="Front-loaded",IF(OR($B503=1,N($G502)=0),N(INDEX(Employees!$Q$5:$Q$29,$A503)),0),0))))</f>
        <v/>
      </c>
      <c r="R503" s="51">
        <f>IF($F503=0,0,SUMIFS('Time Off Log'!$H$5:$H$504,'Time Off Log'!$A$5:$A$504,$C503,'Time Off Log'!$B$5:$B$504,"Sick",'Time Off Log'!$E$5:$E$504,"Approved",'Time Off Log'!$C$5:$C$504,"&gt;="&amp;INDEX(Periods!$E$5:$E$57,$B503),'Time Off Log'!$C$5:$C$504,"&lt;="&amp;INDEX(Periods!$F$5:$F$57,$B503)))</f>
        <v/>
      </c>
      <c r="S503" s="51">
        <f>IF($B503=1,N(INDEX(Employees!$T$5:$T$29,$A503)),V502)</f>
        <v/>
      </c>
      <c r="T503" s="51">
        <f>IF(INDEX(Employees!$S$5:$S$29,$A503)="",Q503,MAX(0,MIN(Q503,INDEX(Employees!$S$5:$S$29,$A503)-(S503-R503))))</f>
        <v/>
      </c>
      <c r="U503" s="51">
        <f>Q503-T503</f>
        <v/>
      </c>
      <c r="V503" s="51">
        <f>S503-R503+T503</f>
        <v/>
      </c>
    </row>
    <row r="504">
      <c r="A504" s="50" t="n">
        <v>10</v>
      </c>
      <c r="B504" s="50" t="n">
        <v>23</v>
      </c>
      <c r="C504" s="51">
        <f>INDEX(Employees!$B$5:$B$29,$A504)&amp;""</f>
        <v/>
      </c>
      <c r="D504" s="52">
        <f>INDEX(Periods!$B$5:$B$57,$B504)</f>
        <v/>
      </c>
      <c r="E504" s="52">
        <f>INDEX(Periods!$C$5:$C$57,$B504)</f>
        <v/>
      </c>
      <c r="F504" s="50">
        <f>IF(AND($C504&lt;&gt;"",INDEX(Periods!$D$5:$D$57,$B504)=1),1,0)</f>
        <v/>
      </c>
      <c r="G504" s="50">
        <f>IF($F504=0,0,IF(AND(OR(INDEX(Employees!$D$5:$D$29,$A504)="",$E504&gt;=INDEX(Employees!$D$5:$D$29,$A504)+N(INDEX(Employees!$U$5:$U$29,$A504))),OR(INDEX(Employees!$E$5:$E$29,$A504)="",$D504&lt;=INDEX(Employees!$E$5:$E$29,$A504))),1,0))</f>
        <v/>
      </c>
      <c r="H504" s="50">
        <f>IF($G504=0,0,IF(INDEX(Employees!$D$5:$D$29,$A504)="",0,DATEDIF(INDEX(Employees!$D$5:$D$29,$A504),$E504,"y")))</f>
        <v/>
      </c>
      <c r="I504" s="51">
        <f>IF($G504=0,0,IF(INDEX('Hours Worked'!$D$5:$BD$29,$A504,$B504)="",N(INDEX(Employees!$H$5:$H$29,$A504)),INDEX('Hours Worked'!$D$5:$BD$29,$A504,$B504)))</f>
        <v/>
      </c>
      <c r="J504" s="51">
        <f>IF(OR($G504=0,INDEX(Employees!$O$5:$O$29,$A504)&lt;&gt;"Yes"),0,IF(COUNTIF(Settings!$D$4:$D$9,"&lt;="&amp;$H504)=0,0,INDEX(Settings!$E$4:$E$9,COUNTIF(Settings!$D$4:$D$9,"&lt;="&amp;$H504))))</f>
        <v/>
      </c>
      <c r="K504" s="51">
        <f>IF($G504=0,0,IF(INDEX(Employees!$I$5:$I$29,$A504)="Per pay period",(N(INDEX(Employees!$J$5:$J$29,$A504))+$J504)/Settings!$B$13,IF(INDEX(Employees!$I$5:$I$29,$A504)="Per hour worked",N(INDEX(Employees!$K$5:$K$29,$A504))*$I504,IF(INDEX(Employees!$I$5:$I$29,$A504)="Front-loaded",IF(OR($B504=1,N($G503)=0),N(INDEX(Employees!$J$5:$J$29,$A504))+$J504,0),0))))</f>
        <v/>
      </c>
      <c r="L504" s="51">
        <f>IF($F504=0,0,SUMIFS('Time Off Log'!$H$5:$H$504,'Time Off Log'!$A$5:$A$504,$C504,'Time Off Log'!$B$5:$B$504,"PTO",'Time Off Log'!$E$5:$E$504,"Approved",'Time Off Log'!$C$5:$C$504,"&gt;="&amp;INDEX(Periods!$E$5:$E$57,$B504),'Time Off Log'!$C$5:$C$504,"&lt;="&amp;INDEX(Periods!$F$5:$F$57,$B504)))</f>
        <v/>
      </c>
      <c r="M504" s="51">
        <f>IF($B504=1,N(INDEX(Employees!$N$5:$N$29,$A504)),P503)</f>
        <v/>
      </c>
      <c r="N504" s="51">
        <f>IF(INDEX(Employees!$L$5:$L$29,$A504)="",K504,MAX(0,MIN(K504,INDEX(Employees!$L$5:$L$29,$A504)-(M504-L504))))</f>
        <v/>
      </c>
      <c r="O504" s="51">
        <f>K504-N504</f>
        <v/>
      </c>
      <c r="P504" s="51">
        <f>M504-L504+N504</f>
        <v/>
      </c>
      <c r="Q504" s="51">
        <f>IF($G504=0,0,IF(INDEX(Employees!$P$5:$P$29,$A504)="Per pay period",(N(INDEX(Employees!$Q$5:$Q$29,$A504)))/Settings!$B$13,IF(INDEX(Employees!$P$5:$P$29,$A504)="Per hour worked",N(INDEX(Employees!$R$5:$R$29,$A504))*$I504,IF(INDEX(Employees!$P$5:$P$29,$A504)="Front-loaded",IF(OR($B504=1,N($G503)=0),N(INDEX(Employees!$Q$5:$Q$29,$A504)),0),0))))</f>
        <v/>
      </c>
      <c r="R504" s="51">
        <f>IF($F504=0,0,SUMIFS('Time Off Log'!$H$5:$H$504,'Time Off Log'!$A$5:$A$504,$C504,'Time Off Log'!$B$5:$B$504,"Sick",'Time Off Log'!$E$5:$E$504,"Approved",'Time Off Log'!$C$5:$C$504,"&gt;="&amp;INDEX(Periods!$E$5:$E$57,$B504),'Time Off Log'!$C$5:$C$504,"&lt;="&amp;INDEX(Periods!$F$5:$F$57,$B504)))</f>
        <v/>
      </c>
      <c r="S504" s="51">
        <f>IF($B504=1,N(INDEX(Employees!$T$5:$T$29,$A504)),V503)</f>
        <v/>
      </c>
      <c r="T504" s="51">
        <f>IF(INDEX(Employees!$S$5:$S$29,$A504)="",Q504,MAX(0,MIN(Q504,INDEX(Employees!$S$5:$S$29,$A504)-(S504-R504))))</f>
        <v/>
      </c>
      <c r="U504" s="51">
        <f>Q504-T504</f>
        <v/>
      </c>
      <c r="V504" s="51">
        <f>S504-R504+T504</f>
        <v/>
      </c>
    </row>
    <row r="505">
      <c r="A505" s="50" t="n">
        <v>10</v>
      </c>
      <c r="B505" s="50" t="n">
        <v>24</v>
      </c>
      <c r="C505" s="51">
        <f>INDEX(Employees!$B$5:$B$29,$A505)&amp;""</f>
        <v/>
      </c>
      <c r="D505" s="52">
        <f>INDEX(Periods!$B$5:$B$57,$B505)</f>
        <v/>
      </c>
      <c r="E505" s="52">
        <f>INDEX(Periods!$C$5:$C$57,$B505)</f>
        <v/>
      </c>
      <c r="F505" s="50">
        <f>IF(AND($C505&lt;&gt;"",INDEX(Periods!$D$5:$D$57,$B505)=1),1,0)</f>
        <v/>
      </c>
      <c r="G505" s="50">
        <f>IF($F505=0,0,IF(AND(OR(INDEX(Employees!$D$5:$D$29,$A505)="",$E505&gt;=INDEX(Employees!$D$5:$D$29,$A505)+N(INDEX(Employees!$U$5:$U$29,$A505))),OR(INDEX(Employees!$E$5:$E$29,$A505)="",$D505&lt;=INDEX(Employees!$E$5:$E$29,$A505))),1,0))</f>
        <v/>
      </c>
      <c r="H505" s="50">
        <f>IF($G505=0,0,IF(INDEX(Employees!$D$5:$D$29,$A505)="",0,DATEDIF(INDEX(Employees!$D$5:$D$29,$A505),$E505,"y")))</f>
        <v/>
      </c>
      <c r="I505" s="51">
        <f>IF($G505=0,0,IF(INDEX('Hours Worked'!$D$5:$BD$29,$A505,$B505)="",N(INDEX(Employees!$H$5:$H$29,$A505)),INDEX('Hours Worked'!$D$5:$BD$29,$A505,$B505)))</f>
        <v/>
      </c>
      <c r="J505" s="51">
        <f>IF(OR($G505=0,INDEX(Employees!$O$5:$O$29,$A505)&lt;&gt;"Yes"),0,IF(COUNTIF(Settings!$D$4:$D$9,"&lt;="&amp;$H505)=0,0,INDEX(Settings!$E$4:$E$9,COUNTIF(Settings!$D$4:$D$9,"&lt;="&amp;$H505))))</f>
        <v/>
      </c>
      <c r="K505" s="51">
        <f>IF($G505=0,0,IF(INDEX(Employees!$I$5:$I$29,$A505)="Per pay period",(N(INDEX(Employees!$J$5:$J$29,$A505))+$J505)/Settings!$B$13,IF(INDEX(Employees!$I$5:$I$29,$A505)="Per hour worked",N(INDEX(Employees!$K$5:$K$29,$A505))*$I505,IF(INDEX(Employees!$I$5:$I$29,$A505)="Front-loaded",IF(OR($B505=1,N($G504)=0),N(INDEX(Employees!$J$5:$J$29,$A505))+$J505,0),0))))</f>
        <v/>
      </c>
      <c r="L505" s="51">
        <f>IF($F505=0,0,SUMIFS('Time Off Log'!$H$5:$H$504,'Time Off Log'!$A$5:$A$504,$C505,'Time Off Log'!$B$5:$B$504,"PTO",'Time Off Log'!$E$5:$E$504,"Approved",'Time Off Log'!$C$5:$C$504,"&gt;="&amp;INDEX(Periods!$E$5:$E$57,$B505),'Time Off Log'!$C$5:$C$504,"&lt;="&amp;INDEX(Periods!$F$5:$F$57,$B505)))</f>
        <v/>
      </c>
      <c r="M505" s="51">
        <f>IF($B505=1,N(INDEX(Employees!$N$5:$N$29,$A505)),P504)</f>
        <v/>
      </c>
      <c r="N505" s="51">
        <f>IF(INDEX(Employees!$L$5:$L$29,$A505)="",K505,MAX(0,MIN(K505,INDEX(Employees!$L$5:$L$29,$A505)-(M505-L505))))</f>
        <v/>
      </c>
      <c r="O505" s="51">
        <f>K505-N505</f>
        <v/>
      </c>
      <c r="P505" s="51">
        <f>M505-L505+N505</f>
        <v/>
      </c>
      <c r="Q505" s="51">
        <f>IF($G505=0,0,IF(INDEX(Employees!$P$5:$P$29,$A505)="Per pay period",(N(INDEX(Employees!$Q$5:$Q$29,$A505)))/Settings!$B$13,IF(INDEX(Employees!$P$5:$P$29,$A505)="Per hour worked",N(INDEX(Employees!$R$5:$R$29,$A505))*$I505,IF(INDEX(Employees!$P$5:$P$29,$A505)="Front-loaded",IF(OR($B505=1,N($G504)=0),N(INDEX(Employees!$Q$5:$Q$29,$A505)),0),0))))</f>
        <v/>
      </c>
      <c r="R505" s="51">
        <f>IF($F505=0,0,SUMIFS('Time Off Log'!$H$5:$H$504,'Time Off Log'!$A$5:$A$504,$C505,'Time Off Log'!$B$5:$B$504,"Sick",'Time Off Log'!$E$5:$E$504,"Approved",'Time Off Log'!$C$5:$C$504,"&gt;="&amp;INDEX(Periods!$E$5:$E$57,$B505),'Time Off Log'!$C$5:$C$504,"&lt;="&amp;INDEX(Periods!$F$5:$F$57,$B505)))</f>
        <v/>
      </c>
      <c r="S505" s="51">
        <f>IF($B505=1,N(INDEX(Employees!$T$5:$T$29,$A505)),V504)</f>
        <v/>
      </c>
      <c r="T505" s="51">
        <f>IF(INDEX(Employees!$S$5:$S$29,$A505)="",Q505,MAX(0,MIN(Q505,INDEX(Employees!$S$5:$S$29,$A505)-(S505-R505))))</f>
        <v/>
      </c>
      <c r="U505" s="51">
        <f>Q505-T505</f>
        <v/>
      </c>
      <c r="V505" s="51">
        <f>S505-R505+T505</f>
        <v/>
      </c>
    </row>
    <row r="506">
      <c r="A506" s="50" t="n">
        <v>10</v>
      </c>
      <c r="B506" s="50" t="n">
        <v>25</v>
      </c>
      <c r="C506" s="51">
        <f>INDEX(Employees!$B$5:$B$29,$A506)&amp;""</f>
        <v/>
      </c>
      <c r="D506" s="52">
        <f>INDEX(Periods!$B$5:$B$57,$B506)</f>
        <v/>
      </c>
      <c r="E506" s="52">
        <f>INDEX(Periods!$C$5:$C$57,$B506)</f>
        <v/>
      </c>
      <c r="F506" s="50">
        <f>IF(AND($C506&lt;&gt;"",INDEX(Periods!$D$5:$D$57,$B506)=1),1,0)</f>
        <v/>
      </c>
      <c r="G506" s="50">
        <f>IF($F506=0,0,IF(AND(OR(INDEX(Employees!$D$5:$D$29,$A506)="",$E506&gt;=INDEX(Employees!$D$5:$D$29,$A506)+N(INDEX(Employees!$U$5:$U$29,$A506))),OR(INDEX(Employees!$E$5:$E$29,$A506)="",$D506&lt;=INDEX(Employees!$E$5:$E$29,$A506))),1,0))</f>
        <v/>
      </c>
      <c r="H506" s="50">
        <f>IF($G506=0,0,IF(INDEX(Employees!$D$5:$D$29,$A506)="",0,DATEDIF(INDEX(Employees!$D$5:$D$29,$A506),$E506,"y")))</f>
        <v/>
      </c>
      <c r="I506" s="51">
        <f>IF($G506=0,0,IF(INDEX('Hours Worked'!$D$5:$BD$29,$A506,$B506)="",N(INDEX(Employees!$H$5:$H$29,$A506)),INDEX('Hours Worked'!$D$5:$BD$29,$A506,$B506)))</f>
        <v/>
      </c>
      <c r="J506" s="51">
        <f>IF(OR($G506=0,INDEX(Employees!$O$5:$O$29,$A506)&lt;&gt;"Yes"),0,IF(COUNTIF(Settings!$D$4:$D$9,"&lt;="&amp;$H506)=0,0,INDEX(Settings!$E$4:$E$9,COUNTIF(Settings!$D$4:$D$9,"&lt;="&amp;$H506))))</f>
        <v/>
      </c>
      <c r="K506" s="51">
        <f>IF($G506=0,0,IF(INDEX(Employees!$I$5:$I$29,$A506)="Per pay period",(N(INDEX(Employees!$J$5:$J$29,$A506))+$J506)/Settings!$B$13,IF(INDEX(Employees!$I$5:$I$29,$A506)="Per hour worked",N(INDEX(Employees!$K$5:$K$29,$A506))*$I506,IF(INDEX(Employees!$I$5:$I$29,$A506)="Front-loaded",IF(OR($B506=1,N($G505)=0),N(INDEX(Employees!$J$5:$J$29,$A506))+$J506,0),0))))</f>
        <v/>
      </c>
      <c r="L506" s="51">
        <f>IF($F506=0,0,SUMIFS('Time Off Log'!$H$5:$H$504,'Time Off Log'!$A$5:$A$504,$C506,'Time Off Log'!$B$5:$B$504,"PTO",'Time Off Log'!$E$5:$E$504,"Approved",'Time Off Log'!$C$5:$C$504,"&gt;="&amp;INDEX(Periods!$E$5:$E$57,$B506),'Time Off Log'!$C$5:$C$504,"&lt;="&amp;INDEX(Periods!$F$5:$F$57,$B506)))</f>
        <v/>
      </c>
      <c r="M506" s="51">
        <f>IF($B506=1,N(INDEX(Employees!$N$5:$N$29,$A506)),P505)</f>
        <v/>
      </c>
      <c r="N506" s="51">
        <f>IF(INDEX(Employees!$L$5:$L$29,$A506)="",K506,MAX(0,MIN(K506,INDEX(Employees!$L$5:$L$29,$A506)-(M506-L506))))</f>
        <v/>
      </c>
      <c r="O506" s="51">
        <f>K506-N506</f>
        <v/>
      </c>
      <c r="P506" s="51">
        <f>M506-L506+N506</f>
        <v/>
      </c>
      <c r="Q506" s="51">
        <f>IF($G506=0,0,IF(INDEX(Employees!$P$5:$P$29,$A506)="Per pay period",(N(INDEX(Employees!$Q$5:$Q$29,$A506)))/Settings!$B$13,IF(INDEX(Employees!$P$5:$P$29,$A506)="Per hour worked",N(INDEX(Employees!$R$5:$R$29,$A506))*$I506,IF(INDEX(Employees!$P$5:$P$29,$A506)="Front-loaded",IF(OR($B506=1,N($G505)=0),N(INDEX(Employees!$Q$5:$Q$29,$A506)),0),0))))</f>
        <v/>
      </c>
      <c r="R506" s="51">
        <f>IF($F506=0,0,SUMIFS('Time Off Log'!$H$5:$H$504,'Time Off Log'!$A$5:$A$504,$C506,'Time Off Log'!$B$5:$B$504,"Sick",'Time Off Log'!$E$5:$E$504,"Approved",'Time Off Log'!$C$5:$C$504,"&gt;="&amp;INDEX(Periods!$E$5:$E$57,$B506),'Time Off Log'!$C$5:$C$504,"&lt;="&amp;INDEX(Periods!$F$5:$F$57,$B506)))</f>
        <v/>
      </c>
      <c r="S506" s="51">
        <f>IF($B506=1,N(INDEX(Employees!$T$5:$T$29,$A506)),V505)</f>
        <v/>
      </c>
      <c r="T506" s="51">
        <f>IF(INDEX(Employees!$S$5:$S$29,$A506)="",Q506,MAX(0,MIN(Q506,INDEX(Employees!$S$5:$S$29,$A506)-(S506-R506))))</f>
        <v/>
      </c>
      <c r="U506" s="51">
        <f>Q506-T506</f>
        <v/>
      </c>
      <c r="V506" s="51">
        <f>S506-R506+T506</f>
        <v/>
      </c>
    </row>
    <row r="507">
      <c r="A507" s="50" t="n">
        <v>10</v>
      </c>
      <c r="B507" s="50" t="n">
        <v>26</v>
      </c>
      <c r="C507" s="51">
        <f>INDEX(Employees!$B$5:$B$29,$A507)&amp;""</f>
        <v/>
      </c>
      <c r="D507" s="52">
        <f>INDEX(Periods!$B$5:$B$57,$B507)</f>
        <v/>
      </c>
      <c r="E507" s="52">
        <f>INDEX(Periods!$C$5:$C$57,$B507)</f>
        <v/>
      </c>
      <c r="F507" s="50">
        <f>IF(AND($C507&lt;&gt;"",INDEX(Periods!$D$5:$D$57,$B507)=1),1,0)</f>
        <v/>
      </c>
      <c r="G507" s="50">
        <f>IF($F507=0,0,IF(AND(OR(INDEX(Employees!$D$5:$D$29,$A507)="",$E507&gt;=INDEX(Employees!$D$5:$D$29,$A507)+N(INDEX(Employees!$U$5:$U$29,$A507))),OR(INDEX(Employees!$E$5:$E$29,$A507)="",$D507&lt;=INDEX(Employees!$E$5:$E$29,$A507))),1,0))</f>
        <v/>
      </c>
      <c r="H507" s="50">
        <f>IF($G507=0,0,IF(INDEX(Employees!$D$5:$D$29,$A507)="",0,DATEDIF(INDEX(Employees!$D$5:$D$29,$A507),$E507,"y")))</f>
        <v/>
      </c>
      <c r="I507" s="51">
        <f>IF($G507=0,0,IF(INDEX('Hours Worked'!$D$5:$BD$29,$A507,$B507)="",N(INDEX(Employees!$H$5:$H$29,$A507)),INDEX('Hours Worked'!$D$5:$BD$29,$A507,$B507)))</f>
        <v/>
      </c>
      <c r="J507" s="51">
        <f>IF(OR($G507=0,INDEX(Employees!$O$5:$O$29,$A507)&lt;&gt;"Yes"),0,IF(COUNTIF(Settings!$D$4:$D$9,"&lt;="&amp;$H507)=0,0,INDEX(Settings!$E$4:$E$9,COUNTIF(Settings!$D$4:$D$9,"&lt;="&amp;$H507))))</f>
        <v/>
      </c>
      <c r="K507" s="51">
        <f>IF($G507=0,0,IF(INDEX(Employees!$I$5:$I$29,$A507)="Per pay period",(N(INDEX(Employees!$J$5:$J$29,$A507))+$J507)/Settings!$B$13,IF(INDEX(Employees!$I$5:$I$29,$A507)="Per hour worked",N(INDEX(Employees!$K$5:$K$29,$A507))*$I507,IF(INDEX(Employees!$I$5:$I$29,$A507)="Front-loaded",IF(OR($B507=1,N($G506)=0),N(INDEX(Employees!$J$5:$J$29,$A507))+$J507,0),0))))</f>
        <v/>
      </c>
      <c r="L507" s="51">
        <f>IF($F507=0,0,SUMIFS('Time Off Log'!$H$5:$H$504,'Time Off Log'!$A$5:$A$504,$C507,'Time Off Log'!$B$5:$B$504,"PTO",'Time Off Log'!$E$5:$E$504,"Approved",'Time Off Log'!$C$5:$C$504,"&gt;="&amp;INDEX(Periods!$E$5:$E$57,$B507),'Time Off Log'!$C$5:$C$504,"&lt;="&amp;INDEX(Periods!$F$5:$F$57,$B507)))</f>
        <v/>
      </c>
      <c r="M507" s="51">
        <f>IF($B507=1,N(INDEX(Employees!$N$5:$N$29,$A507)),P506)</f>
        <v/>
      </c>
      <c r="N507" s="51">
        <f>IF(INDEX(Employees!$L$5:$L$29,$A507)="",K507,MAX(0,MIN(K507,INDEX(Employees!$L$5:$L$29,$A507)-(M507-L507))))</f>
        <v/>
      </c>
      <c r="O507" s="51">
        <f>K507-N507</f>
        <v/>
      </c>
      <c r="P507" s="51">
        <f>M507-L507+N507</f>
        <v/>
      </c>
      <c r="Q507" s="51">
        <f>IF($G507=0,0,IF(INDEX(Employees!$P$5:$P$29,$A507)="Per pay period",(N(INDEX(Employees!$Q$5:$Q$29,$A507)))/Settings!$B$13,IF(INDEX(Employees!$P$5:$P$29,$A507)="Per hour worked",N(INDEX(Employees!$R$5:$R$29,$A507))*$I507,IF(INDEX(Employees!$P$5:$P$29,$A507)="Front-loaded",IF(OR($B507=1,N($G506)=0),N(INDEX(Employees!$Q$5:$Q$29,$A507)),0),0))))</f>
        <v/>
      </c>
      <c r="R507" s="51">
        <f>IF($F507=0,0,SUMIFS('Time Off Log'!$H$5:$H$504,'Time Off Log'!$A$5:$A$504,$C507,'Time Off Log'!$B$5:$B$504,"Sick",'Time Off Log'!$E$5:$E$504,"Approved",'Time Off Log'!$C$5:$C$504,"&gt;="&amp;INDEX(Periods!$E$5:$E$57,$B507),'Time Off Log'!$C$5:$C$504,"&lt;="&amp;INDEX(Periods!$F$5:$F$57,$B507)))</f>
        <v/>
      </c>
      <c r="S507" s="51">
        <f>IF($B507=1,N(INDEX(Employees!$T$5:$T$29,$A507)),V506)</f>
        <v/>
      </c>
      <c r="T507" s="51">
        <f>IF(INDEX(Employees!$S$5:$S$29,$A507)="",Q507,MAX(0,MIN(Q507,INDEX(Employees!$S$5:$S$29,$A507)-(S507-R507))))</f>
        <v/>
      </c>
      <c r="U507" s="51">
        <f>Q507-T507</f>
        <v/>
      </c>
      <c r="V507" s="51">
        <f>S507-R507+T507</f>
        <v/>
      </c>
    </row>
    <row r="508">
      <c r="A508" s="50" t="n">
        <v>10</v>
      </c>
      <c r="B508" s="50" t="n">
        <v>27</v>
      </c>
      <c r="C508" s="51">
        <f>INDEX(Employees!$B$5:$B$29,$A508)&amp;""</f>
        <v/>
      </c>
      <c r="D508" s="52">
        <f>INDEX(Periods!$B$5:$B$57,$B508)</f>
        <v/>
      </c>
      <c r="E508" s="52">
        <f>INDEX(Periods!$C$5:$C$57,$B508)</f>
        <v/>
      </c>
      <c r="F508" s="50">
        <f>IF(AND($C508&lt;&gt;"",INDEX(Periods!$D$5:$D$57,$B508)=1),1,0)</f>
        <v/>
      </c>
      <c r="G508" s="50">
        <f>IF($F508=0,0,IF(AND(OR(INDEX(Employees!$D$5:$D$29,$A508)="",$E508&gt;=INDEX(Employees!$D$5:$D$29,$A508)+N(INDEX(Employees!$U$5:$U$29,$A508))),OR(INDEX(Employees!$E$5:$E$29,$A508)="",$D508&lt;=INDEX(Employees!$E$5:$E$29,$A508))),1,0))</f>
        <v/>
      </c>
      <c r="H508" s="50">
        <f>IF($G508=0,0,IF(INDEX(Employees!$D$5:$D$29,$A508)="",0,DATEDIF(INDEX(Employees!$D$5:$D$29,$A508),$E508,"y")))</f>
        <v/>
      </c>
      <c r="I508" s="51">
        <f>IF($G508=0,0,IF(INDEX('Hours Worked'!$D$5:$BD$29,$A508,$B508)="",N(INDEX(Employees!$H$5:$H$29,$A508)),INDEX('Hours Worked'!$D$5:$BD$29,$A508,$B508)))</f>
        <v/>
      </c>
      <c r="J508" s="51">
        <f>IF(OR($G508=0,INDEX(Employees!$O$5:$O$29,$A508)&lt;&gt;"Yes"),0,IF(COUNTIF(Settings!$D$4:$D$9,"&lt;="&amp;$H508)=0,0,INDEX(Settings!$E$4:$E$9,COUNTIF(Settings!$D$4:$D$9,"&lt;="&amp;$H508))))</f>
        <v/>
      </c>
      <c r="K508" s="51">
        <f>IF($G508=0,0,IF(INDEX(Employees!$I$5:$I$29,$A508)="Per pay period",(N(INDEX(Employees!$J$5:$J$29,$A508))+$J508)/Settings!$B$13,IF(INDEX(Employees!$I$5:$I$29,$A508)="Per hour worked",N(INDEX(Employees!$K$5:$K$29,$A508))*$I508,IF(INDEX(Employees!$I$5:$I$29,$A508)="Front-loaded",IF(OR($B508=1,N($G507)=0),N(INDEX(Employees!$J$5:$J$29,$A508))+$J508,0),0))))</f>
        <v/>
      </c>
      <c r="L508" s="51">
        <f>IF($F508=0,0,SUMIFS('Time Off Log'!$H$5:$H$504,'Time Off Log'!$A$5:$A$504,$C508,'Time Off Log'!$B$5:$B$504,"PTO",'Time Off Log'!$E$5:$E$504,"Approved",'Time Off Log'!$C$5:$C$504,"&gt;="&amp;INDEX(Periods!$E$5:$E$57,$B508),'Time Off Log'!$C$5:$C$504,"&lt;="&amp;INDEX(Periods!$F$5:$F$57,$B508)))</f>
        <v/>
      </c>
      <c r="M508" s="51">
        <f>IF($B508=1,N(INDEX(Employees!$N$5:$N$29,$A508)),P507)</f>
        <v/>
      </c>
      <c r="N508" s="51">
        <f>IF(INDEX(Employees!$L$5:$L$29,$A508)="",K508,MAX(0,MIN(K508,INDEX(Employees!$L$5:$L$29,$A508)-(M508-L508))))</f>
        <v/>
      </c>
      <c r="O508" s="51">
        <f>K508-N508</f>
        <v/>
      </c>
      <c r="P508" s="51">
        <f>M508-L508+N508</f>
        <v/>
      </c>
      <c r="Q508" s="51">
        <f>IF($G508=0,0,IF(INDEX(Employees!$P$5:$P$29,$A508)="Per pay period",(N(INDEX(Employees!$Q$5:$Q$29,$A508)))/Settings!$B$13,IF(INDEX(Employees!$P$5:$P$29,$A508)="Per hour worked",N(INDEX(Employees!$R$5:$R$29,$A508))*$I508,IF(INDEX(Employees!$P$5:$P$29,$A508)="Front-loaded",IF(OR($B508=1,N($G507)=0),N(INDEX(Employees!$Q$5:$Q$29,$A508)),0),0))))</f>
        <v/>
      </c>
      <c r="R508" s="51">
        <f>IF($F508=0,0,SUMIFS('Time Off Log'!$H$5:$H$504,'Time Off Log'!$A$5:$A$504,$C508,'Time Off Log'!$B$5:$B$504,"Sick",'Time Off Log'!$E$5:$E$504,"Approved",'Time Off Log'!$C$5:$C$504,"&gt;="&amp;INDEX(Periods!$E$5:$E$57,$B508),'Time Off Log'!$C$5:$C$504,"&lt;="&amp;INDEX(Periods!$F$5:$F$57,$B508)))</f>
        <v/>
      </c>
      <c r="S508" s="51">
        <f>IF($B508=1,N(INDEX(Employees!$T$5:$T$29,$A508)),V507)</f>
        <v/>
      </c>
      <c r="T508" s="51">
        <f>IF(INDEX(Employees!$S$5:$S$29,$A508)="",Q508,MAX(0,MIN(Q508,INDEX(Employees!$S$5:$S$29,$A508)-(S508-R508))))</f>
        <v/>
      </c>
      <c r="U508" s="51">
        <f>Q508-T508</f>
        <v/>
      </c>
      <c r="V508" s="51">
        <f>S508-R508+T508</f>
        <v/>
      </c>
    </row>
    <row r="509">
      <c r="A509" s="50" t="n">
        <v>10</v>
      </c>
      <c r="B509" s="50" t="n">
        <v>28</v>
      </c>
      <c r="C509" s="51">
        <f>INDEX(Employees!$B$5:$B$29,$A509)&amp;""</f>
        <v/>
      </c>
      <c r="D509" s="52">
        <f>INDEX(Periods!$B$5:$B$57,$B509)</f>
        <v/>
      </c>
      <c r="E509" s="52">
        <f>INDEX(Periods!$C$5:$C$57,$B509)</f>
        <v/>
      </c>
      <c r="F509" s="50">
        <f>IF(AND($C509&lt;&gt;"",INDEX(Periods!$D$5:$D$57,$B509)=1),1,0)</f>
        <v/>
      </c>
      <c r="G509" s="50">
        <f>IF($F509=0,0,IF(AND(OR(INDEX(Employees!$D$5:$D$29,$A509)="",$E509&gt;=INDEX(Employees!$D$5:$D$29,$A509)+N(INDEX(Employees!$U$5:$U$29,$A509))),OR(INDEX(Employees!$E$5:$E$29,$A509)="",$D509&lt;=INDEX(Employees!$E$5:$E$29,$A509))),1,0))</f>
        <v/>
      </c>
      <c r="H509" s="50">
        <f>IF($G509=0,0,IF(INDEX(Employees!$D$5:$D$29,$A509)="",0,DATEDIF(INDEX(Employees!$D$5:$D$29,$A509),$E509,"y")))</f>
        <v/>
      </c>
      <c r="I509" s="51">
        <f>IF($G509=0,0,IF(INDEX('Hours Worked'!$D$5:$BD$29,$A509,$B509)="",N(INDEX(Employees!$H$5:$H$29,$A509)),INDEX('Hours Worked'!$D$5:$BD$29,$A509,$B509)))</f>
        <v/>
      </c>
      <c r="J509" s="51">
        <f>IF(OR($G509=0,INDEX(Employees!$O$5:$O$29,$A509)&lt;&gt;"Yes"),0,IF(COUNTIF(Settings!$D$4:$D$9,"&lt;="&amp;$H509)=0,0,INDEX(Settings!$E$4:$E$9,COUNTIF(Settings!$D$4:$D$9,"&lt;="&amp;$H509))))</f>
        <v/>
      </c>
      <c r="K509" s="51">
        <f>IF($G509=0,0,IF(INDEX(Employees!$I$5:$I$29,$A509)="Per pay period",(N(INDEX(Employees!$J$5:$J$29,$A509))+$J509)/Settings!$B$13,IF(INDEX(Employees!$I$5:$I$29,$A509)="Per hour worked",N(INDEX(Employees!$K$5:$K$29,$A509))*$I509,IF(INDEX(Employees!$I$5:$I$29,$A509)="Front-loaded",IF(OR($B509=1,N($G508)=0),N(INDEX(Employees!$J$5:$J$29,$A509))+$J509,0),0))))</f>
        <v/>
      </c>
      <c r="L509" s="51">
        <f>IF($F509=0,0,SUMIFS('Time Off Log'!$H$5:$H$504,'Time Off Log'!$A$5:$A$504,$C509,'Time Off Log'!$B$5:$B$504,"PTO",'Time Off Log'!$E$5:$E$504,"Approved",'Time Off Log'!$C$5:$C$504,"&gt;="&amp;INDEX(Periods!$E$5:$E$57,$B509),'Time Off Log'!$C$5:$C$504,"&lt;="&amp;INDEX(Periods!$F$5:$F$57,$B509)))</f>
        <v/>
      </c>
      <c r="M509" s="51">
        <f>IF($B509=1,N(INDEX(Employees!$N$5:$N$29,$A509)),P508)</f>
        <v/>
      </c>
      <c r="N509" s="51">
        <f>IF(INDEX(Employees!$L$5:$L$29,$A509)="",K509,MAX(0,MIN(K509,INDEX(Employees!$L$5:$L$29,$A509)-(M509-L509))))</f>
        <v/>
      </c>
      <c r="O509" s="51">
        <f>K509-N509</f>
        <v/>
      </c>
      <c r="P509" s="51">
        <f>M509-L509+N509</f>
        <v/>
      </c>
      <c r="Q509" s="51">
        <f>IF($G509=0,0,IF(INDEX(Employees!$P$5:$P$29,$A509)="Per pay period",(N(INDEX(Employees!$Q$5:$Q$29,$A509)))/Settings!$B$13,IF(INDEX(Employees!$P$5:$P$29,$A509)="Per hour worked",N(INDEX(Employees!$R$5:$R$29,$A509))*$I509,IF(INDEX(Employees!$P$5:$P$29,$A509)="Front-loaded",IF(OR($B509=1,N($G508)=0),N(INDEX(Employees!$Q$5:$Q$29,$A509)),0),0))))</f>
        <v/>
      </c>
      <c r="R509" s="51">
        <f>IF($F509=0,0,SUMIFS('Time Off Log'!$H$5:$H$504,'Time Off Log'!$A$5:$A$504,$C509,'Time Off Log'!$B$5:$B$504,"Sick",'Time Off Log'!$E$5:$E$504,"Approved",'Time Off Log'!$C$5:$C$504,"&gt;="&amp;INDEX(Periods!$E$5:$E$57,$B509),'Time Off Log'!$C$5:$C$504,"&lt;="&amp;INDEX(Periods!$F$5:$F$57,$B509)))</f>
        <v/>
      </c>
      <c r="S509" s="51">
        <f>IF($B509=1,N(INDEX(Employees!$T$5:$T$29,$A509)),V508)</f>
        <v/>
      </c>
      <c r="T509" s="51">
        <f>IF(INDEX(Employees!$S$5:$S$29,$A509)="",Q509,MAX(0,MIN(Q509,INDEX(Employees!$S$5:$S$29,$A509)-(S509-R509))))</f>
        <v/>
      </c>
      <c r="U509" s="51">
        <f>Q509-T509</f>
        <v/>
      </c>
      <c r="V509" s="51">
        <f>S509-R509+T509</f>
        <v/>
      </c>
    </row>
    <row r="510">
      <c r="A510" s="50" t="n">
        <v>10</v>
      </c>
      <c r="B510" s="50" t="n">
        <v>29</v>
      </c>
      <c r="C510" s="51">
        <f>INDEX(Employees!$B$5:$B$29,$A510)&amp;""</f>
        <v/>
      </c>
      <c r="D510" s="52">
        <f>INDEX(Periods!$B$5:$B$57,$B510)</f>
        <v/>
      </c>
      <c r="E510" s="52">
        <f>INDEX(Periods!$C$5:$C$57,$B510)</f>
        <v/>
      </c>
      <c r="F510" s="50">
        <f>IF(AND($C510&lt;&gt;"",INDEX(Periods!$D$5:$D$57,$B510)=1),1,0)</f>
        <v/>
      </c>
      <c r="G510" s="50">
        <f>IF($F510=0,0,IF(AND(OR(INDEX(Employees!$D$5:$D$29,$A510)="",$E510&gt;=INDEX(Employees!$D$5:$D$29,$A510)+N(INDEX(Employees!$U$5:$U$29,$A510))),OR(INDEX(Employees!$E$5:$E$29,$A510)="",$D510&lt;=INDEX(Employees!$E$5:$E$29,$A510))),1,0))</f>
        <v/>
      </c>
      <c r="H510" s="50">
        <f>IF($G510=0,0,IF(INDEX(Employees!$D$5:$D$29,$A510)="",0,DATEDIF(INDEX(Employees!$D$5:$D$29,$A510),$E510,"y")))</f>
        <v/>
      </c>
      <c r="I510" s="51">
        <f>IF($G510=0,0,IF(INDEX('Hours Worked'!$D$5:$BD$29,$A510,$B510)="",N(INDEX(Employees!$H$5:$H$29,$A510)),INDEX('Hours Worked'!$D$5:$BD$29,$A510,$B510)))</f>
        <v/>
      </c>
      <c r="J510" s="51">
        <f>IF(OR($G510=0,INDEX(Employees!$O$5:$O$29,$A510)&lt;&gt;"Yes"),0,IF(COUNTIF(Settings!$D$4:$D$9,"&lt;="&amp;$H510)=0,0,INDEX(Settings!$E$4:$E$9,COUNTIF(Settings!$D$4:$D$9,"&lt;="&amp;$H510))))</f>
        <v/>
      </c>
      <c r="K510" s="51">
        <f>IF($G510=0,0,IF(INDEX(Employees!$I$5:$I$29,$A510)="Per pay period",(N(INDEX(Employees!$J$5:$J$29,$A510))+$J510)/Settings!$B$13,IF(INDEX(Employees!$I$5:$I$29,$A510)="Per hour worked",N(INDEX(Employees!$K$5:$K$29,$A510))*$I510,IF(INDEX(Employees!$I$5:$I$29,$A510)="Front-loaded",IF(OR($B510=1,N($G509)=0),N(INDEX(Employees!$J$5:$J$29,$A510))+$J510,0),0))))</f>
        <v/>
      </c>
      <c r="L510" s="51">
        <f>IF($F510=0,0,SUMIFS('Time Off Log'!$H$5:$H$504,'Time Off Log'!$A$5:$A$504,$C510,'Time Off Log'!$B$5:$B$504,"PTO",'Time Off Log'!$E$5:$E$504,"Approved",'Time Off Log'!$C$5:$C$504,"&gt;="&amp;INDEX(Periods!$E$5:$E$57,$B510),'Time Off Log'!$C$5:$C$504,"&lt;="&amp;INDEX(Periods!$F$5:$F$57,$B510)))</f>
        <v/>
      </c>
      <c r="M510" s="51">
        <f>IF($B510=1,N(INDEX(Employees!$N$5:$N$29,$A510)),P509)</f>
        <v/>
      </c>
      <c r="N510" s="51">
        <f>IF(INDEX(Employees!$L$5:$L$29,$A510)="",K510,MAX(0,MIN(K510,INDEX(Employees!$L$5:$L$29,$A510)-(M510-L510))))</f>
        <v/>
      </c>
      <c r="O510" s="51">
        <f>K510-N510</f>
        <v/>
      </c>
      <c r="P510" s="51">
        <f>M510-L510+N510</f>
        <v/>
      </c>
      <c r="Q510" s="51">
        <f>IF($G510=0,0,IF(INDEX(Employees!$P$5:$P$29,$A510)="Per pay period",(N(INDEX(Employees!$Q$5:$Q$29,$A510)))/Settings!$B$13,IF(INDEX(Employees!$P$5:$P$29,$A510)="Per hour worked",N(INDEX(Employees!$R$5:$R$29,$A510))*$I510,IF(INDEX(Employees!$P$5:$P$29,$A510)="Front-loaded",IF(OR($B510=1,N($G509)=0),N(INDEX(Employees!$Q$5:$Q$29,$A510)),0),0))))</f>
        <v/>
      </c>
      <c r="R510" s="51">
        <f>IF($F510=0,0,SUMIFS('Time Off Log'!$H$5:$H$504,'Time Off Log'!$A$5:$A$504,$C510,'Time Off Log'!$B$5:$B$504,"Sick",'Time Off Log'!$E$5:$E$504,"Approved",'Time Off Log'!$C$5:$C$504,"&gt;="&amp;INDEX(Periods!$E$5:$E$57,$B510),'Time Off Log'!$C$5:$C$504,"&lt;="&amp;INDEX(Periods!$F$5:$F$57,$B510)))</f>
        <v/>
      </c>
      <c r="S510" s="51">
        <f>IF($B510=1,N(INDEX(Employees!$T$5:$T$29,$A510)),V509)</f>
        <v/>
      </c>
      <c r="T510" s="51">
        <f>IF(INDEX(Employees!$S$5:$S$29,$A510)="",Q510,MAX(0,MIN(Q510,INDEX(Employees!$S$5:$S$29,$A510)-(S510-R510))))</f>
        <v/>
      </c>
      <c r="U510" s="51">
        <f>Q510-T510</f>
        <v/>
      </c>
      <c r="V510" s="51">
        <f>S510-R510+T510</f>
        <v/>
      </c>
    </row>
    <row r="511">
      <c r="A511" s="50" t="n">
        <v>10</v>
      </c>
      <c r="B511" s="50" t="n">
        <v>30</v>
      </c>
      <c r="C511" s="51">
        <f>INDEX(Employees!$B$5:$B$29,$A511)&amp;""</f>
        <v/>
      </c>
      <c r="D511" s="52">
        <f>INDEX(Periods!$B$5:$B$57,$B511)</f>
        <v/>
      </c>
      <c r="E511" s="52">
        <f>INDEX(Periods!$C$5:$C$57,$B511)</f>
        <v/>
      </c>
      <c r="F511" s="50">
        <f>IF(AND($C511&lt;&gt;"",INDEX(Periods!$D$5:$D$57,$B511)=1),1,0)</f>
        <v/>
      </c>
      <c r="G511" s="50">
        <f>IF($F511=0,0,IF(AND(OR(INDEX(Employees!$D$5:$D$29,$A511)="",$E511&gt;=INDEX(Employees!$D$5:$D$29,$A511)+N(INDEX(Employees!$U$5:$U$29,$A511))),OR(INDEX(Employees!$E$5:$E$29,$A511)="",$D511&lt;=INDEX(Employees!$E$5:$E$29,$A511))),1,0))</f>
        <v/>
      </c>
      <c r="H511" s="50">
        <f>IF($G511=0,0,IF(INDEX(Employees!$D$5:$D$29,$A511)="",0,DATEDIF(INDEX(Employees!$D$5:$D$29,$A511),$E511,"y")))</f>
        <v/>
      </c>
      <c r="I511" s="51">
        <f>IF($G511=0,0,IF(INDEX('Hours Worked'!$D$5:$BD$29,$A511,$B511)="",N(INDEX(Employees!$H$5:$H$29,$A511)),INDEX('Hours Worked'!$D$5:$BD$29,$A511,$B511)))</f>
        <v/>
      </c>
      <c r="J511" s="51">
        <f>IF(OR($G511=0,INDEX(Employees!$O$5:$O$29,$A511)&lt;&gt;"Yes"),0,IF(COUNTIF(Settings!$D$4:$D$9,"&lt;="&amp;$H511)=0,0,INDEX(Settings!$E$4:$E$9,COUNTIF(Settings!$D$4:$D$9,"&lt;="&amp;$H511))))</f>
        <v/>
      </c>
      <c r="K511" s="51">
        <f>IF($G511=0,0,IF(INDEX(Employees!$I$5:$I$29,$A511)="Per pay period",(N(INDEX(Employees!$J$5:$J$29,$A511))+$J511)/Settings!$B$13,IF(INDEX(Employees!$I$5:$I$29,$A511)="Per hour worked",N(INDEX(Employees!$K$5:$K$29,$A511))*$I511,IF(INDEX(Employees!$I$5:$I$29,$A511)="Front-loaded",IF(OR($B511=1,N($G510)=0),N(INDEX(Employees!$J$5:$J$29,$A511))+$J511,0),0))))</f>
        <v/>
      </c>
      <c r="L511" s="51">
        <f>IF($F511=0,0,SUMIFS('Time Off Log'!$H$5:$H$504,'Time Off Log'!$A$5:$A$504,$C511,'Time Off Log'!$B$5:$B$504,"PTO",'Time Off Log'!$E$5:$E$504,"Approved",'Time Off Log'!$C$5:$C$504,"&gt;="&amp;INDEX(Periods!$E$5:$E$57,$B511),'Time Off Log'!$C$5:$C$504,"&lt;="&amp;INDEX(Periods!$F$5:$F$57,$B511)))</f>
        <v/>
      </c>
      <c r="M511" s="51">
        <f>IF($B511=1,N(INDEX(Employees!$N$5:$N$29,$A511)),P510)</f>
        <v/>
      </c>
      <c r="N511" s="51">
        <f>IF(INDEX(Employees!$L$5:$L$29,$A511)="",K511,MAX(0,MIN(K511,INDEX(Employees!$L$5:$L$29,$A511)-(M511-L511))))</f>
        <v/>
      </c>
      <c r="O511" s="51">
        <f>K511-N511</f>
        <v/>
      </c>
      <c r="P511" s="51">
        <f>M511-L511+N511</f>
        <v/>
      </c>
      <c r="Q511" s="51">
        <f>IF($G511=0,0,IF(INDEX(Employees!$P$5:$P$29,$A511)="Per pay period",(N(INDEX(Employees!$Q$5:$Q$29,$A511)))/Settings!$B$13,IF(INDEX(Employees!$P$5:$P$29,$A511)="Per hour worked",N(INDEX(Employees!$R$5:$R$29,$A511))*$I511,IF(INDEX(Employees!$P$5:$P$29,$A511)="Front-loaded",IF(OR($B511=1,N($G510)=0),N(INDEX(Employees!$Q$5:$Q$29,$A511)),0),0))))</f>
        <v/>
      </c>
      <c r="R511" s="51">
        <f>IF($F511=0,0,SUMIFS('Time Off Log'!$H$5:$H$504,'Time Off Log'!$A$5:$A$504,$C511,'Time Off Log'!$B$5:$B$504,"Sick",'Time Off Log'!$E$5:$E$504,"Approved",'Time Off Log'!$C$5:$C$504,"&gt;="&amp;INDEX(Periods!$E$5:$E$57,$B511),'Time Off Log'!$C$5:$C$504,"&lt;="&amp;INDEX(Periods!$F$5:$F$57,$B511)))</f>
        <v/>
      </c>
      <c r="S511" s="51">
        <f>IF($B511=1,N(INDEX(Employees!$T$5:$T$29,$A511)),V510)</f>
        <v/>
      </c>
      <c r="T511" s="51">
        <f>IF(INDEX(Employees!$S$5:$S$29,$A511)="",Q511,MAX(0,MIN(Q511,INDEX(Employees!$S$5:$S$29,$A511)-(S511-R511))))</f>
        <v/>
      </c>
      <c r="U511" s="51">
        <f>Q511-T511</f>
        <v/>
      </c>
      <c r="V511" s="51">
        <f>S511-R511+T511</f>
        <v/>
      </c>
    </row>
    <row r="512">
      <c r="A512" s="50" t="n">
        <v>10</v>
      </c>
      <c r="B512" s="50" t="n">
        <v>31</v>
      </c>
      <c r="C512" s="51">
        <f>INDEX(Employees!$B$5:$B$29,$A512)&amp;""</f>
        <v/>
      </c>
      <c r="D512" s="52">
        <f>INDEX(Periods!$B$5:$B$57,$B512)</f>
        <v/>
      </c>
      <c r="E512" s="52">
        <f>INDEX(Periods!$C$5:$C$57,$B512)</f>
        <v/>
      </c>
      <c r="F512" s="50">
        <f>IF(AND($C512&lt;&gt;"",INDEX(Periods!$D$5:$D$57,$B512)=1),1,0)</f>
        <v/>
      </c>
      <c r="G512" s="50">
        <f>IF($F512=0,0,IF(AND(OR(INDEX(Employees!$D$5:$D$29,$A512)="",$E512&gt;=INDEX(Employees!$D$5:$D$29,$A512)+N(INDEX(Employees!$U$5:$U$29,$A512))),OR(INDEX(Employees!$E$5:$E$29,$A512)="",$D512&lt;=INDEX(Employees!$E$5:$E$29,$A512))),1,0))</f>
        <v/>
      </c>
      <c r="H512" s="50">
        <f>IF($G512=0,0,IF(INDEX(Employees!$D$5:$D$29,$A512)="",0,DATEDIF(INDEX(Employees!$D$5:$D$29,$A512),$E512,"y")))</f>
        <v/>
      </c>
      <c r="I512" s="51">
        <f>IF($G512=0,0,IF(INDEX('Hours Worked'!$D$5:$BD$29,$A512,$B512)="",N(INDEX(Employees!$H$5:$H$29,$A512)),INDEX('Hours Worked'!$D$5:$BD$29,$A512,$B512)))</f>
        <v/>
      </c>
      <c r="J512" s="51">
        <f>IF(OR($G512=0,INDEX(Employees!$O$5:$O$29,$A512)&lt;&gt;"Yes"),0,IF(COUNTIF(Settings!$D$4:$D$9,"&lt;="&amp;$H512)=0,0,INDEX(Settings!$E$4:$E$9,COUNTIF(Settings!$D$4:$D$9,"&lt;="&amp;$H512))))</f>
        <v/>
      </c>
      <c r="K512" s="51">
        <f>IF($G512=0,0,IF(INDEX(Employees!$I$5:$I$29,$A512)="Per pay period",(N(INDEX(Employees!$J$5:$J$29,$A512))+$J512)/Settings!$B$13,IF(INDEX(Employees!$I$5:$I$29,$A512)="Per hour worked",N(INDEX(Employees!$K$5:$K$29,$A512))*$I512,IF(INDEX(Employees!$I$5:$I$29,$A512)="Front-loaded",IF(OR($B512=1,N($G511)=0),N(INDEX(Employees!$J$5:$J$29,$A512))+$J512,0),0))))</f>
        <v/>
      </c>
      <c r="L512" s="51">
        <f>IF($F512=0,0,SUMIFS('Time Off Log'!$H$5:$H$504,'Time Off Log'!$A$5:$A$504,$C512,'Time Off Log'!$B$5:$B$504,"PTO",'Time Off Log'!$E$5:$E$504,"Approved",'Time Off Log'!$C$5:$C$504,"&gt;="&amp;INDEX(Periods!$E$5:$E$57,$B512),'Time Off Log'!$C$5:$C$504,"&lt;="&amp;INDEX(Periods!$F$5:$F$57,$B512)))</f>
        <v/>
      </c>
      <c r="M512" s="51">
        <f>IF($B512=1,N(INDEX(Employees!$N$5:$N$29,$A512)),P511)</f>
        <v/>
      </c>
      <c r="N512" s="51">
        <f>IF(INDEX(Employees!$L$5:$L$29,$A512)="",K512,MAX(0,MIN(K512,INDEX(Employees!$L$5:$L$29,$A512)-(M512-L512))))</f>
        <v/>
      </c>
      <c r="O512" s="51">
        <f>K512-N512</f>
        <v/>
      </c>
      <c r="P512" s="51">
        <f>M512-L512+N512</f>
        <v/>
      </c>
      <c r="Q512" s="51">
        <f>IF($G512=0,0,IF(INDEX(Employees!$P$5:$P$29,$A512)="Per pay period",(N(INDEX(Employees!$Q$5:$Q$29,$A512)))/Settings!$B$13,IF(INDEX(Employees!$P$5:$P$29,$A512)="Per hour worked",N(INDEX(Employees!$R$5:$R$29,$A512))*$I512,IF(INDEX(Employees!$P$5:$P$29,$A512)="Front-loaded",IF(OR($B512=1,N($G511)=0),N(INDEX(Employees!$Q$5:$Q$29,$A512)),0),0))))</f>
        <v/>
      </c>
      <c r="R512" s="51">
        <f>IF($F512=0,0,SUMIFS('Time Off Log'!$H$5:$H$504,'Time Off Log'!$A$5:$A$504,$C512,'Time Off Log'!$B$5:$B$504,"Sick",'Time Off Log'!$E$5:$E$504,"Approved",'Time Off Log'!$C$5:$C$504,"&gt;="&amp;INDEX(Periods!$E$5:$E$57,$B512),'Time Off Log'!$C$5:$C$504,"&lt;="&amp;INDEX(Periods!$F$5:$F$57,$B512)))</f>
        <v/>
      </c>
      <c r="S512" s="51">
        <f>IF($B512=1,N(INDEX(Employees!$T$5:$T$29,$A512)),V511)</f>
        <v/>
      </c>
      <c r="T512" s="51">
        <f>IF(INDEX(Employees!$S$5:$S$29,$A512)="",Q512,MAX(0,MIN(Q512,INDEX(Employees!$S$5:$S$29,$A512)-(S512-R512))))</f>
        <v/>
      </c>
      <c r="U512" s="51">
        <f>Q512-T512</f>
        <v/>
      </c>
      <c r="V512" s="51">
        <f>S512-R512+T512</f>
        <v/>
      </c>
    </row>
    <row r="513">
      <c r="A513" s="50" t="n">
        <v>10</v>
      </c>
      <c r="B513" s="50" t="n">
        <v>32</v>
      </c>
      <c r="C513" s="51">
        <f>INDEX(Employees!$B$5:$B$29,$A513)&amp;""</f>
        <v/>
      </c>
      <c r="D513" s="52">
        <f>INDEX(Periods!$B$5:$B$57,$B513)</f>
        <v/>
      </c>
      <c r="E513" s="52">
        <f>INDEX(Periods!$C$5:$C$57,$B513)</f>
        <v/>
      </c>
      <c r="F513" s="50">
        <f>IF(AND($C513&lt;&gt;"",INDEX(Periods!$D$5:$D$57,$B513)=1),1,0)</f>
        <v/>
      </c>
      <c r="G513" s="50">
        <f>IF($F513=0,0,IF(AND(OR(INDEX(Employees!$D$5:$D$29,$A513)="",$E513&gt;=INDEX(Employees!$D$5:$D$29,$A513)+N(INDEX(Employees!$U$5:$U$29,$A513))),OR(INDEX(Employees!$E$5:$E$29,$A513)="",$D513&lt;=INDEX(Employees!$E$5:$E$29,$A513))),1,0))</f>
        <v/>
      </c>
      <c r="H513" s="50">
        <f>IF($G513=0,0,IF(INDEX(Employees!$D$5:$D$29,$A513)="",0,DATEDIF(INDEX(Employees!$D$5:$D$29,$A513),$E513,"y")))</f>
        <v/>
      </c>
      <c r="I513" s="51">
        <f>IF($G513=0,0,IF(INDEX('Hours Worked'!$D$5:$BD$29,$A513,$B513)="",N(INDEX(Employees!$H$5:$H$29,$A513)),INDEX('Hours Worked'!$D$5:$BD$29,$A513,$B513)))</f>
        <v/>
      </c>
      <c r="J513" s="51">
        <f>IF(OR($G513=0,INDEX(Employees!$O$5:$O$29,$A513)&lt;&gt;"Yes"),0,IF(COUNTIF(Settings!$D$4:$D$9,"&lt;="&amp;$H513)=0,0,INDEX(Settings!$E$4:$E$9,COUNTIF(Settings!$D$4:$D$9,"&lt;="&amp;$H513))))</f>
        <v/>
      </c>
      <c r="K513" s="51">
        <f>IF($G513=0,0,IF(INDEX(Employees!$I$5:$I$29,$A513)="Per pay period",(N(INDEX(Employees!$J$5:$J$29,$A513))+$J513)/Settings!$B$13,IF(INDEX(Employees!$I$5:$I$29,$A513)="Per hour worked",N(INDEX(Employees!$K$5:$K$29,$A513))*$I513,IF(INDEX(Employees!$I$5:$I$29,$A513)="Front-loaded",IF(OR($B513=1,N($G512)=0),N(INDEX(Employees!$J$5:$J$29,$A513))+$J513,0),0))))</f>
        <v/>
      </c>
      <c r="L513" s="51">
        <f>IF($F513=0,0,SUMIFS('Time Off Log'!$H$5:$H$504,'Time Off Log'!$A$5:$A$504,$C513,'Time Off Log'!$B$5:$B$504,"PTO",'Time Off Log'!$E$5:$E$504,"Approved",'Time Off Log'!$C$5:$C$504,"&gt;="&amp;INDEX(Periods!$E$5:$E$57,$B513),'Time Off Log'!$C$5:$C$504,"&lt;="&amp;INDEX(Periods!$F$5:$F$57,$B513)))</f>
        <v/>
      </c>
      <c r="M513" s="51">
        <f>IF($B513=1,N(INDEX(Employees!$N$5:$N$29,$A513)),P512)</f>
        <v/>
      </c>
      <c r="N513" s="51">
        <f>IF(INDEX(Employees!$L$5:$L$29,$A513)="",K513,MAX(0,MIN(K513,INDEX(Employees!$L$5:$L$29,$A513)-(M513-L513))))</f>
        <v/>
      </c>
      <c r="O513" s="51">
        <f>K513-N513</f>
        <v/>
      </c>
      <c r="P513" s="51">
        <f>M513-L513+N513</f>
        <v/>
      </c>
      <c r="Q513" s="51">
        <f>IF($G513=0,0,IF(INDEX(Employees!$P$5:$P$29,$A513)="Per pay period",(N(INDEX(Employees!$Q$5:$Q$29,$A513)))/Settings!$B$13,IF(INDEX(Employees!$P$5:$P$29,$A513)="Per hour worked",N(INDEX(Employees!$R$5:$R$29,$A513))*$I513,IF(INDEX(Employees!$P$5:$P$29,$A513)="Front-loaded",IF(OR($B513=1,N($G512)=0),N(INDEX(Employees!$Q$5:$Q$29,$A513)),0),0))))</f>
        <v/>
      </c>
      <c r="R513" s="51">
        <f>IF($F513=0,0,SUMIFS('Time Off Log'!$H$5:$H$504,'Time Off Log'!$A$5:$A$504,$C513,'Time Off Log'!$B$5:$B$504,"Sick",'Time Off Log'!$E$5:$E$504,"Approved",'Time Off Log'!$C$5:$C$504,"&gt;="&amp;INDEX(Periods!$E$5:$E$57,$B513),'Time Off Log'!$C$5:$C$504,"&lt;="&amp;INDEX(Periods!$F$5:$F$57,$B513)))</f>
        <v/>
      </c>
      <c r="S513" s="51">
        <f>IF($B513=1,N(INDEX(Employees!$T$5:$T$29,$A513)),V512)</f>
        <v/>
      </c>
      <c r="T513" s="51">
        <f>IF(INDEX(Employees!$S$5:$S$29,$A513)="",Q513,MAX(0,MIN(Q513,INDEX(Employees!$S$5:$S$29,$A513)-(S513-R513))))</f>
        <v/>
      </c>
      <c r="U513" s="51">
        <f>Q513-T513</f>
        <v/>
      </c>
      <c r="V513" s="51">
        <f>S513-R513+T513</f>
        <v/>
      </c>
    </row>
    <row r="514">
      <c r="A514" s="50" t="n">
        <v>10</v>
      </c>
      <c r="B514" s="50" t="n">
        <v>33</v>
      </c>
      <c r="C514" s="51">
        <f>INDEX(Employees!$B$5:$B$29,$A514)&amp;""</f>
        <v/>
      </c>
      <c r="D514" s="52">
        <f>INDEX(Periods!$B$5:$B$57,$B514)</f>
        <v/>
      </c>
      <c r="E514" s="52">
        <f>INDEX(Periods!$C$5:$C$57,$B514)</f>
        <v/>
      </c>
      <c r="F514" s="50">
        <f>IF(AND($C514&lt;&gt;"",INDEX(Periods!$D$5:$D$57,$B514)=1),1,0)</f>
        <v/>
      </c>
      <c r="G514" s="50">
        <f>IF($F514=0,0,IF(AND(OR(INDEX(Employees!$D$5:$D$29,$A514)="",$E514&gt;=INDEX(Employees!$D$5:$D$29,$A514)+N(INDEX(Employees!$U$5:$U$29,$A514))),OR(INDEX(Employees!$E$5:$E$29,$A514)="",$D514&lt;=INDEX(Employees!$E$5:$E$29,$A514))),1,0))</f>
        <v/>
      </c>
      <c r="H514" s="50">
        <f>IF($G514=0,0,IF(INDEX(Employees!$D$5:$D$29,$A514)="",0,DATEDIF(INDEX(Employees!$D$5:$D$29,$A514),$E514,"y")))</f>
        <v/>
      </c>
      <c r="I514" s="51">
        <f>IF($G514=0,0,IF(INDEX('Hours Worked'!$D$5:$BD$29,$A514,$B514)="",N(INDEX(Employees!$H$5:$H$29,$A514)),INDEX('Hours Worked'!$D$5:$BD$29,$A514,$B514)))</f>
        <v/>
      </c>
      <c r="J514" s="51">
        <f>IF(OR($G514=0,INDEX(Employees!$O$5:$O$29,$A514)&lt;&gt;"Yes"),0,IF(COUNTIF(Settings!$D$4:$D$9,"&lt;="&amp;$H514)=0,0,INDEX(Settings!$E$4:$E$9,COUNTIF(Settings!$D$4:$D$9,"&lt;="&amp;$H514))))</f>
        <v/>
      </c>
      <c r="K514" s="51">
        <f>IF($G514=0,0,IF(INDEX(Employees!$I$5:$I$29,$A514)="Per pay period",(N(INDEX(Employees!$J$5:$J$29,$A514))+$J514)/Settings!$B$13,IF(INDEX(Employees!$I$5:$I$29,$A514)="Per hour worked",N(INDEX(Employees!$K$5:$K$29,$A514))*$I514,IF(INDEX(Employees!$I$5:$I$29,$A514)="Front-loaded",IF(OR($B514=1,N($G513)=0),N(INDEX(Employees!$J$5:$J$29,$A514))+$J514,0),0))))</f>
        <v/>
      </c>
      <c r="L514" s="51">
        <f>IF($F514=0,0,SUMIFS('Time Off Log'!$H$5:$H$504,'Time Off Log'!$A$5:$A$504,$C514,'Time Off Log'!$B$5:$B$504,"PTO",'Time Off Log'!$E$5:$E$504,"Approved",'Time Off Log'!$C$5:$C$504,"&gt;="&amp;INDEX(Periods!$E$5:$E$57,$B514),'Time Off Log'!$C$5:$C$504,"&lt;="&amp;INDEX(Periods!$F$5:$F$57,$B514)))</f>
        <v/>
      </c>
      <c r="M514" s="51">
        <f>IF($B514=1,N(INDEX(Employees!$N$5:$N$29,$A514)),P513)</f>
        <v/>
      </c>
      <c r="N514" s="51">
        <f>IF(INDEX(Employees!$L$5:$L$29,$A514)="",K514,MAX(0,MIN(K514,INDEX(Employees!$L$5:$L$29,$A514)-(M514-L514))))</f>
        <v/>
      </c>
      <c r="O514" s="51">
        <f>K514-N514</f>
        <v/>
      </c>
      <c r="P514" s="51">
        <f>M514-L514+N514</f>
        <v/>
      </c>
      <c r="Q514" s="51">
        <f>IF($G514=0,0,IF(INDEX(Employees!$P$5:$P$29,$A514)="Per pay period",(N(INDEX(Employees!$Q$5:$Q$29,$A514)))/Settings!$B$13,IF(INDEX(Employees!$P$5:$P$29,$A514)="Per hour worked",N(INDEX(Employees!$R$5:$R$29,$A514))*$I514,IF(INDEX(Employees!$P$5:$P$29,$A514)="Front-loaded",IF(OR($B514=1,N($G513)=0),N(INDEX(Employees!$Q$5:$Q$29,$A514)),0),0))))</f>
        <v/>
      </c>
      <c r="R514" s="51">
        <f>IF($F514=0,0,SUMIFS('Time Off Log'!$H$5:$H$504,'Time Off Log'!$A$5:$A$504,$C514,'Time Off Log'!$B$5:$B$504,"Sick",'Time Off Log'!$E$5:$E$504,"Approved",'Time Off Log'!$C$5:$C$504,"&gt;="&amp;INDEX(Periods!$E$5:$E$57,$B514),'Time Off Log'!$C$5:$C$504,"&lt;="&amp;INDEX(Periods!$F$5:$F$57,$B514)))</f>
        <v/>
      </c>
      <c r="S514" s="51">
        <f>IF($B514=1,N(INDEX(Employees!$T$5:$T$29,$A514)),V513)</f>
        <v/>
      </c>
      <c r="T514" s="51">
        <f>IF(INDEX(Employees!$S$5:$S$29,$A514)="",Q514,MAX(0,MIN(Q514,INDEX(Employees!$S$5:$S$29,$A514)-(S514-R514))))</f>
        <v/>
      </c>
      <c r="U514" s="51">
        <f>Q514-T514</f>
        <v/>
      </c>
      <c r="V514" s="51">
        <f>S514-R514+T514</f>
        <v/>
      </c>
    </row>
    <row r="515">
      <c r="A515" s="50" t="n">
        <v>10</v>
      </c>
      <c r="B515" s="50" t="n">
        <v>34</v>
      </c>
      <c r="C515" s="51">
        <f>INDEX(Employees!$B$5:$B$29,$A515)&amp;""</f>
        <v/>
      </c>
      <c r="D515" s="52">
        <f>INDEX(Periods!$B$5:$B$57,$B515)</f>
        <v/>
      </c>
      <c r="E515" s="52">
        <f>INDEX(Periods!$C$5:$C$57,$B515)</f>
        <v/>
      </c>
      <c r="F515" s="50">
        <f>IF(AND($C515&lt;&gt;"",INDEX(Periods!$D$5:$D$57,$B515)=1),1,0)</f>
        <v/>
      </c>
      <c r="G515" s="50">
        <f>IF($F515=0,0,IF(AND(OR(INDEX(Employees!$D$5:$D$29,$A515)="",$E515&gt;=INDEX(Employees!$D$5:$D$29,$A515)+N(INDEX(Employees!$U$5:$U$29,$A515))),OR(INDEX(Employees!$E$5:$E$29,$A515)="",$D515&lt;=INDEX(Employees!$E$5:$E$29,$A515))),1,0))</f>
        <v/>
      </c>
      <c r="H515" s="50">
        <f>IF($G515=0,0,IF(INDEX(Employees!$D$5:$D$29,$A515)="",0,DATEDIF(INDEX(Employees!$D$5:$D$29,$A515),$E515,"y")))</f>
        <v/>
      </c>
      <c r="I515" s="51">
        <f>IF($G515=0,0,IF(INDEX('Hours Worked'!$D$5:$BD$29,$A515,$B515)="",N(INDEX(Employees!$H$5:$H$29,$A515)),INDEX('Hours Worked'!$D$5:$BD$29,$A515,$B515)))</f>
        <v/>
      </c>
      <c r="J515" s="51">
        <f>IF(OR($G515=0,INDEX(Employees!$O$5:$O$29,$A515)&lt;&gt;"Yes"),0,IF(COUNTIF(Settings!$D$4:$D$9,"&lt;="&amp;$H515)=0,0,INDEX(Settings!$E$4:$E$9,COUNTIF(Settings!$D$4:$D$9,"&lt;="&amp;$H515))))</f>
        <v/>
      </c>
      <c r="K515" s="51">
        <f>IF($G515=0,0,IF(INDEX(Employees!$I$5:$I$29,$A515)="Per pay period",(N(INDEX(Employees!$J$5:$J$29,$A515))+$J515)/Settings!$B$13,IF(INDEX(Employees!$I$5:$I$29,$A515)="Per hour worked",N(INDEX(Employees!$K$5:$K$29,$A515))*$I515,IF(INDEX(Employees!$I$5:$I$29,$A515)="Front-loaded",IF(OR($B515=1,N($G514)=0),N(INDEX(Employees!$J$5:$J$29,$A515))+$J515,0),0))))</f>
        <v/>
      </c>
      <c r="L515" s="51">
        <f>IF($F515=0,0,SUMIFS('Time Off Log'!$H$5:$H$504,'Time Off Log'!$A$5:$A$504,$C515,'Time Off Log'!$B$5:$B$504,"PTO",'Time Off Log'!$E$5:$E$504,"Approved",'Time Off Log'!$C$5:$C$504,"&gt;="&amp;INDEX(Periods!$E$5:$E$57,$B515),'Time Off Log'!$C$5:$C$504,"&lt;="&amp;INDEX(Periods!$F$5:$F$57,$B515)))</f>
        <v/>
      </c>
      <c r="M515" s="51">
        <f>IF($B515=1,N(INDEX(Employees!$N$5:$N$29,$A515)),P514)</f>
        <v/>
      </c>
      <c r="N515" s="51">
        <f>IF(INDEX(Employees!$L$5:$L$29,$A515)="",K515,MAX(0,MIN(K515,INDEX(Employees!$L$5:$L$29,$A515)-(M515-L515))))</f>
        <v/>
      </c>
      <c r="O515" s="51">
        <f>K515-N515</f>
        <v/>
      </c>
      <c r="P515" s="51">
        <f>M515-L515+N515</f>
        <v/>
      </c>
      <c r="Q515" s="51">
        <f>IF($G515=0,0,IF(INDEX(Employees!$P$5:$P$29,$A515)="Per pay period",(N(INDEX(Employees!$Q$5:$Q$29,$A515)))/Settings!$B$13,IF(INDEX(Employees!$P$5:$P$29,$A515)="Per hour worked",N(INDEX(Employees!$R$5:$R$29,$A515))*$I515,IF(INDEX(Employees!$P$5:$P$29,$A515)="Front-loaded",IF(OR($B515=1,N($G514)=0),N(INDEX(Employees!$Q$5:$Q$29,$A515)),0),0))))</f>
        <v/>
      </c>
      <c r="R515" s="51">
        <f>IF($F515=0,0,SUMIFS('Time Off Log'!$H$5:$H$504,'Time Off Log'!$A$5:$A$504,$C515,'Time Off Log'!$B$5:$B$504,"Sick",'Time Off Log'!$E$5:$E$504,"Approved",'Time Off Log'!$C$5:$C$504,"&gt;="&amp;INDEX(Periods!$E$5:$E$57,$B515),'Time Off Log'!$C$5:$C$504,"&lt;="&amp;INDEX(Periods!$F$5:$F$57,$B515)))</f>
        <v/>
      </c>
      <c r="S515" s="51">
        <f>IF($B515=1,N(INDEX(Employees!$T$5:$T$29,$A515)),V514)</f>
        <v/>
      </c>
      <c r="T515" s="51">
        <f>IF(INDEX(Employees!$S$5:$S$29,$A515)="",Q515,MAX(0,MIN(Q515,INDEX(Employees!$S$5:$S$29,$A515)-(S515-R515))))</f>
        <v/>
      </c>
      <c r="U515" s="51">
        <f>Q515-T515</f>
        <v/>
      </c>
      <c r="V515" s="51">
        <f>S515-R515+T515</f>
        <v/>
      </c>
    </row>
    <row r="516">
      <c r="A516" s="50" t="n">
        <v>10</v>
      </c>
      <c r="B516" s="50" t="n">
        <v>35</v>
      </c>
      <c r="C516" s="51">
        <f>INDEX(Employees!$B$5:$B$29,$A516)&amp;""</f>
        <v/>
      </c>
      <c r="D516" s="52">
        <f>INDEX(Periods!$B$5:$B$57,$B516)</f>
        <v/>
      </c>
      <c r="E516" s="52">
        <f>INDEX(Periods!$C$5:$C$57,$B516)</f>
        <v/>
      </c>
      <c r="F516" s="50">
        <f>IF(AND($C516&lt;&gt;"",INDEX(Periods!$D$5:$D$57,$B516)=1),1,0)</f>
        <v/>
      </c>
      <c r="G516" s="50">
        <f>IF($F516=0,0,IF(AND(OR(INDEX(Employees!$D$5:$D$29,$A516)="",$E516&gt;=INDEX(Employees!$D$5:$D$29,$A516)+N(INDEX(Employees!$U$5:$U$29,$A516))),OR(INDEX(Employees!$E$5:$E$29,$A516)="",$D516&lt;=INDEX(Employees!$E$5:$E$29,$A516))),1,0))</f>
        <v/>
      </c>
      <c r="H516" s="50">
        <f>IF($G516=0,0,IF(INDEX(Employees!$D$5:$D$29,$A516)="",0,DATEDIF(INDEX(Employees!$D$5:$D$29,$A516),$E516,"y")))</f>
        <v/>
      </c>
      <c r="I516" s="51">
        <f>IF($G516=0,0,IF(INDEX('Hours Worked'!$D$5:$BD$29,$A516,$B516)="",N(INDEX(Employees!$H$5:$H$29,$A516)),INDEX('Hours Worked'!$D$5:$BD$29,$A516,$B516)))</f>
        <v/>
      </c>
      <c r="J516" s="51">
        <f>IF(OR($G516=0,INDEX(Employees!$O$5:$O$29,$A516)&lt;&gt;"Yes"),0,IF(COUNTIF(Settings!$D$4:$D$9,"&lt;="&amp;$H516)=0,0,INDEX(Settings!$E$4:$E$9,COUNTIF(Settings!$D$4:$D$9,"&lt;="&amp;$H516))))</f>
        <v/>
      </c>
      <c r="K516" s="51">
        <f>IF($G516=0,0,IF(INDEX(Employees!$I$5:$I$29,$A516)="Per pay period",(N(INDEX(Employees!$J$5:$J$29,$A516))+$J516)/Settings!$B$13,IF(INDEX(Employees!$I$5:$I$29,$A516)="Per hour worked",N(INDEX(Employees!$K$5:$K$29,$A516))*$I516,IF(INDEX(Employees!$I$5:$I$29,$A516)="Front-loaded",IF(OR($B516=1,N($G515)=0),N(INDEX(Employees!$J$5:$J$29,$A516))+$J516,0),0))))</f>
        <v/>
      </c>
      <c r="L516" s="51">
        <f>IF($F516=0,0,SUMIFS('Time Off Log'!$H$5:$H$504,'Time Off Log'!$A$5:$A$504,$C516,'Time Off Log'!$B$5:$B$504,"PTO",'Time Off Log'!$E$5:$E$504,"Approved",'Time Off Log'!$C$5:$C$504,"&gt;="&amp;INDEX(Periods!$E$5:$E$57,$B516),'Time Off Log'!$C$5:$C$504,"&lt;="&amp;INDEX(Periods!$F$5:$F$57,$B516)))</f>
        <v/>
      </c>
      <c r="M516" s="51">
        <f>IF($B516=1,N(INDEX(Employees!$N$5:$N$29,$A516)),P515)</f>
        <v/>
      </c>
      <c r="N516" s="51">
        <f>IF(INDEX(Employees!$L$5:$L$29,$A516)="",K516,MAX(0,MIN(K516,INDEX(Employees!$L$5:$L$29,$A516)-(M516-L516))))</f>
        <v/>
      </c>
      <c r="O516" s="51">
        <f>K516-N516</f>
        <v/>
      </c>
      <c r="P516" s="51">
        <f>M516-L516+N516</f>
        <v/>
      </c>
      <c r="Q516" s="51">
        <f>IF($G516=0,0,IF(INDEX(Employees!$P$5:$P$29,$A516)="Per pay period",(N(INDEX(Employees!$Q$5:$Q$29,$A516)))/Settings!$B$13,IF(INDEX(Employees!$P$5:$P$29,$A516)="Per hour worked",N(INDEX(Employees!$R$5:$R$29,$A516))*$I516,IF(INDEX(Employees!$P$5:$P$29,$A516)="Front-loaded",IF(OR($B516=1,N($G515)=0),N(INDEX(Employees!$Q$5:$Q$29,$A516)),0),0))))</f>
        <v/>
      </c>
      <c r="R516" s="51">
        <f>IF($F516=0,0,SUMIFS('Time Off Log'!$H$5:$H$504,'Time Off Log'!$A$5:$A$504,$C516,'Time Off Log'!$B$5:$B$504,"Sick",'Time Off Log'!$E$5:$E$504,"Approved",'Time Off Log'!$C$5:$C$504,"&gt;="&amp;INDEX(Periods!$E$5:$E$57,$B516),'Time Off Log'!$C$5:$C$504,"&lt;="&amp;INDEX(Periods!$F$5:$F$57,$B516)))</f>
        <v/>
      </c>
      <c r="S516" s="51">
        <f>IF($B516=1,N(INDEX(Employees!$T$5:$T$29,$A516)),V515)</f>
        <v/>
      </c>
      <c r="T516" s="51">
        <f>IF(INDEX(Employees!$S$5:$S$29,$A516)="",Q516,MAX(0,MIN(Q516,INDEX(Employees!$S$5:$S$29,$A516)-(S516-R516))))</f>
        <v/>
      </c>
      <c r="U516" s="51">
        <f>Q516-T516</f>
        <v/>
      </c>
      <c r="V516" s="51">
        <f>S516-R516+T516</f>
        <v/>
      </c>
    </row>
    <row r="517">
      <c r="A517" s="50" t="n">
        <v>10</v>
      </c>
      <c r="B517" s="50" t="n">
        <v>36</v>
      </c>
      <c r="C517" s="51">
        <f>INDEX(Employees!$B$5:$B$29,$A517)&amp;""</f>
        <v/>
      </c>
      <c r="D517" s="52">
        <f>INDEX(Periods!$B$5:$B$57,$B517)</f>
        <v/>
      </c>
      <c r="E517" s="52">
        <f>INDEX(Periods!$C$5:$C$57,$B517)</f>
        <v/>
      </c>
      <c r="F517" s="50">
        <f>IF(AND($C517&lt;&gt;"",INDEX(Periods!$D$5:$D$57,$B517)=1),1,0)</f>
        <v/>
      </c>
      <c r="G517" s="50">
        <f>IF($F517=0,0,IF(AND(OR(INDEX(Employees!$D$5:$D$29,$A517)="",$E517&gt;=INDEX(Employees!$D$5:$D$29,$A517)+N(INDEX(Employees!$U$5:$U$29,$A517))),OR(INDEX(Employees!$E$5:$E$29,$A517)="",$D517&lt;=INDEX(Employees!$E$5:$E$29,$A517))),1,0))</f>
        <v/>
      </c>
      <c r="H517" s="50">
        <f>IF($G517=0,0,IF(INDEX(Employees!$D$5:$D$29,$A517)="",0,DATEDIF(INDEX(Employees!$D$5:$D$29,$A517),$E517,"y")))</f>
        <v/>
      </c>
      <c r="I517" s="51">
        <f>IF($G517=0,0,IF(INDEX('Hours Worked'!$D$5:$BD$29,$A517,$B517)="",N(INDEX(Employees!$H$5:$H$29,$A517)),INDEX('Hours Worked'!$D$5:$BD$29,$A517,$B517)))</f>
        <v/>
      </c>
      <c r="J517" s="51">
        <f>IF(OR($G517=0,INDEX(Employees!$O$5:$O$29,$A517)&lt;&gt;"Yes"),0,IF(COUNTIF(Settings!$D$4:$D$9,"&lt;="&amp;$H517)=0,0,INDEX(Settings!$E$4:$E$9,COUNTIF(Settings!$D$4:$D$9,"&lt;="&amp;$H517))))</f>
        <v/>
      </c>
      <c r="K517" s="51">
        <f>IF($G517=0,0,IF(INDEX(Employees!$I$5:$I$29,$A517)="Per pay period",(N(INDEX(Employees!$J$5:$J$29,$A517))+$J517)/Settings!$B$13,IF(INDEX(Employees!$I$5:$I$29,$A517)="Per hour worked",N(INDEX(Employees!$K$5:$K$29,$A517))*$I517,IF(INDEX(Employees!$I$5:$I$29,$A517)="Front-loaded",IF(OR($B517=1,N($G516)=0),N(INDEX(Employees!$J$5:$J$29,$A517))+$J517,0),0))))</f>
        <v/>
      </c>
      <c r="L517" s="51">
        <f>IF($F517=0,0,SUMIFS('Time Off Log'!$H$5:$H$504,'Time Off Log'!$A$5:$A$504,$C517,'Time Off Log'!$B$5:$B$504,"PTO",'Time Off Log'!$E$5:$E$504,"Approved",'Time Off Log'!$C$5:$C$504,"&gt;="&amp;INDEX(Periods!$E$5:$E$57,$B517),'Time Off Log'!$C$5:$C$504,"&lt;="&amp;INDEX(Periods!$F$5:$F$57,$B517)))</f>
        <v/>
      </c>
      <c r="M517" s="51">
        <f>IF($B517=1,N(INDEX(Employees!$N$5:$N$29,$A517)),P516)</f>
        <v/>
      </c>
      <c r="N517" s="51">
        <f>IF(INDEX(Employees!$L$5:$L$29,$A517)="",K517,MAX(0,MIN(K517,INDEX(Employees!$L$5:$L$29,$A517)-(M517-L517))))</f>
        <v/>
      </c>
      <c r="O517" s="51">
        <f>K517-N517</f>
        <v/>
      </c>
      <c r="P517" s="51">
        <f>M517-L517+N517</f>
        <v/>
      </c>
      <c r="Q517" s="51">
        <f>IF($G517=0,0,IF(INDEX(Employees!$P$5:$P$29,$A517)="Per pay period",(N(INDEX(Employees!$Q$5:$Q$29,$A517)))/Settings!$B$13,IF(INDEX(Employees!$P$5:$P$29,$A517)="Per hour worked",N(INDEX(Employees!$R$5:$R$29,$A517))*$I517,IF(INDEX(Employees!$P$5:$P$29,$A517)="Front-loaded",IF(OR($B517=1,N($G516)=0),N(INDEX(Employees!$Q$5:$Q$29,$A517)),0),0))))</f>
        <v/>
      </c>
      <c r="R517" s="51">
        <f>IF($F517=0,0,SUMIFS('Time Off Log'!$H$5:$H$504,'Time Off Log'!$A$5:$A$504,$C517,'Time Off Log'!$B$5:$B$504,"Sick",'Time Off Log'!$E$5:$E$504,"Approved",'Time Off Log'!$C$5:$C$504,"&gt;="&amp;INDEX(Periods!$E$5:$E$57,$B517),'Time Off Log'!$C$5:$C$504,"&lt;="&amp;INDEX(Periods!$F$5:$F$57,$B517)))</f>
        <v/>
      </c>
      <c r="S517" s="51">
        <f>IF($B517=1,N(INDEX(Employees!$T$5:$T$29,$A517)),V516)</f>
        <v/>
      </c>
      <c r="T517" s="51">
        <f>IF(INDEX(Employees!$S$5:$S$29,$A517)="",Q517,MAX(0,MIN(Q517,INDEX(Employees!$S$5:$S$29,$A517)-(S517-R517))))</f>
        <v/>
      </c>
      <c r="U517" s="51">
        <f>Q517-T517</f>
        <v/>
      </c>
      <c r="V517" s="51">
        <f>S517-R517+T517</f>
        <v/>
      </c>
    </row>
    <row r="518">
      <c r="A518" s="50" t="n">
        <v>10</v>
      </c>
      <c r="B518" s="50" t="n">
        <v>37</v>
      </c>
      <c r="C518" s="51">
        <f>INDEX(Employees!$B$5:$B$29,$A518)&amp;""</f>
        <v/>
      </c>
      <c r="D518" s="52">
        <f>INDEX(Periods!$B$5:$B$57,$B518)</f>
        <v/>
      </c>
      <c r="E518" s="52">
        <f>INDEX(Periods!$C$5:$C$57,$B518)</f>
        <v/>
      </c>
      <c r="F518" s="50">
        <f>IF(AND($C518&lt;&gt;"",INDEX(Periods!$D$5:$D$57,$B518)=1),1,0)</f>
        <v/>
      </c>
      <c r="G518" s="50">
        <f>IF($F518=0,0,IF(AND(OR(INDEX(Employees!$D$5:$D$29,$A518)="",$E518&gt;=INDEX(Employees!$D$5:$D$29,$A518)+N(INDEX(Employees!$U$5:$U$29,$A518))),OR(INDEX(Employees!$E$5:$E$29,$A518)="",$D518&lt;=INDEX(Employees!$E$5:$E$29,$A518))),1,0))</f>
        <v/>
      </c>
      <c r="H518" s="50">
        <f>IF($G518=0,0,IF(INDEX(Employees!$D$5:$D$29,$A518)="",0,DATEDIF(INDEX(Employees!$D$5:$D$29,$A518),$E518,"y")))</f>
        <v/>
      </c>
      <c r="I518" s="51">
        <f>IF($G518=0,0,IF(INDEX('Hours Worked'!$D$5:$BD$29,$A518,$B518)="",N(INDEX(Employees!$H$5:$H$29,$A518)),INDEX('Hours Worked'!$D$5:$BD$29,$A518,$B518)))</f>
        <v/>
      </c>
      <c r="J518" s="51">
        <f>IF(OR($G518=0,INDEX(Employees!$O$5:$O$29,$A518)&lt;&gt;"Yes"),0,IF(COUNTIF(Settings!$D$4:$D$9,"&lt;="&amp;$H518)=0,0,INDEX(Settings!$E$4:$E$9,COUNTIF(Settings!$D$4:$D$9,"&lt;="&amp;$H518))))</f>
        <v/>
      </c>
      <c r="K518" s="51">
        <f>IF($G518=0,0,IF(INDEX(Employees!$I$5:$I$29,$A518)="Per pay period",(N(INDEX(Employees!$J$5:$J$29,$A518))+$J518)/Settings!$B$13,IF(INDEX(Employees!$I$5:$I$29,$A518)="Per hour worked",N(INDEX(Employees!$K$5:$K$29,$A518))*$I518,IF(INDEX(Employees!$I$5:$I$29,$A518)="Front-loaded",IF(OR($B518=1,N($G517)=0),N(INDEX(Employees!$J$5:$J$29,$A518))+$J518,0),0))))</f>
        <v/>
      </c>
      <c r="L518" s="51">
        <f>IF($F518=0,0,SUMIFS('Time Off Log'!$H$5:$H$504,'Time Off Log'!$A$5:$A$504,$C518,'Time Off Log'!$B$5:$B$504,"PTO",'Time Off Log'!$E$5:$E$504,"Approved",'Time Off Log'!$C$5:$C$504,"&gt;="&amp;INDEX(Periods!$E$5:$E$57,$B518),'Time Off Log'!$C$5:$C$504,"&lt;="&amp;INDEX(Periods!$F$5:$F$57,$B518)))</f>
        <v/>
      </c>
      <c r="M518" s="51">
        <f>IF($B518=1,N(INDEX(Employees!$N$5:$N$29,$A518)),P517)</f>
        <v/>
      </c>
      <c r="N518" s="51">
        <f>IF(INDEX(Employees!$L$5:$L$29,$A518)="",K518,MAX(0,MIN(K518,INDEX(Employees!$L$5:$L$29,$A518)-(M518-L518))))</f>
        <v/>
      </c>
      <c r="O518" s="51">
        <f>K518-N518</f>
        <v/>
      </c>
      <c r="P518" s="51">
        <f>M518-L518+N518</f>
        <v/>
      </c>
      <c r="Q518" s="51">
        <f>IF($G518=0,0,IF(INDEX(Employees!$P$5:$P$29,$A518)="Per pay period",(N(INDEX(Employees!$Q$5:$Q$29,$A518)))/Settings!$B$13,IF(INDEX(Employees!$P$5:$P$29,$A518)="Per hour worked",N(INDEX(Employees!$R$5:$R$29,$A518))*$I518,IF(INDEX(Employees!$P$5:$P$29,$A518)="Front-loaded",IF(OR($B518=1,N($G517)=0),N(INDEX(Employees!$Q$5:$Q$29,$A518)),0),0))))</f>
        <v/>
      </c>
      <c r="R518" s="51">
        <f>IF($F518=0,0,SUMIFS('Time Off Log'!$H$5:$H$504,'Time Off Log'!$A$5:$A$504,$C518,'Time Off Log'!$B$5:$B$504,"Sick",'Time Off Log'!$E$5:$E$504,"Approved",'Time Off Log'!$C$5:$C$504,"&gt;="&amp;INDEX(Periods!$E$5:$E$57,$B518),'Time Off Log'!$C$5:$C$504,"&lt;="&amp;INDEX(Periods!$F$5:$F$57,$B518)))</f>
        <v/>
      </c>
      <c r="S518" s="51">
        <f>IF($B518=1,N(INDEX(Employees!$T$5:$T$29,$A518)),V517)</f>
        <v/>
      </c>
      <c r="T518" s="51">
        <f>IF(INDEX(Employees!$S$5:$S$29,$A518)="",Q518,MAX(0,MIN(Q518,INDEX(Employees!$S$5:$S$29,$A518)-(S518-R518))))</f>
        <v/>
      </c>
      <c r="U518" s="51">
        <f>Q518-T518</f>
        <v/>
      </c>
      <c r="V518" s="51">
        <f>S518-R518+T518</f>
        <v/>
      </c>
    </row>
    <row r="519">
      <c r="A519" s="50" t="n">
        <v>10</v>
      </c>
      <c r="B519" s="50" t="n">
        <v>38</v>
      </c>
      <c r="C519" s="51">
        <f>INDEX(Employees!$B$5:$B$29,$A519)&amp;""</f>
        <v/>
      </c>
      <c r="D519" s="52">
        <f>INDEX(Periods!$B$5:$B$57,$B519)</f>
        <v/>
      </c>
      <c r="E519" s="52">
        <f>INDEX(Periods!$C$5:$C$57,$B519)</f>
        <v/>
      </c>
      <c r="F519" s="50">
        <f>IF(AND($C519&lt;&gt;"",INDEX(Periods!$D$5:$D$57,$B519)=1),1,0)</f>
        <v/>
      </c>
      <c r="G519" s="50">
        <f>IF($F519=0,0,IF(AND(OR(INDEX(Employees!$D$5:$D$29,$A519)="",$E519&gt;=INDEX(Employees!$D$5:$D$29,$A519)+N(INDEX(Employees!$U$5:$U$29,$A519))),OR(INDEX(Employees!$E$5:$E$29,$A519)="",$D519&lt;=INDEX(Employees!$E$5:$E$29,$A519))),1,0))</f>
        <v/>
      </c>
      <c r="H519" s="50">
        <f>IF($G519=0,0,IF(INDEX(Employees!$D$5:$D$29,$A519)="",0,DATEDIF(INDEX(Employees!$D$5:$D$29,$A519),$E519,"y")))</f>
        <v/>
      </c>
      <c r="I519" s="51">
        <f>IF($G519=0,0,IF(INDEX('Hours Worked'!$D$5:$BD$29,$A519,$B519)="",N(INDEX(Employees!$H$5:$H$29,$A519)),INDEX('Hours Worked'!$D$5:$BD$29,$A519,$B519)))</f>
        <v/>
      </c>
      <c r="J519" s="51">
        <f>IF(OR($G519=0,INDEX(Employees!$O$5:$O$29,$A519)&lt;&gt;"Yes"),0,IF(COUNTIF(Settings!$D$4:$D$9,"&lt;="&amp;$H519)=0,0,INDEX(Settings!$E$4:$E$9,COUNTIF(Settings!$D$4:$D$9,"&lt;="&amp;$H519))))</f>
        <v/>
      </c>
      <c r="K519" s="51">
        <f>IF($G519=0,0,IF(INDEX(Employees!$I$5:$I$29,$A519)="Per pay period",(N(INDEX(Employees!$J$5:$J$29,$A519))+$J519)/Settings!$B$13,IF(INDEX(Employees!$I$5:$I$29,$A519)="Per hour worked",N(INDEX(Employees!$K$5:$K$29,$A519))*$I519,IF(INDEX(Employees!$I$5:$I$29,$A519)="Front-loaded",IF(OR($B519=1,N($G518)=0),N(INDEX(Employees!$J$5:$J$29,$A519))+$J519,0),0))))</f>
        <v/>
      </c>
      <c r="L519" s="51">
        <f>IF($F519=0,0,SUMIFS('Time Off Log'!$H$5:$H$504,'Time Off Log'!$A$5:$A$504,$C519,'Time Off Log'!$B$5:$B$504,"PTO",'Time Off Log'!$E$5:$E$504,"Approved",'Time Off Log'!$C$5:$C$504,"&gt;="&amp;INDEX(Periods!$E$5:$E$57,$B519),'Time Off Log'!$C$5:$C$504,"&lt;="&amp;INDEX(Periods!$F$5:$F$57,$B519)))</f>
        <v/>
      </c>
      <c r="M519" s="51">
        <f>IF($B519=1,N(INDEX(Employees!$N$5:$N$29,$A519)),P518)</f>
        <v/>
      </c>
      <c r="N519" s="51">
        <f>IF(INDEX(Employees!$L$5:$L$29,$A519)="",K519,MAX(0,MIN(K519,INDEX(Employees!$L$5:$L$29,$A519)-(M519-L519))))</f>
        <v/>
      </c>
      <c r="O519" s="51">
        <f>K519-N519</f>
        <v/>
      </c>
      <c r="P519" s="51">
        <f>M519-L519+N519</f>
        <v/>
      </c>
      <c r="Q519" s="51">
        <f>IF($G519=0,0,IF(INDEX(Employees!$P$5:$P$29,$A519)="Per pay period",(N(INDEX(Employees!$Q$5:$Q$29,$A519)))/Settings!$B$13,IF(INDEX(Employees!$P$5:$P$29,$A519)="Per hour worked",N(INDEX(Employees!$R$5:$R$29,$A519))*$I519,IF(INDEX(Employees!$P$5:$P$29,$A519)="Front-loaded",IF(OR($B519=1,N($G518)=0),N(INDEX(Employees!$Q$5:$Q$29,$A519)),0),0))))</f>
        <v/>
      </c>
      <c r="R519" s="51">
        <f>IF($F519=0,0,SUMIFS('Time Off Log'!$H$5:$H$504,'Time Off Log'!$A$5:$A$504,$C519,'Time Off Log'!$B$5:$B$504,"Sick",'Time Off Log'!$E$5:$E$504,"Approved",'Time Off Log'!$C$5:$C$504,"&gt;="&amp;INDEX(Periods!$E$5:$E$57,$B519),'Time Off Log'!$C$5:$C$504,"&lt;="&amp;INDEX(Periods!$F$5:$F$57,$B519)))</f>
        <v/>
      </c>
      <c r="S519" s="51">
        <f>IF($B519=1,N(INDEX(Employees!$T$5:$T$29,$A519)),V518)</f>
        <v/>
      </c>
      <c r="T519" s="51">
        <f>IF(INDEX(Employees!$S$5:$S$29,$A519)="",Q519,MAX(0,MIN(Q519,INDEX(Employees!$S$5:$S$29,$A519)-(S519-R519))))</f>
        <v/>
      </c>
      <c r="U519" s="51">
        <f>Q519-T519</f>
        <v/>
      </c>
      <c r="V519" s="51">
        <f>S519-R519+T519</f>
        <v/>
      </c>
    </row>
    <row r="520">
      <c r="A520" s="50" t="n">
        <v>10</v>
      </c>
      <c r="B520" s="50" t="n">
        <v>39</v>
      </c>
      <c r="C520" s="51">
        <f>INDEX(Employees!$B$5:$B$29,$A520)&amp;""</f>
        <v/>
      </c>
      <c r="D520" s="52">
        <f>INDEX(Periods!$B$5:$B$57,$B520)</f>
        <v/>
      </c>
      <c r="E520" s="52">
        <f>INDEX(Periods!$C$5:$C$57,$B520)</f>
        <v/>
      </c>
      <c r="F520" s="50">
        <f>IF(AND($C520&lt;&gt;"",INDEX(Periods!$D$5:$D$57,$B520)=1),1,0)</f>
        <v/>
      </c>
      <c r="G520" s="50">
        <f>IF($F520=0,0,IF(AND(OR(INDEX(Employees!$D$5:$D$29,$A520)="",$E520&gt;=INDEX(Employees!$D$5:$D$29,$A520)+N(INDEX(Employees!$U$5:$U$29,$A520))),OR(INDEX(Employees!$E$5:$E$29,$A520)="",$D520&lt;=INDEX(Employees!$E$5:$E$29,$A520))),1,0))</f>
        <v/>
      </c>
      <c r="H520" s="50">
        <f>IF($G520=0,0,IF(INDEX(Employees!$D$5:$D$29,$A520)="",0,DATEDIF(INDEX(Employees!$D$5:$D$29,$A520),$E520,"y")))</f>
        <v/>
      </c>
      <c r="I520" s="51">
        <f>IF($G520=0,0,IF(INDEX('Hours Worked'!$D$5:$BD$29,$A520,$B520)="",N(INDEX(Employees!$H$5:$H$29,$A520)),INDEX('Hours Worked'!$D$5:$BD$29,$A520,$B520)))</f>
        <v/>
      </c>
      <c r="J520" s="51">
        <f>IF(OR($G520=0,INDEX(Employees!$O$5:$O$29,$A520)&lt;&gt;"Yes"),0,IF(COUNTIF(Settings!$D$4:$D$9,"&lt;="&amp;$H520)=0,0,INDEX(Settings!$E$4:$E$9,COUNTIF(Settings!$D$4:$D$9,"&lt;="&amp;$H520))))</f>
        <v/>
      </c>
      <c r="K520" s="51">
        <f>IF($G520=0,0,IF(INDEX(Employees!$I$5:$I$29,$A520)="Per pay period",(N(INDEX(Employees!$J$5:$J$29,$A520))+$J520)/Settings!$B$13,IF(INDEX(Employees!$I$5:$I$29,$A520)="Per hour worked",N(INDEX(Employees!$K$5:$K$29,$A520))*$I520,IF(INDEX(Employees!$I$5:$I$29,$A520)="Front-loaded",IF(OR($B520=1,N($G519)=0),N(INDEX(Employees!$J$5:$J$29,$A520))+$J520,0),0))))</f>
        <v/>
      </c>
      <c r="L520" s="51">
        <f>IF($F520=0,0,SUMIFS('Time Off Log'!$H$5:$H$504,'Time Off Log'!$A$5:$A$504,$C520,'Time Off Log'!$B$5:$B$504,"PTO",'Time Off Log'!$E$5:$E$504,"Approved",'Time Off Log'!$C$5:$C$504,"&gt;="&amp;INDEX(Periods!$E$5:$E$57,$B520),'Time Off Log'!$C$5:$C$504,"&lt;="&amp;INDEX(Periods!$F$5:$F$57,$B520)))</f>
        <v/>
      </c>
      <c r="M520" s="51">
        <f>IF($B520=1,N(INDEX(Employees!$N$5:$N$29,$A520)),P519)</f>
        <v/>
      </c>
      <c r="N520" s="51">
        <f>IF(INDEX(Employees!$L$5:$L$29,$A520)="",K520,MAX(0,MIN(K520,INDEX(Employees!$L$5:$L$29,$A520)-(M520-L520))))</f>
        <v/>
      </c>
      <c r="O520" s="51">
        <f>K520-N520</f>
        <v/>
      </c>
      <c r="P520" s="51">
        <f>M520-L520+N520</f>
        <v/>
      </c>
      <c r="Q520" s="51">
        <f>IF($G520=0,0,IF(INDEX(Employees!$P$5:$P$29,$A520)="Per pay period",(N(INDEX(Employees!$Q$5:$Q$29,$A520)))/Settings!$B$13,IF(INDEX(Employees!$P$5:$P$29,$A520)="Per hour worked",N(INDEX(Employees!$R$5:$R$29,$A520))*$I520,IF(INDEX(Employees!$P$5:$P$29,$A520)="Front-loaded",IF(OR($B520=1,N($G519)=0),N(INDEX(Employees!$Q$5:$Q$29,$A520)),0),0))))</f>
        <v/>
      </c>
      <c r="R520" s="51">
        <f>IF($F520=0,0,SUMIFS('Time Off Log'!$H$5:$H$504,'Time Off Log'!$A$5:$A$504,$C520,'Time Off Log'!$B$5:$B$504,"Sick",'Time Off Log'!$E$5:$E$504,"Approved",'Time Off Log'!$C$5:$C$504,"&gt;="&amp;INDEX(Periods!$E$5:$E$57,$B520),'Time Off Log'!$C$5:$C$504,"&lt;="&amp;INDEX(Periods!$F$5:$F$57,$B520)))</f>
        <v/>
      </c>
      <c r="S520" s="51">
        <f>IF($B520=1,N(INDEX(Employees!$T$5:$T$29,$A520)),V519)</f>
        <v/>
      </c>
      <c r="T520" s="51">
        <f>IF(INDEX(Employees!$S$5:$S$29,$A520)="",Q520,MAX(0,MIN(Q520,INDEX(Employees!$S$5:$S$29,$A520)-(S520-R520))))</f>
        <v/>
      </c>
      <c r="U520" s="51">
        <f>Q520-T520</f>
        <v/>
      </c>
      <c r="V520" s="51">
        <f>S520-R520+T520</f>
        <v/>
      </c>
    </row>
    <row r="521">
      <c r="A521" s="50" t="n">
        <v>10</v>
      </c>
      <c r="B521" s="50" t="n">
        <v>40</v>
      </c>
      <c r="C521" s="51">
        <f>INDEX(Employees!$B$5:$B$29,$A521)&amp;""</f>
        <v/>
      </c>
      <c r="D521" s="52">
        <f>INDEX(Periods!$B$5:$B$57,$B521)</f>
        <v/>
      </c>
      <c r="E521" s="52">
        <f>INDEX(Periods!$C$5:$C$57,$B521)</f>
        <v/>
      </c>
      <c r="F521" s="50">
        <f>IF(AND($C521&lt;&gt;"",INDEX(Periods!$D$5:$D$57,$B521)=1),1,0)</f>
        <v/>
      </c>
      <c r="G521" s="50">
        <f>IF($F521=0,0,IF(AND(OR(INDEX(Employees!$D$5:$D$29,$A521)="",$E521&gt;=INDEX(Employees!$D$5:$D$29,$A521)+N(INDEX(Employees!$U$5:$U$29,$A521))),OR(INDEX(Employees!$E$5:$E$29,$A521)="",$D521&lt;=INDEX(Employees!$E$5:$E$29,$A521))),1,0))</f>
        <v/>
      </c>
      <c r="H521" s="50">
        <f>IF($G521=0,0,IF(INDEX(Employees!$D$5:$D$29,$A521)="",0,DATEDIF(INDEX(Employees!$D$5:$D$29,$A521),$E521,"y")))</f>
        <v/>
      </c>
      <c r="I521" s="51">
        <f>IF($G521=0,0,IF(INDEX('Hours Worked'!$D$5:$BD$29,$A521,$B521)="",N(INDEX(Employees!$H$5:$H$29,$A521)),INDEX('Hours Worked'!$D$5:$BD$29,$A521,$B521)))</f>
        <v/>
      </c>
      <c r="J521" s="51">
        <f>IF(OR($G521=0,INDEX(Employees!$O$5:$O$29,$A521)&lt;&gt;"Yes"),0,IF(COUNTIF(Settings!$D$4:$D$9,"&lt;="&amp;$H521)=0,0,INDEX(Settings!$E$4:$E$9,COUNTIF(Settings!$D$4:$D$9,"&lt;="&amp;$H521))))</f>
        <v/>
      </c>
      <c r="K521" s="51">
        <f>IF($G521=0,0,IF(INDEX(Employees!$I$5:$I$29,$A521)="Per pay period",(N(INDEX(Employees!$J$5:$J$29,$A521))+$J521)/Settings!$B$13,IF(INDEX(Employees!$I$5:$I$29,$A521)="Per hour worked",N(INDEX(Employees!$K$5:$K$29,$A521))*$I521,IF(INDEX(Employees!$I$5:$I$29,$A521)="Front-loaded",IF(OR($B521=1,N($G520)=0),N(INDEX(Employees!$J$5:$J$29,$A521))+$J521,0),0))))</f>
        <v/>
      </c>
      <c r="L521" s="51">
        <f>IF($F521=0,0,SUMIFS('Time Off Log'!$H$5:$H$504,'Time Off Log'!$A$5:$A$504,$C521,'Time Off Log'!$B$5:$B$504,"PTO",'Time Off Log'!$E$5:$E$504,"Approved",'Time Off Log'!$C$5:$C$504,"&gt;="&amp;INDEX(Periods!$E$5:$E$57,$B521),'Time Off Log'!$C$5:$C$504,"&lt;="&amp;INDEX(Periods!$F$5:$F$57,$B521)))</f>
        <v/>
      </c>
      <c r="M521" s="51">
        <f>IF($B521=1,N(INDEX(Employees!$N$5:$N$29,$A521)),P520)</f>
        <v/>
      </c>
      <c r="N521" s="51">
        <f>IF(INDEX(Employees!$L$5:$L$29,$A521)="",K521,MAX(0,MIN(K521,INDEX(Employees!$L$5:$L$29,$A521)-(M521-L521))))</f>
        <v/>
      </c>
      <c r="O521" s="51">
        <f>K521-N521</f>
        <v/>
      </c>
      <c r="P521" s="51">
        <f>M521-L521+N521</f>
        <v/>
      </c>
      <c r="Q521" s="51">
        <f>IF($G521=0,0,IF(INDEX(Employees!$P$5:$P$29,$A521)="Per pay period",(N(INDEX(Employees!$Q$5:$Q$29,$A521)))/Settings!$B$13,IF(INDEX(Employees!$P$5:$P$29,$A521)="Per hour worked",N(INDEX(Employees!$R$5:$R$29,$A521))*$I521,IF(INDEX(Employees!$P$5:$P$29,$A521)="Front-loaded",IF(OR($B521=1,N($G520)=0),N(INDEX(Employees!$Q$5:$Q$29,$A521)),0),0))))</f>
        <v/>
      </c>
      <c r="R521" s="51">
        <f>IF($F521=0,0,SUMIFS('Time Off Log'!$H$5:$H$504,'Time Off Log'!$A$5:$A$504,$C521,'Time Off Log'!$B$5:$B$504,"Sick",'Time Off Log'!$E$5:$E$504,"Approved",'Time Off Log'!$C$5:$C$504,"&gt;="&amp;INDEX(Periods!$E$5:$E$57,$B521),'Time Off Log'!$C$5:$C$504,"&lt;="&amp;INDEX(Periods!$F$5:$F$57,$B521)))</f>
        <v/>
      </c>
      <c r="S521" s="51">
        <f>IF($B521=1,N(INDEX(Employees!$T$5:$T$29,$A521)),V520)</f>
        <v/>
      </c>
      <c r="T521" s="51">
        <f>IF(INDEX(Employees!$S$5:$S$29,$A521)="",Q521,MAX(0,MIN(Q521,INDEX(Employees!$S$5:$S$29,$A521)-(S521-R521))))</f>
        <v/>
      </c>
      <c r="U521" s="51">
        <f>Q521-T521</f>
        <v/>
      </c>
      <c r="V521" s="51">
        <f>S521-R521+T521</f>
        <v/>
      </c>
    </row>
    <row r="522">
      <c r="A522" s="50" t="n">
        <v>10</v>
      </c>
      <c r="B522" s="50" t="n">
        <v>41</v>
      </c>
      <c r="C522" s="51">
        <f>INDEX(Employees!$B$5:$B$29,$A522)&amp;""</f>
        <v/>
      </c>
      <c r="D522" s="52">
        <f>INDEX(Periods!$B$5:$B$57,$B522)</f>
        <v/>
      </c>
      <c r="E522" s="52">
        <f>INDEX(Periods!$C$5:$C$57,$B522)</f>
        <v/>
      </c>
      <c r="F522" s="50">
        <f>IF(AND($C522&lt;&gt;"",INDEX(Periods!$D$5:$D$57,$B522)=1),1,0)</f>
        <v/>
      </c>
      <c r="G522" s="50">
        <f>IF($F522=0,0,IF(AND(OR(INDEX(Employees!$D$5:$D$29,$A522)="",$E522&gt;=INDEX(Employees!$D$5:$D$29,$A522)+N(INDEX(Employees!$U$5:$U$29,$A522))),OR(INDEX(Employees!$E$5:$E$29,$A522)="",$D522&lt;=INDEX(Employees!$E$5:$E$29,$A522))),1,0))</f>
        <v/>
      </c>
      <c r="H522" s="50">
        <f>IF($G522=0,0,IF(INDEX(Employees!$D$5:$D$29,$A522)="",0,DATEDIF(INDEX(Employees!$D$5:$D$29,$A522),$E522,"y")))</f>
        <v/>
      </c>
      <c r="I522" s="51">
        <f>IF($G522=0,0,IF(INDEX('Hours Worked'!$D$5:$BD$29,$A522,$B522)="",N(INDEX(Employees!$H$5:$H$29,$A522)),INDEX('Hours Worked'!$D$5:$BD$29,$A522,$B522)))</f>
        <v/>
      </c>
      <c r="J522" s="51">
        <f>IF(OR($G522=0,INDEX(Employees!$O$5:$O$29,$A522)&lt;&gt;"Yes"),0,IF(COUNTIF(Settings!$D$4:$D$9,"&lt;="&amp;$H522)=0,0,INDEX(Settings!$E$4:$E$9,COUNTIF(Settings!$D$4:$D$9,"&lt;="&amp;$H522))))</f>
        <v/>
      </c>
      <c r="K522" s="51">
        <f>IF($G522=0,0,IF(INDEX(Employees!$I$5:$I$29,$A522)="Per pay period",(N(INDEX(Employees!$J$5:$J$29,$A522))+$J522)/Settings!$B$13,IF(INDEX(Employees!$I$5:$I$29,$A522)="Per hour worked",N(INDEX(Employees!$K$5:$K$29,$A522))*$I522,IF(INDEX(Employees!$I$5:$I$29,$A522)="Front-loaded",IF(OR($B522=1,N($G521)=0),N(INDEX(Employees!$J$5:$J$29,$A522))+$J522,0),0))))</f>
        <v/>
      </c>
      <c r="L522" s="51">
        <f>IF($F522=0,0,SUMIFS('Time Off Log'!$H$5:$H$504,'Time Off Log'!$A$5:$A$504,$C522,'Time Off Log'!$B$5:$B$504,"PTO",'Time Off Log'!$E$5:$E$504,"Approved",'Time Off Log'!$C$5:$C$504,"&gt;="&amp;INDEX(Periods!$E$5:$E$57,$B522),'Time Off Log'!$C$5:$C$504,"&lt;="&amp;INDEX(Periods!$F$5:$F$57,$B522)))</f>
        <v/>
      </c>
      <c r="M522" s="51">
        <f>IF($B522=1,N(INDEX(Employees!$N$5:$N$29,$A522)),P521)</f>
        <v/>
      </c>
      <c r="N522" s="51">
        <f>IF(INDEX(Employees!$L$5:$L$29,$A522)="",K522,MAX(0,MIN(K522,INDEX(Employees!$L$5:$L$29,$A522)-(M522-L522))))</f>
        <v/>
      </c>
      <c r="O522" s="51">
        <f>K522-N522</f>
        <v/>
      </c>
      <c r="P522" s="51">
        <f>M522-L522+N522</f>
        <v/>
      </c>
      <c r="Q522" s="51">
        <f>IF($G522=0,0,IF(INDEX(Employees!$P$5:$P$29,$A522)="Per pay period",(N(INDEX(Employees!$Q$5:$Q$29,$A522)))/Settings!$B$13,IF(INDEX(Employees!$P$5:$P$29,$A522)="Per hour worked",N(INDEX(Employees!$R$5:$R$29,$A522))*$I522,IF(INDEX(Employees!$P$5:$P$29,$A522)="Front-loaded",IF(OR($B522=1,N($G521)=0),N(INDEX(Employees!$Q$5:$Q$29,$A522)),0),0))))</f>
        <v/>
      </c>
      <c r="R522" s="51">
        <f>IF($F522=0,0,SUMIFS('Time Off Log'!$H$5:$H$504,'Time Off Log'!$A$5:$A$504,$C522,'Time Off Log'!$B$5:$B$504,"Sick",'Time Off Log'!$E$5:$E$504,"Approved",'Time Off Log'!$C$5:$C$504,"&gt;="&amp;INDEX(Periods!$E$5:$E$57,$B522),'Time Off Log'!$C$5:$C$504,"&lt;="&amp;INDEX(Periods!$F$5:$F$57,$B522)))</f>
        <v/>
      </c>
      <c r="S522" s="51">
        <f>IF($B522=1,N(INDEX(Employees!$T$5:$T$29,$A522)),V521)</f>
        <v/>
      </c>
      <c r="T522" s="51">
        <f>IF(INDEX(Employees!$S$5:$S$29,$A522)="",Q522,MAX(0,MIN(Q522,INDEX(Employees!$S$5:$S$29,$A522)-(S522-R522))))</f>
        <v/>
      </c>
      <c r="U522" s="51">
        <f>Q522-T522</f>
        <v/>
      </c>
      <c r="V522" s="51">
        <f>S522-R522+T522</f>
        <v/>
      </c>
    </row>
    <row r="523">
      <c r="A523" s="50" t="n">
        <v>10</v>
      </c>
      <c r="B523" s="50" t="n">
        <v>42</v>
      </c>
      <c r="C523" s="51">
        <f>INDEX(Employees!$B$5:$B$29,$A523)&amp;""</f>
        <v/>
      </c>
      <c r="D523" s="52">
        <f>INDEX(Periods!$B$5:$B$57,$B523)</f>
        <v/>
      </c>
      <c r="E523" s="52">
        <f>INDEX(Periods!$C$5:$C$57,$B523)</f>
        <v/>
      </c>
      <c r="F523" s="50">
        <f>IF(AND($C523&lt;&gt;"",INDEX(Periods!$D$5:$D$57,$B523)=1),1,0)</f>
        <v/>
      </c>
      <c r="G523" s="50">
        <f>IF($F523=0,0,IF(AND(OR(INDEX(Employees!$D$5:$D$29,$A523)="",$E523&gt;=INDEX(Employees!$D$5:$D$29,$A523)+N(INDEX(Employees!$U$5:$U$29,$A523))),OR(INDEX(Employees!$E$5:$E$29,$A523)="",$D523&lt;=INDEX(Employees!$E$5:$E$29,$A523))),1,0))</f>
        <v/>
      </c>
      <c r="H523" s="50">
        <f>IF($G523=0,0,IF(INDEX(Employees!$D$5:$D$29,$A523)="",0,DATEDIF(INDEX(Employees!$D$5:$D$29,$A523),$E523,"y")))</f>
        <v/>
      </c>
      <c r="I523" s="51">
        <f>IF($G523=0,0,IF(INDEX('Hours Worked'!$D$5:$BD$29,$A523,$B523)="",N(INDEX(Employees!$H$5:$H$29,$A523)),INDEX('Hours Worked'!$D$5:$BD$29,$A523,$B523)))</f>
        <v/>
      </c>
      <c r="J523" s="51">
        <f>IF(OR($G523=0,INDEX(Employees!$O$5:$O$29,$A523)&lt;&gt;"Yes"),0,IF(COUNTIF(Settings!$D$4:$D$9,"&lt;="&amp;$H523)=0,0,INDEX(Settings!$E$4:$E$9,COUNTIF(Settings!$D$4:$D$9,"&lt;="&amp;$H523))))</f>
        <v/>
      </c>
      <c r="K523" s="51">
        <f>IF($G523=0,0,IF(INDEX(Employees!$I$5:$I$29,$A523)="Per pay period",(N(INDEX(Employees!$J$5:$J$29,$A523))+$J523)/Settings!$B$13,IF(INDEX(Employees!$I$5:$I$29,$A523)="Per hour worked",N(INDEX(Employees!$K$5:$K$29,$A523))*$I523,IF(INDEX(Employees!$I$5:$I$29,$A523)="Front-loaded",IF(OR($B523=1,N($G522)=0),N(INDEX(Employees!$J$5:$J$29,$A523))+$J523,0),0))))</f>
        <v/>
      </c>
      <c r="L523" s="51">
        <f>IF($F523=0,0,SUMIFS('Time Off Log'!$H$5:$H$504,'Time Off Log'!$A$5:$A$504,$C523,'Time Off Log'!$B$5:$B$504,"PTO",'Time Off Log'!$E$5:$E$504,"Approved",'Time Off Log'!$C$5:$C$504,"&gt;="&amp;INDEX(Periods!$E$5:$E$57,$B523),'Time Off Log'!$C$5:$C$504,"&lt;="&amp;INDEX(Periods!$F$5:$F$57,$B523)))</f>
        <v/>
      </c>
      <c r="M523" s="51">
        <f>IF($B523=1,N(INDEX(Employees!$N$5:$N$29,$A523)),P522)</f>
        <v/>
      </c>
      <c r="N523" s="51">
        <f>IF(INDEX(Employees!$L$5:$L$29,$A523)="",K523,MAX(0,MIN(K523,INDEX(Employees!$L$5:$L$29,$A523)-(M523-L523))))</f>
        <v/>
      </c>
      <c r="O523" s="51">
        <f>K523-N523</f>
        <v/>
      </c>
      <c r="P523" s="51">
        <f>M523-L523+N523</f>
        <v/>
      </c>
      <c r="Q523" s="51">
        <f>IF($G523=0,0,IF(INDEX(Employees!$P$5:$P$29,$A523)="Per pay period",(N(INDEX(Employees!$Q$5:$Q$29,$A523)))/Settings!$B$13,IF(INDEX(Employees!$P$5:$P$29,$A523)="Per hour worked",N(INDEX(Employees!$R$5:$R$29,$A523))*$I523,IF(INDEX(Employees!$P$5:$P$29,$A523)="Front-loaded",IF(OR($B523=1,N($G522)=0),N(INDEX(Employees!$Q$5:$Q$29,$A523)),0),0))))</f>
        <v/>
      </c>
      <c r="R523" s="51">
        <f>IF($F523=0,0,SUMIFS('Time Off Log'!$H$5:$H$504,'Time Off Log'!$A$5:$A$504,$C523,'Time Off Log'!$B$5:$B$504,"Sick",'Time Off Log'!$E$5:$E$504,"Approved",'Time Off Log'!$C$5:$C$504,"&gt;="&amp;INDEX(Periods!$E$5:$E$57,$B523),'Time Off Log'!$C$5:$C$504,"&lt;="&amp;INDEX(Periods!$F$5:$F$57,$B523)))</f>
        <v/>
      </c>
      <c r="S523" s="51">
        <f>IF($B523=1,N(INDEX(Employees!$T$5:$T$29,$A523)),V522)</f>
        <v/>
      </c>
      <c r="T523" s="51">
        <f>IF(INDEX(Employees!$S$5:$S$29,$A523)="",Q523,MAX(0,MIN(Q523,INDEX(Employees!$S$5:$S$29,$A523)-(S523-R523))))</f>
        <v/>
      </c>
      <c r="U523" s="51">
        <f>Q523-T523</f>
        <v/>
      </c>
      <c r="V523" s="51">
        <f>S523-R523+T523</f>
        <v/>
      </c>
    </row>
    <row r="524">
      <c r="A524" s="50" t="n">
        <v>10</v>
      </c>
      <c r="B524" s="50" t="n">
        <v>43</v>
      </c>
      <c r="C524" s="51">
        <f>INDEX(Employees!$B$5:$B$29,$A524)&amp;""</f>
        <v/>
      </c>
      <c r="D524" s="52">
        <f>INDEX(Periods!$B$5:$B$57,$B524)</f>
        <v/>
      </c>
      <c r="E524" s="52">
        <f>INDEX(Periods!$C$5:$C$57,$B524)</f>
        <v/>
      </c>
      <c r="F524" s="50">
        <f>IF(AND($C524&lt;&gt;"",INDEX(Periods!$D$5:$D$57,$B524)=1),1,0)</f>
        <v/>
      </c>
      <c r="G524" s="50">
        <f>IF($F524=0,0,IF(AND(OR(INDEX(Employees!$D$5:$D$29,$A524)="",$E524&gt;=INDEX(Employees!$D$5:$D$29,$A524)+N(INDEX(Employees!$U$5:$U$29,$A524))),OR(INDEX(Employees!$E$5:$E$29,$A524)="",$D524&lt;=INDEX(Employees!$E$5:$E$29,$A524))),1,0))</f>
        <v/>
      </c>
      <c r="H524" s="50">
        <f>IF($G524=0,0,IF(INDEX(Employees!$D$5:$D$29,$A524)="",0,DATEDIF(INDEX(Employees!$D$5:$D$29,$A524),$E524,"y")))</f>
        <v/>
      </c>
      <c r="I524" s="51">
        <f>IF($G524=0,0,IF(INDEX('Hours Worked'!$D$5:$BD$29,$A524,$B524)="",N(INDEX(Employees!$H$5:$H$29,$A524)),INDEX('Hours Worked'!$D$5:$BD$29,$A524,$B524)))</f>
        <v/>
      </c>
      <c r="J524" s="51">
        <f>IF(OR($G524=0,INDEX(Employees!$O$5:$O$29,$A524)&lt;&gt;"Yes"),0,IF(COUNTIF(Settings!$D$4:$D$9,"&lt;="&amp;$H524)=0,0,INDEX(Settings!$E$4:$E$9,COUNTIF(Settings!$D$4:$D$9,"&lt;="&amp;$H524))))</f>
        <v/>
      </c>
      <c r="K524" s="51">
        <f>IF($G524=0,0,IF(INDEX(Employees!$I$5:$I$29,$A524)="Per pay period",(N(INDEX(Employees!$J$5:$J$29,$A524))+$J524)/Settings!$B$13,IF(INDEX(Employees!$I$5:$I$29,$A524)="Per hour worked",N(INDEX(Employees!$K$5:$K$29,$A524))*$I524,IF(INDEX(Employees!$I$5:$I$29,$A524)="Front-loaded",IF(OR($B524=1,N($G523)=0),N(INDEX(Employees!$J$5:$J$29,$A524))+$J524,0),0))))</f>
        <v/>
      </c>
      <c r="L524" s="51">
        <f>IF($F524=0,0,SUMIFS('Time Off Log'!$H$5:$H$504,'Time Off Log'!$A$5:$A$504,$C524,'Time Off Log'!$B$5:$B$504,"PTO",'Time Off Log'!$E$5:$E$504,"Approved",'Time Off Log'!$C$5:$C$504,"&gt;="&amp;INDEX(Periods!$E$5:$E$57,$B524),'Time Off Log'!$C$5:$C$504,"&lt;="&amp;INDEX(Periods!$F$5:$F$57,$B524)))</f>
        <v/>
      </c>
      <c r="M524" s="51">
        <f>IF($B524=1,N(INDEX(Employees!$N$5:$N$29,$A524)),P523)</f>
        <v/>
      </c>
      <c r="N524" s="51">
        <f>IF(INDEX(Employees!$L$5:$L$29,$A524)="",K524,MAX(0,MIN(K524,INDEX(Employees!$L$5:$L$29,$A524)-(M524-L524))))</f>
        <v/>
      </c>
      <c r="O524" s="51">
        <f>K524-N524</f>
        <v/>
      </c>
      <c r="P524" s="51">
        <f>M524-L524+N524</f>
        <v/>
      </c>
      <c r="Q524" s="51">
        <f>IF($G524=0,0,IF(INDEX(Employees!$P$5:$P$29,$A524)="Per pay period",(N(INDEX(Employees!$Q$5:$Q$29,$A524)))/Settings!$B$13,IF(INDEX(Employees!$P$5:$P$29,$A524)="Per hour worked",N(INDEX(Employees!$R$5:$R$29,$A524))*$I524,IF(INDEX(Employees!$P$5:$P$29,$A524)="Front-loaded",IF(OR($B524=1,N($G523)=0),N(INDEX(Employees!$Q$5:$Q$29,$A524)),0),0))))</f>
        <v/>
      </c>
      <c r="R524" s="51">
        <f>IF($F524=0,0,SUMIFS('Time Off Log'!$H$5:$H$504,'Time Off Log'!$A$5:$A$504,$C524,'Time Off Log'!$B$5:$B$504,"Sick",'Time Off Log'!$E$5:$E$504,"Approved",'Time Off Log'!$C$5:$C$504,"&gt;="&amp;INDEX(Periods!$E$5:$E$57,$B524),'Time Off Log'!$C$5:$C$504,"&lt;="&amp;INDEX(Periods!$F$5:$F$57,$B524)))</f>
        <v/>
      </c>
      <c r="S524" s="51">
        <f>IF($B524=1,N(INDEX(Employees!$T$5:$T$29,$A524)),V523)</f>
        <v/>
      </c>
      <c r="T524" s="51">
        <f>IF(INDEX(Employees!$S$5:$S$29,$A524)="",Q524,MAX(0,MIN(Q524,INDEX(Employees!$S$5:$S$29,$A524)-(S524-R524))))</f>
        <v/>
      </c>
      <c r="U524" s="51">
        <f>Q524-T524</f>
        <v/>
      </c>
      <c r="V524" s="51">
        <f>S524-R524+T524</f>
        <v/>
      </c>
    </row>
    <row r="525">
      <c r="A525" s="50" t="n">
        <v>10</v>
      </c>
      <c r="B525" s="50" t="n">
        <v>44</v>
      </c>
      <c r="C525" s="51">
        <f>INDEX(Employees!$B$5:$B$29,$A525)&amp;""</f>
        <v/>
      </c>
      <c r="D525" s="52">
        <f>INDEX(Periods!$B$5:$B$57,$B525)</f>
        <v/>
      </c>
      <c r="E525" s="52">
        <f>INDEX(Periods!$C$5:$C$57,$B525)</f>
        <v/>
      </c>
      <c r="F525" s="50">
        <f>IF(AND($C525&lt;&gt;"",INDEX(Periods!$D$5:$D$57,$B525)=1),1,0)</f>
        <v/>
      </c>
      <c r="G525" s="50">
        <f>IF($F525=0,0,IF(AND(OR(INDEX(Employees!$D$5:$D$29,$A525)="",$E525&gt;=INDEX(Employees!$D$5:$D$29,$A525)+N(INDEX(Employees!$U$5:$U$29,$A525))),OR(INDEX(Employees!$E$5:$E$29,$A525)="",$D525&lt;=INDEX(Employees!$E$5:$E$29,$A525))),1,0))</f>
        <v/>
      </c>
      <c r="H525" s="50">
        <f>IF($G525=0,0,IF(INDEX(Employees!$D$5:$D$29,$A525)="",0,DATEDIF(INDEX(Employees!$D$5:$D$29,$A525),$E525,"y")))</f>
        <v/>
      </c>
      <c r="I525" s="51">
        <f>IF($G525=0,0,IF(INDEX('Hours Worked'!$D$5:$BD$29,$A525,$B525)="",N(INDEX(Employees!$H$5:$H$29,$A525)),INDEX('Hours Worked'!$D$5:$BD$29,$A525,$B525)))</f>
        <v/>
      </c>
      <c r="J525" s="51">
        <f>IF(OR($G525=0,INDEX(Employees!$O$5:$O$29,$A525)&lt;&gt;"Yes"),0,IF(COUNTIF(Settings!$D$4:$D$9,"&lt;="&amp;$H525)=0,0,INDEX(Settings!$E$4:$E$9,COUNTIF(Settings!$D$4:$D$9,"&lt;="&amp;$H525))))</f>
        <v/>
      </c>
      <c r="K525" s="51">
        <f>IF($G525=0,0,IF(INDEX(Employees!$I$5:$I$29,$A525)="Per pay period",(N(INDEX(Employees!$J$5:$J$29,$A525))+$J525)/Settings!$B$13,IF(INDEX(Employees!$I$5:$I$29,$A525)="Per hour worked",N(INDEX(Employees!$K$5:$K$29,$A525))*$I525,IF(INDEX(Employees!$I$5:$I$29,$A525)="Front-loaded",IF(OR($B525=1,N($G524)=0),N(INDEX(Employees!$J$5:$J$29,$A525))+$J525,0),0))))</f>
        <v/>
      </c>
      <c r="L525" s="51">
        <f>IF($F525=0,0,SUMIFS('Time Off Log'!$H$5:$H$504,'Time Off Log'!$A$5:$A$504,$C525,'Time Off Log'!$B$5:$B$504,"PTO",'Time Off Log'!$E$5:$E$504,"Approved",'Time Off Log'!$C$5:$C$504,"&gt;="&amp;INDEX(Periods!$E$5:$E$57,$B525),'Time Off Log'!$C$5:$C$504,"&lt;="&amp;INDEX(Periods!$F$5:$F$57,$B525)))</f>
        <v/>
      </c>
      <c r="M525" s="51">
        <f>IF($B525=1,N(INDEX(Employees!$N$5:$N$29,$A525)),P524)</f>
        <v/>
      </c>
      <c r="N525" s="51">
        <f>IF(INDEX(Employees!$L$5:$L$29,$A525)="",K525,MAX(0,MIN(K525,INDEX(Employees!$L$5:$L$29,$A525)-(M525-L525))))</f>
        <v/>
      </c>
      <c r="O525" s="51">
        <f>K525-N525</f>
        <v/>
      </c>
      <c r="P525" s="51">
        <f>M525-L525+N525</f>
        <v/>
      </c>
      <c r="Q525" s="51">
        <f>IF($G525=0,0,IF(INDEX(Employees!$P$5:$P$29,$A525)="Per pay period",(N(INDEX(Employees!$Q$5:$Q$29,$A525)))/Settings!$B$13,IF(INDEX(Employees!$P$5:$P$29,$A525)="Per hour worked",N(INDEX(Employees!$R$5:$R$29,$A525))*$I525,IF(INDEX(Employees!$P$5:$P$29,$A525)="Front-loaded",IF(OR($B525=1,N($G524)=0),N(INDEX(Employees!$Q$5:$Q$29,$A525)),0),0))))</f>
        <v/>
      </c>
      <c r="R525" s="51">
        <f>IF($F525=0,0,SUMIFS('Time Off Log'!$H$5:$H$504,'Time Off Log'!$A$5:$A$504,$C525,'Time Off Log'!$B$5:$B$504,"Sick",'Time Off Log'!$E$5:$E$504,"Approved",'Time Off Log'!$C$5:$C$504,"&gt;="&amp;INDEX(Periods!$E$5:$E$57,$B525),'Time Off Log'!$C$5:$C$504,"&lt;="&amp;INDEX(Periods!$F$5:$F$57,$B525)))</f>
        <v/>
      </c>
      <c r="S525" s="51">
        <f>IF($B525=1,N(INDEX(Employees!$T$5:$T$29,$A525)),V524)</f>
        <v/>
      </c>
      <c r="T525" s="51">
        <f>IF(INDEX(Employees!$S$5:$S$29,$A525)="",Q525,MAX(0,MIN(Q525,INDEX(Employees!$S$5:$S$29,$A525)-(S525-R525))))</f>
        <v/>
      </c>
      <c r="U525" s="51">
        <f>Q525-T525</f>
        <v/>
      </c>
      <c r="V525" s="51">
        <f>S525-R525+T525</f>
        <v/>
      </c>
    </row>
    <row r="526">
      <c r="A526" s="50" t="n">
        <v>10</v>
      </c>
      <c r="B526" s="50" t="n">
        <v>45</v>
      </c>
      <c r="C526" s="51">
        <f>INDEX(Employees!$B$5:$B$29,$A526)&amp;""</f>
        <v/>
      </c>
      <c r="D526" s="52">
        <f>INDEX(Periods!$B$5:$B$57,$B526)</f>
        <v/>
      </c>
      <c r="E526" s="52">
        <f>INDEX(Periods!$C$5:$C$57,$B526)</f>
        <v/>
      </c>
      <c r="F526" s="50">
        <f>IF(AND($C526&lt;&gt;"",INDEX(Periods!$D$5:$D$57,$B526)=1),1,0)</f>
        <v/>
      </c>
      <c r="G526" s="50">
        <f>IF($F526=0,0,IF(AND(OR(INDEX(Employees!$D$5:$D$29,$A526)="",$E526&gt;=INDEX(Employees!$D$5:$D$29,$A526)+N(INDEX(Employees!$U$5:$U$29,$A526))),OR(INDEX(Employees!$E$5:$E$29,$A526)="",$D526&lt;=INDEX(Employees!$E$5:$E$29,$A526))),1,0))</f>
        <v/>
      </c>
      <c r="H526" s="50">
        <f>IF($G526=0,0,IF(INDEX(Employees!$D$5:$D$29,$A526)="",0,DATEDIF(INDEX(Employees!$D$5:$D$29,$A526),$E526,"y")))</f>
        <v/>
      </c>
      <c r="I526" s="51">
        <f>IF($G526=0,0,IF(INDEX('Hours Worked'!$D$5:$BD$29,$A526,$B526)="",N(INDEX(Employees!$H$5:$H$29,$A526)),INDEX('Hours Worked'!$D$5:$BD$29,$A526,$B526)))</f>
        <v/>
      </c>
      <c r="J526" s="51">
        <f>IF(OR($G526=0,INDEX(Employees!$O$5:$O$29,$A526)&lt;&gt;"Yes"),0,IF(COUNTIF(Settings!$D$4:$D$9,"&lt;="&amp;$H526)=0,0,INDEX(Settings!$E$4:$E$9,COUNTIF(Settings!$D$4:$D$9,"&lt;="&amp;$H526))))</f>
        <v/>
      </c>
      <c r="K526" s="51">
        <f>IF($G526=0,0,IF(INDEX(Employees!$I$5:$I$29,$A526)="Per pay period",(N(INDEX(Employees!$J$5:$J$29,$A526))+$J526)/Settings!$B$13,IF(INDEX(Employees!$I$5:$I$29,$A526)="Per hour worked",N(INDEX(Employees!$K$5:$K$29,$A526))*$I526,IF(INDEX(Employees!$I$5:$I$29,$A526)="Front-loaded",IF(OR($B526=1,N($G525)=0),N(INDEX(Employees!$J$5:$J$29,$A526))+$J526,0),0))))</f>
        <v/>
      </c>
      <c r="L526" s="51">
        <f>IF($F526=0,0,SUMIFS('Time Off Log'!$H$5:$H$504,'Time Off Log'!$A$5:$A$504,$C526,'Time Off Log'!$B$5:$B$504,"PTO",'Time Off Log'!$E$5:$E$504,"Approved",'Time Off Log'!$C$5:$C$504,"&gt;="&amp;INDEX(Periods!$E$5:$E$57,$B526),'Time Off Log'!$C$5:$C$504,"&lt;="&amp;INDEX(Periods!$F$5:$F$57,$B526)))</f>
        <v/>
      </c>
      <c r="M526" s="51">
        <f>IF($B526=1,N(INDEX(Employees!$N$5:$N$29,$A526)),P525)</f>
        <v/>
      </c>
      <c r="N526" s="51">
        <f>IF(INDEX(Employees!$L$5:$L$29,$A526)="",K526,MAX(0,MIN(K526,INDEX(Employees!$L$5:$L$29,$A526)-(M526-L526))))</f>
        <v/>
      </c>
      <c r="O526" s="51">
        <f>K526-N526</f>
        <v/>
      </c>
      <c r="P526" s="51">
        <f>M526-L526+N526</f>
        <v/>
      </c>
      <c r="Q526" s="51">
        <f>IF($G526=0,0,IF(INDEX(Employees!$P$5:$P$29,$A526)="Per pay period",(N(INDEX(Employees!$Q$5:$Q$29,$A526)))/Settings!$B$13,IF(INDEX(Employees!$P$5:$P$29,$A526)="Per hour worked",N(INDEX(Employees!$R$5:$R$29,$A526))*$I526,IF(INDEX(Employees!$P$5:$P$29,$A526)="Front-loaded",IF(OR($B526=1,N($G525)=0),N(INDEX(Employees!$Q$5:$Q$29,$A526)),0),0))))</f>
        <v/>
      </c>
      <c r="R526" s="51">
        <f>IF($F526=0,0,SUMIFS('Time Off Log'!$H$5:$H$504,'Time Off Log'!$A$5:$A$504,$C526,'Time Off Log'!$B$5:$B$504,"Sick",'Time Off Log'!$E$5:$E$504,"Approved",'Time Off Log'!$C$5:$C$504,"&gt;="&amp;INDEX(Periods!$E$5:$E$57,$B526),'Time Off Log'!$C$5:$C$504,"&lt;="&amp;INDEX(Periods!$F$5:$F$57,$B526)))</f>
        <v/>
      </c>
      <c r="S526" s="51">
        <f>IF($B526=1,N(INDEX(Employees!$T$5:$T$29,$A526)),V525)</f>
        <v/>
      </c>
      <c r="T526" s="51">
        <f>IF(INDEX(Employees!$S$5:$S$29,$A526)="",Q526,MAX(0,MIN(Q526,INDEX(Employees!$S$5:$S$29,$A526)-(S526-R526))))</f>
        <v/>
      </c>
      <c r="U526" s="51">
        <f>Q526-T526</f>
        <v/>
      </c>
      <c r="V526" s="51">
        <f>S526-R526+T526</f>
        <v/>
      </c>
    </row>
    <row r="527">
      <c r="A527" s="50" t="n">
        <v>10</v>
      </c>
      <c r="B527" s="50" t="n">
        <v>46</v>
      </c>
      <c r="C527" s="51">
        <f>INDEX(Employees!$B$5:$B$29,$A527)&amp;""</f>
        <v/>
      </c>
      <c r="D527" s="52">
        <f>INDEX(Periods!$B$5:$B$57,$B527)</f>
        <v/>
      </c>
      <c r="E527" s="52">
        <f>INDEX(Periods!$C$5:$C$57,$B527)</f>
        <v/>
      </c>
      <c r="F527" s="50">
        <f>IF(AND($C527&lt;&gt;"",INDEX(Periods!$D$5:$D$57,$B527)=1),1,0)</f>
        <v/>
      </c>
      <c r="G527" s="50">
        <f>IF($F527=0,0,IF(AND(OR(INDEX(Employees!$D$5:$D$29,$A527)="",$E527&gt;=INDEX(Employees!$D$5:$D$29,$A527)+N(INDEX(Employees!$U$5:$U$29,$A527))),OR(INDEX(Employees!$E$5:$E$29,$A527)="",$D527&lt;=INDEX(Employees!$E$5:$E$29,$A527))),1,0))</f>
        <v/>
      </c>
      <c r="H527" s="50">
        <f>IF($G527=0,0,IF(INDEX(Employees!$D$5:$D$29,$A527)="",0,DATEDIF(INDEX(Employees!$D$5:$D$29,$A527),$E527,"y")))</f>
        <v/>
      </c>
      <c r="I527" s="51">
        <f>IF($G527=0,0,IF(INDEX('Hours Worked'!$D$5:$BD$29,$A527,$B527)="",N(INDEX(Employees!$H$5:$H$29,$A527)),INDEX('Hours Worked'!$D$5:$BD$29,$A527,$B527)))</f>
        <v/>
      </c>
      <c r="J527" s="51">
        <f>IF(OR($G527=0,INDEX(Employees!$O$5:$O$29,$A527)&lt;&gt;"Yes"),0,IF(COUNTIF(Settings!$D$4:$D$9,"&lt;="&amp;$H527)=0,0,INDEX(Settings!$E$4:$E$9,COUNTIF(Settings!$D$4:$D$9,"&lt;="&amp;$H527))))</f>
        <v/>
      </c>
      <c r="K527" s="51">
        <f>IF($G527=0,0,IF(INDEX(Employees!$I$5:$I$29,$A527)="Per pay period",(N(INDEX(Employees!$J$5:$J$29,$A527))+$J527)/Settings!$B$13,IF(INDEX(Employees!$I$5:$I$29,$A527)="Per hour worked",N(INDEX(Employees!$K$5:$K$29,$A527))*$I527,IF(INDEX(Employees!$I$5:$I$29,$A527)="Front-loaded",IF(OR($B527=1,N($G526)=0),N(INDEX(Employees!$J$5:$J$29,$A527))+$J527,0),0))))</f>
        <v/>
      </c>
      <c r="L527" s="51">
        <f>IF($F527=0,0,SUMIFS('Time Off Log'!$H$5:$H$504,'Time Off Log'!$A$5:$A$504,$C527,'Time Off Log'!$B$5:$B$504,"PTO",'Time Off Log'!$E$5:$E$504,"Approved",'Time Off Log'!$C$5:$C$504,"&gt;="&amp;INDEX(Periods!$E$5:$E$57,$B527),'Time Off Log'!$C$5:$C$504,"&lt;="&amp;INDEX(Periods!$F$5:$F$57,$B527)))</f>
        <v/>
      </c>
      <c r="M527" s="51">
        <f>IF($B527=1,N(INDEX(Employees!$N$5:$N$29,$A527)),P526)</f>
        <v/>
      </c>
      <c r="N527" s="51">
        <f>IF(INDEX(Employees!$L$5:$L$29,$A527)="",K527,MAX(0,MIN(K527,INDEX(Employees!$L$5:$L$29,$A527)-(M527-L527))))</f>
        <v/>
      </c>
      <c r="O527" s="51">
        <f>K527-N527</f>
        <v/>
      </c>
      <c r="P527" s="51">
        <f>M527-L527+N527</f>
        <v/>
      </c>
      <c r="Q527" s="51">
        <f>IF($G527=0,0,IF(INDEX(Employees!$P$5:$P$29,$A527)="Per pay period",(N(INDEX(Employees!$Q$5:$Q$29,$A527)))/Settings!$B$13,IF(INDEX(Employees!$P$5:$P$29,$A527)="Per hour worked",N(INDEX(Employees!$R$5:$R$29,$A527))*$I527,IF(INDEX(Employees!$P$5:$P$29,$A527)="Front-loaded",IF(OR($B527=1,N($G526)=0),N(INDEX(Employees!$Q$5:$Q$29,$A527)),0),0))))</f>
        <v/>
      </c>
      <c r="R527" s="51">
        <f>IF($F527=0,0,SUMIFS('Time Off Log'!$H$5:$H$504,'Time Off Log'!$A$5:$A$504,$C527,'Time Off Log'!$B$5:$B$504,"Sick",'Time Off Log'!$E$5:$E$504,"Approved",'Time Off Log'!$C$5:$C$504,"&gt;="&amp;INDEX(Periods!$E$5:$E$57,$B527),'Time Off Log'!$C$5:$C$504,"&lt;="&amp;INDEX(Periods!$F$5:$F$57,$B527)))</f>
        <v/>
      </c>
      <c r="S527" s="51">
        <f>IF($B527=1,N(INDEX(Employees!$T$5:$T$29,$A527)),V526)</f>
        <v/>
      </c>
      <c r="T527" s="51">
        <f>IF(INDEX(Employees!$S$5:$S$29,$A527)="",Q527,MAX(0,MIN(Q527,INDEX(Employees!$S$5:$S$29,$A527)-(S527-R527))))</f>
        <v/>
      </c>
      <c r="U527" s="51">
        <f>Q527-T527</f>
        <v/>
      </c>
      <c r="V527" s="51">
        <f>S527-R527+T527</f>
        <v/>
      </c>
    </row>
    <row r="528">
      <c r="A528" s="50" t="n">
        <v>10</v>
      </c>
      <c r="B528" s="50" t="n">
        <v>47</v>
      </c>
      <c r="C528" s="51">
        <f>INDEX(Employees!$B$5:$B$29,$A528)&amp;""</f>
        <v/>
      </c>
      <c r="D528" s="52">
        <f>INDEX(Periods!$B$5:$B$57,$B528)</f>
        <v/>
      </c>
      <c r="E528" s="52">
        <f>INDEX(Periods!$C$5:$C$57,$B528)</f>
        <v/>
      </c>
      <c r="F528" s="50">
        <f>IF(AND($C528&lt;&gt;"",INDEX(Periods!$D$5:$D$57,$B528)=1),1,0)</f>
        <v/>
      </c>
      <c r="G528" s="50">
        <f>IF($F528=0,0,IF(AND(OR(INDEX(Employees!$D$5:$D$29,$A528)="",$E528&gt;=INDEX(Employees!$D$5:$D$29,$A528)+N(INDEX(Employees!$U$5:$U$29,$A528))),OR(INDEX(Employees!$E$5:$E$29,$A528)="",$D528&lt;=INDEX(Employees!$E$5:$E$29,$A528))),1,0))</f>
        <v/>
      </c>
      <c r="H528" s="50">
        <f>IF($G528=0,0,IF(INDEX(Employees!$D$5:$D$29,$A528)="",0,DATEDIF(INDEX(Employees!$D$5:$D$29,$A528),$E528,"y")))</f>
        <v/>
      </c>
      <c r="I528" s="51">
        <f>IF($G528=0,0,IF(INDEX('Hours Worked'!$D$5:$BD$29,$A528,$B528)="",N(INDEX(Employees!$H$5:$H$29,$A528)),INDEX('Hours Worked'!$D$5:$BD$29,$A528,$B528)))</f>
        <v/>
      </c>
      <c r="J528" s="51">
        <f>IF(OR($G528=0,INDEX(Employees!$O$5:$O$29,$A528)&lt;&gt;"Yes"),0,IF(COUNTIF(Settings!$D$4:$D$9,"&lt;="&amp;$H528)=0,0,INDEX(Settings!$E$4:$E$9,COUNTIF(Settings!$D$4:$D$9,"&lt;="&amp;$H528))))</f>
        <v/>
      </c>
      <c r="K528" s="51">
        <f>IF($G528=0,0,IF(INDEX(Employees!$I$5:$I$29,$A528)="Per pay period",(N(INDEX(Employees!$J$5:$J$29,$A528))+$J528)/Settings!$B$13,IF(INDEX(Employees!$I$5:$I$29,$A528)="Per hour worked",N(INDEX(Employees!$K$5:$K$29,$A528))*$I528,IF(INDEX(Employees!$I$5:$I$29,$A528)="Front-loaded",IF(OR($B528=1,N($G527)=0),N(INDEX(Employees!$J$5:$J$29,$A528))+$J528,0),0))))</f>
        <v/>
      </c>
      <c r="L528" s="51">
        <f>IF($F528=0,0,SUMIFS('Time Off Log'!$H$5:$H$504,'Time Off Log'!$A$5:$A$504,$C528,'Time Off Log'!$B$5:$B$504,"PTO",'Time Off Log'!$E$5:$E$504,"Approved",'Time Off Log'!$C$5:$C$504,"&gt;="&amp;INDEX(Periods!$E$5:$E$57,$B528),'Time Off Log'!$C$5:$C$504,"&lt;="&amp;INDEX(Periods!$F$5:$F$57,$B528)))</f>
        <v/>
      </c>
      <c r="M528" s="51">
        <f>IF($B528=1,N(INDEX(Employees!$N$5:$N$29,$A528)),P527)</f>
        <v/>
      </c>
      <c r="N528" s="51">
        <f>IF(INDEX(Employees!$L$5:$L$29,$A528)="",K528,MAX(0,MIN(K528,INDEX(Employees!$L$5:$L$29,$A528)-(M528-L528))))</f>
        <v/>
      </c>
      <c r="O528" s="51">
        <f>K528-N528</f>
        <v/>
      </c>
      <c r="P528" s="51">
        <f>M528-L528+N528</f>
        <v/>
      </c>
      <c r="Q528" s="51">
        <f>IF($G528=0,0,IF(INDEX(Employees!$P$5:$P$29,$A528)="Per pay period",(N(INDEX(Employees!$Q$5:$Q$29,$A528)))/Settings!$B$13,IF(INDEX(Employees!$P$5:$P$29,$A528)="Per hour worked",N(INDEX(Employees!$R$5:$R$29,$A528))*$I528,IF(INDEX(Employees!$P$5:$P$29,$A528)="Front-loaded",IF(OR($B528=1,N($G527)=0),N(INDEX(Employees!$Q$5:$Q$29,$A528)),0),0))))</f>
        <v/>
      </c>
      <c r="R528" s="51">
        <f>IF($F528=0,0,SUMIFS('Time Off Log'!$H$5:$H$504,'Time Off Log'!$A$5:$A$504,$C528,'Time Off Log'!$B$5:$B$504,"Sick",'Time Off Log'!$E$5:$E$504,"Approved",'Time Off Log'!$C$5:$C$504,"&gt;="&amp;INDEX(Periods!$E$5:$E$57,$B528),'Time Off Log'!$C$5:$C$504,"&lt;="&amp;INDEX(Periods!$F$5:$F$57,$B528)))</f>
        <v/>
      </c>
      <c r="S528" s="51">
        <f>IF($B528=1,N(INDEX(Employees!$T$5:$T$29,$A528)),V527)</f>
        <v/>
      </c>
      <c r="T528" s="51">
        <f>IF(INDEX(Employees!$S$5:$S$29,$A528)="",Q528,MAX(0,MIN(Q528,INDEX(Employees!$S$5:$S$29,$A528)-(S528-R528))))</f>
        <v/>
      </c>
      <c r="U528" s="51">
        <f>Q528-T528</f>
        <v/>
      </c>
      <c r="V528" s="51">
        <f>S528-R528+T528</f>
        <v/>
      </c>
    </row>
    <row r="529">
      <c r="A529" s="50" t="n">
        <v>10</v>
      </c>
      <c r="B529" s="50" t="n">
        <v>48</v>
      </c>
      <c r="C529" s="51">
        <f>INDEX(Employees!$B$5:$B$29,$A529)&amp;""</f>
        <v/>
      </c>
      <c r="D529" s="52">
        <f>INDEX(Periods!$B$5:$B$57,$B529)</f>
        <v/>
      </c>
      <c r="E529" s="52">
        <f>INDEX(Periods!$C$5:$C$57,$B529)</f>
        <v/>
      </c>
      <c r="F529" s="50">
        <f>IF(AND($C529&lt;&gt;"",INDEX(Periods!$D$5:$D$57,$B529)=1),1,0)</f>
        <v/>
      </c>
      <c r="G529" s="50">
        <f>IF($F529=0,0,IF(AND(OR(INDEX(Employees!$D$5:$D$29,$A529)="",$E529&gt;=INDEX(Employees!$D$5:$D$29,$A529)+N(INDEX(Employees!$U$5:$U$29,$A529))),OR(INDEX(Employees!$E$5:$E$29,$A529)="",$D529&lt;=INDEX(Employees!$E$5:$E$29,$A529))),1,0))</f>
        <v/>
      </c>
      <c r="H529" s="50">
        <f>IF($G529=0,0,IF(INDEX(Employees!$D$5:$D$29,$A529)="",0,DATEDIF(INDEX(Employees!$D$5:$D$29,$A529),$E529,"y")))</f>
        <v/>
      </c>
      <c r="I529" s="51">
        <f>IF($G529=0,0,IF(INDEX('Hours Worked'!$D$5:$BD$29,$A529,$B529)="",N(INDEX(Employees!$H$5:$H$29,$A529)),INDEX('Hours Worked'!$D$5:$BD$29,$A529,$B529)))</f>
        <v/>
      </c>
      <c r="J529" s="51">
        <f>IF(OR($G529=0,INDEX(Employees!$O$5:$O$29,$A529)&lt;&gt;"Yes"),0,IF(COUNTIF(Settings!$D$4:$D$9,"&lt;="&amp;$H529)=0,0,INDEX(Settings!$E$4:$E$9,COUNTIF(Settings!$D$4:$D$9,"&lt;="&amp;$H529))))</f>
        <v/>
      </c>
      <c r="K529" s="51">
        <f>IF($G529=0,0,IF(INDEX(Employees!$I$5:$I$29,$A529)="Per pay period",(N(INDEX(Employees!$J$5:$J$29,$A529))+$J529)/Settings!$B$13,IF(INDEX(Employees!$I$5:$I$29,$A529)="Per hour worked",N(INDEX(Employees!$K$5:$K$29,$A529))*$I529,IF(INDEX(Employees!$I$5:$I$29,$A529)="Front-loaded",IF(OR($B529=1,N($G528)=0),N(INDEX(Employees!$J$5:$J$29,$A529))+$J529,0),0))))</f>
        <v/>
      </c>
      <c r="L529" s="51">
        <f>IF($F529=0,0,SUMIFS('Time Off Log'!$H$5:$H$504,'Time Off Log'!$A$5:$A$504,$C529,'Time Off Log'!$B$5:$B$504,"PTO",'Time Off Log'!$E$5:$E$504,"Approved",'Time Off Log'!$C$5:$C$504,"&gt;="&amp;INDEX(Periods!$E$5:$E$57,$B529),'Time Off Log'!$C$5:$C$504,"&lt;="&amp;INDEX(Periods!$F$5:$F$57,$B529)))</f>
        <v/>
      </c>
      <c r="M529" s="51">
        <f>IF($B529=1,N(INDEX(Employees!$N$5:$N$29,$A529)),P528)</f>
        <v/>
      </c>
      <c r="N529" s="51">
        <f>IF(INDEX(Employees!$L$5:$L$29,$A529)="",K529,MAX(0,MIN(K529,INDEX(Employees!$L$5:$L$29,$A529)-(M529-L529))))</f>
        <v/>
      </c>
      <c r="O529" s="51">
        <f>K529-N529</f>
        <v/>
      </c>
      <c r="P529" s="51">
        <f>M529-L529+N529</f>
        <v/>
      </c>
      <c r="Q529" s="51">
        <f>IF($G529=0,0,IF(INDEX(Employees!$P$5:$P$29,$A529)="Per pay period",(N(INDEX(Employees!$Q$5:$Q$29,$A529)))/Settings!$B$13,IF(INDEX(Employees!$P$5:$P$29,$A529)="Per hour worked",N(INDEX(Employees!$R$5:$R$29,$A529))*$I529,IF(INDEX(Employees!$P$5:$P$29,$A529)="Front-loaded",IF(OR($B529=1,N($G528)=0),N(INDEX(Employees!$Q$5:$Q$29,$A529)),0),0))))</f>
        <v/>
      </c>
      <c r="R529" s="51">
        <f>IF($F529=0,0,SUMIFS('Time Off Log'!$H$5:$H$504,'Time Off Log'!$A$5:$A$504,$C529,'Time Off Log'!$B$5:$B$504,"Sick",'Time Off Log'!$E$5:$E$504,"Approved",'Time Off Log'!$C$5:$C$504,"&gt;="&amp;INDEX(Periods!$E$5:$E$57,$B529),'Time Off Log'!$C$5:$C$504,"&lt;="&amp;INDEX(Periods!$F$5:$F$57,$B529)))</f>
        <v/>
      </c>
      <c r="S529" s="51">
        <f>IF($B529=1,N(INDEX(Employees!$T$5:$T$29,$A529)),V528)</f>
        <v/>
      </c>
      <c r="T529" s="51">
        <f>IF(INDEX(Employees!$S$5:$S$29,$A529)="",Q529,MAX(0,MIN(Q529,INDEX(Employees!$S$5:$S$29,$A529)-(S529-R529))))</f>
        <v/>
      </c>
      <c r="U529" s="51">
        <f>Q529-T529</f>
        <v/>
      </c>
      <c r="V529" s="51">
        <f>S529-R529+T529</f>
        <v/>
      </c>
    </row>
    <row r="530">
      <c r="A530" s="50" t="n">
        <v>10</v>
      </c>
      <c r="B530" s="50" t="n">
        <v>49</v>
      </c>
      <c r="C530" s="51">
        <f>INDEX(Employees!$B$5:$B$29,$A530)&amp;""</f>
        <v/>
      </c>
      <c r="D530" s="52">
        <f>INDEX(Periods!$B$5:$B$57,$B530)</f>
        <v/>
      </c>
      <c r="E530" s="52">
        <f>INDEX(Periods!$C$5:$C$57,$B530)</f>
        <v/>
      </c>
      <c r="F530" s="50">
        <f>IF(AND($C530&lt;&gt;"",INDEX(Periods!$D$5:$D$57,$B530)=1),1,0)</f>
        <v/>
      </c>
      <c r="G530" s="50">
        <f>IF($F530=0,0,IF(AND(OR(INDEX(Employees!$D$5:$D$29,$A530)="",$E530&gt;=INDEX(Employees!$D$5:$D$29,$A530)+N(INDEX(Employees!$U$5:$U$29,$A530))),OR(INDEX(Employees!$E$5:$E$29,$A530)="",$D530&lt;=INDEX(Employees!$E$5:$E$29,$A530))),1,0))</f>
        <v/>
      </c>
      <c r="H530" s="50">
        <f>IF($G530=0,0,IF(INDEX(Employees!$D$5:$D$29,$A530)="",0,DATEDIF(INDEX(Employees!$D$5:$D$29,$A530),$E530,"y")))</f>
        <v/>
      </c>
      <c r="I530" s="51">
        <f>IF($G530=0,0,IF(INDEX('Hours Worked'!$D$5:$BD$29,$A530,$B530)="",N(INDEX(Employees!$H$5:$H$29,$A530)),INDEX('Hours Worked'!$D$5:$BD$29,$A530,$B530)))</f>
        <v/>
      </c>
      <c r="J530" s="51">
        <f>IF(OR($G530=0,INDEX(Employees!$O$5:$O$29,$A530)&lt;&gt;"Yes"),0,IF(COUNTIF(Settings!$D$4:$D$9,"&lt;="&amp;$H530)=0,0,INDEX(Settings!$E$4:$E$9,COUNTIF(Settings!$D$4:$D$9,"&lt;="&amp;$H530))))</f>
        <v/>
      </c>
      <c r="K530" s="51">
        <f>IF($G530=0,0,IF(INDEX(Employees!$I$5:$I$29,$A530)="Per pay period",(N(INDEX(Employees!$J$5:$J$29,$A530))+$J530)/Settings!$B$13,IF(INDEX(Employees!$I$5:$I$29,$A530)="Per hour worked",N(INDEX(Employees!$K$5:$K$29,$A530))*$I530,IF(INDEX(Employees!$I$5:$I$29,$A530)="Front-loaded",IF(OR($B530=1,N($G529)=0),N(INDEX(Employees!$J$5:$J$29,$A530))+$J530,0),0))))</f>
        <v/>
      </c>
      <c r="L530" s="51">
        <f>IF($F530=0,0,SUMIFS('Time Off Log'!$H$5:$H$504,'Time Off Log'!$A$5:$A$504,$C530,'Time Off Log'!$B$5:$B$504,"PTO",'Time Off Log'!$E$5:$E$504,"Approved",'Time Off Log'!$C$5:$C$504,"&gt;="&amp;INDEX(Periods!$E$5:$E$57,$B530),'Time Off Log'!$C$5:$C$504,"&lt;="&amp;INDEX(Periods!$F$5:$F$57,$B530)))</f>
        <v/>
      </c>
      <c r="M530" s="51">
        <f>IF($B530=1,N(INDEX(Employees!$N$5:$N$29,$A530)),P529)</f>
        <v/>
      </c>
      <c r="N530" s="51">
        <f>IF(INDEX(Employees!$L$5:$L$29,$A530)="",K530,MAX(0,MIN(K530,INDEX(Employees!$L$5:$L$29,$A530)-(M530-L530))))</f>
        <v/>
      </c>
      <c r="O530" s="51">
        <f>K530-N530</f>
        <v/>
      </c>
      <c r="P530" s="51">
        <f>M530-L530+N530</f>
        <v/>
      </c>
      <c r="Q530" s="51">
        <f>IF($G530=0,0,IF(INDEX(Employees!$P$5:$P$29,$A530)="Per pay period",(N(INDEX(Employees!$Q$5:$Q$29,$A530)))/Settings!$B$13,IF(INDEX(Employees!$P$5:$P$29,$A530)="Per hour worked",N(INDEX(Employees!$R$5:$R$29,$A530))*$I530,IF(INDEX(Employees!$P$5:$P$29,$A530)="Front-loaded",IF(OR($B530=1,N($G529)=0),N(INDEX(Employees!$Q$5:$Q$29,$A530)),0),0))))</f>
        <v/>
      </c>
      <c r="R530" s="51">
        <f>IF($F530=0,0,SUMIFS('Time Off Log'!$H$5:$H$504,'Time Off Log'!$A$5:$A$504,$C530,'Time Off Log'!$B$5:$B$504,"Sick",'Time Off Log'!$E$5:$E$504,"Approved",'Time Off Log'!$C$5:$C$504,"&gt;="&amp;INDEX(Periods!$E$5:$E$57,$B530),'Time Off Log'!$C$5:$C$504,"&lt;="&amp;INDEX(Periods!$F$5:$F$57,$B530)))</f>
        <v/>
      </c>
      <c r="S530" s="51">
        <f>IF($B530=1,N(INDEX(Employees!$T$5:$T$29,$A530)),V529)</f>
        <v/>
      </c>
      <c r="T530" s="51">
        <f>IF(INDEX(Employees!$S$5:$S$29,$A530)="",Q530,MAX(0,MIN(Q530,INDEX(Employees!$S$5:$S$29,$A530)-(S530-R530))))</f>
        <v/>
      </c>
      <c r="U530" s="51">
        <f>Q530-T530</f>
        <v/>
      </c>
      <c r="V530" s="51">
        <f>S530-R530+T530</f>
        <v/>
      </c>
    </row>
    <row r="531">
      <c r="A531" s="50" t="n">
        <v>10</v>
      </c>
      <c r="B531" s="50" t="n">
        <v>50</v>
      </c>
      <c r="C531" s="51">
        <f>INDEX(Employees!$B$5:$B$29,$A531)&amp;""</f>
        <v/>
      </c>
      <c r="D531" s="52">
        <f>INDEX(Periods!$B$5:$B$57,$B531)</f>
        <v/>
      </c>
      <c r="E531" s="52">
        <f>INDEX(Periods!$C$5:$C$57,$B531)</f>
        <v/>
      </c>
      <c r="F531" s="50">
        <f>IF(AND($C531&lt;&gt;"",INDEX(Periods!$D$5:$D$57,$B531)=1),1,0)</f>
        <v/>
      </c>
      <c r="G531" s="50">
        <f>IF($F531=0,0,IF(AND(OR(INDEX(Employees!$D$5:$D$29,$A531)="",$E531&gt;=INDEX(Employees!$D$5:$D$29,$A531)+N(INDEX(Employees!$U$5:$U$29,$A531))),OR(INDEX(Employees!$E$5:$E$29,$A531)="",$D531&lt;=INDEX(Employees!$E$5:$E$29,$A531))),1,0))</f>
        <v/>
      </c>
      <c r="H531" s="50">
        <f>IF($G531=0,0,IF(INDEX(Employees!$D$5:$D$29,$A531)="",0,DATEDIF(INDEX(Employees!$D$5:$D$29,$A531),$E531,"y")))</f>
        <v/>
      </c>
      <c r="I531" s="51">
        <f>IF($G531=0,0,IF(INDEX('Hours Worked'!$D$5:$BD$29,$A531,$B531)="",N(INDEX(Employees!$H$5:$H$29,$A531)),INDEX('Hours Worked'!$D$5:$BD$29,$A531,$B531)))</f>
        <v/>
      </c>
      <c r="J531" s="51">
        <f>IF(OR($G531=0,INDEX(Employees!$O$5:$O$29,$A531)&lt;&gt;"Yes"),0,IF(COUNTIF(Settings!$D$4:$D$9,"&lt;="&amp;$H531)=0,0,INDEX(Settings!$E$4:$E$9,COUNTIF(Settings!$D$4:$D$9,"&lt;="&amp;$H531))))</f>
        <v/>
      </c>
      <c r="K531" s="51">
        <f>IF($G531=0,0,IF(INDEX(Employees!$I$5:$I$29,$A531)="Per pay period",(N(INDEX(Employees!$J$5:$J$29,$A531))+$J531)/Settings!$B$13,IF(INDEX(Employees!$I$5:$I$29,$A531)="Per hour worked",N(INDEX(Employees!$K$5:$K$29,$A531))*$I531,IF(INDEX(Employees!$I$5:$I$29,$A531)="Front-loaded",IF(OR($B531=1,N($G530)=0),N(INDEX(Employees!$J$5:$J$29,$A531))+$J531,0),0))))</f>
        <v/>
      </c>
      <c r="L531" s="51">
        <f>IF($F531=0,0,SUMIFS('Time Off Log'!$H$5:$H$504,'Time Off Log'!$A$5:$A$504,$C531,'Time Off Log'!$B$5:$B$504,"PTO",'Time Off Log'!$E$5:$E$504,"Approved",'Time Off Log'!$C$5:$C$504,"&gt;="&amp;INDEX(Periods!$E$5:$E$57,$B531),'Time Off Log'!$C$5:$C$504,"&lt;="&amp;INDEX(Periods!$F$5:$F$57,$B531)))</f>
        <v/>
      </c>
      <c r="M531" s="51">
        <f>IF($B531=1,N(INDEX(Employees!$N$5:$N$29,$A531)),P530)</f>
        <v/>
      </c>
      <c r="N531" s="51">
        <f>IF(INDEX(Employees!$L$5:$L$29,$A531)="",K531,MAX(0,MIN(K531,INDEX(Employees!$L$5:$L$29,$A531)-(M531-L531))))</f>
        <v/>
      </c>
      <c r="O531" s="51">
        <f>K531-N531</f>
        <v/>
      </c>
      <c r="P531" s="51">
        <f>M531-L531+N531</f>
        <v/>
      </c>
      <c r="Q531" s="51">
        <f>IF($G531=0,0,IF(INDEX(Employees!$P$5:$P$29,$A531)="Per pay period",(N(INDEX(Employees!$Q$5:$Q$29,$A531)))/Settings!$B$13,IF(INDEX(Employees!$P$5:$P$29,$A531)="Per hour worked",N(INDEX(Employees!$R$5:$R$29,$A531))*$I531,IF(INDEX(Employees!$P$5:$P$29,$A531)="Front-loaded",IF(OR($B531=1,N($G530)=0),N(INDEX(Employees!$Q$5:$Q$29,$A531)),0),0))))</f>
        <v/>
      </c>
      <c r="R531" s="51">
        <f>IF($F531=0,0,SUMIFS('Time Off Log'!$H$5:$H$504,'Time Off Log'!$A$5:$A$504,$C531,'Time Off Log'!$B$5:$B$504,"Sick",'Time Off Log'!$E$5:$E$504,"Approved",'Time Off Log'!$C$5:$C$504,"&gt;="&amp;INDEX(Periods!$E$5:$E$57,$B531),'Time Off Log'!$C$5:$C$504,"&lt;="&amp;INDEX(Periods!$F$5:$F$57,$B531)))</f>
        <v/>
      </c>
      <c r="S531" s="51">
        <f>IF($B531=1,N(INDEX(Employees!$T$5:$T$29,$A531)),V530)</f>
        <v/>
      </c>
      <c r="T531" s="51">
        <f>IF(INDEX(Employees!$S$5:$S$29,$A531)="",Q531,MAX(0,MIN(Q531,INDEX(Employees!$S$5:$S$29,$A531)-(S531-R531))))</f>
        <v/>
      </c>
      <c r="U531" s="51">
        <f>Q531-T531</f>
        <v/>
      </c>
      <c r="V531" s="51">
        <f>S531-R531+T531</f>
        <v/>
      </c>
    </row>
    <row r="532">
      <c r="A532" s="50" t="n">
        <v>10</v>
      </c>
      <c r="B532" s="50" t="n">
        <v>51</v>
      </c>
      <c r="C532" s="51">
        <f>INDEX(Employees!$B$5:$B$29,$A532)&amp;""</f>
        <v/>
      </c>
      <c r="D532" s="52">
        <f>INDEX(Periods!$B$5:$B$57,$B532)</f>
        <v/>
      </c>
      <c r="E532" s="52">
        <f>INDEX(Periods!$C$5:$C$57,$B532)</f>
        <v/>
      </c>
      <c r="F532" s="50">
        <f>IF(AND($C532&lt;&gt;"",INDEX(Periods!$D$5:$D$57,$B532)=1),1,0)</f>
        <v/>
      </c>
      <c r="G532" s="50">
        <f>IF($F532=0,0,IF(AND(OR(INDEX(Employees!$D$5:$D$29,$A532)="",$E532&gt;=INDEX(Employees!$D$5:$D$29,$A532)+N(INDEX(Employees!$U$5:$U$29,$A532))),OR(INDEX(Employees!$E$5:$E$29,$A532)="",$D532&lt;=INDEX(Employees!$E$5:$E$29,$A532))),1,0))</f>
        <v/>
      </c>
      <c r="H532" s="50">
        <f>IF($G532=0,0,IF(INDEX(Employees!$D$5:$D$29,$A532)="",0,DATEDIF(INDEX(Employees!$D$5:$D$29,$A532),$E532,"y")))</f>
        <v/>
      </c>
      <c r="I532" s="51">
        <f>IF($G532=0,0,IF(INDEX('Hours Worked'!$D$5:$BD$29,$A532,$B532)="",N(INDEX(Employees!$H$5:$H$29,$A532)),INDEX('Hours Worked'!$D$5:$BD$29,$A532,$B532)))</f>
        <v/>
      </c>
      <c r="J532" s="51">
        <f>IF(OR($G532=0,INDEX(Employees!$O$5:$O$29,$A532)&lt;&gt;"Yes"),0,IF(COUNTIF(Settings!$D$4:$D$9,"&lt;="&amp;$H532)=0,0,INDEX(Settings!$E$4:$E$9,COUNTIF(Settings!$D$4:$D$9,"&lt;="&amp;$H532))))</f>
        <v/>
      </c>
      <c r="K532" s="51">
        <f>IF($G532=0,0,IF(INDEX(Employees!$I$5:$I$29,$A532)="Per pay period",(N(INDEX(Employees!$J$5:$J$29,$A532))+$J532)/Settings!$B$13,IF(INDEX(Employees!$I$5:$I$29,$A532)="Per hour worked",N(INDEX(Employees!$K$5:$K$29,$A532))*$I532,IF(INDEX(Employees!$I$5:$I$29,$A532)="Front-loaded",IF(OR($B532=1,N($G531)=0),N(INDEX(Employees!$J$5:$J$29,$A532))+$J532,0),0))))</f>
        <v/>
      </c>
      <c r="L532" s="51">
        <f>IF($F532=0,0,SUMIFS('Time Off Log'!$H$5:$H$504,'Time Off Log'!$A$5:$A$504,$C532,'Time Off Log'!$B$5:$B$504,"PTO",'Time Off Log'!$E$5:$E$504,"Approved",'Time Off Log'!$C$5:$C$504,"&gt;="&amp;INDEX(Periods!$E$5:$E$57,$B532),'Time Off Log'!$C$5:$C$504,"&lt;="&amp;INDEX(Periods!$F$5:$F$57,$B532)))</f>
        <v/>
      </c>
      <c r="M532" s="51">
        <f>IF($B532=1,N(INDEX(Employees!$N$5:$N$29,$A532)),P531)</f>
        <v/>
      </c>
      <c r="N532" s="51">
        <f>IF(INDEX(Employees!$L$5:$L$29,$A532)="",K532,MAX(0,MIN(K532,INDEX(Employees!$L$5:$L$29,$A532)-(M532-L532))))</f>
        <v/>
      </c>
      <c r="O532" s="51">
        <f>K532-N532</f>
        <v/>
      </c>
      <c r="P532" s="51">
        <f>M532-L532+N532</f>
        <v/>
      </c>
      <c r="Q532" s="51">
        <f>IF($G532=0,0,IF(INDEX(Employees!$P$5:$P$29,$A532)="Per pay period",(N(INDEX(Employees!$Q$5:$Q$29,$A532)))/Settings!$B$13,IF(INDEX(Employees!$P$5:$P$29,$A532)="Per hour worked",N(INDEX(Employees!$R$5:$R$29,$A532))*$I532,IF(INDEX(Employees!$P$5:$P$29,$A532)="Front-loaded",IF(OR($B532=1,N($G531)=0),N(INDEX(Employees!$Q$5:$Q$29,$A532)),0),0))))</f>
        <v/>
      </c>
      <c r="R532" s="51">
        <f>IF($F532=0,0,SUMIFS('Time Off Log'!$H$5:$H$504,'Time Off Log'!$A$5:$A$504,$C532,'Time Off Log'!$B$5:$B$504,"Sick",'Time Off Log'!$E$5:$E$504,"Approved",'Time Off Log'!$C$5:$C$504,"&gt;="&amp;INDEX(Periods!$E$5:$E$57,$B532),'Time Off Log'!$C$5:$C$504,"&lt;="&amp;INDEX(Periods!$F$5:$F$57,$B532)))</f>
        <v/>
      </c>
      <c r="S532" s="51">
        <f>IF($B532=1,N(INDEX(Employees!$T$5:$T$29,$A532)),V531)</f>
        <v/>
      </c>
      <c r="T532" s="51">
        <f>IF(INDEX(Employees!$S$5:$S$29,$A532)="",Q532,MAX(0,MIN(Q532,INDEX(Employees!$S$5:$S$29,$A532)-(S532-R532))))</f>
        <v/>
      </c>
      <c r="U532" s="51">
        <f>Q532-T532</f>
        <v/>
      </c>
      <c r="V532" s="51">
        <f>S532-R532+T532</f>
        <v/>
      </c>
    </row>
    <row r="533">
      <c r="A533" s="50" t="n">
        <v>10</v>
      </c>
      <c r="B533" s="50" t="n">
        <v>52</v>
      </c>
      <c r="C533" s="51">
        <f>INDEX(Employees!$B$5:$B$29,$A533)&amp;""</f>
        <v/>
      </c>
      <c r="D533" s="52">
        <f>INDEX(Periods!$B$5:$B$57,$B533)</f>
        <v/>
      </c>
      <c r="E533" s="52">
        <f>INDEX(Periods!$C$5:$C$57,$B533)</f>
        <v/>
      </c>
      <c r="F533" s="50">
        <f>IF(AND($C533&lt;&gt;"",INDEX(Periods!$D$5:$D$57,$B533)=1),1,0)</f>
        <v/>
      </c>
      <c r="G533" s="50">
        <f>IF($F533=0,0,IF(AND(OR(INDEX(Employees!$D$5:$D$29,$A533)="",$E533&gt;=INDEX(Employees!$D$5:$D$29,$A533)+N(INDEX(Employees!$U$5:$U$29,$A533))),OR(INDEX(Employees!$E$5:$E$29,$A533)="",$D533&lt;=INDEX(Employees!$E$5:$E$29,$A533))),1,0))</f>
        <v/>
      </c>
      <c r="H533" s="50">
        <f>IF($G533=0,0,IF(INDEX(Employees!$D$5:$D$29,$A533)="",0,DATEDIF(INDEX(Employees!$D$5:$D$29,$A533),$E533,"y")))</f>
        <v/>
      </c>
      <c r="I533" s="51">
        <f>IF($G533=0,0,IF(INDEX('Hours Worked'!$D$5:$BD$29,$A533,$B533)="",N(INDEX(Employees!$H$5:$H$29,$A533)),INDEX('Hours Worked'!$D$5:$BD$29,$A533,$B533)))</f>
        <v/>
      </c>
      <c r="J533" s="51">
        <f>IF(OR($G533=0,INDEX(Employees!$O$5:$O$29,$A533)&lt;&gt;"Yes"),0,IF(COUNTIF(Settings!$D$4:$D$9,"&lt;="&amp;$H533)=0,0,INDEX(Settings!$E$4:$E$9,COUNTIF(Settings!$D$4:$D$9,"&lt;="&amp;$H533))))</f>
        <v/>
      </c>
      <c r="K533" s="51">
        <f>IF($G533=0,0,IF(INDEX(Employees!$I$5:$I$29,$A533)="Per pay period",(N(INDEX(Employees!$J$5:$J$29,$A533))+$J533)/Settings!$B$13,IF(INDEX(Employees!$I$5:$I$29,$A533)="Per hour worked",N(INDEX(Employees!$K$5:$K$29,$A533))*$I533,IF(INDEX(Employees!$I$5:$I$29,$A533)="Front-loaded",IF(OR($B533=1,N($G532)=0),N(INDEX(Employees!$J$5:$J$29,$A533))+$J533,0),0))))</f>
        <v/>
      </c>
      <c r="L533" s="51">
        <f>IF($F533=0,0,SUMIFS('Time Off Log'!$H$5:$H$504,'Time Off Log'!$A$5:$A$504,$C533,'Time Off Log'!$B$5:$B$504,"PTO",'Time Off Log'!$E$5:$E$504,"Approved",'Time Off Log'!$C$5:$C$504,"&gt;="&amp;INDEX(Periods!$E$5:$E$57,$B533),'Time Off Log'!$C$5:$C$504,"&lt;="&amp;INDEX(Periods!$F$5:$F$57,$B533)))</f>
        <v/>
      </c>
      <c r="M533" s="51">
        <f>IF($B533=1,N(INDEX(Employees!$N$5:$N$29,$A533)),P532)</f>
        <v/>
      </c>
      <c r="N533" s="51">
        <f>IF(INDEX(Employees!$L$5:$L$29,$A533)="",K533,MAX(0,MIN(K533,INDEX(Employees!$L$5:$L$29,$A533)-(M533-L533))))</f>
        <v/>
      </c>
      <c r="O533" s="51">
        <f>K533-N533</f>
        <v/>
      </c>
      <c r="P533" s="51">
        <f>M533-L533+N533</f>
        <v/>
      </c>
      <c r="Q533" s="51">
        <f>IF($G533=0,0,IF(INDEX(Employees!$P$5:$P$29,$A533)="Per pay period",(N(INDEX(Employees!$Q$5:$Q$29,$A533)))/Settings!$B$13,IF(INDEX(Employees!$P$5:$P$29,$A533)="Per hour worked",N(INDEX(Employees!$R$5:$R$29,$A533))*$I533,IF(INDEX(Employees!$P$5:$P$29,$A533)="Front-loaded",IF(OR($B533=1,N($G532)=0),N(INDEX(Employees!$Q$5:$Q$29,$A533)),0),0))))</f>
        <v/>
      </c>
      <c r="R533" s="51">
        <f>IF($F533=0,0,SUMIFS('Time Off Log'!$H$5:$H$504,'Time Off Log'!$A$5:$A$504,$C533,'Time Off Log'!$B$5:$B$504,"Sick",'Time Off Log'!$E$5:$E$504,"Approved",'Time Off Log'!$C$5:$C$504,"&gt;="&amp;INDEX(Periods!$E$5:$E$57,$B533),'Time Off Log'!$C$5:$C$504,"&lt;="&amp;INDEX(Periods!$F$5:$F$57,$B533)))</f>
        <v/>
      </c>
      <c r="S533" s="51">
        <f>IF($B533=1,N(INDEX(Employees!$T$5:$T$29,$A533)),V532)</f>
        <v/>
      </c>
      <c r="T533" s="51">
        <f>IF(INDEX(Employees!$S$5:$S$29,$A533)="",Q533,MAX(0,MIN(Q533,INDEX(Employees!$S$5:$S$29,$A533)-(S533-R533))))</f>
        <v/>
      </c>
      <c r="U533" s="51">
        <f>Q533-T533</f>
        <v/>
      </c>
      <c r="V533" s="51">
        <f>S533-R533+T533</f>
        <v/>
      </c>
    </row>
    <row r="534">
      <c r="A534" s="50" t="n">
        <v>10</v>
      </c>
      <c r="B534" s="50" t="n">
        <v>53</v>
      </c>
      <c r="C534" s="51">
        <f>INDEX(Employees!$B$5:$B$29,$A534)&amp;""</f>
        <v/>
      </c>
      <c r="D534" s="52">
        <f>INDEX(Periods!$B$5:$B$57,$B534)</f>
        <v/>
      </c>
      <c r="E534" s="52">
        <f>INDEX(Periods!$C$5:$C$57,$B534)</f>
        <v/>
      </c>
      <c r="F534" s="50">
        <f>IF(AND($C534&lt;&gt;"",INDEX(Periods!$D$5:$D$57,$B534)=1),1,0)</f>
        <v/>
      </c>
      <c r="G534" s="50">
        <f>IF($F534=0,0,IF(AND(OR(INDEX(Employees!$D$5:$D$29,$A534)="",$E534&gt;=INDEX(Employees!$D$5:$D$29,$A534)+N(INDEX(Employees!$U$5:$U$29,$A534))),OR(INDEX(Employees!$E$5:$E$29,$A534)="",$D534&lt;=INDEX(Employees!$E$5:$E$29,$A534))),1,0))</f>
        <v/>
      </c>
      <c r="H534" s="50">
        <f>IF($G534=0,0,IF(INDEX(Employees!$D$5:$D$29,$A534)="",0,DATEDIF(INDEX(Employees!$D$5:$D$29,$A534),$E534,"y")))</f>
        <v/>
      </c>
      <c r="I534" s="51">
        <f>IF($G534=0,0,IF(INDEX('Hours Worked'!$D$5:$BD$29,$A534,$B534)="",N(INDEX(Employees!$H$5:$H$29,$A534)),INDEX('Hours Worked'!$D$5:$BD$29,$A534,$B534)))</f>
        <v/>
      </c>
      <c r="J534" s="51">
        <f>IF(OR($G534=0,INDEX(Employees!$O$5:$O$29,$A534)&lt;&gt;"Yes"),0,IF(COUNTIF(Settings!$D$4:$D$9,"&lt;="&amp;$H534)=0,0,INDEX(Settings!$E$4:$E$9,COUNTIF(Settings!$D$4:$D$9,"&lt;="&amp;$H534))))</f>
        <v/>
      </c>
      <c r="K534" s="51">
        <f>IF($G534=0,0,IF(INDEX(Employees!$I$5:$I$29,$A534)="Per pay period",(N(INDEX(Employees!$J$5:$J$29,$A534))+$J534)/Settings!$B$13,IF(INDEX(Employees!$I$5:$I$29,$A534)="Per hour worked",N(INDEX(Employees!$K$5:$K$29,$A534))*$I534,IF(INDEX(Employees!$I$5:$I$29,$A534)="Front-loaded",IF(OR($B534=1,N($G533)=0),N(INDEX(Employees!$J$5:$J$29,$A534))+$J534,0),0))))</f>
        <v/>
      </c>
      <c r="L534" s="51">
        <f>IF($F534=0,0,SUMIFS('Time Off Log'!$H$5:$H$504,'Time Off Log'!$A$5:$A$504,$C534,'Time Off Log'!$B$5:$B$504,"PTO",'Time Off Log'!$E$5:$E$504,"Approved",'Time Off Log'!$C$5:$C$504,"&gt;="&amp;INDEX(Periods!$E$5:$E$57,$B534),'Time Off Log'!$C$5:$C$504,"&lt;="&amp;INDEX(Periods!$F$5:$F$57,$B534)))</f>
        <v/>
      </c>
      <c r="M534" s="51">
        <f>IF($B534=1,N(INDEX(Employees!$N$5:$N$29,$A534)),P533)</f>
        <v/>
      </c>
      <c r="N534" s="51">
        <f>IF(INDEX(Employees!$L$5:$L$29,$A534)="",K534,MAX(0,MIN(K534,INDEX(Employees!$L$5:$L$29,$A534)-(M534-L534))))</f>
        <v/>
      </c>
      <c r="O534" s="51">
        <f>K534-N534</f>
        <v/>
      </c>
      <c r="P534" s="51">
        <f>M534-L534+N534</f>
        <v/>
      </c>
      <c r="Q534" s="51">
        <f>IF($G534=0,0,IF(INDEX(Employees!$P$5:$P$29,$A534)="Per pay period",(N(INDEX(Employees!$Q$5:$Q$29,$A534)))/Settings!$B$13,IF(INDEX(Employees!$P$5:$P$29,$A534)="Per hour worked",N(INDEX(Employees!$R$5:$R$29,$A534))*$I534,IF(INDEX(Employees!$P$5:$P$29,$A534)="Front-loaded",IF(OR($B534=1,N($G533)=0),N(INDEX(Employees!$Q$5:$Q$29,$A534)),0),0))))</f>
        <v/>
      </c>
      <c r="R534" s="51">
        <f>IF($F534=0,0,SUMIFS('Time Off Log'!$H$5:$H$504,'Time Off Log'!$A$5:$A$504,$C534,'Time Off Log'!$B$5:$B$504,"Sick",'Time Off Log'!$E$5:$E$504,"Approved",'Time Off Log'!$C$5:$C$504,"&gt;="&amp;INDEX(Periods!$E$5:$E$57,$B534),'Time Off Log'!$C$5:$C$504,"&lt;="&amp;INDEX(Periods!$F$5:$F$57,$B534)))</f>
        <v/>
      </c>
      <c r="S534" s="51">
        <f>IF($B534=1,N(INDEX(Employees!$T$5:$T$29,$A534)),V533)</f>
        <v/>
      </c>
      <c r="T534" s="51">
        <f>IF(INDEX(Employees!$S$5:$S$29,$A534)="",Q534,MAX(0,MIN(Q534,INDEX(Employees!$S$5:$S$29,$A534)-(S534-R534))))</f>
        <v/>
      </c>
      <c r="U534" s="51">
        <f>Q534-T534</f>
        <v/>
      </c>
      <c r="V534" s="51">
        <f>S534-R534+T534</f>
        <v/>
      </c>
    </row>
    <row r="535">
      <c r="A535" s="47" t="n">
        <v>11</v>
      </c>
      <c r="B535" s="47" t="n">
        <v>1</v>
      </c>
      <c r="C535" s="48">
        <f>INDEX(Employees!$B$5:$B$29,$A535)&amp;""</f>
        <v/>
      </c>
      <c r="D535" s="49">
        <f>INDEX(Periods!$B$5:$B$57,$B535)</f>
        <v/>
      </c>
      <c r="E535" s="49">
        <f>INDEX(Periods!$C$5:$C$57,$B535)</f>
        <v/>
      </c>
      <c r="F535" s="47">
        <f>IF(AND($C535&lt;&gt;"",INDEX(Periods!$D$5:$D$57,$B535)=1),1,0)</f>
        <v/>
      </c>
      <c r="G535" s="47">
        <f>IF($F535=0,0,IF(AND(OR(INDEX(Employees!$D$5:$D$29,$A535)="",$E535&gt;=INDEX(Employees!$D$5:$D$29,$A535)+N(INDEX(Employees!$U$5:$U$29,$A535))),OR(INDEX(Employees!$E$5:$E$29,$A535)="",$D535&lt;=INDEX(Employees!$E$5:$E$29,$A535))),1,0))</f>
        <v/>
      </c>
      <c r="H535" s="47">
        <f>IF($G535=0,0,IF(INDEX(Employees!$D$5:$D$29,$A535)="",0,DATEDIF(INDEX(Employees!$D$5:$D$29,$A535),$E535,"y")))</f>
        <v/>
      </c>
      <c r="I535" s="48">
        <f>IF($G535=0,0,IF(INDEX('Hours Worked'!$D$5:$BD$29,$A535,$B535)="",N(INDEX(Employees!$H$5:$H$29,$A535)),INDEX('Hours Worked'!$D$5:$BD$29,$A535,$B535)))</f>
        <v/>
      </c>
      <c r="J535" s="48">
        <f>IF(OR($G535=0,INDEX(Employees!$O$5:$O$29,$A535)&lt;&gt;"Yes"),0,IF(COUNTIF(Settings!$D$4:$D$9,"&lt;="&amp;$H535)=0,0,INDEX(Settings!$E$4:$E$9,COUNTIF(Settings!$D$4:$D$9,"&lt;="&amp;$H535))))</f>
        <v/>
      </c>
      <c r="K535" s="48">
        <f>IF($G535=0,0,IF(INDEX(Employees!$I$5:$I$29,$A535)="Per pay period",(N(INDEX(Employees!$J$5:$J$29,$A535))+$J535)/Settings!$B$13,IF(INDEX(Employees!$I$5:$I$29,$A535)="Per hour worked",N(INDEX(Employees!$K$5:$K$29,$A535))*$I535,IF(INDEX(Employees!$I$5:$I$29,$A535)="Front-loaded",IF(OR($B535=1,N($G534)=0),N(INDEX(Employees!$J$5:$J$29,$A535))+$J535,0),0))))</f>
        <v/>
      </c>
      <c r="L535" s="48">
        <f>IF($F535=0,0,SUMIFS('Time Off Log'!$H$5:$H$504,'Time Off Log'!$A$5:$A$504,$C535,'Time Off Log'!$B$5:$B$504,"PTO",'Time Off Log'!$E$5:$E$504,"Approved",'Time Off Log'!$C$5:$C$504,"&gt;="&amp;INDEX(Periods!$E$5:$E$57,$B535),'Time Off Log'!$C$5:$C$504,"&lt;="&amp;INDEX(Periods!$F$5:$F$57,$B535)))</f>
        <v/>
      </c>
      <c r="M535" s="48">
        <f>N(INDEX(Employees!$N$5:$N$29,$A535))</f>
        <v/>
      </c>
      <c r="N535" s="48">
        <f>IF(INDEX(Employees!$L$5:$L$29,$A535)="",K535,MAX(0,MIN(K535,INDEX(Employees!$L$5:$L$29,$A535)-(M535-L535))))</f>
        <v/>
      </c>
      <c r="O535" s="48">
        <f>K535-N535</f>
        <v/>
      </c>
      <c r="P535" s="48">
        <f>M535-L535+N535</f>
        <v/>
      </c>
      <c r="Q535" s="48">
        <f>IF($G535=0,0,IF(INDEX(Employees!$P$5:$P$29,$A535)="Per pay period",(N(INDEX(Employees!$Q$5:$Q$29,$A535)))/Settings!$B$13,IF(INDEX(Employees!$P$5:$P$29,$A535)="Per hour worked",N(INDEX(Employees!$R$5:$R$29,$A535))*$I535,IF(INDEX(Employees!$P$5:$P$29,$A535)="Front-loaded",IF(OR($B535=1,N($G534)=0),N(INDEX(Employees!$Q$5:$Q$29,$A535)),0),0))))</f>
        <v/>
      </c>
      <c r="R535" s="48">
        <f>IF($F535=0,0,SUMIFS('Time Off Log'!$H$5:$H$504,'Time Off Log'!$A$5:$A$504,$C535,'Time Off Log'!$B$5:$B$504,"Sick",'Time Off Log'!$E$5:$E$504,"Approved",'Time Off Log'!$C$5:$C$504,"&gt;="&amp;INDEX(Periods!$E$5:$E$57,$B535),'Time Off Log'!$C$5:$C$504,"&lt;="&amp;INDEX(Periods!$F$5:$F$57,$B535)))</f>
        <v/>
      </c>
      <c r="S535" s="48">
        <f>N(INDEX(Employees!$T$5:$T$29,$A535))</f>
        <v/>
      </c>
      <c r="T535" s="48">
        <f>IF(INDEX(Employees!$S$5:$S$29,$A535)="",Q535,MAX(0,MIN(Q535,INDEX(Employees!$S$5:$S$29,$A535)-(S535-R535))))</f>
        <v/>
      </c>
      <c r="U535" s="48">
        <f>Q535-T535</f>
        <v/>
      </c>
      <c r="V535" s="48">
        <f>S535-R535+T535</f>
        <v/>
      </c>
    </row>
    <row r="536">
      <c r="A536" s="47" t="n">
        <v>11</v>
      </c>
      <c r="B536" s="47" t="n">
        <v>2</v>
      </c>
      <c r="C536" s="48">
        <f>INDEX(Employees!$B$5:$B$29,$A536)&amp;""</f>
        <v/>
      </c>
      <c r="D536" s="49">
        <f>INDEX(Periods!$B$5:$B$57,$B536)</f>
        <v/>
      </c>
      <c r="E536" s="49">
        <f>INDEX(Periods!$C$5:$C$57,$B536)</f>
        <v/>
      </c>
      <c r="F536" s="47">
        <f>IF(AND($C536&lt;&gt;"",INDEX(Periods!$D$5:$D$57,$B536)=1),1,0)</f>
        <v/>
      </c>
      <c r="G536" s="47">
        <f>IF($F536=0,0,IF(AND(OR(INDEX(Employees!$D$5:$D$29,$A536)="",$E536&gt;=INDEX(Employees!$D$5:$D$29,$A536)+N(INDEX(Employees!$U$5:$U$29,$A536))),OR(INDEX(Employees!$E$5:$E$29,$A536)="",$D536&lt;=INDEX(Employees!$E$5:$E$29,$A536))),1,0))</f>
        <v/>
      </c>
      <c r="H536" s="47">
        <f>IF($G536=0,0,IF(INDEX(Employees!$D$5:$D$29,$A536)="",0,DATEDIF(INDEX(Employees!$D$5:$D$29,$A536),$E536,"y")))</f>
        <v/>
      </c>
      <c r="I536" s="48">
        <f>IF($G536=0,0,IF(INDEX('Hours Worked'!$D$5:$BD$29,$A536,$B536)="",N(INDEX(Employees!$H$5:$H$29,$A536)),INDEX('Hours Worked'!$D$5:$BD$29,$A536,$B536)))</f>
        <v/>
      </c>
      <c r="J536" s="48">
        <f>IF(OR($G536=0,INDEX(Employees!$O$5:$O$29,$A536)&lt;&gt;"Yes"),0,IF(COUNTIF(Settings!$D$4:$D$9,"&lt;="&amp;$H536)=0,0,INDEX(Settings!$E$4:$E$9,COUNTIF(Settings!$D$4:$D$9,"&lt;="&amp;$H536))))</f>
        <v/>
      </c>
      <c r="K536" s="48">
        <f>IF($G536=0,0,IF(INDEX(Employees!$I$5:$I$29,$A536)="Per pay period",(N(INDEX(Employees!$J$5:$J$29,$A536))+$J536)/Settings!$B$13,IF(INDEX(Employees!$I$5:$I$29,$A536)="Per hour worked",N(INDEX(Employees!$K$5:$K$29,$A536))*$I536,IF(INDEX(Employees!$I$5:$I$29,$A536)="Front-loaded",IF(OR($B536=1,N($G535)=0),N(INDEX(Employees!$J$5:$J$29,$A536))+$J536,0),0))))</f>
        <v/>
      </c>
      <c r="L536" s="48">
        <f>IF($F536=0,0,SUMIFS('Time Off Log'!$H$5:$H$504,'Time Off Log'!$A$5:$A$504,$C536,'Time Off Log'!$B$5:$B$504,"PTO",'Time Off Log'!$E$5:$E$504,"Approved",'Time Off Log'!$C$5:$C$504,"&gt;="&amp;INDEX(Periods!$E$5:$E$57,$B536),'Time Off Log'!$C$5:$C$504,"&lt;="&amp;INDEX(Periods!$F$5:$F$57,$B536)))</f>
        <v/>
      </c>
      <c r="M536" s="48">
        <f>IF($B536=1,N(INDEX(Employees!$N$5:$N$29,$A536)),P535)</f>
        <v/>
      </c>
      <c r="N536" s="48">
        <f>IF(INDEX(Employees!$L$5:$L$29,$A536)="",K536,MAX(0,MIN(K536,INDEX(Employees!$L$5:$L$29,$A536)-(M536-L536))))</f>
        <v/>
      </c>
      <c r="O536" s="48">
        <f>K536-N536</f>
        <v/>
      </c>
      <c r="P536" s="48">
        <f>M536-L536+N536</f>
        <v/>
      </c>
      <c r="Q536" s="48">
        <f>IF($G536=0,0,IF(INDEX(Employees!$P$5:$P$29,$A536)="Per pay period",(N(INDEX(Employees!$Q$5:$Q$29,$A536)))/Settings!$B$13,IF(INDEX(Employees!$P$5:$P$29,$A536)="Per hour worked",N(INDEX(Employees!$R$5:$R$29,$A536))*$I536,IF(INDEX(Employees!$P$5:$P$29,$A536)="Front-loaded",IF(OR($B536=1,N($G535)=0),N(INDEX(Employees!$Q$5:$Q$29,$A536)),0),0))))</f>
        <v/>
      </c>
      <c r="R536" s="48">
        <f>IF($F536=0,0,SUMIFS('Time Off Log'!$H$5:$H$504,'Time Off Log'!$A$5:$A$504,$C536,'Time Off Log'!$B$5:$B$504,"Sick",'Time Off Log'!$E$5:$E$504,"Approved",'Time Off Log'!$C$5:$C$504,"&gt;="&amp;INDEX(Periods!$E$5:$E$57,$B536),'Time Off Log'!$C$5:$C$504,"&lt;="&amp;INDEX(Periods!$F$5:$F$57,$B536)))</f>
        <v/>
      </c>
      <c r="S536" s="48">
        <f>IF($B536=1,N(INDEX(Employees!$T$5:$T$29,$A536)),V535)</f>
        <v/>
      </c>
      <c r="T536" s="48">
        <f>IF(INDEX(Employees!$S$5:$S$29,$A536)="",Q536,MAX(0,MIN(Q536,INDEX(Employees!$S$5:$S$29,$A536)-(S536-R536))))</f>
        <v/>
      </c>
      <c r="U536" s="48">
        <f>Q536-T536</f>
        <v/>
      </c>
      <c r="V536" s="48">
        <f>S536-R536+T536</f>
        <v/>
      </c>
    </row>
    <row r="537">
      <c r="A537" s="47" t="n">
        <v>11</v>
      </c>
      <c r="B537" s="47" t="n">
        <v>3</v>
      </c>
      <c r="C537" s="48">
        <f>INDEX(Employees!$B$5:$B$29,$A537)&amp;""</f>
        <v/>
      </c>
      <c r="D537" s="49">
        <f>INDEX(Periods!$B$5:$B$57,$B537)</f>
        <v/>
      </c>
      <c r="E537" s="49">
        <f>INDEX(Periods!$C$5:$C$57,$B537)</f>
        <v/>
      </c>
      <c r="F537" s="47">
        <f>IF(AND($C537&lt;&gt;"",INDEX(Periods!$D$5:$D$57,$B537)=1),1,0)</f>
        <v/>
      </c>
      <c r="G537" s="47">
        <f>IF($F537=0,0,IF(AND(OR(INDEX(Employees!$D$5:$D$29,$A537)="",$E537&gt;=INDEX(Employees!$D$5:$D$29,$A537)+N(INDEX(Employees!$U$5:$U$29,$A537))),OR(INDEX(Employees!$E$5:$E$29,$A537)="",$D537&lt;=INDEX(Employees!$E$5:$E$29,$A537))),1,0))</f>
        <v/>
      </c>
      <c r="H537" s="47">
        <f>IF($G537=0,0,IF(INDEX(Employees!$D$5:$D$29,$A537)="",0,DATEDIF(INDEX(Employees!$D$5:$D$29,$A537),$E537,"y")))</f>
        <v/>
      </c>
      <c r="I537" s="48">
        <f>IF($G537=0,0,IF(INDEX('Hours Worked'!$D$5:$BD$29,$A537,$B537)="",N(INDEX(Employees!$H$5:$H$29,$A537)),INDEX('Hours Worked'!$D$5:$BD$29,$A537,$B537)))</f>
        <v/>
      </c>
      <c r="J537" s="48">
        <f>IF(OR($G537=0,INDEX(Employees!$O$5:$O$29,$A537)&lt;&gt;"Yes"),0,IF(COUNTIF(Settings!$D$4:$D$9,"&lt;="&amp;$H537)=0,0,INDEX(Settings!$E$4:$E$9,COUNTIF(Settings!$D$4:$D$9,"&lt;="&amp;$H537))))</f>
        <v/>
      </c>
      <c r="K537" s="48">
        <f>IF($G537=0,0,IF(INDEX(Employees!$I$5:$I$29,$A537)="Per pay period",(N(INDEX(Employees!$J$5:$J$29,$A537))+$J537)/Settings!$B$13,IF(INDEX(Employees!$I$5:$I$29,$A537)="Per hour worked",N(INDEX(Employees!$K$5:$K$29,$A537))*$I537,IF(INDEX(Employees!$I$5:$I$29,$A537)="Front-loaded",IF(OR($B537=1,N($G536)=0),N(INDEX(Employees!$J$5:$J$29,$A537))+$J537,0),0))))</f>
        <v/>
      </c>
      <c r="L537" s="48">
        <f>IF($F537=0,0,SUMIFS('Time Off Log'!$H$5:$H$504,'Time Off Log'!$A$5:$A$504,$C537,'Time Off Log'!$B$5:$B$504,"PTO",'Time Off Log'!$E$5:$E$504,"Approved",'Time Off Log'!$C$5:$C$504,"&gt;="&amp;INDEX(Periods!$E$5:$E$57,$B537),'Time Off Log'!$C$5:$C$504,"&lt;="&amp;INDEX(Periods!$F$5:$F$57,$B537)))</f>
        <v/>
      </c>
      <c r="M537" s="48">
        <f>IF($B537=1,N(INDEX(Employees!$N$5:$N$29,$A537)),P536)</f>
        <v/>
      </c>
      <c r="N537" s="48">
        <f>IF(INDEX(Employees!$L$5:$L$29,$A537)="",K537,MAX(0,MIN(K537,INDEX(Employees!$L$5:$L$29,$A537)-(M537-L537))))</f>
        <v/>
      </c>
      <c r="O537" s="48">
        <f>K537-N537</f>
        <v/>
      </c>
      <c r="P537" s="48">
        <f>M537-L537+N537</f>
        <v/>
      </c>
      <c r="Q537" s="48">
        <f>IF($G537=0,0,IF(INDEX(Employees!$P$5:$P$29,$A537)="Per pay period",(N(INDEX(Employees!$Q$5:$Q$29,$A537)))/Settings!$B$13,IF(INDEX(Employees!$P$5:$P$29,$A537)="Per hour worked",N(INDEX(Employees!$R$5:$R$29,$A537))*$I537,IF(INDEX(Employees!$P$5:$P$29,$A537)="Front-loaded",IF(OR($B537=1,N($G536)=0),N(INDEX(Employees!$Q$5:$Q$29,$A537)),0),0))))</f>
        <v/>
      </c>
      <c r="R537" s="48">
        <f>IF($F537=0,0,SUMIFS('Time Off Log'!$H$5:$H$504,'Time Off Log'!$A$5:$A$504,$C537,'Time Off Log'!$B$5:$B$504,"Sick",'Time Off Log'!$E$5:$E$504,"Approved",'Time Off Log'!$C$5:$C$504,"&gt;="&amp;INDEX(Periods!$E$5:$E$57,$B537),'Time Off Log'!$C$5:$C$504,"&lt;="&amp;INDEX(Periods!$F$5:$F$57,$B537)))</f>
        <v/>
      </c>
      <c r="S537" s="48">
        <f>IF($B537=1,N(INDEX(Employees!$T$5:$T$29,$A537)),V536)</f>
        <v/>
      </c>
      <c r="T537" s="48">
        <f>IF(INDEX(Employees!$S$5:$S$29,$A537)="",Q537,MAX(0,MIN(Q537,INDEX(Employees!$S$5:$S$29,$A537)-(S537-R537))))</f>
        <v/>
      </c>
      <c r="U537" s="48">
        <f>Q537-T537</f>
        <v/>
      </c>
      <c r="V537" s="48">
        <f>S537-R537+T537</f>
        <v/>
      </c>
    </row>
    <row r="538">
      <c r="A538" s="47" t="n">
        <v>11</v>
      </c>
      <c r="B538" s="47" t="n">
        <v>4</v>
      </c>
      <c r="C538" s="48">
        <f>INDEX(Employees!$B$5:$B$29,$A538)&amp;""</f>
        <v/>
      </c>
      <c r="D538" s="49">
        <f>INDEX(Periods!$B$5:$B$57,$B538)</f>
        <v/>
      </c>
      <c r="E538" s="49">
        <f>INDEX(Periods!$C$5:$C$57,$B538)</f>
        <v/>
      </c>
      <c r="F538" s="47">
        <f>IF(AND($C538&lt;&gt;"",INDEX(Periods!$D$5:$D$57,$B538)=1),1,0)</f>
        <v/>
      </c>
      <c r="G538" s="47">
        <f>IF($F538=0,0,IF(AND(OR(INDEX(Employees!$D$5:$D$29,$A538)="",$E538&gt;=INDEX(Employees!$D$5:$D$29,$A538)+N(INDEX(Employees!$U$5:$U$29,$A538))),OR(INDEX(Employees!$E$5:$E$29,$A538)="",$D538&lt;=INDEX(Employees!$E$5:$E$29,$A538))),1,0))</f>
        <v/>
      </c>
      <c r="H538" s="47">
        <f>IF($G538=0,0,IF(INDEX(Employees!$D$5:$D$29,$A538)="",0,DATEDIF(INDEX(Employees!$D$5:$D$29,$A538),$E538,"y")))</f>
        <v/>
      </c>
      <c r="I538" s="48">
        <f>IF($G538=0,0,IF(INDEX('Hours Worked'!$D$5:$BD$29,$A538,$B538)="",N(INDEX(Employees!$H$5:$H$29,$A538)),INDEX('Hours Worked'!$D$5:$BD$29,$A538,$B538)))</f>
        <v/>
      </c>
      <c r="J538" s="48">
        <f>IF(OR($G538=0,INDEX(Employees!$O$5:$O$29,$A538)&lt;&gt;"Yes"),0,IF(COUNTIF(Settings!$D$4:$D$9,"&lt;="&amp;$H538)=0,0,INDEX(Settings!$E$4:$E$9,COUNTIF(Settings!$D$4:$D$9,"&lt;="&amp;$H538))))</f>
        <v/>
      </c>
      <c r="K538" s="48">
        <f>IF($G538=0,0,IF(INDEX(Employees!$I$5:$I$29,$A538)="Per pay period",(N(INDEX(Employees!$J$5:$J$29,$A538))+$J538)/Settings!$B$13,IF(INDEX(Employees!$I$5:$I$29,$A538)="Per hour worked",N(INDEX(Employees!$K$5:$K$29,$A538))*$I538,IF(INDEX(Employees!$I$5:$I$29,$A538)="Front-loaded",IF(OR($B538=1,N($G537)=0),N(INDEX(Employees!$J$5:$J$29,$A538))+$J538,0),0))))</f>
        <v/>
      </c>
      <c r="L538" s="48">
        <f>IF($F538=0,0,SUMIFS('Time Off Log'!$H$5:$H$504,'Time Off Log'!$A$5:$A$504,$C538,'Time Off Log'!$B$5:$B$504,"PTO",'Time Off Log'!$E$5:$E$504,"Approved",'Time Off Log'!$C$5:$C$504,"&gt;="&amp;INDEX(Periods!$E$5:$E$57,$B538),'Time Off Log'!$C$5:$C$504,"&lt;="&amp;INDEX(Periods!$F$5:$F$57,$B538)))</f>
        <v/>
      </c>
      <c r="M538" s="48">
        <f>IF($B538=1,N(INDEX(Employees!$N$5:$N$29,$A538)),P537)</f>
        <v/>
      </c>
      <c r="N538" s="48">
        <f>IF(INDEX(Employees!$L$5:$L$29,$A538)="",K538,MAX(0,MIN(K538,INDEX(Employees!$L$5:$L$29,$A538)-(M538-L538))))</f>
        <v/>
      </c>
      <c r="O538" s="48">
        <f>K538-N538</f>
        <v/>
      </c>
      <c r="P538" s="48">
        <f>M538-L538+N538</f>
        <v/>
      </c>
      <c r="Q538" s="48">
        <f>IF($G538=0,0,IF(INDEX(Employees!$P$5:$P$29,$A538)="Per pay period",(N(INDEX(Employees!$Q$5:$Q$29,$A538)))/Settings!$B$13,IF(INDEX(Employees!$P$5:$P$29,$A538)="Per hour worked",N(INDEX(Employees!$R$5:$R$29,$A538))*$I538,IF(INDEX(Employees!$P$5:$P$29,$A538)="Front-loaded",IF(OR($B538=1,N($G537)=0),N(INDEX(Employees!$Q$5:$Q$29,$A538)),0),0))))</f>
        <v/>
      </c>
      <c r="R538" s="48">
        <f>IF($F538=0,0,SUMIFS('Time Off Log'!$H$5:$H$504,'Time Off Log'!$A$5:$A$504,$C538,'Time Off Log'!$B$5:$B$504,"Sick",'Time Off Log'!$E$5:$E$504,"Approved",'Time Off Log'!$C$5:$C$504,"&gt;="&amp;INDEX(Periods!$E$5:$E$57,$B538),'Time Off Log'!$C$5:$C$504,"&lt;="&amp;INDEX(Periods!$F$5:$F$57,$B538)))</f>
        <v/>
      </c>
      <c r="S538" s="48">
        <f>IF($B538=1,N(INDEX(Employees!$T$5:$T$29,$A538)),V537)</f>
        <v/>
      </c>
      <c r="T538" s="48">
        <f>IF(INDEX(Employees!$S$5:$S$29,$A538)="",Q538,MAX(0,MIN(Q538,INDEX(Employees!$S$5:$S$29,$A538)-(S538-R538))))</f>
        <v/>
      </c>
      <c r="U538" s="48">
        <f>Q538-T538</f>
        <v/>
      </c>
      <c r="V538" s="48">
        <f>S538-R538+T538</f>
        <v/>
      </c>
    </row>
    <row r="539">
      <c r="A539" s="47" t="n">
        <v>11</v>
      </c>
      <c r="B539" s="47" t="n">
        <v>5</v>
      </c>
      <c r="C539" s="48">
        <f>INDEX(Employees!$B$5:$B$29,$A539)&amp;""</f>
        <v/>
      </c>
      <c r="D539" s="49">
        <f>INDEX(Periods!$B$5:$B$57,$B539)</f>
        <v/>
      </c>
      <c r="E539" s="49">
        <f>INDEX(Periods!$C$5:$C$57,$B539)</f>
        <v/>
      </c>
      <c r="F539" s="47">
        <f>IF(AND($C539&lt;&gt;"",INDEX(Periods!$D$5:$D$57,$B539)=1),1,0)</f>
        <v/>
      </c>
      <c r="G539" s="47">
        <f>IF($F539=0,0,IF(AND(OR(INDEX(Employees!$D$5:$D$29,$A539)="",$E539&gt;=INDEX(Employees!$D$5:$D$29,$A539)+N(INDEX(Employees!$U$5:$U$29,$A539))),OR(INDEX(Employees!$E$5:$E$29,$A539)="",$D539&lt;=INDEX(Employees!$E$5:$E$29,$A539))),1,0))</f>
        <v/>
      </c>
      <c r="H539" s="47">
        <f>IF($G539=0,0,IF(INDEX(Employees!$D$5:$D$29,$A539)="",0,DATEDIF(INDEX(Employees!$D$5:$D$29,$A539),$E539,"y")))</f>
        <v/>
      </c>
      <c r="I539" s="48">
        <f>IF($G539=0,0,IF(INDEX('Hours Worked'!$D$5:$BD$29,$A539,$B539)="",N(INDEX(Employees!$H$5:$H$29,$A539)),INDEX('Hours Worked'!$D$5:$BD$29,$A539,$B539)))</f>
        <v/>
      </c>
      <c r="J539" s="48">
        <f>IF(OR($G539=0,INDEX(Employees!$O$5:$O$29,$A539)&lt;&gt;"Yes"),0,IF(COUNTIF(Settings!$D$4:$D$9,"&lt;="&amp;$H539)=0,0,INDEX(Settings!$E$4:$E$9,COUNTIF(Settings!$D$4:$D$9,"&lt;="&amp;$H539))))</f>
        <v/>
      </c>
      <c r="K539" s="48">
        <f>IF($G539=0,0,IF(INDEX(Employees!$I$5:$I$29,$A539)="Per pay period",(N(INDEX(Employees!$J$5:$J$29,$A539))+$J539)/Settings!$B$13,IF(INDEX(Employees!$I$5:$I$29,$A539)="Per hour worked",N(INDEX(Employees!$K$5:$K$29,$A539))*$I539,IF(INDEX(Employees!$I$5:$I$29,$A539)="Front-loaded",IF(OR($B539=1,N($G538)=0),N(INDEX(Employees!$J$5:$J$29,$A539))+$J539,0),0))))</f>
        <v/>
      </c>
      <c r="L539" s="48">
        <f>IF($F539=0,0,SUMIFS('Time Off Log'!$H$5:$H$504,'Time Off Log'!$A$5:$A$504,$C539,'Time Off Log'!$B$5:$B$504,"PTO",'Time Off Log'!$E$5:$E$504,"Approved",'Time Off Log'!$C$5:$C$504,"&gt;="&amp;INDEX(Periods!$E$5:$E$57,$B539),'Time Off Log'!$C$5:$C$504,"&lt;="&amp;INDEX(Periods!$F$5:$F$57,$B539)))</f>
        <v/>
      </c>
      <c r="M539" s="48">
        <f>IF($B539=1,N(INDEX(Employees!$N$5:$N$29,$A539)),P538)</f>
        <v/>
      </c>
      <c r="N539" s="48">
        <f>IF(INDEX(Employees!$L$5:$L$29,$A539)="",K539,MAX(0,MIN(K539,INDEX(Employees!$L$5:$L$29,$A539)-(M539-L539))))</f>
        <v/>
      </c>
      <c r="O539" s="48">
        <f>K539-N539</f>
        <v/>
      </c>
      <c r="P539" s="48">
        <f>M539-L539+N539</f>
        <v/>
      </c>
      <c r="Q539" s="48">
        <f>IF($G539=0,0,IF(INDEX(Employees!$P$5:$P$29,$A539)="Per pay period",(N(INDEX(Employees!$Q$5:$Q$29,$A539)))/Settings!$B$13,IF(INDEX(Employees!$P$5:$P$29,$A539)="Per hour worked",N(INDEX(Employees!$R$5:$R$29,$A539))*$I539,IF(INDEX(Employees!$P$5:$P$29,$A539)="Front-loaded",IF(OR($B539=1,N($G538)=0),N(INDEX(Employees!$Q$5:$Q$29,$A539)),0),0))))</f>
        <v/>
      </c>
      <c r="R539" s="48">
        <f>IF($F539=0,0,SUMIFS('Time Off Log'!$H$5:$H$504,'Time Off Log'!$A$5:$A$504,$C539,'Time Off Log'!$B$5:$B$504,"Sick",'Time Off Log'!$E$5:$E$504,"Approved",'Time Off Log'!$C$5:$C$504,"&gt;="&amp;INDEX(Periods!$E$5:$E$57,$B539),'Time Off Log'!$C$5:$C$504,"&lt;="&amp;INDEX(Periods!$F$5:$F$57,$B539)))</f>
        <v/>
      </c>
      <c r="S539" s="48">
        <f>IF($B539=1,N(INDEX(Employees!$T$5:$T$29,$A539)),V538)</f>
        <v/>
      </c>
      <c r="T539" s="48">
        <f>IF(INDEX(Employees!$S$5:$S$29,$A539)="",Q539,MAX(0,MIN(Q539,INDEX(Employees!$S$5:$S$29,$A539)-(S539-R539))))</f>
        <v/>
      </c>
      <c r="U539" s="48">
        <f>Q539-T539</f>
        <v/>
      </c>
      <c r="V539" s="48">
        <f>S539-R539+T539</f>
        <v/>
      </c>
    </row>
    <row r="540">
      <c r="A540" s="47" t="n">
        <v>11</v>
      </c>
      <c r="B540" s="47" t="n">
        <v>6</v>
      </c>
      <c r="C540" s="48">
        <f>INDEX(Employees!$B$5:$B$29,$A540)&amp;""</f>
        <v/>
      </c>
      <c r="D540" s="49">
        <f>INDEX(Periods!$B$5:$B$57,$B540)</f>
        <v/>
      </c>
      <c r="E540" s="49">
        <f>INDEX(Periods!$C$5:$C$57,$B540)</f>
        <v/>
      </c>
      <c r="F540" s="47">
        <f>IF(AND($C540&lt;&gt;"",INDEX(Periods!$D$5:$D$57,$B540)=1),1,0)</f>
        <v/>
      </c>
      <c r="G540" s="47">
        <f>IF($F540=0,0,IF(AND(OR(INDEX(Employees!$D$5:$D$29,$A540)="",$E540&gt;=INDEX(Employees!$D$5:$D$29,$A540)+N(INDEX(Employees!$U$5:$U$29,$A540))),OR(INDEX(Employees!$E$5:$E$29,$A540)="",$D540&lt;=INDEX(Employees!$E$5:$E$29,$A540))),1,0))</f>
        <v/>
      </c>
      <c r="H540" s="47">
        <f>IF($G540=0,0,IF(INDEX(Employees!$D$5:$D$29,$A540)="",0,DATEDIF(INDEX(Employees!$D$5:$D$29,$A540),$E540,"y")))</f>
        <v/>
      </c>
      <c r="I540" s="48">
        <f>IF($G540=0,0,IF(INDEX('Hours Worked'!$D$5:$BD$29,$A540,$B540)="",N(INDEX(Employees!$H$5:$H$29,$A540)),INDEX('Hours Worked'!$D$5:$BD$29,$A540,$B540)))</f>
        <v/>
      </c>
      <c r="J540" s="48">
        <f>IF(OR($G540=0,INDEX(Employees!$O$5:$O$29,$A540)&lt;&gt;"Yes"),0,IF(COUNTIF(Settings!$D$4:$D$9,"&lt;="&amp;$H540)=0,0,INDEX(Settings!$E$4:$E$9,COUNTIF(Settings!$D$4:$D$9,"&lt;="&amp;$H540))))</f>
        <v/>
      </c>
      <c r="K540" s="48">
        <f>IF($G540=0,0,IF(INDEX(Employees!$I$5:$I$29,$A540)="Per pay period",(N(INDEX(Employees!$J$5:$J$29,$A540))+$J540)/Settings!$B$13,IF(INDEX(Employees!$I$5:$I$29,$A540)="Per hour worked",N(INDEX(Employees!$K$5:$K$29,$A540))*$I540,IF(INDEX(Employees!$I$5:$I$29,$A540)="Front-loaded",IF(OR($B540=1,N($G539)=0),N(INDEX(Employees!$J$5:$J$29,$A540))+$J540,0),0))))</f>
        <v/>
      </c>
      <c r="L540" s="48">
        <f>IF($F540=0,0,SUMIFS('Time Off Log'!$H$5:$H$504,'Time Off Log'!$A$5:$A$504,$C540,'Time Off Log'!$B$5:$B$504,"PTO",'Time Off Log'!$E$5:$E$504,"Approved",'Time Off Log'!$C$5:$C$504,"&gt;="&amp;INDEX(Periods!$E$5:$E$57,$B540),'Time Off Log'!$C$5:$C$504,"&lt;="&amp;INDEX(Periods!$F$5:$F$57,$B540)))</f>
        <v/>
      </c>
      <c r="M540" s="48">
        <f>IF($B540=1,N(INDEX(Employees!$N$5:$N$29,$A540)),P539)</f>
        <v/>
      </c>
      <c r="N540" s="48">
        <f>IF(INDEX(Employees!$L$5:$L$29,$A540)="",K540,MAX(0,MIN(K540,INDEX(Employees!$L$5:$L$29,$A540)-(M540-L540))))</f>
        <v/>
      </c>
      <c r="O540" s="48">
        <f>K540-N540</f>
        <v/>
      </c>
      <c r="P540" s="48">
        <f>M540-L540+N540</f>
        <v/>
      </c>
      <c r="Q540" s="48">
        <f>IF($G540=0,0,IF(INDEX(Employees!$P$5:$P$29,$A540)="Per pay period",(N(INDEX(Employees!$Q$5:$Q$29,$A540)))/Settings!$B$13,IF(INDEX(Employees!$P$5:$P$29,$A540)="Per hour worked",N(INDEX(Employees!$R$5:$R$29,$A540))*$I540,IF(INDEX(Employees!$P$5:$P$29,$A540)="Front-loaded",IF(OR($B540=1,N($G539)=0),N(INDEX(Employees!$Q$5:$Q$29,$A540)),0),0))))</f>
        <v/>
      </c>
      <c r="R540" s="48">
        <f>IF($F540=0,0,SUMIFS('Time Off Log'!$H$5:$H$504,'Time Off Log'!$A$5:$A$504,$C540,'Time Off Log'!$B$5:$B$504,"Sick",'Time Off Log'!$E$5:$E$504,"Approved",'Time Off Log'!$C$5:$C$504,"&gt;="&amp;INDEX(Periods!$E$5:$E$57,$B540),'Time Off Log'!$C$5:$C$504,"&lt;="&amp;INDEX(Periods!$F$5:$F$57,$B540)))</f>
        <v/>
      </c>
      <c r="S540" s="48">
        <f>IF($B540=1,N(INDEX(Employees!$T$5:$T$29,$A540)),V539)</f>
        <v/>
      </c>
      <c r="T540" s="48">
        <f>IF(INDEX(Employees!$S$5:$S$29,$A540)="",Q540,MAX(0,MIN(Q540,INDEX(Employees!$S$5:$S$29,$A540)-(S540-R540))))</f>
        <v/>
      </c>
      <c r="U540" s="48">
        <f>Q540-T540</f>
        <v/>
      </c>
      <c r="V540" s="48">
        <f>S540-R540+T540</f>
        <v/>
      </c>
    </row>
    <row r="541">
      <c r="A541" s="47" t="n">
        <v>11</v>
      </c>
      <c r="B541" s="47" t="n">
        <v>7</v>
      </c>
      <c r="C541" s="48">
        <f>INDEX(Employees!$B$5:$B$29,$A541)&amp;""</f>
        <v/>
      </c>
      <c r="D541" s="49">
        <f>INDEX(Periods!$B$5:$B$57,$B541)</f>
        <v/>
      </c>
      <c r="E541" s="49">
        <f>INDEX(Periods!$C$5:$C$57,$B541)</f>
        <v/>
      </c>
      <c r="F541" s="47">
        <f>IF(AND($C541&lt;&gt;"",INDEX(Periods!$D$5:$D$57,$B541)=1),1,0)</f>
        <v/>
      </c>
      <c r="G541" s="47">
        <f>IF($F541=0,0,IF(AND(OR(INDEX(Employees!$D$5:$D$29,$A541)="",$E541&gt;=INDEX(Employees!$D$5:$D$29,$A541)+N(INDEX(Employees!$U$5:$U$29,$A541))),OR(INDEX(Employees!$E$5:$E$29,$A541)="",$D541&lt;=INDEX(Employees!$E$5:$E$29,$A541))),1,0))</f>
        <v/>
      </c>
      <c r="H541" s="47">
        <f>IF($G541=0,0,IF(INDEX(Employees!$D$5:$D$29,$A541)="",0,DATEDIF(INDEX(Employees!$D$5:$D$29,$A541),$E541,"y")))</f>
        <v/>
      </c>
      <c r="I541" s="48">
        <f>IF($G541=0,0,IF(INDEX('Hours Worked'!$D$5:$BD$29,$A541,$B541)="",N(INDEX(Employees!$H$5:$H$29,$A541)),INDEX('Hours Worked'!$D$5:$BD$29,$A541,$B541)))</f>
        <v/>
      </c>
      <c r="J541" s="48">
        <f>IF(OR($G541=0,INDEX(Employees!$O$5:$O$29,$A541)&lt;&gt;"Yes"),0,IF(COUNTIF(Settings!$D$4:$D$9,"&lt;="&amp;$H541)=0,0,INDEX(Settings!$E$4:$E$9,COUNTIF(Settings!$D$4:$D$9,"&lt;="&amp;$H541))))</f>
        <v/>
      </c>
      <c r="K541" s="48">
        <f>IF($G541=0,0,IF(INDEX(Employees!$I$5:$I$29,$A541)="Per pay period",(N(INDEX(Employees!$J$5:$J$29,$A541))+$J541)/Settings!$B$13,IF(INDEX(Employees!$I$5:$I$29,$A541)="Per hour worked",N(INDEX(Employees!$K$5:$K$29,$A541))*$I541,IF(INDEX(Employees!$I$5:$I$29,$A541)="Front-loaded",IF(OR($B541=1,N($G540)=0),N(INDEX(Employees!$J$5:$J$29,$A541))+$J541,0),0))))</f>
        <v/>
      </c>
      <c r="L541" s="48">
        <f>IF($F541=0,0,SUMIFS('Time Off Log'!$H$5:$H$504,'Time Off Log'!$A$5:$A$504,$C541,'Time Off Log'!$B$5:$B$504,"PTO",'Time Off Log'!$E$5:$E$504,"Approved",'Time Off Log'!$C$5:$C$504,"&gt;="&amp;INDEX(Periods!$E$5:$E$57,$B541),'Time Off Log'!$C$5:$C$504,"&lt;="&amp;INDEX(Periods!$F$5:$F$57,$B541)))</f>
        <v/>
      </c>
      <c r="M541" s="48">
        <f>IF($B541=1,N(INDEX(Employees!$N$5:$N$29,$A541)),P540)</f>
        <v/>
      </c>
      <c r="N541" s="48">
        <f>IF(INDEX(Employees!$L$5:$L$29,$A541)="",K541,MAX(0,MIN(K541,INDEX(Employees!$L$5:$L$29,$A541)-(M541-L541))))</f>
        <v/>
      </c>
      <c r="O541" s="48">
        <f>K541-N541</f>
        <v/>
      </c>
      <c r="P541" s="48">
        <f>M541-L541+N541</f>
        <v/>
      </c>
      <c r="Q541" s="48">
        <f>IF($G541=0,0,IF(INDEX(Employees!$P$5:$P$29,$A541)="Per pay period",(N(INDEX(Employees!$Q$5:$Q$29,$A541)))/Settings!$B$13,IF(INDEX(Employees!$P$5:$P$29,$A541)="Per hour worked",N(INDEX(Employees!$R$5:$R$29,$A541))*$I541,IF(INDEX(Employees!$P$5:$P$29,$A541)="Front-loaded",IF(OR($B541=1,N($G540)=0),N(INDEX(Employees!$Q$5:$Q$29,$A541)),0),0))))</f>
        <v/>
      </c>
      <c r="R541" s="48">
        <f>IF($F541=0,0,SUMIFS('Time Off Log'!$H$5:$H$504,'Time Off Log'!$A$5:$A$504,$C541,'Time Off Log'!$B$5:$B$504,"Sick",'Time Off Log'!$E$5:$E$504,"Approved",'Time Off Log'!$C$5:$C$504,"&gt;="&amp;INDEX(Periods!$E$5:$E$57,$B541),'Time Off Log'!$C$5:$C$504,"&lt;="&amp;INDEX(Periods!$F$5:$F$57,$B541)))</f>
        <v/>
      </c>
      <c r="S541" s="48">
        <f>IF($B541=1,N(INDEX(Employees!$T$5:$T$29,$A541)),V540)</f>
        <v/>
      </c>
      <c r="T541" s="48">
        <f>IF(INDEX(Employees!$S$5:$S$29,$A541)="",Q541,MAX(0,MIN(Q541,INDEX(Employees!$S$5:$S$29,$A541)-(S541-R541))))</f>
        <v/>
      </c>
      <c r="U541" s="48">
        <f>Q541-T541</f>
        <v/>
      </c>
      <c r="V541" s="48">
        <f>S541-R541+T541</f>
        <v/>
      </c>
    </row>
    <row r="542">
      <c r="A542" s="47" t="n">
        <v>11</v>
      </c>
      <c r="B542" s="47" t="n">
        <v>8</v>
      </c>
      <c r="C542" s="48">
        <f>INDEX(Employees!$B$5:$B$29,$A542)&amp;""</f>
        <v/>
      </c>
      <c r="D542" s="49">
        <f>INDEX(Periods!$B$5:$B$57,$B542)</f>
        <v/>
      </c>
      <c r="E542" s="49">
        <f>INDEX(Periods!$C$5:$C$57,$B542)</f>
        <v/>
      </c>
      <c r="F542" s="47">
        <f>IF(AND($C542&lt;&gt;"",INDEX(Periods!$D$5:$D$57,$B542)=1),1,0)</f>
        <v/>
      </c>
      <c r="G542" s="47">
        <f>IF($F542=0,0,IF(AND(OR(INDEX(Employees!$D$5:$D$29,$A542)="",$E542&gt;=INDEX(Employees!$D$5:$D$29,$A542)+N(INDEX(Employees!$U$5:$U$29,$A542))),OR(INDEX(Employees!$E$5:$E$29,$A542)="",$D542&lt;=INDEX(Employees!$E$5:$E$29,$A542))),1,0))</f>
        <v/>
      </c>
      <c r="H542" s="47">
        <f>IF($G542=0,0,IF(INDEX(Employees!$D$5:$D$29,$A542)="",0,DATEDIF(INDEX(Employees!$D$5:$D$29,$A542),$E542,"y")))</f>
        <v/>
      </c>
      <c r="I542" s="48">
        <f>IF($G542=0,0,IF(INDEX('Hours Worked'!$D$5:$BD$29,$A542,$B542)="",N(INDEX(Employees!$H$5:$H$29,$A542)),INDEX('Hours Worked'!$D$5:$BD$29,$A542,$B542)))</f>
        <v/>
      </c>
      <c r="J542" s="48">
        <f>IF(OR($G542=0,INDEX(Employees!$O$5:$O$29,$A542)&lt;&gt;"Yes"),0,IF(COUNTIF(Settings!$D$4:$D$9,"&lt;="&amp;$H542)=0,0,INDEX(Settings!$E$4:$E$9,COUNTIF(Settings!$D$4:$D$9,"&lt;="&amp;$H542))))</f>
        <v/>
      </c>
      <c r="K542" s="48">
        <f>IF($G542=0,0,IF(INDEX(Employees!$I$5:$I$29,$A542)="Per pay period",(N(INDEX(Employees!$J$5:$J$29,$A542))+$J542)/Settings!$B$13,IF(INDEX(Employees!$I$5:$I$29,$A542)="Per hour worked",N(INDEX(Employees!$K$5:$K$29,$A542))*$I542,IF(INDEX(Employees!$I$5:$I$29,$A542)="Front-loaded",IF(OR($B542=1,N($G541)=0),N(INDEX(Employees!$J$5:$J$29,$A542))+$J542,0),0))))</f>
        <v/>
      </c>
      <c r="L542" s="48">
        <f>IF($F542=0,0,SUMIFS('Time Off Log'!$H$5:$H$504,'Time Off Log'!$A$5:$A$504,$C542,'Time Off Log'!$B$5:$B$504,"PTO",'Time Off Log'!$E$5:$E$504,"Approved",'Time Off Log'!$C$5:$C$504,"&gt;="&amp;INDEX(Periods!$E$5:$E$57,$B542),'Time Off Log'!$C$5:$C$504,"&lt;="&amp;INDEX(Periods!$F$5:$F$57,$B542)))</f>
        <v/>
      </c>
      <c r="M542" s="48">
        <f>IF($B542=1,N(INDEX(Employees!$N$5:$N$29,$A542)),P541)</f>
        <v/>
      </c>
      <c r="N542" s="48">
        <f>IF(INDEX(Employees!$L$5:$L$29,$A542)="",K542,MAX(0,MIN(K542,INDEX(Employees!$L$5:$L$29,$A542)-(M542-L542))))</f>
        <v/>
      </c>
      <c r="O542" s="48">
        <f>K542-N542</f>
        <v/>
      </c>
      <c r="P542" s="48">
        <f>M542-L542+N542</f>
        <v/>
      </c>
      <c r="Q542" s="48">
        <f>IF($G542=0,0,IF(INDEX(Employees!$P$5:$P$29,$A542)="Per pay period",(N(INDEX(Employees!$Q$5:$Q$29,$A542)))/Settings!$B$13,IF(INDEX(Employees!$P$5:$P$29,$A542)="Per hour worked",N(INDEX(Employees!$R$5:$R$29,$A542))*$I542,IF(INDEX(Employees!$P$5:$P$29,$A542)="Front-loaded",IF(OR($B542=1,N($G541)=0),N(INDEX(Employees!$Q$5:$Q$29,$A542)),0),0))))</f>
        <v/>
      </c>
      <c r="R542" s="48">
        <f>IF($F542=0,0,SUMIFS('Time Off Log'!$H$5:$H$504,'Time Off Log'!$A$5:$A$504,$C542,'Time Off Log'!$B$5:$B$504,"Sick",'Time Off Log'!$E$5:$E$504,"Approved",'Time Off Log'!$C$5:$C$504,"&gt;="&amp;INDEX(Periods!$E$5:$E$57,$B542),'Time Off Log'!$C$5:$C$504,"&lt;="&amp;INDEX(Periods!$F$5:$F$57,$B542)))</f>
        <v/>
      </c>
      <c r="S542" s="48">
        <f>IF($B542=1,N(INDEX(Employees!$T$5:$T$29,$A542)),V541)</f>
        <v/>
      </c>
      <c r="T542" s="48">
        <f>IF(INDEX(Employees!$S$5:$S$29,$A542)="",Q542,MAX(0,MIN(Q542,INDEX(Employees!$S$5:$S$29,$A542)-(S542-R542))))</f>
        <v/>
      </c>
      <c r="U542" s="48">
        <f>Q542-T542</f>
        <v/>
      </c>
      <c r="V542" s="48">
        <f>S542-R542+T542</f>
        <v/>
      </c>
    </row>
    <row r="543">
      <c r="A543" s="47" t="n">
        <v>11</v>
      </c>
      <c r="B543" s="47" t="n">
        <v>9</v>
      </c>
      <c r="C543" s="48">
        <f>INDEX(Employees!$B$5:$B$29,$A543)&amp;""</f>
        <v/>
      </c>
      <c r="D543" s="49">
        <f>INDEX(Periods!$B$5:$B$57,$B543)</f>
        <v/>
      </c>
      <c r="E543" s="49">
        <f>INDEX(Periods!$C$5:$C$57,$B543)</f>
        <v/>
      </c>
      <c r="F543" s="47">
        <f>IF(AND($C543&lt;&gt;"",INDEX(Periods!$D$5:$D$57,$B543)=1),1,0)</f>
        <v/>
      </c>
      <c r="G543" s="47">
        <f>IF($F543=0,0,IF(AND(OR(INDEX(Employees!$D$5:$D$29,$A543)="",$E543&gt;=INDEX(Employees!$D$5:$D$29,$A543)+N(INDEX(Employees!$U$5:$U$29,$A543))),OR(INDEX(Employees!$E$5:$E$29,$A543)="",$D543&lt;=INDEX(Employees!$E$5:$E$29,$A543))),1,0))</f>
        <v/>
      </c>
      <c r="H543" s="47">
        <f>IF($G543=0,0,IF(INDEX(Employees!$D$5:$D$29,$A543)="",0,DATEDIF(INDEX(Employees!$D$5:$D$29,$A543),$E543,"y")))</f>
        <v/>
      </c>
      <c r="I543" s="48">
        <f>IF($G543=0,0,IF(INDEX('Hours Worked'!$D$5:$BD$29,$A543,$B543)="",N(INDEX(Employees!$H$5:$H$29,$A543)),INDEX('Hours Worked'!$D$5:$BD$29,$A543,$B543)))</f>
        <v/>
      </c>
      <c r="J543" s="48">
        <f>IF(OR($G543=0,INDEX(Employees!$O$5:$O$29,$A543)&lt;&gt;"Yes"),0,IF(COUNTIF(Settings!$D$4:$D$9,"&lt;="&amp;$H543)=0,0,INDEX(Settings!$E$4:$E$9,COUNTIF(Settings!$D$4:$D$9,"&lt;="&amp;$H543))))</f>
        <v/>
      </c>
      <c r="K543" s="48">
        <f>IF($G543=0,0,IF(INDEX(Employees!$I$5:$I$29,$A543)="Per pay period",(N(INDEX(Employees!$J$5:$J$29,$A543))+$J543)/Settings!$B$13,IF(INDEX(Employees!$I$5:$I$29,$A543)="Per hour worked",N(INDEX(Employees!$K$5:$K$29,$A543))*$I543,IF(INDEX(Employees!$I$5:$I$29,$A543)="Front-loaded",IF(OR($B543=1,N($G542)=0),N(INDEX(Employees!$J$5:$J$29,$A543))+$J543,0),0))))</f>
        <v/>
      </c>
      <c r="L543" s="48">
        <f>IF($F543=0,0,SUMIFS('Time Off Log'!$H$5:$H$504,'Time Off Log'!$A$5:$A$504,$C543,'Time Off Log'!$B$5:$B$504,"PTO",'Time Off Log'!$E$5:$E$504,"Approved",'Time Off Log'!$C$5:$C$504,"&gt;="&amp;INDEX(Periods!$E$5:$E$57,$B543),'Time Off Log'!$C$5:$C$504,"&lt;="&amp;INDEX(Periods!$F$5:$F$57,$B543)))</f>
        <v/>
      </c>
      <c r="M543" s="48">
        <f>IF($B543=1,N(INDEX(Employees!$N$5:$N$29,$A543)),P542)</f>
        <v/>
      </c>
      <c r="N543" s="48">
        <f>IF(INDEX(Employees!$L$5:$L$29,$A543)="",K543,MAX(0,MIN(K543,INDEX(Employees!$L$5:$L$29,$A543)-(M543-L543))))</f>
        <v/>
      </c>
      <c r="O543" s="48">
        <f>K543-N543</f>
        <v/>
      </c>
      <c r="P543" s="48">
        <f>M543-L543+N543</f>
        <v/>
      </c>
      <c r="Q543" s="48">
        <f>IF($G543=0,0,IF(INDEX(Employees!$P$5:$P$29,$A543)="Per pay period",(N(INDEX(Employees!$Q$5:$Q$29,$A543)))/Settings!$B$13,IF(INDEX(Employees!$P$5:$P$29,$A543)="Per hour worked",N(INDEX(Employees!$R$5:$R$29,$A543))*$I543,IF(INDEX(Employees!$P$5:$P$29,$A543)="Front-loaded",IF(OR($B543=1,N($G542)=0),N(INDEX(Employees!$Q$5:$Q$29,$A543)),0),0))))</f>
        <v/>
      </c>
      <c r="R543" s="48">
        <f>IF($F543=0,0,SUMIFS('Time Off Log'!$H$5:$H$504,'Time Off Log'!$A$5:$A$504,$C543,'Time Off Log'!$B$5:$B$504,"Sick",'Time Off Log'!$E$5:$E$504,"Approved",'Time Off Log'!$C$5:$C$504,"&gt;="&amp;INDEX(Periods!$E$5:$E$57,$B543),'Time Off Log'!$C$5:$C$504,"&lt;="&amp;INDEX(Periods!$F$5:$F$57,$B543)))</f>
        <v/>
      </c>
      <c r="S543" s="48">
        <f>IF($B543=1,N(INDEX(Employees!$T$5:$T$29,$A543)),V542)</f>
        <v/>
      </c>
      <c r="T543" s="48">
        <f>IF(INDEX(Employees!$S$5:$S$29,$A543)="",Q543,MAX(0,MIN(Q543,INDEX(Employees!$S$5:$S$29,$A543)-(S543-R543))))</f>
        <v/>
      </c>
      <c r="U543" s="48">
        <f>Q543-T543</f>
        <v/>
      </c>
      <c r="V543" s="48">
        <f>S543-R543+T543</f>
        <v/>
      </c>
    </row>
    <row r="544">
      <c r="A544" s="47" t="n">
        <v>11</v>
      </c>
      <c r="B544" s="47" t="n">
        <v>10</v>
      </c>
      <c r="C544" s="48">
        <f>INDEX(Employees!$B$5:$B$29,$A544)&amp;""</f>
        <v/>
      </c>
      <c r="D544" s="49">
        <f>INDEX(Periods!$B$5:$B$57,$B544)</f>
        <v/>
      </c>
      <c r="E544" s="49">
        <f>INDEX(Periods!$C$5:$C$57,$B544)</f>
        <v/>
      </c>
      <c r="F544" s="47">
        <f>IF(AND($C544&lt;&gt;"",INDEX(Periods!$D$5:$D$57,$B544)=1),1,0)</f>
        <v/>
      </c>
      <c r="G544" s="47">
        <f>IF($F544=0,0,IF(AND(OR(INDEX(Employees!$D$5:$D$29,$A544)="",$E544&gt;=INDEX(Employees!$D$5:$D$29,$A544)+N(INDEX(Employees!$U$5:$U$29,$A544))),OR(INDEX(Employees!$E$5:$E$29,$A544)="",$D544&lt;=INDEX(Employees!$E$5:$E$29,$A544))),1,0))</f>
        <v/>
      </c>
      <c r="H544" s="47">
        <f>IF($G544=0,0,IF(INDEX(Employees!$D$5:$D$29,$A544)="",0,DATEDIF(INDEX(Employees!$D$5:$D$29,$A544),$E544,"y")))</f>
        <v/>
      </c>
      <c r="I544" s="48">
        <f>IF($G544=0,0,IF(INDEX('Hours Worked'!$D$5:$BD$29,$A544,$B544)="",N(INDEX(Employees!$H$5:$H$29,$A544)),INDEX('Hours Worked'!$D$5:$BD$29,$A544,$B544)))</f>
        <v/>
      </c>
      <c r="J544" s="48">
        <f>IF(OR($G544=0,INDEX(Employees!$O$5:$O$29,$A544)&lt;&gt;"Yes"),0,IF(COUNTIF(Settings!$D$4:$D$9,"&lt;="&amp;$H544)=0,0,INDEX(Settings!$E$4:$E$9,COUNTIF(Settings!$D$4:$D$9,"&lt;="&amp;$H544))))</f>
        <v/>
      </c>
      <c r="K544" s="48">
        <f>IF($G544=0,0,IF(INDEX(Employees!$I$5:$I$29,$A544)="Per pay period",(N(INDEX(Employees!$J$5:$J$29,$A544))+$J544)/Settings!$B$13,IF(INDEX(Employees!$I$5:$I$29,$A544)="Per hour worked",N(INDEX(Employees!$K$5:$K$29,$A544))*$I544,IF(INDEX(Employees!$I$5:$I$29,$A544)="Front-loaded",IF(OR($B544=1,N($G543)=0),N(INDEX(Employees!$J$5:$J$29,$A544))+$J544,0),0))))</f>
        <v/>
      </c>
      <c r="L544" s="48">
        <f>IF($F544=0,0,SUMIFS('Time Off Log'!$H$5:$H$504,'Time Off Log'!$A$5:$A$504,$C544,'Time Off Log'!$B$5:$B$504,"PTO",'Time Off Log'!$E$5:$E$504,"Approved",'Time Off Log'!$C$5:$C$504,"&gt;="&amp;INDEX(Periods!$E$5:$E$57,$B544),'Time Off Log'!$C$5:$C$504,"&lt;="&amp;INDEX(Periods!$F$5:$F$57,$B544)))</f>
        <v/>
      </c>
      <c r="M544" s="48">
        <f>IF($B544=1,N(INDEX(Employees!$N$5:$N$29,$A544)),P543)</f>
        <v/>
      </c>
      <c r="N544" s="48">
        <f>IF(INDEX(Employees!$L$5:$L$29,$A544)="",K544,MAX(0,MIN(K544,INDEX(Employees!$L$5:$L$29,$A544)-(M544-L544))))</f>
        <v/>
      </c>
      <c r="O544" s="48">
        <f>K544-N544</f>
        <v/>
      </c>
      <c r="P544" s="48">
        <f>M544-L544+N544</f>
        <v/>
      </c>
      <c r="Q544" s="48">
        <f>IF($G544=0,0,IF(INDEX(Employees!$P$5:$P$29,$A544)="Per pay period",(N(INDEX(Employees!$Q$5:$Q$29,$A544)))/Settings!$B$13,IF(INDEX(Employees!$P$5:$P$29,$A544)="Per hour worked",N(INDEX(Employees!$R$5:$R$29,$A544))*$I544,IF(INDEX(Employees!$P$5:$P$29,$A544)="Front-loaded",IF(OR($B544=1,N($G543)=0),N(INDEX(Employees!$Q$5:$Q$29,$A544)),0),0))))</f>
        <v/>
      </c>
      <c r="R544" s="48">
        <f>IF($F544=0,0,SUMIFS('Time Off Log'!$H$5:$H$504,'Time Off Log'!$A$5:$A$504,$C544,'Time Off Log'!$B$5:$B$504,"Sick",'Time Off Log'!$E$5:$E$504,"Approved",'Time Off Log'!$C$5:$C$504,"&gt;="&amp;INDEX(Periods!$E$5:$E$57,$B544),'Time Off Log'!$C$5:$C$504,"&lt;="&amp;INDEX(Periods!$F$5:$F$57,$B544)))</f>
        <v/>
      </c>
      <c r="S544" s="48">
        <f>IF($B544=1,N(INDEX(Employees!$T$5:$T$29,$A544)),V543)</f>
        <v/>
      </c>
      <c r="T544" s="48">
        <f>IF(INDEX(Employees!$S$5:$S$29,$A544)="",Q544,MAX(0,MIN(Q544,INDEX(Employees!$S$5:$S$29,$A544)-(S544-R544))))</f>
        <v/>
      </c>
      <c r="U544" s="48">
        <f>Q544-T544</f>
        <v/>
      </c>
      <c r="V544" s="48">
        <f>S544-R544+T544</f>
        <v/>
      </c>
    </row>
    <row r="545">
      <c r="A545" s="47" t="n">
        <v>11</v>
      </c>
      <c r="B545" s="47" t="n">
        <v>11</v>
      </c>
      <c r="C545" s="48">
        <f>INDEX(Employees!$B$5:$B$29,$A545)&amp;""</f>
        <v/>
      </c>
      <c r="D545" s="49">
        <f>INDEX(Periods!$B$5:$B$57,$B545)</f>
        <v/>
      </c>
      <c r="E545" s="49">
        <f>INDEX(Periods!$C$5:$C$57,$B545)</f>
        <v/>
      </c>
      <c r="F545" s="47">
        <f>IF(AND($C545&lt;&gt;"",INDEX(Periods!$D$5:$D$57,$B545)=1),1,0)</f>
        <v/>
      </c>
      <c r="G545" s="47">
        <f>IF($F545=0,0,IF(AND(OR(INDEX(Employees!$D$5:$D$29,$A545)="",$E545&gt;=INDEX(Employees!$D$5:$D$29,$A545)+N(INDEX(Employees!$U$5:$U$29,$A545))),OR(INDEX(Employees!$E$5:$E$29,$A545)="",$D545&lt;=INDEX(Employees!$E$5:$E$29,$A545))),1,0))</f>
        <v/>
      </c>
      <c r="H545" s="47">
        <f>IF($G545=0,0,IF(INDEX(Employees!$D$5:$D$29,$A545)="",0,DATEDIF(INDEX(Employees!$D$5:$D$29,$A545),$E545,"y")))</f>
        <v/>
      </c>
      <c r="I545" s="48">
        <f>IF($G545=0,0,IF(INDEX('Hours Worked'!$D$5:$BD$29,$A545,$B545)="",N(INDEX(Employees!$H$5:$H$29,$A545)),INDEX('Hours Worked'!$D$5:$BD$29,$A545,$B545)))</f>
        <v/>
      </c>
      <c r="J545" s="48">
        <f>IF(OR($G545=0,INDEX(Employees!$O$5:$O$29,$A545)&lt;&gt;"Yes"),0,IF(COUNTIF(Settings!$D$4:$D$9,"&lt;="&amp;$H545)=0,0,INDEX(Settings!$E$4:$E$9,COUNTIF(Settings!$D$4:$D$9,"&lt;="&amp;$H545))))</f>
        <v/>
      </c>
      <c r="K545" s="48">
        <f>IF($G545=0,0,IF(INDEX(Employees!$I$5:$I$29,$A545)="Per pay period",(N(INDEX(Employees!$J$5:$J$29,$A545))+$J545)/Settings!$B$13,IF(INDEX(Employees!$I$5:$I$29,$A545)="Per hour worked",N(INDEX(Employees!$K$5:$K$29,$A545))*$I545,IF(INDEX(Employees!$I$5:$I$29,$A545)="Front-loaded",IF(OR($B545=1,N($G544)=0),N(INDEX(Employees!$J$5:$J$29,$A545))+$J545,0),0))))</f>
        <v/>
      </c>
      <c r="L545" s="48">
        <f>IF($F545=0,0,SUMIFS('Time Off Log'!$H$5:$H$504,'Time Off Log'!$A$5:$A$504,$C545,'Time Off Log'!$B$5:$B$504,"PTO",'Time Off Log'!$E$5:$E$504,"Approved",'Time Off Log'!$C$5:$C$504,"&gt;="&amp;INDEX(Periods!$E$5:$E$57,$B545),'Time Off Log'!$C$5:$C$504,"&lt;="&amp;INDEX(Periods!$F$5:$F$57,$B545)))</f>
        <v/>
      </c>
      <c r="M545" s="48">
        <f>IF($B545=1,N(INDEX(Employees!$N$5:$N$29,$A545)),P544)</f>
        <v/>
      </c>
      <c r="N545" s="48">
        <f>IF(INDEX(Employees!$L$5:$L$29,$A545)="",K545,MAX(0,MIN(K545,INDEX(Employees!$L$5:$L$29,$A545)-(M545-L545))))</f>
        <v/>
      </c>
      <c r="O545" s="48">
        <f>K545-N545</f>
        <v/>
      </c>
      <c r="P545" s="48">
        <f>M545-L545+N545</f>
        <v/>
      </c>
      <c r="Q545" s="48">
        <f>IF($G545=0,0,IF(INDEX(Employees!$P$5:$P$29,$A545)="Per pay period",(N(INDEX(Employees!$Q$5:$Q$29,$A545)))/Settings!$B$13,IF(INDEX(Employees!$P$5:$P$29,$A545)="Per hour worked",N(INDEX(Employees!$R$5:$R$29,$A545))*$I545,IF(INDEX(Employees!$P$5:$P$29,$A545)="Front-loaded",IF(OR($B545=1,N($G544)=0),N(INDEX(Employees!$Q$5:$Q$29,$A545)),0),0))))</f>
        <v/>
      </c>
      <c r="R545" s="48">
        <f>IF($F545=0,0,SUMIFS('Time Off Log'!$H$5:$H$504,'Time Off Log'!$A$5:$A$504,$C545,'Time Off Log'!$B$5:$B$504,"Sick",'Time Off Log'!$E$5:$E$504,"Approved",'Time Off Log'!$C$5:$C$504,"&gt;="&amp;INDEX(Periods!$E$5:$E$57,$B545),'Time Off Log'!$C$5:$C$504,"&lt;="&amp;INDEX(Periods!$F$5:$F$57,$B545)))</f>
        <v/>
      </c>
      <c r="S545" s="48">
        <f>IF($B545=1,N(INDEX(Employees!$T$5:$T$29,$A545)),V544)</f>
        <v/>
      </c>
      <c r="T545" s="48">
        <f>IF(INDEX(Employees!$S$5:$S$29,$A545)="",Q545,MAX(0,MIN(Q545,INDEX(Employees!$S$5:$S$29,$A545)-(S545-R545))))</f>
        <v/>
      </c>
      <c r="U545" s="48">
        <f>Q545-T545</f>
        <v/>
      </c>
      <c r="V545" s="48">
        <f>S545-R545+T545</f>
        <v/>
      </c>
    </row>
    <row r="546">
      <c r="A546" s="47" t="n">
        <v>11</v>
      </c>
      <c r="B546" s="47" t="n">
        <v>12</v>
      </c>
      <c r="C546" s="48">
        <f>INDEX(Employees!$B$5:$B$29,$A546)&amp;""</f>
        <v/>
      </c>
      <c r="D546" s="49">
        <f>INDEX(Periods!$B$5:$B$57,$B546)</f>
        <v/>
      </c>
      <c r="E546" s="49">
        <f>INDEX(Periods!$C$5:$C$57,$B546)</f>
        <v/>
      </c>
      <c r="F546" s="47">
        <f>IF(AND($C546&lt;&gt;"",INDEX(Periods!$D$5:$D$57,$B546)=1),1,0)</f>
        <v/>
      </c>
      <c r="G546" s="47">
        <f>IF($F546=0,0,IF(AND(OR(INDEX(Employees!$D$5:$D$29,$A546)="",$E546&gt;=INDEX(Employees!$D$5:$D$29,$A546)+N(INDEX(Employees!$U$5:$U$29,$A546))),OR(INDEX(Employees!$E$5:$E$29,$A546)="",$D546&lt;=INDEX(Employees!$E$5:$E$29,$A546))),1,0))</f>
        <v/>
      </c>
      <c r="H546" s="47">
        <f>IF($G546=0,0,IF(INDEX(Employees!$D$5:$D$29,$A546)="",0,DATEDIF(INDEX(Employees!$D$5:$D$29,$A546),$E546,"y")))</f>
        <v/>
      </c>
      <c r="I546" s="48">
        <f>IF($G546=0,0,IF(INDEX('Hours Worked'!$D$5:$BD$29,$A546,$B546)="",N(INDEX(Employees!$H$5:$H$29,$A546)),INDEX('Hours Worked'!$D$5:$BD$29,$A546,$B546)))</f>
        <v/>
      </c>
      <c r="J546" s="48">
        <f>IF(OR($G546=0,INDEX(Employees!$O$5:$O$29,$A546)&lt;&gt;"Yes"),0,IF(COUNTIF(Settings!$D$4:$D$9,"&lt;="&amp;$H546)=0,0,INDEX(Settings!$E$4:$E$9,COUNTIF(Settings!$D$4:$D$9,"&lt;="&amp;$H546))))</f>
        <v/>
      </c>
      <c r="K546" s="48">
        <f>IF($G546=0,0,IF(INDEX(Employees!$I$5:$I$29,$A546)="Per pay period",(N(INDEX(Employees!$J$5:$J$29,$A546))+$J546)/Settings!$B$13,IF(INDEX(Employees!$I$5:$I$29,$A546)="Per hour worked",N(INDEX(Employees!$K$5:$K$29,$A546))*$I546,IF(INDEX(Employees!$I$5:$I$29,$A546)="Front-loaded",IF(OR($B546=1,N($G545)=0),N(INDEX(Employees!$J$5:$J$29,$A546))+$J546,0),0))))</f>
        <v/>
      </c>
      <c r="L546" s="48">
        <f>IF($F546=0,0,SUMIFS('Time Off Log'!$H$5:$H$504,'Time Off Log'!$A$5:$A$504,$C546,'Time Off Log'!$B$5:$B$504,"PTO",'Time Off Log'!$E$5:$E$504,"Approved",'Time Off Log'!$C$5:$C$504,"&gt;="&amp;INDEX(Periods!$E$5:$E$57,$B546),'Time Off Log'!$C$5:$C$504,"&lt;="&amp;INDEX(Periods!$F$5:$F$57,$B546)))</f>
        <v/>
      </c>
      <c r="M546" s="48">
        <f>IF($B546=1,N(INDEX(Employees!$N$5:$N$29,$A546)),P545)</f>
        <v/>
      </c>
      <c r="N546" s="48">
        <f>IF(INDEX(Employees!$L$5:$L$29,$A546)="",K546,MAX(0,MIN(K546,INDEX(Employees!$L$5:$L$29,$A546)-(M546-L546))))</f>
        <v/>
      </c>
      <c r="O546" s="48">
        <f>K546-N546</f>
        <v/>
      </c>
      <c r="P546" s="48">
        <f>M546-L546+N546</f>
        <v/>
      </c>
      <c r="Q546" s="48">
        <f>IF($G546=0,0,IF(INDEX(Employees!$P$5:$P$29,$A546)="Per pay period",(N(INDEX(Employees!$Q$5:$Q$29,$A546)))/Settings!$B$13,IF(INDEX(Employees!$P$5:$P$29,$A546)="Per hour worked",N(INDEX(Employees!$R$5:$R$29,$A546))*$I546,IF(INDEX(Employees!$P$5:$P$29,$A546)="Front-loaded",IF(OR($B546=1,N($G545)=0),N(INDEX(Employees!$Q$5:$Q$29,$A546)),0),0))))</f>
        <v/>
      </c>
      <c r="R546" s="48">
        <f>IF($F546=0,0,SUMIFS('Time Off Log'!$H$5:$H$504,'Time Off Log'!$A$5:$A$504,$C546,'Time Off Log'!$B$5:$B$504,"Sick",'Time Off Log'!$E$5:$E$504,"Approved",'Time Off Log'!$C$5:$C$504,"&gt;="&amp;INDEX(Periods!$E$5:$E$57,$B546),'Time Off Log'!$C$5:$C$504,"&lt;="&amp;INDEX(Periods!$F$5:$F$57,$B546)))</f>
        <v/>
      </c>
      <c r="S546" s="48">
        <f>IF($B546=1,N(INDEX(Employees!$T$5:$T$29,$A546)),V545)</f>
        <v/>
      </c>
      <c r="T546" s="48">
        <f>IF(INDEX(Employees!$S$5:$S$29,$A546)="",Q546,MAX(0,MIN(Q546,INDEX(Employees!$S$5:$S$29,$A546)-(S546-R546))))</f>
        <v/>
      </c>
      <c r="U546" s="48">
        <f>Q546-T546</f>
        <v/>
      </c>
      <c r="V546" s="48">
        <f>S546-R546+T546</f>
        <v/>
      </c>
    </row>
    <row r="547">
      <c r="A547" s="47" t="n">
        <v>11</v>
      </c>
      <c r="B547" s="47" t="n">
        <v>13</v>
      </c>
      <c r="C547" s="48">
        <f>INDEX(Employees!$B$5:$B$29,$A547)&amp;""</f>
        <v/>
      </c>
      <c r="D547" s="49">
        <f>INDEX(Periods!$B$5:$B$57,$B547)</f>
        <v/>
      </c>
      <c r="E547" s="49">
        <f>INDEX(Periods!$C$5:$C$57,$B547)</f>
        <v/>
      </c>
      <c r="F547" s="47">
        <f>IF(AND($C547&lt;&gt;"",INDEX(Periods!$D$5:$D$57,$B547)=1),1,0)</f>
        <v/>
      </c>
      <c r="G547" s="47">
        <f>IF($F547=0,0,IF(AND(OR(INDEX(Employees!$D$5:$D$29,$A547)="",$E547&gt;=INDEX(Employees!$D$5:$D$29,$A547)+N(INDEX(Employees!$U$5:$U$29,$A547))),OR(INDEX(Employees!$E$5:$E$29,$A547)="",$D547&lt;=INDEX(Employees!$E$5:$E$29,$A547))),1,0))</f>
        <v/>
      </c>
      <c r="H547" s="47">
        <f>IF($G547=0,0,IF(INDEX(Employees!$D$5:$D$29,$A547)="",0,DATEDIF(INDEX(Employees!$D$5:$D$29,$A547),$E547,"y")))</f>
        <v/>
      </c>
      <c r="I547" s="48">
        <f>IF($G547=0,0,IF(INDEX('Hours Worked'!$D$5:$BD$29,$A547,$B547)="",N(INDEX(Employees!$H$5:$H$29,$A547)),INDEX('Hours Worked'!$D$5:$BD$29,$A547,$B547)))</f>
        <v/>
      </c>
      <c r="J547" s="48">
        <f>IF(OR($G547=0,INDEX(Employees!$O$5:$O$29,$A547)&lt;&gt;"Yes"),0,IF(COUNTIF(Settings!$D$4:$D$9,"&lt;="&amp;$H547)=0,0,INDEX(Settings!$E$4:$E$9,COUNTIF(Settings!$D$4:$D$9,"&lt;="&amp;$H547))))</f>
        <v/>
      </c>
      <c r="K547" s="48">
        <f>IF($G547=0,0,IF(INDEX(Employees!$I$5:$I$29,$A547)="Per pay period",(N(INDEX(Employees!$J$5:$J$29,$A547))+$J547)/Settings!$B$13,IF(INDEX(Employees!$I$5:$I$29,$A547)="Per hour worked",N(INDEX(Employees!$K$5:$K$29,$A547))*$I547,IF(INDEX(Employees!$I$5:$I$29,$A547)="Front-loaded",IF(OR($B547=1,N($G546)=0),N(INDEX(Employees!$J$5:$J$29,$A547))+$J547,0),0))))</f>
        <v/>
      </c>
      <c r="L547" s="48">
        <f>IF($F547=0,0,SUMIFS('Time Off Log'!$H$5:$H$504,'Time Off Log'!$A$5:$A$504,$C547,'Time Off Log'!$B$5:$B$504,"PTO",'Time Off Log'!$E$5:$E$504,"Approved",'Time Off Log'!$C$5:$C$504,"&gt;="&amp;INDEX(Periods!$E$5:$E$57,$B547),'Time Off Log'!$C$5:$C$504,"&lt;="&amp;INDEX(Periods!$F$5:$F$57,$B547)))</f>
        <v/>
      </c>
      <c r="M547" s="48">
        <f>IF($B547=1,N(INDEX(Employees!$N$5:$N$29,$A547)),P546)</f>
        <v/>
      </c>
      <c r="N547" s="48">
        <f>IF(INDEX(Employees!$L$5:$L$29,$A547)="",K547,MAX(0,MIN(K547,INDEX(Employees!$L$5:$L$29,$A547)-(M547-L547))))</f>
        <v/>
      </c>
      <c r="O547" s="48">
        <f>K547-N547</f>
        <v/>
      </c>
      <c r="P547" s="48">
        <f>M547-L547+N547</f>
        <v/>
      </c>
      <c r="Q547" s="48">
        <f>IF($G547=0,0,IF(INDEX(Employees!$P$5:$P$29,$A547)="Per pay period",(N(INDEX(Employees!$Q$5:$Q$29,$A547)))/Settings!$B$13,IF(INDEX(Employees!$P$5:$P$29,$A547)="Per hour worked",N(INDEX(Employees!$R$5:$R$29,$A547))*$I547,IF(INDEX(Employees!$P$5:$P$29,$A547)="Front-loaded",IF(OR($B547=1,N($G546)=0),N(INDEX(Employees!$Q$5:$Q$29,$A547)),0),0))))</f>
        <v/>
      </c>
      <c r="R547" s="48">
        <f>IF($F547=0,0,SUMIFS('Time Off Log'!$H$5:$H$504,'Time Off Log'!$A$5:$A$504,$C547,'Time Off Log'!$B$5:$B$504,"Sick",'Time Off Log'!$E$5:$E$504,"Approved",'Time Off Log'!$C$5:$C$504,"&gt;="&amp;INDEX(Periods!$E$5:$E$57,$B547),'Time Off Log'!$C$5:$C$504,"&lt;="&amp;INDEX(Periods!$F$5:$F$57,$B547)))</f>
        <v/>
      </c>
      <c r="S547" s="48">
        <f>IF($B547=1,N(INDEX(Employees!$T$5:$T$29,$A547)),V546)</f>
        <v/>
      </c>
      <c r="T547" s="48">
        <f>IF(INDEX(Employees!$S$5:$S$29,$A547)="",Q547,MAX(0,MIN(Q547,INDEX(Employees!$S$5:$S$29,$A547)-(S547-R547))))</f>
        <v/>
      </c>
      <c r="U547" s="48">
        <f>Q547-T547</f>
        <v/>
      </c>
      <c r="V547" s="48">
        <f>S547-R547+T547</f>
        <v/>
      </c>
    </row>
    <row r="548">
      <c r="A548" s="47" t="n">
        <v>11</v>
      </c>
      <c r="B548" s="47" t="n">
        <v>14</v>
      </c>
      <c r="C548" s="48">
        <f>INDEX(Employees!$B$5:$B$29,$A548)&amp;""</f>
        <v/>
      </c>
      <c r="D548" s="49">
        <f>INDEX(Periods!$B$5:$B$57,$B548)</f>
        <v/>
      </c>
      <c r="E548" s="49">
        <f>INDEX(Periods!$C$5:$C$57,$B548)</f>
        <v/>
      </c>
      <c r="F548" s="47">
        <f>IF(AND($C548&lt;&gt;"",INDEX(Periods!$D$5:$D$57,$B548)=1),1,0)</f>
        <v/>
      </c>
      <c r="G548" s="47">
        <f>IF($F548=0,0,IF(AND(OR(INDEX(Employees!$D$5:$D$29,$A548)="",$E548&gt;=INDEX(Employees!$D$5:$D$29,$A548)+N(INDEX(Employees!$U$5:$U$29,$A548))),OR(INDEX(Employees!$E$5:$E$29,$A548)="",$D548&lt;=INDEX(Employees!$E$5:$E$29,$A548))),1,0))</f>
        <v/>
      </c>
      <c r="H548" s="47">
        <f>IF($G548=0,0,IF(INDEX(Employees!$D$5:$D$29,$A548)="",0,DATEDIF(INDEX(Employees!$D$5:$D$29,$A548),$E548,"y")))</f>
        <v/>
      </c>
      <c r="I548" s="48">
        <f>IF($G548=0,0,IF(INDEX('Hours Worked'!$D$5:$BD$29,$A548,$B548)="",N(INDEX(Employees!$H$5:$H$29,$A548)),INDEX('Hours Worked'!$D$5:$BD$29,$A548,$B548)))</f>
        <v/>
      </c>
      <c r="J548" s="48">
        <f>IF(OR($G548=0,INDEX(Employees!$O$5:$O$29,$A548)&lt;&gt;"Yes"),0,IF(COUNTIF(Settings!$D$4:$D$9,"&lt;="&amp;$H548)=0,0,INDEX(Settings!$E$4:$E$9,COUNTIF(Settings!$D$4:$D$9,"&lt;="&amp;$H548))))</f>
        <v/>
      </c>
      <c r="K548" s="48">
        <f>IF($G548=0,0,IF(INDEX(Employees!$I$5:$I$29,$A548)="Per pay period",(N(INDEX(Employees!$J$5:$J$29,$A548))+$J548)/Settings!$B$13,IF(INDEX(Employees!$I$5:$I$29,$A548)="Per hour worked",N(INDEX(Employees!$K$5:$K$29,$A548))*$I548,IF(INDEX(Employees!$I$5:$I$29,$A548)="Front-loaded",IF(OR($B548=1,N($G547)=0),N(INDEX(Employees!$J$5:$J$29,$A548))+$J548,0),0))))</f>
        <v/>
      </c>
      <c r="L548" s="48">
        <f>IF($F548=0,0,SUMIFS('Time Off Log'!$H$5:$H$504,'Time Off Log'!$A$5:$A$504,$C548,'Time Off Log'!$B$5:$B$504,"PTO",'Time Off Log'!$E$5:$E$504,"Approved",'Time Off Log'!$C$5:$C$504,"&gt;="&amp;INDEX(Periods!$E$5:$E$57,$B548),'Time Off Log'!$C$5:$C$504,"&lt;="&amp;INDEX(Periods!$F$5:$F$57,$B548)))</f>
        <v/>
      </c>
      <c r="M548" s="48">
        <f>IF($B548=1,N(INDEX(Employees!$N$5:$N$29,$A548)),P547)</f>
        <v/>
      </c>
      <c r="N548" s="48">
        <f>IF(INDEX(Employees!$L$5:$L$29,$A548)="",K548,MAX(0,MIN(K548,INDEX(Employees!$L$5:$L$29,$A548)-(M548-L548))))</f>
        <v/>
      </c>
      <c r="O548" s="48">
        <f>K548-N548</f>
        <v/>
      </c>
      <c r="P548" s="48">
        <f>M548-L548+N548</f>
        <v/>
      </c>
      <c r="Q548" s="48">
        <f>IF($G548=0,0,IF(INDEX(Employees!$P$5:$P$29,$A548)="Per pay period",(N(INDEX(Employees!$Q$5:$Q$29,$A548)))/Settings!$B$13,IF(INDEX(Employees!$P$5:$P$29,$A548)="Per hour worked",N(INDEX(Employees!$R$5:$R$29,$A548))*$I548,IF(INDEX(Employees!$P$5:$P$29,$A548)="Front-loaded",IF(OR($B548=1,N($G547)=0),N(INDEX(Employees!$Q$5:$Q$29,$A548)),0),0))))</f>
        <v/>
      </c>
      <c r="R548" s="48">
        <f>IF($F548=0,0,SUMIFS('Time Off Log'!$H$5:$H$504,'Time Off Log'!$A$5:$A$504,$C548,'Time Off Log'!$B$5:$B$504,"Sick",'Time Off Log'!$E$5:$E$504,"Approved",'Time Off Log'!$C$5:$C$504,"&gt;="&amp;INDEX(Periods!$E$5:$E$57,$B548),'Time Off Log'!$C$5:$C$504,"&lt;="&amp;INDEX(Periods!$F$5:$F$57,$B548)))</f>
        <v/>
      </c>
      <c r="S548" s="48">
        <f>IF($B548=1,N(INDEX(Employees!$T$5:$T$29,$A548)),V547)</f>
        <v/>
      </c>
      <c r="T548" s="48">
        <f>IF(INDEX(Employees!$S$5:$S$29,$A548)="",Q548,MAX(0,MIN(Q548,INDEX(Employees!$S$5:$S$29,$A548)-(S548-R548))))</f>
        <v/>
      </c>
      <c r="U548" s="48">
        <f>Q548-T548</f>
        <v/>
      </c>
      <c r="V548" s="48">
        <f>S548-R548+T548</f>
        <v/>
      </c>
    </row>
    <row r="549">
      <c r="A549" s="47" t="n">
        <v>11</v>
      </c>
      <c r="B549" s="47" t="n">
        <v>15</v>
      </c>
      <c r="C549" s="48">
        <f>INDEX(Employees!$B$5:$B$29,$A549)&amp;""</f>
        <v/>
      </c>
      <c r="D549" s="49">
        <f>INDEX(Periods!$B$5:$B$57,$B549)</f>
        <v/>
      </c>
      <c r="E549" s="49">
        <f>INDEX(Periods!$C$5:$C$57,$B549)</f>
        <v/>
      </c>
      <c r="F549" s="47">
        <f>IF(AND($C549&lt;&gt;"",INDEX(Periods!$D$5:$D$57,$B549)=1),1,0)</f>
        <v/>
      </c>
      <c r="G549" s="47">
        <f>IF($F549=0,0,IF(AND(OR(INDEX(Employees!$D$5:$D$29,$A549)="",$E549&gt;=INDEX(Employees!$D$5:$D$29,$A549)+N(INDEX(Employees!$U$5:$U$29,$A549))),OR(INDEX(Employees!$E$5:$E$29,$A549)="",$D549&lt;=INDEX(Employees!$E$5:$E$29,$A549))),1,0))</f>
        <v/>
      </c>
      <c r="H549" s="47">
        <f>IF($G549=0,0,IF(INDEX(Employees!$D$5:$D$29,$A549)="",0,DATEDIF(INDEX(Employees!$D$5:$D$29,$A549),$E549,"y")))</f>
        <v/>
      </c>
      <c r="I549" s="48">
        <f>IF($G549=0,0,IF(INDEX('Hours Worked'!$D$5:$BD$29,$A549,$B549)="",N(INDEX(Employees!$H$5:$H$29,$A549)),INDEX('Hours Worked'!$D$5:$BD$29,$A549,$B549)))</f>
        <v/>
      </c>
      <c r="J549" s="48">
        <f>IF(OR($G549=0,INDEX(Employees!$O$5:$O$29,$A549)&lt;&gt;"Yes"),0,IF(COUNTIF(Settings!$D$4:$D$9,"&lt;="&amp;$H549)=0,0,INDEX(Settings!$E$4:$E$9,COUNTIF(Settings!$D$4:$D$9,"&lt;="&amp;$H549))))</f>
        <v/>
      </c>
      <c r="K549" s="48">
        <f>IF($G549=0,0,IF(INDEX(Employees!$I$5:$I$29,$A549)="Per pay period",(N(INDEX(Employees!$J$5:$J$29,$A549))+$J549)/Settings!$B$13,IF(INDEX(Employees!$I$5:$I$29,$A549)="Per hour worked",N(INDEX(Employees!$K$5:$K$29,$A549))*$I549,IF(INDEX(Employees!$I$5:$I$29,$A549)="Front-loaded",IF(OR($B549=1,N($G548)=0),N(INDEX(Employees!$J$5:$J$29,$A549))+$J549,0),0))))</f>
        <v/>
      </c>
      <c r="L549" s="48">
        <f>IF($F549=0,0,SUMIFS('Time Off Log'!$H$5:$H$504,'Time Off Log'!$A$5:$A$504,$C549,'Time Off Log'!$B$5:$B$504,"PTO",'Time Off Log'!$E$5:$E$504,"Approved",'Time Off Log'!$C$5:$C$504,"&gt;="&amp;INDEX(Periods!$E$5:$E$57,$B549),'Time Off Log'!$C$5:$C$504,"&lt;="&amp;INDEX(Periods!$F$5:$F$57,$B549)))</f>
        <v/>
      </c>
      <c r="M549" s="48">
        <f>IF($B549=1,N(INDEX(Employees!$N$5:$N$29,$A549)),P548)</f>
        <v/>
      </c>
      <c r="N549" s="48">
        <f>IF(INDEX(Employees!$L$5:$L$29,$A549)="",K549,MAX(0,MIN(K549,INDEX(Employees!$L$5:$L$29,$A549)-(M549-L549))))</f>
        <v/>
      </c>
      <c r="O549" s="48">
        <f>K549-N549</f>
        <v/>
      </c>
      <c r="P549" s="48">
        <f>M549-L549+N549</f>
        <v/>
      </c>
      <c r="Q549" s="48">
        <f>IF($G549=0,0,IF(INDEX(Employees!$P$5:$P$29,$A549)="Per pay period",(N(INDEX(Employees!$Q$5:$Q$29,$A549)))/Settings!$B$13,IF(INDEX(Employees!$P$5:$P$29,$A549)="Per hour worked",N(INDEX(Employees!$R$5:$R$29,$A549))*$I549,IF(INDEX(Employees!$P$5:$P$29,$A549)="Front-loaded",IF(OR($B549=1,N($G548)=0),N(INDEX(Employees!$Q$5:$Q$29,$A549)),0),0))))</f>
        <v/>
      </c>
      <c r="R549" s="48">
        <f>IF($F549=0,0,SUMIFS('Time Off Log'!$H$5:$H$504,'Time Off Log'!$A$5:$A$504,$C549,'Time Off Log'!$B$5:$B$504,"Sick",'Time Off Log'!$E$5:$E$504,"Approved",'Time Off Log'!$C$5:$C$504,"&gt;="&amp;INDEX(Periods!$E$5:$E$57,$B549),'Time Off Log'!$C$5:$C$504,"&lt;="&amp;INDEX(Periods!$F$5:$F$57,$B549)))</f>
        <v/>
      </c>
      <c r="S549" s="48">
        <f>IF($B549=1,N(INDEX(Employees!$T$5:$T$29,$A549)),V548)</f>
        <v/>
      </c>
      <c r="T549" s="48">
        <f>IF(INDEX(Employees!$S$5:$S$29,$A549)="",Q549,MAX(0,MIN(Q549,INDEX(Employees!$S$5:$S$29,$A549)-(S549-R549))))</f>
        <v/>
      </c>
      <c r="U549" s="48">
        <f>Q549-T549</f>
        <v/>
      </c>
      <c r="V549" s="48">
        <f>S549-R549+T549</f>
        <v/>
      </c>
    </row>
    <row r="550">
      <c r="A550" s="47" t="n">
        <v>11</v>
      </c>
      <c r="B550" s="47" t="n">
        <v>16</v>
      </c>
      <c r="C550" s="48">
        <f>INDEX(Employees!$B$5:$B$29,$A550)&amp;""</f>
        <v/>
      </c>
      <c r="D550" s="49">
        <f>INDEX(Periods!$B$5:$B$57,$B550)</f>
        <v/>
      </c>
      <c r="E550" s="49">
        <f>INDEX(Periods!$C$5:$C$57,$B550)</f>
        <v/>
      </c>
      <c r="F550" s="47">
        <f>IF(AND($C550&lt;&gt;"",INDEX(Periods!$D$5:$D$57,$B550)=1),1,0)</f>
        <v/>
      </c>
      <c r="G550" s="47">
        <f>IF($F550=0,0,IF(AND(OR(INDEX(Employees!$D$5:$D$29,$A550)="",$E550&gt;=INDEX(Employees!$D$5:$D$29,$A550)+N(INDEX(Employees!$U$5:$U$29,$A550))),OR(INDEX(Employees!$E$5:$E$29,$A550)="",$D550&lt;=INDEX(Employees!$E$5:$E$29,$A550))),1,0))</f>
        <v/>
      </c>
      <c r="H550" s="47">
        <f>IF($G550=0,0,IF(INDEX(Employees!$D$5:$D$29,$A550)="",0,DATEDIF(INDEX(Employees!$D$5:$D$29,$A550),$E550,"y")))</f>
        <v/>
      </c>
      <c r="I550" s="48">
        <f>IF($G550=0,0,IF(INDEX('Hours Worked'!$D$5:$BD$29,$A550,$B550)="",N(INDEX(Employees!$H$5:$H$29,$A550)),INDEX('Hours Worked'!$D$5:$BD$29,$A550,$B550)))</f>
        <v/>
      </c>
      <c r="J550" s="48">
        <f>IF(OR($G550=0,INDEX(Employees!$O$5:$O$29,$A550)&lt;&gt;"Yes"),0,IF(COUNTIF(Settings!$D$4:$D$9,"&lt;="&amp;$H550)=0,0,INDEX(Settings!$E$4:$E$9,COUNTIF(Settings!$D$4:$D$9,"&lt;="&amp;$H550))))</f>
        <v/>
      </c>
      <c r="K550" s="48">
        <f>IF($G550=0,0,IF(INDEX(Employees!$I$5:$I$29,$A550)="Per pay period",(N(INDEX(Employees!$J$5:$J$29,$A550))+$J550)/Settings!$B$13,IF(INDEX(Employees!$I$5:$I$29,$A550)="Per hour worked",N(INDEX(Employees!$K$5:$K$29,$A550))*$I550,IF(INDEX(Employees!$I$5:$I$29,$A550)="Front-loaded",IF(OR($B550=1,N($G549)=0),N(INDEX(Employees!$J$5:$J$29,$A550))+$J550,0),0))))</f>
        <v/>
      </c>
      <c r="L550" s="48">
        <f>IF($F550=0,0,SUMIFS('Time Off Log'!$H$5:$H$504,'Time Off Log'!$A$5:$A$504,$C550,'Time Off Log'!$B$5:$B$504,"PTO",'Time Off Log'!$E$5:$E$504,"Approved",'Time Off Log'!$C$5:$C$504,"&gt;="&amp;INDEX(Periods!$E$5:$E$57,$B550),'Time Off Log'!$C$5:$C$504,"&lt;="&amp;INDEX(Periods!$F$5:$F$57,$B550)))</f>
        <v/>
      </c>
      <c r="M550" s="48">
        <f>IF($B550=1,N(INDEX(Employees!$N$5:$N$29,$A550)),P549)</f>
        <v/>
      </c>
      <c r="N550" s="48">
        <f>IF(INDEX(Employees!$L$5:$L$29,$A550)="",K550,MAX(0,MIN(K550,INDEX(Employees!$L$5:$L$29,$A550)-(M550-L550))))</f>
        <v/>
      </c>
      <c r="O550" s="48">
        <f>K550-N550</f>
        <v/>
      </c>
      <c r="P550" s="48">
        <f>M550-L550+N550</f>
        <v/>
      </c>
      <c r="Q550" s="48">
        <f>IF($G550=0,0,IF(INDEX(Employees!$P$5:$P$29,$A550)="Per pay period",(N(INDEX(Employees!$Q$5:$Q$29,$A550)))/Settings!$B$13,IF(INDEX(Employees!$P$5:$P$29,$A550)="Per hour worked",N(INDEX(Employees!$R$5:$R$29,$A550))*$I550,IF(INDEX(Employees!$P$5:$P$29,$A550)="Front-loaded",IF(OR($B550=1,N($G549)=0),N(INDEX(Employees!$Q$5:$Q$29,$A550)),0),0))))</f>
        <v/>
      </c>
      <c r="R550" s="48">
        <f>IF($F550=0,0,SUMIFS('Time Off Log'!$H$5:$H$504,'Time Off Log'!$A$5:$A$504,$C550,'Time Off Log'!$B$5:$B$504,"Sick",'Time Off Log'!$E$5:$E$504,"Approved",'Time Off Log'!$C$5:$C$504,"&gt;="&amp;INDEX(Periods!$E$5:$E$57,$B550),'Time Off Log'!$C$5:$C$504,"&lt;="&amp;INDEX(Periods!$F$5:$F$57,$B550)))</f>
        <v/>
      </c>
      <c r="S550" s="48">
        <f>IF($B550=1,N(INDEX(Employees!$T$5:$T$29,$A550)),V549)</f>
        <v/>
      </c>
      <c r="T550" s="48">
        <f>IF(INDEX(Employees!$S$5:$S$29,$A550)="",Q550,MAX(0,MIN(Q550,INDEX(Employees!$S$5:$S$29,$A550)-(S550-R550))))</f>
        <v/>
      </c>
      <c r="U550" s="48">
        <f>Q550-T550</f>
        <v/>
      </c>
      <c r="V550" s="48">
        <f>S550-R550+T550</f>
        <v/>
      </c>
    </row>
    <row r="551">
      <c r="A551" s="47" t="n">
        <v>11</v>
      </c>
      <c r="B551" s="47" t="n">
        <v>17</v>
      </c>
      <c r="C551" s="48">
        <f>INDEX(Employees!$B$5:$B$29,$A551)&amp;""</f>
        <v/>
      </c>
      <c r="D551" s="49">
        <f>INDEX(Periods!$B$5:$B$57,$B551)</f>
        <v/>
      </c>
      <c r="E551" s="49">
        <f>INDEX(Periods!$C$5:$C$57,$B551)</f>
        <v/>
      </c>
      <c r="F551" s="47">
        <f>IF(AND($C551&lt;&gt;"",INDEX(Periods!$D$5:$D$57,$B551)=1),1,0)</f>
        <v/>
      </c>
      <c r="G551" s="47">
        <f>IF($F551=0,0,IF(AND(OR(INDEX(Employees!$D$5:$D$29,$A551)="",$E551&gt;=INDEX(Employees!$D$5:$D$29,$A551)+N(INDEX(Employees!$U$5:$U$29,$A551))),OR(INDEX(Employees!$E$5:$E$29,$A551)="",$D551&lt;=INDEX(Employees!$E$5:$E$29,$A551))),1,0))</f>
        <v/>
      </c>
      <c r="H551" s="47">
        <f>IF($G551=0,0,IF(INDEX(Employees!$D$5:$D$29,$A551)="",0,DATEDIF(INDEX(Employees!$D$5:$D$29,$A551),$E551,"y")))</f>
        <v/>
      </c>
      <c r="I551" s="48">
        <f>IF($G551=0,0,IF(INDEX('Hours Worked'!$D$5:$BD$29,$A551,$B551)="",N(INDEX(Employees!$H$5:$H$29,$A551)),INDEX('Hours Worked'!$D$5:$BD$29,$A551,$B551)))</f>
        <v/>
      </c>
      <c r="J551" s="48">
        <f>IF(OR($G551=0,INDEX(Employees!$O$5:$O$29,$A551)&lt;&gt;"Yes"),0,IF(COUNTIF(Settings!$D$4:$D$9,"&lt;="&amp;$H551)=0,0,INDEX(Settings!$E$4:$E$9,COUNTIF(Settings!$D$4:$D$9,"&lt;="&amp;$H551))))</f>
        <v/>
      </c>
      <c r="K551" s="48">
        <f>IF($G551=0,0,IF(INDEX(Employees!$I$5:$I$29,$A551)="Per pay period",(N(INDEX(Employees!$J$5:$J$29,$A551))+$J551)/Settings!$B$13,IF(INDEX(Employees!$I$5:$I$29,$A551)="Per hour worked",N(INDEX(Employees!$K$5:$K$29,$A551))*$I551,IF(INDEX(Employees!$I$5:$I$29,$A551)="Front-loaded",IF(OR($B551=1,N($G550)=0),N(INDEX(Employees!$J$5:$J$29,$A551))+$J551,0),0))))</f>
        <v/>
      </c>
      <c r="L551" s="48">
        <f>IF($F551=0,0,SUMIFS('Time Off Log'!$H$5:$H$504,'Time Off Log'!$A$5:$A$504,$C551,'Time Off Log'!$B$5:$B$504,"PTO",'Time Off Log'!$E$5:$E$504,"Approved",'Time Off Log'!$C$5:$C$504,"&gt;="&amp;INDEX(Periods!$E$5:$E$57,$B551),'Time Off Log'!$C$5:$C$504,"&lt;="&amp;INDEX(Periods!$F$5:$F$57,$B551)))</f>
        <v/>
      </c>
      <c r="M551" s="48">
        <f>IF($B551=1,N(INDEX(Employees!$N$5:$N$29,$A551)),P550)</f>
        <v/>
      </c>
      <c r="N551" s="48">
        <f>IF(INDEX(Employees!$L$5:$L$29,$A551)="",K551,MAX(0,MIN(K551,INDEX(Employees!$L$5:$L$29,$A551)-(M551-L551))))</f>
        <v/>
      </c>
      <c r="O551" s="48">
        <f>K551-N551</f>
        <v/>
      </c>
      <c r="P551" s="48">
        <f>M551-L551+N551</f>
        <v/>
      </c>
      <c r="Q551" s="48">
        <f>IF($G551=0,0,IF(INDEX(Employees!$P$5:$P$29,$A551)="Per pay period",(N(INDEX(Employees!$Q$5:$Q$29,$A551)))/Settings!$B$13,IF(INDEX(Employees!$P$5:$P$29,$A551)="Per hour worked",N(INDEX(Employees!$R$5:$R$29,$A551))*$I551,IF(INDEX(Employees!$P$5:$P$29,$A551)="Front-loaded",IF(OR($B551=1,N($G550)=0),N(INDEX(Employees!$Q$5:$Q$29,$A551)),0),0))))</f>
        <v/>
      </c>
      <c r="R551" s="48">
        <f>IF($F551=0,0,SUMIFS('Time Off Log'!$H$5:$H$504,'Time Off Log'!$A$5:$A$504,$C551,'Time Off Log'!$B$5:$B$504,"Sick",'Time Off Log'!$E$5:$E$504,"Approved",'Time Off Log'!$C$5:$C$504,"&gt;="&amp;INDEX(Periods!$E$5:$E$57,$B551),'Time Off Log'!$C$5:$C$504,"&lt;="&amp;INDEX(Periods!$F$5:$F$57,$B551)))</f>
        <v/>
      </c>
      <c r="S551" s="48">
        <f>IF($B551=1,N(INDEX(Employees!$T$5:$T$29,$A551)),V550)</f>
        <v/>
      </c>
      <c r="T551" s="48">
        <f>IF(INDEX(Employees!$S$5:$S$29,$A551)="",Q551,MAX(0,MIN(Q551,INDEX(Employees!$S$5:$S$29,$A551)-(S551-R551))))</f>
        <v/>
      </c>
      <c r="U551" s="48">
        <f>Q551-T551</f>
        <v/>
      </c>
      <c r="V551" s="48">
        <f>S551-R551+T551</f>
        <v/>
      </c>
    </row>
    <row r="552">
      <c r="A552" s="47" t="n">
        <v>11</v>
      </c>
      <c r="B552" s="47" t="n">
        <v>18</v>
      </c>
      <c r="C552" s="48">
        <f>INDEX(Employees!$B$5:$B$29,$A552)&amp;""</f>
        <v/>
      </c>
      <c r="D552" s="49">
        <f>INDEX(Periods!$B$5:$B$57,$B552)</f>
        <v/>
      </c>
      <c r="E552" s="49">
        <f>INDEX(Periods!$C$5:$C$57,$B552)</f>
        <v/>
      </c>
      <c r="F552" s="47">
        <f>IF(AND($C552&lt;&gt;"",INDEX(Periods!$D$5:$D$57,$B552)=1),1,0)</f>
        <v/>
      </c>
      <c r="G552" s="47">
        <f>IF($F552=0,0,IF(AND(OR(INDEX(Employees!$D$5:$D$29,$A552)="",$E552&gt;=INDEX(Employees!$D$5:$D$29,$A552)+N(INDEX(Employees!$U$5:$U$29,$A552))),OR(INDEX(Employees!$E$5:$E$29,$A552)="",$D552&lt;=INDEX(Employees!$E$5:$E$29,$A552))),1,0))</f>
        <v/>
      </c>
      <c r="H552" s="47">
        <f>IF($G552=0,0,IF(INDEX(Employees!$D$5:$D$29,$A552)="",0,DATEDIF(INDEX(Employees!$D$5:$D$29,$A552),$E552,"y")))</f>
        <v/>
      </c>
      <c r="I552" s="48">
        <f>IF($G552=0,0,IF(INDEX('Hours Worked'!$D$5:$BD$29,$A552,$B552)="",N(INDEX(Employees!$H$5:$H$29,$A552)),INDEX('Hours Worked'!$D$5:$BD$29,$A552,$B552)))</f>
        <v/>
      </c>
      <c r="J552" s="48">
        <f>IF(OR($G552=0,INDEX(Employees!$O$5:$O$29,$A552)&lt;&gt;"Yes"),0,IF(COUNTIF(Settings!$D$4:$D$9,"&lt;="&amp;$H552)=0,0,INDEX(Settings!$E$4:$E$9,COUNTIF(Settings!$D$4:$D$9,"&lt;="&amp;$H552))))</f>
        <v/>
      </c>
      <c r="K552" s="48">
        <f>IF($G552=0,0,IF(INDEX(Employees!$I$5:$I$29,$A552)="Per pay period",(N(INDEX(Employees!$J$5:$J$29,$A552))+$J552)/Settings!$B$13,IF(INDEX(Employees!$I$5:$I$29,$A552)="Per hour worked",N(INDEX(Employees!$K$5:$K$29,$A552))*$I552,IF(INDEX(Employees!$I$5:$I$29,$A552)="Front-loaded",IF(OR($B552=1,N($G551)=0),N(INDEX(Employees!$J$5:$J$29,$A552))+$J552,0),0))))</f>
        <v/>
      </c>
      <c r="L552" s="48">
        <f>IF($F552=0,0,SUMIFS('Time Off Log'!$H$5:$H$504,'Time Off Log'!$A$5:$A$504,$C552,'Time Off Log'!$B$5:$B$504,"PTO",'Time Off Log'!$E$5:$E$504,"Approved",'Time Off Log'!$C$5:$C$504,"&gt;="&amp;INDEX(Periods!$E$5:$E$57,$B552),'Time Off Log'!$C$5:$C$504,"&lt;="&amp;INDEX(Periods!$F$5:$F$57,$B552)))</f>
        <v/>
      </c>
      <c r="M552" s="48">
        <f>IF($B552=1,N(INDEX(Employees!$N$5:$N$29,$A552)),P551)</f>
        <v/>
      </c>
      <c r="N552" s="48">
        <f>IF(INDEX(Employees!$L$5:$L$29,$A552)="",K552,MAX(0,MIN(K552,INDEX(Employees!$L$5:$L$29,$A552)-(M552-L552))))</f>
        <v/>
      </c>
      <c r="O552" s="48">
        <f>K552-N552</f>
        <v/>
      </c>
      <c r="P552" s="48">
        <f>M552-L552+N552</f>
        <v/>
      </c>
      <c r="Q552" s="48">
        <f>IF($G552=0,0,IF(INDEX(Employees!$P$5:$P$29,$A552)="Per pay period",(N(INDEX(Employees!$Q$5:$Q$29,$A552)))/Settings!$B$13,IF(INDEX(Employees!$P$5:$P$29,$A552)="Per hour worked",N(INDEX(Employees!$R$5:$R$29,$A552))*$I552,IF(INDEX(Employees!$P$5:$P$29,$A552)="Front-loaded",IF(OR($B552=1,N($G551)=0),N(INDEX(Employees!$Q$5:$Q$29,$A552)),0),0))))</f>
        <v/>
      </c>
      <c r="R552" s="48">
        <f>IF($F552=0,0,SUMIFS('Time Off Log'!$H$5:$H$504,'Time Off Log'!$A$5:$A$504,$C552,'Time Off Log'!$B$5:$B$504,"Sick",'Time Off Log'!$E$5:$E$504,"Approved",'Time Off Log'!$C$5:$C$504,"&gt;="&amp;INDEX(Periods!$E$5:$E$57,$B552),'Time Off Log'!$C$5:$C$504,"&lt;="&amp;INDEX(Periods!$F$5:$F$57,$B552)))</f>
        <v/>
      </c>
      <c r="S552" s="48">
        <f>IF($B552=1,N(INDEX(Employees!$T$5:$T$29,$A552)),V551)</f>
        <v/>
      </c>
      <c r="T552" s="48">
        <f>IF(INDEX(Employees!$S$5:$S$29,$A552)="",Q552,MAX(0,MIN(Q552,INDEX(Employees!$S$5:$S$29,$A552)-(S552-R552))))</f>
        <v/>
      </c>
      <c r="U552" s="48">
        <f>Q552-T552</f>
        <v/>
      </c>
      <c r="V552" s="48">
        <f>S552-R552+T552</f>
        <v/>
      </c>
    </row>
    <row r="553">
      <c r="A553" s="47" t="n">
        <v>11</v>
      </c>
      <c r="B553" s="47" t="n">
        <v>19</v>
      </c>
      <c r="C553" s="48">
        <f>INDEX(Employees!$B$5:$B$29,$A553)&amp;""</f>
        <v/>
      </c>
      <c r="D553" s="49">
        <f>INDEX(Periods!$B$5:$B$57,$B553)</f>
        <v/>
      </c>
      <c r="E553" s="49">
        <f>INDEX(Periods!$C$5:$C$57,$B553)</f>
        <v/>
      </c>
      <c r="F553" s="47">
        <f>IF(AND($C553&lt;&gt;"",INDEX(Periods!$D$5:$D$57,$B553)=1),1,0)</f>
        <v/>
      </c>
      <c r="G553" s="47">
        <f>IF($F553=0,0,IF(AND(OR(INDEX(Employees!$D$5:$D$29,$A553)="",$E553&gt;=INDEX(Employees!$D$5:$D$29,$A553)+N(INDEX(Employees!$U$5:$U$29,$A553))),OR(INDEX(Employees!$E$5:$E$29,$A553)="",$D553&lt;=INDEX(Employees!$E$5:$E$29,$A553))),1,0))</f>
        <v/>
      </c>
      <c r="H553" s="47">
        <f>IF($G553=0,0,IF(INDEX(Employees!$D$5:$D$29,$A553)="",0,DATEDIF(INDEX(Employees!$D$5:$D$29,$A553),$E553,"y")))</f>
        <v/>
      </c>
      <c r="I553" s="48">
        <f>IF($G553=0,0,IF(INDEX('Hours Worked'!$D$5:$BD$29,$A553,$B553)="",N(INDEX(Employees!$H$5:$H$29,$A553)),INDEX('Hours Worked'!$D$5:$BD$29,$A553,$B553)))</f>
        <v/>
      </c>
      <c r="J553" s="48">
        <f>IF(OR($G553=0,INDEX(Employees!$O$5:$O$29,$A553)&lt;&gt;"Yes"),0,IF(COUNTIF(Settings!$D$4:$D$9,"&lt;="&amp;$H553)=0,0,INDEX(Settings!$E$4:$E$9,COUNTIF(Settings!$D$4:$D$9,"&lt;="&amp;$H553))))</f>
        <v/>
      </c>
      <c r="K553" s="48">
        <f>IF($G553=0,0,IF(INDEX(Employees!$I$5:$I$29,$A553)="Per pay period",(N(INDEX(Employees!$J$5:$J$29,$A553))+$J553)/Settings!$B$13,IF(INDEX(Employees!$I$5:$I$29,$A553)="Per hour worked",N(INDEX(Employees!$K$5:$K$29,$A553))*$I553,IF(INDEX(Employees!$I$5:$I$29,$A553)="Front-loaded",IF(OR($B553=1,N($G552)=0),N(INDEX(Employees!$J$5:$J$29,$A553))+$J553,0),0))))</f>
        <v/>
      </c>
      <c r="L553" s="48">
        <f>IF($F553=0,0,SUMIFS('Time Off Log'!$H$5:$H$504,'Time Off Log'!$A$5:$A$504,$C553,'Time Off Log'!$B$5:$B$504,"PTO",'Time Off Log'!$E$5:$E$504,"Approved",'Time Off Log'!$C$5:$C$504,"&gt;="&amp;INDEX(Periods!$E$5:$E$57,$B553),'Time Off Log'!$C$5:$C$504,"&lt;="&amp;INDEX(Periods!$F$5:$F$57,$B553)))</f>
        <v/>
      </c>
      <c r="M553" s="48">
        <f>IF($B553=1,N(INDEX(Employees!$N$5:$N$29,$A553)),P552)</f>
        <v/>
      </c>
      <c r="N553" s="48">
        <f>IF(INDEX(Employees!$L$5:$L$29,$A553)="",K553,MAX(0,MIN(K553,INDEX(Employees!$L$5:$L$29,$A553)-(M553-L553))))</f>
        <v/>
      </c>
      <c r="O553" s="48">
        <f>K553-N553</f>
        <v/>
      </c>
      <c r="P553" s="48">
        <f>M553-L553+N553</f>
        <v/>
      </c>
      <c r="Q553" s="48">
        <f>IF($G553=0,0,IF(INDEX(Employees!$P$5:$P$29,$A553)="Per pay period",(N(INDEX(Employees!$Q$5:$Q$29,$A553)))/Settings!$B$13,IF(INDEX(Employees!$P$5:$P$29,$A553)="Per hour worked",N(INDEX(Employees!$R$5:$R$29,$A553))*$I553,IF(INDEX(Employees!$P$5:$P$29,$A553)="Front-loaded",IF(OR($B553=1,N($G552)=0),N(INDEX(Employees!$Q$5:$Q$29,$A553)),0),0))))</f>
        <v/>
      </c>
      <c r="R553" s="48">
        <f>IF($F553=0,0,SUMIFS('Time Off Log'!$H$5:$H$504,'Time Off Log'!$A$5:$A$504,$C553,'Time Off Log'!$B$5:$B$504,"Sick",'Time Off Log'!$E$5:$E$504,"Approved",'Time Off Log'!$C$5:$C$504,"&gt;="&amp;INDEX(Periods!$E$5:$E$57,$B553),'Time Off Log'!$C$5:$C$504,"&lt;="&amp;INDEX(Periods!$F$5:$F$57,$B553)))</f>
        <v/>
      </c>
      <c r="S553" s="48">
        <f>IF($B553=1,N(INDEX(Employees!$T$5:$T$29,$A553)),V552)</f>
        <v/>
      </c>
      <c r="T553" s="48">
        <f>IF(INDEX(Employees!$S$5:$S$29,$A553)="",Q553,MAX(0,MIN(Q553,INDEX(Employees!$S$5:$S$29,$A553)-(S553-R553))))</f>
        <v/>
      </c>
      <c r="U553" s="48">
        <f>Q553-T553</f>
        <v/>
      </c>
      <c r="V553" s="48">
        <f>S553-R553+T553</f>
        <v/>
      </c>
    </row>
    <row r="554">
      <c r="A554" s="47" t="n">
        <v>11</v>
      </c>
      <c r="B554" s="47" t="n">
        <v>20</v>
      </c>
      <c r="C554" s="48">
        <f>INDEX(Employees!$B$5:$B$29,$A554)&amp;""</f>
        <v/>
      </c>
      <c r="D554" s="49">
        <f>INDEX(Periods!$B$5:$B$57,$B554)</f>
        <v/>
      </c>
      <c r="E554" s="49">
        <f>INDEX(Periods!$C$5:$C$57,$B554)</f>
        <v/>
      </c>
      <c r="F554" s="47">
        <f>IF(AND($C554&lt;&gt;"",INDEX(Periods!$D$5:$D$57,$B554)=1),1,0)</f>
        <v/>
      </c>
      <c r="G554" s="47">
        <f>IF($F554=0,0,IF(AND(OR(INDEX(Employees!$D$5:$D$29,$A554)="",$E554&gt;=INDEX(Employees!$D$5:$D$29,$A554)+N(INDEX(Employees!$U$5:$U$29,$A554))),OR(INDEX(Employees!$E$5:$E$29,$A554)="",$D554&lt;=INDEX(Employees!$E$5:$E$29,$A554))),1,0))</f>
        <v/>
      </c>
      <c r="H554" s="47">
        <f>IF($G554=0,0,IF(INDEX(Employees!$D$5:$D$29,$A554)="",0,DATEDIF(INDEX(Employees!$D$5:$D$29,$A554),$E554,"y")))</f>
        <v/>
      </c>
      <c r="I554" s="48">
        <f>IF($G554=0,0,IF(INDEX('Hours Worked'!$D$5:$BD$29,$A554,$B554)="",N(INDEX(Employees!$H$5:$H$29,$A554)),INDEX('Hours Worked'!$D$5:$BD$29,$A554,$B554)))</f>
        <v/>
      </c>
      <c r="J554" s="48">
        <f>IF(OR($G554=0,INDEX(Employees!$O$5:$O$29,$A554)&lt;&gt;"Yes"),0,IF(COUNTIF(Settings!$D$4:$D$9,"&lt;="&amp;$H554)=0,0,INDEX(Settings!$E$4:$E$9,COUNTIF(Settings!$D$4:$D$9,"&lt;="&amp;$H554))))</f>
        <v/>
      </c>
      <c r="K554" s="48">
        <f>IF($G554=0,0,IF(INDEX(Employees!$I$5:$I$29,$A554)="Per pay period",(N(INDEX(Employees!$J$5:$J$29,$A554))+$J554)/Settings!$B$13,IF(INDEX(Employees!$I$5:$I$29,$A554)="Per hour worked",N(INDEX(Employees!$K$5:$K$29,$A554))*$I554,IF(INDEX(Employees!$I$5:$I$29,$A554)="Front-loaded",IF(OR($B554=1,N($G553)=0),N(INDEX(Employees!$J$5:$J$29,$A554))+$J554,0),0))))</f>
        <v/>
      </c>
      <c r="L554" s="48">
        <f>IF($F554=0,0,SUMIFS('Time Off Log'!$H$5:$H$504,'Time Off Log'!$A$5:$A$504,$C554,'Time Off Log'!$B$5:$B$504,"PTO",'Time Off Log'!$E$5:$E$504,"Approved",'Time Off Log'!$C$5:$C$504,"&gt;="&amp;INDEX(Periods!$E$5:$E$57,$B554),'Time Off Log'!$C$5:$C$504,"&lt;="&amp;INDEX(Periods!$F$5:$F$57,$B554)))</f>
        <v/>
      </c>
      <c r="M554" s="48">
        <f>IF($B554=1,N(INDEX(Employees!$N$5:$N$29,$A554)),P553)</f>
        <v/>
      </c>
      <c r="N554" s="48">
        <f>IF(INDEX(Employees!$L$5:$L$29,$A554)="",K554,MAX(0,MIN(K554,INDEX(Employees!$L$5:$L$29,$A554)-(M554-L554))))</f>
        <v/>
      </c>
      <c r="O554" s="48">
        <f>K554-N554</f>
        <v/>
      </c>
      <c r="P554" s="48">
        <f>M554-L554+N554</f>
        <v/>
      </c>
      <c r="Q554" s="48">
        <f>IF($G554=0,0,IF(INDEX(Employees!$P$5:$P$29,$A554)="Per pay period",(N(INDEX(Employees!$Q$5:$Q$29,$A554)))/Settings!$B$13,IF(INDEX(Employees!$P$5:$P$29,$A554)="Per hour worked",N(INDEX(Employees!$R$5:$R$29,$A554))*$I554,IF(INDEX(Employees!$P$5:$P$29,$A554)="Front-loaded",IF(OR($B554=1,N($G553)=0),N(INDEX(Employees!$Q$5:$Q$29,$A554)),0),0))))</f>
        <v/>
      </c>
      <c r="R554" s="48">
        <f>IF($F554=0,0,SUMIFS('Time Off Log'!$H$5:$H$504,'Time Off Log'!$A$5:$A$504,$C554,'Time Off Log'!$B$5:$B$504,"Sick",'Time Off Log'!$E$5:$E$504,"Approved",'Time Off Log'!$C$5:$C$504,"&gt;="&amp;INDEX(Periods!$E$5:$E$57,$B554),'Time Off Log'!$C$5:$C$504,"&lt;="&amp;INDEX(Periods!$F$5:$F$57,$B554)))</f>
        <v/>
      </c>
      <c r="S554" s="48">
        <f>IF($B554=1,N(INDEX(Employees!$T$5:$T$29,$A554)),V553)</f>
        <v/>
      </c>
      <c r="T554" s="48">
        <f>IF(INDEX(Employees!$S$5:$S$29,$A554)="",Q554,MAX(0,MIN(Q554,INDEX(Employees!$S$5:$S$29,$A554)-(S554-R554))))</f>
        <v/>
      </c>
      <c r="U554" s="48">
        <f>Q554-T554</f>
        <v/>
      </c>
      <c r="V554" s="48">
        <f>S554-R554+T554</f>
        <v/>
      </c>
    </row>
    <row r="555">
      <c r="A555" s="47" t="n">
        <v>11</v>
      </c>
      <c r="B555" s="47" t="n">
        <v>21</v>
      </c>
      <c r="C555" s="48">
        <f>INDEX(Employees!$B$5:$B$29,$A555)&amp;""</f>
        <v/>
      </c>
      <c r="D555" s="49">
        <f>INDEX(Periods!$B$5:$B$57,$B555)</f>
        <v/>
      </c>
      <c r="E555" s="49">
        <f>INDEX(Periods!$C$5:$C$57,$B555)</f>
        <v/>
      </c>
      <c r="F555" s="47">
        <f>IF(AND($C555&lt;&gt;"",INDEX(Periods!$D$5:$D$57,$B555)=1),1,0)</f>
        <v/>
      </c>
      <c r="G555" s="47">
        <f>IF($F555=0,0,IF(AND(OR(INDEX(Employees!$D$5:$D$29,$A555)="",$E555&gt;=INDEX(Employees!$D$5:$D$29,$A555)+N(INDEX(Employees!$U$5:$U$29,$A555))),OR(INDEX(Employees!$E$5:$E$29,$A555)="",$D555&lt;=INDEX(Employees!$E$5:$E$29,$A555))),1,0))</f>
        <v/>
      </c>
      <c r="H555" s="47">
        <f>IF($G555=0,0,IF(INDEX(Employees!$D$5:$D$29,$A555)="",0,DATEDIF(INDEX(Employees!$D$5:$D$29,$A555),$E555,"y")))</f>
        <v/>
      </c>
      <c r="I555" s="48">
        <f>IF($G555=0,0,IF(INDEX('Hours Worked'!$D$5:$BD$29,$A555,$B555)="",N(INDEX(Employees!$H$5:$H$29,$A555)),INDEX('Hours Worked'!$D$5:$BD$29,$A555,$B555)))</f>
        <v/>
      </c>
      <c r="J555" s="48">
        <f>IF(OR($G555=0,INDEX(Employees!$O$5:$O$29,$A555)&lt;&gt;"Yes"),0,IF(COUNTIF(Settings!$D$4:$D$9,"&lt;="&amp;$H555)=0,0,INDEX(Settings!$E$4:$E$9,COUNTIF(Settings!$D$4:$D$9,"&lt;="&amp;$H555))))</f>
        <v/>
      </c>
      <c r="K555" s="48">
        <f>IF($G555=0,0,IF(INDEX(Employees!$I$5:$I$29,$A555)="Per pay period",(N(INDEX(Employees!$J$5:$J$29,$A555))+$J555)/Settings!$B$13,IF(INDEX(Employees!$I$5:$I$29,$A555)="Per hour worked",N(INDEX(Employees!$K$5:$K$29,$A555))*$I555,IF(INDEX(Employees!$I$5:$I$29,$A555)="Front-loaded",IF(OR($B555=1,N($G554)=0),N(INDEX(Employees!$J$5:$J$29,$A555))+$J555,0),0))))</f>
        <v/>
      </c>
      <c r="L555" s="48">
        <f>IF($F555=0,0,SUMIFS('Time Off Log'!$H$5:$H$504,'Time Off Log'!$A$5:$A$504,$C555,'Time Off Log'!$B$5:$B$504,"PTO",'Time Off Log'!$E$5:$E$504,"Approved",'Time Off Log'!$C$5:$C$504,"&gt;="&amp;INDEX(Periods!$E$5:$E$57,$B555),'Time Off Log'!$C$5:$C$504,"&lt;="&amp;INDEX(Periods!$F$5:$F$57,$B555)))</f>
        <v/>
      </c>
      <c r="M555" s="48">
        <f>IF($B555=1,N(INDEX(Employees!$N$5:$N$29,$A555)),P554)</f>
        <v/>
      </c>
      <c r="N555" s="48">
        <f>IF(INDEX(Employees!$L$5:$L$29,$A555)="",K555,MAX(0,MIN(K555,INDEX(Employees!$L$5:$L$29,$A555)-(M555-L555))))</f>
        <v/>
      </c>
      <c r="O555" s="48">
        <f>K555-N555</f>
        <v/>
      </c>
      <c r="P555" s="48">
        <f>M555-L555+N555</f>
        <v/>
      </c>
      <c r="Q555" s="48">
        <f>IF($G555=0,0,IF(INDEX(Employees!$P$5:$P$29,$A555)="Per pay period",(N(INDEX(Employees!$Q$5:$Q$29,$A555)))/Settings!$B$13,IF(INDEX(Employees!$P$5:$P$29,$A555)="Per hour worked",N(INDEX(Employees!$R$5:$R$29,$A555))*$I555,IF(INDEX(Employees!$P$5:$P$29,$A555)="Front-loaded",IF(OR($B555=1,N($G554)=0),N(INDEX(Employees!$Q$5:$Q$29,$A555)),0),0))))</f>
        <v/>
      </c>
      <c r="R555" s="48">
        <f>IF($F555=0,0,SUMIFS('Time Off Log'!$H$5:$H$504,'Time Off Log'!$A$5:$A$504,$C555,'Time Off Log'!$B$5:$B$504,"Sick",'Time Off Log'!$E$5:$E$504,"Approved",'Time Off Log'!$C$5:$C$504,"&gt;="&amp;INDEX(Periods!$E$5:$E$57,$B555),'Time Off Log'!$C$5:$C$504,"&lt;="&amp;INDEX(Periods!$F$5:$F$57,$B555)))</f>
        <v/>
      </c>
      <c r="S555" s="48">
        <f>IF($B555=1,N(INDEX(Employees!$T$5:$T$29,$A555)),V554)</f>
        <v/>
      </c>
      <c r="T555" s="48">
        <f>IF(INDEX(Employees!$S$5:$S$29,$A555)="",Q555,MAX(0,MIN(Q555,INDEX(Employees!$S$5:$S$29,$A555)-(S555-R555))))</f>
        <v/>
      </c>
      <c r="U555" s="48">
        <f>Q555-T555</f>
        <v/>
      </c>
      <c r="V555" s="48">
        <f>S555-R555+T555</f>
        <v/>
      </c>
    </row>
    <row r="556">
      <c r="A556" s="47" t="n">
        <v>11</v>
      </c>
      <c r="B556" s="47" t="n">
        <v>22</v>
      </c>
      <c r="C556" s="48">
        <f>INDEX(Employees!$B$5:$B$29,$A556)&amp;""</f>
        <v/>
      </c>
      <c r="D556" s="49">
        <f>INDEX(Periods!$B$5:$B$57,$B556)</f>
        <v/>
      </c>
      <c r="E556" s="49">
        <f>INDEX(Periods!$C$5:$C$57,$B556)</f>
        <v/>
      </c>
      <c r="F556" s="47">
        <f>IF(AND($C556&lt;&gt;"",INDEX(Periods!$D$5:$D$57,$B556)=1),1,0)</f>
        <v/>
      </c>
      <c r="G556" s="47">
        <f>IF($F556=0,0,IF(AND(OR(INDEX(Employees!$D$5:$D$29,$A556)="",$E556&gt;=INDEX(Employees!$D$5:$D$29,$A556)+N(INDEX(Employees!$U$5:$U$29,$A556))),OR(INDEX(Employees!$E$5:$E$29,$A556)="",$D556&lt;=INDEX(Employees!$E$5:$E$29,$A556))),1,0))</f>
        <v/>
      </c>
      <c r="H556" s="47">
        <f>IF($G556=0,0,IF(INDEX(Employees!$D$5:$D$29,$A556)="",0,DATEDIF(INDEX(Employees!$D$5:$D$29,$A556),$E556,"y")))</f>
        <v/>
      </c>
      <c r="I556" s="48">
        <f>IF($G556=0,0,IF(INDEX('Hours Worked'!$D$5:$BD$29,$A556,$B556)="",N(INDEX(Employees!$H$5:$H$29,$A556)),INDEX('Hours Worked'!$D$5:$BD$29,$A556,$B556)))</f>
        <v/>
      </c>
      <c r="J556" s="48">
        <f>IF(OR($G556=0,INDEX(Employees!$O$5:$O$29,$A556)&lt;&gt;"Yes"),0,IF(COUNTIF(Settings!$D$4:$D$9,"&lt;="&amp;$H556)=0,0,INDEX(Settings!$E$4:$E$9,COUNTIF(Settings!$D$4:$D$9,"&lt;="&amp;$H556))))</f>
        <v/>
      </c>
      <c r="K556" s="48">
        <f>IF($G556=0,0,IF(INDEX(Employees!$I$5:$I$29,$A556)="Per pay period",(N(INDEX(Employees!$J$5:$J$29,$A556))+$J556)/Settings!$B$13,IF(INDEX(Employees!$I$5:$I$29,$A556)="Per hour worked",N(INDEX(Employees!$K$5:$K$29,$A556))*$I556,IF(INDEX(Employees!$I$5:$I$29,$A556)="Front-loaded",IF(OR($B556=1,N($G555)=0),N(INDEX(Employees!$J$5:$J$29,$A556))+$J556,0),0))))</f>
        <v/>
      </c>
      <c r="L556" s="48">
        <f>IF($F556=0,0,SUMIFS('Time Off Log'!$H$5:$H$504,'Time Off Log'!$A$5:$A$504,$C556,'Time Off Log'!$B$5:$B$504,"PTO",'Time Off Log'!$E$5:$E$504,"Approved",'Time Off Log'!$C$5:$C$504,"&gt;="&amp;INDEX(Periods!$E$5:$E$57,$B556),'Time Off Log'!$C$5:$C$504,"&lt;="&amp;INDEX(Periods!$F$5:$F$57,$B556)))</f>
        <v/>
      </c>
      <c r="M556" s="48">
        <f>IF($B556=1,N(INDEX(Employees!$N$5:$N$29,$A556)),P555)</f>
        <v/>
      </c>
      <c r="N556" s="48">
        <f>IF(INDEX(Employees!$L$5:$L$29,$A556)="",K556,MAX(0,MIN(K556,INDEX(Employees!$L$5:$L$29,$A556)-(M556-L556))))</f>
        <v/>
      </c>
      <c r="O556" s="48">
        <f>K556-N556</f>
        <v/>
      </c>
      <c r="P556" s="48">
        <f>M556-L556+N556</f>
        <v/>
      </c>
      <c r="Q556" s="48">
        <f>IF($G556=0,0,IF(INDEX(Employees!$P$5:$P$29,$A556)="Per pay period",(N(INDEX(Employees!$Q$5:$Q$29,$A556)))/Settings!$B$13,IF(INDEX(Employees!$P$5:$P$29,$A556)="Per hour worked",N(INDEX(Employees!$R$5:$R$29,$A556))*$I556,IF(INDEX(Employees!$P$5:$P$29,$A556)="Front-loaded",IF(OR($B556=1,N($G555)=0),N(INDEX(Employees!$Q$5:$Q$29,$A556)),0),0))))</f>
        <v/>
      </c>
      <c r="R556" s="48">
        <f>IF($F556=0,0,SUMIFS('Time Off Log'!$H$5:$H$504,'Time Off Log'!$A$5:$A$504,$C556,'Time Off Log'!$B$5:$B$504,"Sick",'Time Off Log'!$E$5:$E$504,"Approved",'Time Off Log'!$C$5:$C$504,"&gt;="&amp;INDEX(Periods!$E$5:$E$57,$B556),'Time Off Log'!$C$5:$C$504,"&lt;="&amp;INDEX(Periods!$F$5:$F$57,$B556)))</f>
        <v/>
      </c>
      <c r="S556" s="48">
        <f>IF($B556=1,N(INDEX(Employees!$T$5:$T$29,$A556)),V555)</f>
        <v/>
      </c>
      <c r="T556" s="48">
        <f>IF(INDEX(Employees!$S$5:$S$29,$A556)="",Q556,MAX(0,MIN(Q556,INDEX(Employees!$S$5:$S$29,$A556)-(S556-R556))))</f>
        <v/>
      </c>
      <c r="U556" s="48">
        <f>Q556-T556</f>
        <v/>
      </c>
      <c r="V556" s="48">
        <f>S556-R556+T556</f>
        <v/>
      </c>
    </row>
    <row r="557">
      <c r="A557" s="47" t="n">
        <v>11</v>
      </c>
      <c r="B557" s="47" t="n">
        <v>23</v>
      </c>
      <c r="C557" s="48">
        <f>INDEX(Employees!$B$5:$B$29,$A557)&amp;""</f>
        <v/>
      </c>
      <c r="D557" s="49">
        <f>INDEX(Periods!$B$5:$B$57,$B557)</f>
        <v/>
      </c>
      <c r="E557" s="49">
        <f>INDEX(Periods!$C$5:$C$57,$B557)</f>
        <v/>
      </c>
      <c r="F557" s="47">
        <f>IF(AND($C557&lt;&gt;"",INDEX(Periods!$D$5:$D$57,$B557)=1),1,0)</f>
        <v/>
      </c>
      <c r="G557" s="47">
        <f>IF($F557=0,0,IF(AND(OR(INDEX(Employees!$D$5:$D$29,$A557)="",$E557&gt;=INDEX(Employees!$D$5:$D$29,$A557)+N(INDEX(Employees!$U$5:$U$29,$A557))),OR(INDEX(Employees!$E$5:$E$29,$A557)="",$D557&lt;=INDEX(Employees!$E$5:$E$29,$A557))),1,0))</f>
        <v/>
      </c>
      <c r="H557" s="47">
        <f>IF($G557=0,0,IF(INDEX(Employees!$D$5:$D$29,$A557)="",0,DATEDIF(INDEX(Employees!$D$5:$D$29,$A557),$E557,"y")))</f>
        <v/>
      </c>
      <c r="I557" s="48">
        <f>IF($G557=0,0,IF(INDEX('Hours Worked'!$D$5:$BD$29,$A557,$B557)="",N(INDEX(Employees!$H$5:$H$29,$A557)),INDEX('Hours Worked'!$D$5:$BD$29,$A557,$B557)))</f>
        <v/>
      </c>
      <c r="J557" s="48">
        <f>IF(OR($G557=0,INDEX(Employees!$O$5:$O$29,$A557)&lt;&gt;"Yes"),0,IF(COUNTIF(Settings!$D$4:$D$9,"&lt;="&amp;$H557)=0,0,INDEX(Settings!$E$4:$E$9,COUNTIF(Settings!$D$4:$D$9,"&lt;="&amp;$H557))))</f>
        <v/>
      </c>
      <c r="K557" s="48">
        <f>IF($G557=0,0,IF(INDEX(Employees!$I$5:$I$29,$A557)="Per pay period",(N(INDEX(Employees!$J$5:$J$29,$A557))+$J557)/Settings!$B$13,IF(INDEX(Employees!$I$5:$I$29,$A557)="Per hour worked",N(INDEX(Employees!$K$5:$K$29,$A557))*$I557,IF(INDEX(Employees!$I$5:$I$29,$A557)="Front-loaded",IF(OR($B557=1,N($G556)=0),N(INDEX(Employees!$J$5:$J$29,$A557))+$J557,0),0))))</f>
        <v/>
      </c>
      <c r="L557" s="48">
        <f>IF($F557=0,0,SUMIFS('Time Off Log'!$H$5:$H$504,'Time Off Log'!$A$5:$A$504,$C557,'Time Off Log'!$B$5:$B$504,"PTO",'Time Off Log'!$E$5:$E$504,"Approved",'Time Off Log'!$C$5:$C$504,"&gt;="&amp;INDEX(Periods!$E$5:$E$57,$B557),'Time Off Log'!$C$5:$C$504,"&lt;="&amp;INDEX(Periods!$F$5:$F$57,$B557)))</f>
        <v/>
      </c>
      <c r="M557" s="48">
        <f>IF($B557=1,N(INDEX(Employees!$N$5:$N$29,$A557)),P556)</f>
        <v/>
      </c>
      <c r="N557" s="48">
        <f>IF(INDEX(Employees!$L$5:$L$29,$A557)="",K557,MAX(0,MIN(K557,INDEX(Employees!$L$5:$L$29,$A557)-(M557-L557))))</f>
        <v/>
      </c>
      <c r="O557" s="48">
        <f>K557-N557</f>
        <v/>
      </c>
      <c r="P557" s="48">
        <f>M557-L557+N557</f>
        <v/>
      </c>
      <c r="Q557" s="48">
        <f>IF($G557=0,0,IF(INDEX(Employees!$P$5:$P$29,$A557)="Per pay period",(N(INDEX(Employees!$Q$5:$Q$29,$A557)))/Settings!$B$13,IF(INDEX(Employees!$P$5:$P$29,$A557)="Per hour worked",N(INDEX(Employees!$R$5:$R$29,$A557))*$I557,IF(INDEX(Employees!$P$5:$P$29,$A557)="Front-loaded",IF(OR($B557=1,N($G556)=0),N(INDEX(Employees!$Q$5:$Q$29,$A557)),0),0))))</f>
        <v/>
      </c>
      <c r="R557" s="48">
        <f>IF($F557=0,0,SUMIFS('Time Off Log'!$H$5:$H$504,'Time Off Log'!$A$5:$A$504,$C557,'Time Off Log'!$B$5:$B$504,"Sick",'Time Off Log'!$E$5:$E$504,"Approved",'Time Off Log'!$C$5:$C$504,"&gt;="&amp;INDEX(Periods!$E$5:$E$57,$B557),'Time Off Log'!$C$5:$C$504,"&lt;="&amp;INDEX(Periods!$F$5:$F$57,$B557)))</f>
        <v/>
      </c>
      <c r="S557" s="48">
        <f>IF($B557=1,N(INDEX(Employees!$T$5:$T$29,$A557)),V556)</f>
        <v/>
      </c>
      <c r="T557" s="48">
        <f>IF(INDEX(Employees!$S$5:$S$29,$A557)="",Q557,MAX(0,MIN(Q557,INDEX(Employees!$S$5:$S$29,$A557)-(S557-R557))))</f>
        <v/>
      </c>
      <c r="U557" s="48">
        <f>Q557-T557</f>
        <v/>
      </c>
      <c r="V557" s="48">
        <f>S557-R557+T557</f>
        <v/>
      </c>
    </row>
    <row r="558">
      <c r="A558" s="47" t="n">
        <v>11</v>
      </c>
      <c r="B558" s="47" t="n">
        <v>24</v>
      </c>
      <c r="C558" s="48">
        <f>INDEX(Employees!$B$5:$B$29,$A558)&amp;""</f>
        <v/>
      </c>
      <c r="D558" s="49">
        <f>INDEX(Periods!$B$5:$B$57,$B558)</f>
        <v/>
      </c>
      <c r="E558" s="49">
        <f>INDEX(Periods!$C$5:$C$57,$B558)</f>
        <v/>
      </c>
      <c r="F558" s="47">
        <f>IF(AND($C558&lt;&gt;"",INDEX(Periods!$D$5:$D$57,$B558)=1),1,0)</f>
        <v/>
      </c>
      <c r="G558" s="47">
        <f>IF($F558=0,0,IF(AND(OR(INDEX(Employees!$D$5:$D$29,$A558)="",$E558&gt;=INDEX(Employees!$D$5:$D$29,$A558)+N(INDEX(Employees!$U$5:$U$29,$A558))),OR(INDEX(Employees!$E$5:$E$29,$A558)="",$D558&lt;=INDEX(Employees!$E$5:$E$29,$A558))),1,0))</f>
        <v/>
      </c>
      <c r="H558" s="47">
        <f>IF($G558=0,0,IF(INDEX(Employees!$D$5:$D$29,$A558)="",0,DATEDIF(INDEX(Employees!$D$5:$D$29,$A558),$E558,"y")))</f>
        <v/>
      </c>
      <c r="I558" s="48">
        <f>IF($G558=0,0,IF(INDEX('Hours Worked'!$D$5:$BD$29,$A558,$B558)="",N(INDEX(Employees!$H$5:$H$29,$A558)),INDEX('Hours Worked'!$D$5:$BD$29,$A558,$B558)))</f>
        <v/>
      </c>
      <c r="J558" s="48">
        <f>IF(OR($G558=0,INDEX(Employees!$O$5:$O$29,$A558)&lt;&gt;"Yes"),0,IF(COUNTIF(Settings!$D$4:$D$9,"&lt;="&amp;$H558)=0,0,INDEX(Settings!$E$4:$E$9,COUNTIF(Settings!$D$4:$D$9,"&lt;="&amp;$H558))))</f>
        <v/>
      </c>
      <c r="K558" s="48">
        <f>IF($G558=0,0,IF(INDEX(Employees!$I$5:$I$29,$A558)="Per pay period",(N(INDEX(Employees!$J$5:$J$29,$A558))+$J558)/Settings!$B$13,IF(INDEX(Employees!$I$5:$I$29,$A558)="Per hour worked",N(INDEX(Employees!$K$5:$K$29,$A558))*$I558,IF(INDEX(Employees!$I$5:$I$29,$A558)="Front-loaded",IF(OR($B558=1,N($G557)=0),N(INDEX(Employees!$J$5:$J$29,$A558))+$J558,0),0))))</f>
        <v/>
      </c>
      <c r="L558" s="48">
        <f>IF($F558=0,0,SUMIFS('Time Off Log'!$H$5:$H$504,'Time Off Log'!$A$5:$A$504,$C558,'Time Off Log'!$B$5:$B$504,"PTO",'Time Off Log'!$E$5:$E$504,"Approved",'Time Off Log'!$C$5:$C$504,"&gt;="&amp;INDEX(Periods!$E$5:$E$57,$B558),'Time Off Log'!$C$5:$C$504,"&lt;="&amp;INDEX(Periods!$F$5:$F$57,$B558)))</f>
        <v/>
      </c>
      <c r="M558" s="48">
        <f>IF($B558=1,N(INDEX(Employees!$N$5:$N$29,$A558)),P557)</f>
        <v/>
      </c>
      <c r="N558" s="48">
        <f>IF(INDEX(Employees!$L$5:$L$29,$A558)="",K558,MAX(0,MIN(K558,INDEX(Employees!$L$5:$L$29,$A558)-(M558-L558))))</f>
        <v/>
      </c>
      <c r="O558" s="48">
        <f>K558-N558</f>
        <v/>
      </c>
      <c r="P558" s="48">
        <f>M558-L558+N558</f>
        <v/>
      </c>
      <c r="Q558" s="48">
        <f>IF($G558=0,0,IF(INDEX(Employees!$P$5:$P$29,$A558)="Per pay period",(N(INDEX(Employees!$Q$5:$Q$29,$A558)))/Settings!$B$13,IF(INDEX(Employees!$P$5:$P$29,$A558)="Per hour worked",N(INDEX(Employees!$R$5:$R$29,$A558))*$I558,IF(INDEX(Employees!$P$5:$P$29,$A558)="Front-loaded",IF(OR($B558=1,N($G557)=0),N(INDEX(Employees!$Q$5:$Q$29,$A558)),0),0))))</f>
        <v/>
      </c>
      <c r="R558" s="48">
        <f>IF($F558=0,0,SUMIFS('Time Off Log'!$H$5:$H$504,'Time Off Log'!$A$5:$A$504,$C558,'Time Off Log'!$B$5:$B$504,"Sick",'Time Off Log'!$E$5:$E$504,"Approved",'Time Off Log'!$C$5:$C$504,"&gt;="&amp;INDEX(Periods!$E$5:$E$57,$B558),'Time Off Log'!$C$5:$C$504,"&lt;="&amp;INDEX(Periods!$F$5:$F$57,$B558)))</f>
        <v/>
      </c>
      <c r="S558" s="48">
        <f>IF($B558=1,N(INDEX(Employees!$T$5:$T$29,$A558)),V557)</f>
        <v/>
      </c>
      <c r="T558" s="48">
        <f>IF(INDEX(Employees!$S$5:$S$29,$A558)="",Q558,MAX(0,MIN(Q558,INDEX(Employees!$S$5:$S$29,$A558)-(S558-R558))))</f>
        <v/>
      </c>
      <c r="U558" s="48">
        <f>Q558-T558</f>
        <v/>
      </c>
      <c r="V558" s="48">
        <f>S558-R558+T558</f>
        <v/>
      </c>
    </row>
    <row r="559">
      <c r="A559" s="47" t="n">
        <v>11</v>
      </c>
      <c r="B559" s="47" t="n">
        <v>25</v>
      </c>
      <c r="C559" s="48">
        <f>INDEX(Employees!$B$5:$B$29,$A559)&amp;""</f>
        <v/>
      </c>
      <c r="D559" s="49">
        <f>INDEX(Periods!$B$5:$B$57,$B559)</f>
        <v/>
      </c>
      <c r="E559" s="49">
        <f>INDEX(Periods!$C$5:$C$57,$B559)</f>
        <v/>
      </c>
      <c r="F559" s="47">
        <f>IF(AND($C559&lt;&gt;"",INDEX(Periods!$D$5:$D$57,$B559)=1),1,0)</f>
        <v/>
      </c>
      <c r="G559" s="47">
        <f>IF($F559=0,0,IF(AND(OR(INDEX(Employees!$D$5:$D$29,$A559)="",$E559&gt;=INDEX(Employees!$D$5:$D$29,$A559)+N(INDEX(Employees!$U$5:$U$29,$A559))),OR(INDEX(Employees!$E$5:$E$29,$A559)="",$D559&lt;=INDEX(Employees!$E$5:$E$29,$A559))),1,0))</f>
        <v/>
      </c>
      <c r="H559" s="47">
        <f>IF($G559=0,0,IF(INDEX(Employees!$D$5:$D$29,$A559)="",0,DATEDIF(INDEX(Employees!$D$5:$D$29,$A559),$E559,"y")))</f>
        <v/>
      </c>
      <c r="I559" s="48">
        <f>IF($G559=0,0,IF(INDEX('Hours Worked'!$D$5:$BD$29,$A559,$B559)="",N(INDEX(Employees!$H$5:$H$29,$A559)),INDEX('Hours Worked'!$D$5:$BD$29,$A559,$B559)))</f>
        <v/>
      </c>
      <c r="J559" s="48">
        <f>IF(OR($G559=0,INDEX(Employees!$O$5:$O$29,$A559)&lt;&gt;"Yes"),0,IF(COUNTIF(Settings!$D$4:$D$9,"&lt;="&amp;$H559)=0,0,INDEX(Settings!$E$4:$E$9,COUNTIF(Settings!$D$4:$D$9,"&lt;="&amp;$H559))))</f>
        <v/>
      </c>
      <c r="K559" s="48">
        <f>IF($G559=0,0,IF(INDEX(Employees!$I$5:$I$29,$A559)="Per pay period",(N(INDEX(Employees!$J$5:$J$29,$A559))+$J559)/Settings!$B$13,IF(INDEX(Employees!$I$5:$I$29,$A559)="Per hour worked",N(INDEX(Employees!$K$5:$K$29,$A559))*$I559,IF(INDEX(Employees!$I$5:$I$29,$A559)="Front-loaded",IF(OR($B559=1,N($G558)=0),N(INDEX(Employees!$J$5:$J$29,$A559))+$J559,0),0))))</f>
        <v/>
      </c>
      <c r="L559" s="48">
        <f>IF($F559=0,0,SUMIFS('Time Off Log'!$H$5:$H$504,'Time Off Log'!$A$5:$A$504,$C559,'Time Off Log'!$B$5:$B$504,"PTO",'Time Off Log'!$E$5:$E$504,"Approved",'Time Off Log'!$C$5:$C$504,"&gt;="&amp;INDEX(Periods!$E$5:$E$57,$B559),'Time Off Log'!$C$5:$C$504,"&lt;="&amp;INDEX(Periods!$F$5:$F$57,$B559)))</f>
        <v/>
      </c>
      <c r="M559" s="48">
        <f>IF($B559=1,N(INDEX(Employees!$N$5:$N$29,$A559)),P558)</f>
        <v/>
      </c>
      <c r="N559" s="48">
        <f>IF(INDEX(Employees!$L$5:$L$29,$A559)="",K559,MAX(0,MIN(K559,INDEX(Employees!$L$5:$L$29,$A559)-(M559-L559))))</f>
        <v/>
      </c>
      <c r="O559" s="48">
        <f>K559-N559</f>
        <v/>
      </c>
      <c r="P559" s="48">
        <f>M559-L559+N559</f>
        <v/>
      </c>
      <c r="Q559" s="48">
        <f>IF($G559=0,0,IF(INDEX(Employees!$P$5:$P$29,$A559)="Per pay period",(N(INDEX(Employees!$Q$5:$Q$29,$A559)))/Settings!$B$13,IF(INDEX(Employees!$P$5:$P$29,$A559)="Per hour worked",N(INDEX(Employees!$R$5:$R$29,$A559))*$I559,IF(INDEX(Employees!$P$5:$P$29,$A559)="Front-loaded",IF(OR($B559=1,N($G558)=0),N(INDEX(Employees!$Q$5:$Q$29,$A559)),0),0))))</f>
        <v/>
      </c>
      <c r="R559" s="48">
        <f>IF($F559=0,0,SUMIFS('Time Off Log'!$H$5:$H$504,'Time Off Log'!$A$5:$A$504,$C559,'Time Off Log'!$B$5:$B$504,"Sick",'Time Off Log'!$E$5:$E$504,"Approved",'Time Off Log'!$C$5:$C$504,"&gt;="&amp;INDEX(Periods!$E$5:$E$57,$B559),'Time Off Log'!$C$5:$C$504,"&lt;="&amp;INDEX(Periods!$F$5:$F$57,$B559)))</f>
        <v/>
      </c>
      <c r="S559" s="48">
        <f>IF($B559=1,N(INDEX(Employees!$T$5:$T$29,$A559)),V558)</f>
        <v/>
      </c>
      <c r="T559" s="48">
        <f>IF(INDEX(Employees!$S$5:$S$29,$A559)="",Q559,MAX(0,MIN(Q559,INDEX(Employees!$S$5:$S$29,$A559)-(S559-R559))))</f>
        <v/>
      </c>
      <c r="U559" s="48">
        <f>Q559-T559</f>
        <v/>
      </c>
      <c r="V559" s="48">
        <f>S559-R559+T559</f>
        <v/>
      </c>
    </row>
    <row r="560">
      <c r="A560" s="47" t="n">
        <v>11</v>
      </c>
      <c r="B560" s="47" t="n">
        <v>26</v>
      </c>
      <c r="C560" s="48">
        <f>INDEX(Employees!$B$5:$B$29,$A560)&amp;""</f>
        <v/>
      </c>
      <c r="D560" s="49">
        <f>INDEX(Periods!$B$5:$B$57,$B560)</f>
        <v/>
      </c>
      <c r="E560" s="49">
        <f>INDEX(Periods!$C$5:$C$57,$B560)</f>
        <v/>
      </c>
      <c r="F560" s="47">
        <f>IF(AND($C560&lt;&gt;"",INDEX(Periods!$D$5:$D$57,$B560)=1),1,0)</f>
        <v/>
      </c>
      <c r="G560" s="47">
        <f>IF($F560=0,0,IF(AND(OR(INDEX(Employees!$D$5:$D$29,$A560)="",$E560&gt;=INDEX(Employees!$D$5:$D$29,$A560)+N(INDEX(Employees!$U$5:$U$29,$A560))),OR(INDEX(Employees!$E$5:$E$29,$A560)="",$D560&lt;=INDEX(Employees!$E$5:$E$29,$A560))),1,0))</f>
        <v/>
      </c>
      <c r="H560" s="47">
        <f>IF($G560=0,0,IF(INDEX(Employees!$D$5:$D$29,$A560)="",0,DATEDIF(INDEX(Employees!$D$5:$D$29,$A560),$E560,"y")))</f>
        <v/>
      </c>
      <c r="I560" s="48">
        <f>IF($G560=0,0,IF(INDEX('Hours Worked'!$D$5:$BD$29,$A560,$B560)="",N(INDEX(Employees!$H$5:$H$29,$A560)),INDEX('Hours Worked'!$D$5:$BD$29,$A560,$B560)))</f>
        <v/>
      </c>
      <c r="J560" s="48">
        <f>IF(OR($G560=0,INDEX(Employees!$O$5:$O$29,$A560)&lt;&gt;"Yes"),0,IF(COUNTIF(Settings!$D$4:$D$9,"&lt;="&amp;$H560)=0,0,INDEX(Settings!$E$4:$E$9,COUNTIF(Settings!$D$4:$D$9,"&lt;="&amp;$H560))))</f>
        <v/>
      </c>
      <c r="K560" s="48">
        <f>IF($G560=0,0,IF(INDEX(Employees!$I$5:$I$29,$A560)="Per pay period",(N(INDEX(Employees!$J$5:$J$29,$A560))+$J560)/Settings!$B$13,IF(INDEX(Employees!$I$5:$I$29,$A560)="Per hour worked",N(INDEX(Employees!$K$5:$K$29,$A560))*$I560,IF(INDEX(Employees!$I$5:$I$29,$A560)="Front-loaded",IF(OR($B560=1,N($G559)=0),N(INDEX(Employees!$J$5:$J$29,$A560))+$J560,0),0))))</f>
        <v/>
      </c>
      <c r="L560" s="48">
        <f>IF($F560=0,0,SUMIFS('Time Off Log'!$H$5:$H$504,'Time Off Log'!$A$5:$A$504,$C560,'Time Off Log'!$B$5:$B$504,"PTO",'Time Off Log'!$E$5:$E$504,"Approved",'Time Off Log'!$C$5:$C$504,"&gt;="&amp;INDEX(Periods!$E$5:$E$57,$B560),'Time Off Log'!$C$5:$C$504,"&lt;="&amp;INDEX(Periods!$F$5:$F$57,$B560)))</f>
        <v/>
      </c>
      <c r="M560" s="48">
        <f>IF($B560=1,N(INDEX(Employees!$N$5:$N$29,$A560)),P559)</f>
        <v/>
      </c>
      <c r="N560" s="48">
        <f>IF(INDEX(Employees!$L$5:$L$29,$A560)="",K560,MAX(0,MIN(K560,INDEX(Employees!$L$5:$L$29,$A560)-(M560-L560))))</f>
        <v/>
      </c>
      <c r="O560" s="48">
        <f>K560-N560</f>
        <v/>
      </c>
      <c r="P560" s="48">
        <f>M560-L560+N560</f>
        <v/>
      </c>
      <c r="Q560" s="48">
        <f>IF($G560=0,0,IF(INDEX(Employees!$P$5:$P$29,$A560)="Per pay period",(N(INDEX(Employees!$Q$5:$Q$29,$A560)))/Settings!$B$13,IF(INDEX(Employees!$P$5:$P$29,$A560)="Per hour worked",N(INDEX(Employees!$R$5:$R$29,$A560))*$I560,IF(INDEX(Employees!$P$5:$P$29,$A560)="Front-loaded",IF(OR($B560=1,N($G559)=0),N(INDEX(Employees!$Q$5:$Q$29,$A560)),0),0))))</f>
        <v/>
      </c>
      <c r="R560" s="48">
        <f>IF($F560=0,0,SUMIFS('Time Off Log'!$H$5:$H$504,'Time Off Log'!$A$5:$A$504,$C560,'Time Off Log'!$B$5:$B$504,"Sick",'Time Off Log'!$E$5:$E$504,"Approved",'Time Off Log'!$C$5:$C$504,"&gt;="&amp;INDEX(Periods!$E$5:$E$57,$B560),'Time Off Log'!$C$5:$C$504,"&lt;="&amp;INDEX(Periods!$F$5:$F$57,$B560)))</f>
        <v/>
      </c>
      <c r="S560" s="48">
        <f>IF($B560=1,N(INDEX(Employees!$T$5:$T$29,$A560)),V559)</f>
        <v/>
      </c>
      <c r="T560" s="48">
        <f>IF(INDEX(Employees!$S$5:$S$29,$A560)="",Q560,MAX(0,MIN(Q560,INDEX(Employees!$S$5:$S$29,$A560)-(S560-R560))))</f>
        <v/>
      </c>
      <c r="U560" s="48">
        <f>Q560-T560</f>
        <v/>
      </c>
      <c r="V560" s="48">
        <f>S560-R560+T560</f>
        <v/>
      </c>
    </row>
    <row r="561">
      <c r="A561" s="47" t="n">
        <v>11</v>
      </c>
      <c r="B561" s="47" t="n">
        <v>27</v>
      </c>
      <c r="C561" s="48">
        <f>INDEX(Employees!$B$5:$B$29,$A561)&amp;""</f>
        <v/>
      </c>
      <c r="D561" s="49">
        <f>INDEX(Periods!$B$5:$B$57,$B561)</f>
        <v/>
      </c>
      <c r="E561" s="49">
        <f>INDEX(Periods!$C$5:$C$57,$B561)</f>
        <v/>
      </c>
      <c r="F561" s="47">
        <f>IF(AND($C561&lt;&gt;"",INDEX(Periods!$D$5:$D$57,$B561)=1),1,0)</f>
        <v/>
      </c>
      <c r="G561" s="47">
        <f>IF($F561=0,0,IF(AND(OR(INDEX(Employees!$D$5:$D$29,$A561)="",$E561&gt;=INDEX(Employees!$D$5:$D$29,$A561)+N(INDEX(Employees!$U$5:$U$29,$A561))),OR(INDEX(Employees!$E$5:$E$29,$A561)="",$D561&lt;=INDEX(Employees!$E$5:$E$29,$A561))),1,0))</f>
        <v/>
      </c>
      <c r="H561" s="47">
        <f>IF($G561=0,0,IF(INDEX(Employees!$D$5:$D$29,$A561)="",0,DATEDIF(INDEX(Employees!$D$5:$D$29,$A561),$E561,"y")))</f>
        <v/>
      </c>
      <c r="I561" s="48">
        <f>IF($G561=0,0,IF(INDEX('Hours Worked'!$D$5:$BD$29,$A561,$B561)="",N(INDEX(Employees!$H$5:$H$29,$A561)),INDEX('Hours Worked'!$D$5:$BD$29,$A561,$B561)))</f>
        <v/>
      </c>
      <c r="J561" s="48">
        <f>IF(OR($G561=0,INDEX(Employees!$O$5:$O$29,$A561)&lt;&gt;"Yes"),0,IF(COUNTIF(Settings!$D$4:$D$9,"&lt;="&amp;$H561)=0,0,INDEX(Settings!$E$4:$E$9,COUNTIF(Settings!$D$4:$D$9,"&lt;="&amp;$H561))))</f>
        <v/>
      </c>
      <c r="K561" s="48">
        <f>IF($G561=0,0,IF(INDEX(Employees!$I$5:$I$29,$A561)="Per pay period",(N(INDEX(Employees!$J$5:$J$29,$A561))+$J561)/Settings!$B$13,IF(INDEX(Employees!$I$5:$I$29,$A561)="Per hour worked",N(INDEX(Employees!$K$5:$K$29,$A561))*$I561,IF(INDEX(Employees!$I$5:$I$29,$A561)="Front-loaded",IF(OR($B561=1,N($G560)=0),N(INDEX(Employees!$J$5:$J$29,$A561))+$J561,0),0))))</f>
        <v/>
      </c>
      <c r="L561" s="48">
        <f>IF($F561=0,0,SUMIFS('Time Off Log'!$H$5:$H$504,'Time Off Log'!$A$5:$A$504,$C561,'Time Off Log'!$B$5:$B$504,"PTO",'Time Off Log'!$E$5:$E$504,"Approved",'Time Off Log'!$C$5:$C$504,"&gt;="&amp;INDEX(Periods!$E$5:$E$57,$B561),'Time Off Log'!$C$5:$C$504,"&lt;="&amp;INDEX(Periods!$F$5:$F$57,$B561)))</f>
        <v/>
      </c>
      <c r="M561" s="48">
        <f>IF($B561=1,N(INDEX(Employees!$N$5:$N$29,$A561)),P560)</f>
        <v/>
      </c>
      <c r="N561" s="48">
        <f>IF(INDEX(Employees!$L$5:$L$29,$A561)="",K561,MAX(0,MIN(K561,INDEX(Employees!$L$5:$L$29,$A561)-(M561-L561))))</f>
        <v/>
      </c>
      <c r="O561" s="48">
        <f>K561-N561</f>
        <v/>
      </c>
      <c r="P561" s="48">
        <f>M561-L561+N561</f>
        <v/>
      </c>
      <c r="Q561" s="48">
        <f>IF($G561=0,0,IF(INDEX(Employees!$P$5:$P$29,$A561)="Per pay period",(N(INDEX(Employees!$Q$5:$Q$29,$A561)))/Settings!$B$13,IF(INDEX(Employees!$P$5:$P$29,$A561)="Per hour worked",N(INDEX(Employees!$R$5:$R$29,$A561))*$I561,IF(INDEX(Employees!$P$5:$P$29,$A561)="Front-loaded",IF(OR($B561=1,N($G560)=0),N(INDEX(Employees!$Q$5:$Q$29,$A561)),0),0))))</f>
        <v/>
      </c>
      <c r="R561" s="48">
        <f>IF($F561=0,0,SUMIFS('Time Off Log'!$H$5:$H$504,'Time Off Log'!$A$5:$A$504,$C561,'Time Off Log'!$B$5:$B$504,"Sick",'Time Off Log'!$E$5:$E$504,"Approved",'Time Off Log'!$C$5:$C$504,"&gt;="&amp;INDEX(Periods!$E$5:$E$57,$B561),'Time Off Log'!$C$5:$C$504,"&lt;="&amp;INDEX(Periods!$F$5:$F$57,$B561)))</f>
        <v/>
      </c>
      <c r="S561" s="48">
        <f>IF($B561=1,N(INDEX(Employees!$T$5:$T$29,$A561)),V560)</f>
        <v/>
      </c>
      <c r="T561" s="48">
        <f>IF(INDEX(Employees!$S$5:$S$29,$A561)="",Q561,MAX(0,MIN(Q561,INDEX(Employees!$S$5:$S$29,$A561)-(S561-R561))))</f>
        <v/>
      </c>
      <c r="U561" s="48">
        <f>Q561-T561</f>
        <v/>
      </c>
      <c r="V561" s="48">
        <f>S561-R561+T561</f>
        <v/>
      </c>
    </row>
    <row r="562">
      <c r="A562" s="47" t="n">
        <v>11</v>
      </c>
      <c r="B562" s="47" t="n">
        <v>28</v>
      </c>
      <c r="C562" s="48">
        <f>INDEX(Employees!$B$5:$B$29,$A562)&amp;""</f>
        <v/>
      </c>
      <c r="D562" s="49">
        <f>INDEX(Periods!$B$5:$B$57,$B562)</f>
        <v/>
      </c>
      <c r="E562" s="49">
        <f>INDEX(Periods!$C$5:$C$57,$B562)</f>
        <v/>
      </c>
      <c r="F562" s="47">
        <f>IF(AND($C562&lt;&gt;"",INDEX(Periods!$D$5:$D$57,$B562)=1),1,0)</f>
        <v/>
      </c>
      <c r="G562" s="47">
        <f>IF($F562=0,0,IF(AND(OR(INDEX(Employees!$D$5:$D$29,$A562)="",$E562&gt;=INDEX(Employees!$D$5:$D$29,$A562)+N(INDEX(Employees!$U$5:$U$29,$A562))),OR(INDEX(Employees!$E$5:$E$29,$A562)="",$D562&lt;=INDEX(Employees!$E$5:$E$29,$A562))),1,0))</f>
        <v/>
      </c>
      <c r="H562" s="47">
        <f>IF($G562=0,0,IF(INDEX(Employees!$D$5:$D$29,$A562)="",0,DATEDIF(INDEX(Employees!$D$5:$D$29,$A562),$E562,"y")))</f>
        <v/>
      </c>
      <c r="I562" s="48">
        <f>IF($G562=0,0,IF(INDEX('Hours Worked'!$D$5:$BD$29,$A562,$B562)="",N(INDEX(Employees!$H$5:$H$29,$A562)),INDEX('Hours Worked'!$D$5:$BD$29,$A562,$B562)))</f>
        <v/>
      </c>
      <c r="J562" s="48">
        <f>IF(OR($G562=0,INDEX(Employees!$O$5:$O$29,$A562)&lt;&gt;"Yes"),0,IF(COUNTIF(Settings!$D$4:$D$9,"&lt;="&amp;$H562)=0,0,INDEX(Settings!$E$4:$E$9,COUNTIF(Settings!$D$4:$D$9,"&lt;="&amp;$H562))))</f>
        <v/>
      </c>
      <c r="K562" s="48">
        <f>IF($G562=0,0,IF(INDEX(Employees!$I$5:$I$29,$A562)="Per pay period",(N(INDEX(Employees!$J$5:$J$29,$A562))+$J562)/Settings!$B$13,IF(INDEX(Employees!$I$5:$I$29,$A562)="Per hour worked",N(INDEX(Employees!$K$5:$K$29,$A562))*$I562,IF(INDEX(Employees!$I$5:$I$29,$A562)="Front-loaded",IF(OR($B562=1,N($G561)=0),N(INDEX(Employees!$J$5:$J$29,$A562))+$J562,0),0))))</f>
        <v/>
      </c>
      <c r="L562" s="48">
        <f>IF($F562=0,0,SUMIFS('Time Off Log'!$H$5:$H$504,'Time Off Log'!$A$5:$A$504,$C562,'Time Off Log'!$B$5:$B$504,"PTO",'Time Off Log'!$E$5:$E$504,"Approved",'Time Off Log'!$C$5:$C$504,"&gt;="&amp;INDEX(Periods!$E$5:$E$57,$B562),'Time Off Log'!$C$5:$C$504,"&lt;="&amp;INDEX(Periods!$F$5:$F$57,$B562)))</f>
        <v/>
      </c>
      <c r="M562" s="48">
        <f>IF($B562=1,N(INDEX(Employees!$N$5:$N$29,$A562)),P561)</f>
        <v/>
      </c>
      <c r="N562" s="48">
        <f>IF(INDEX(Employees!$L$5:$L$29,$A562)="",K562,MAX(0,MIN(K562,INDEX(Employees!$L$5:$L$29,$A562)-(M562-L562))))</f>
        <v/>
      </c>
      <c r="O562" s="48">
        <f>K562-N562</f>
        <v/>
      </c>
      <c r="P562" s="48">
        <f>M562-L562+N562</f>
        <v/>
      </c>
      <c r="Q562" s="48">
        <f>IF($G562=0,0,IF(INDEX(Employees!$P$5:$P$29,$A562)="Per pay period",(N(INDEX(Employees!$Q$5:$Q$29,$A562)))/Settings!$B$13,IF(INDEX(Employees!$P$5:$P$29,$A562)="Per hour worked",N(INDEX(Employees!$R$5:$R$29,$A562))*$I562,IF(INDEX(Employees!$P$5:$P$29,$A562)="Front-loaded",IF(OR($B562=1,N($G561)=0),N(INDEX(Employees!$Q$5:$Q$29,$A562)),0),0))))</f>
        <v/>
      </c>
      <c r="R562" s="48">
        <f>IF($F562=0,0,SUMIFS('Time Off Log'!$H$5:$H$504,'Time Off Log'!$A$5:$A$504,$C562,'Time Off Log'!$B$5:$B$504,"Sick",'Time Off Log'!$E$5:$E$504,"Approved",'Time Off Log'!$C$5:$C$504,"&gt;="&amp;INDEX(Periods!$E$5:$E$57,$B562),'Time Off Log'!$C$5:$C$504,"&lt;="&amp;INDEX(Periods!$F$5:$F$57,$B562)))</f>
        <v/>
      </c>
      <c r="S562" s="48">
        <f>IF($B562=1,N(INDEX(Employees!$T$5:$T$29,$A562)),V561)</f>
        <v/>
      </c>
      <c r="T562" s="48">
        <f>IF(INDEX(Employees!$S$5:$S$29,$A562)="",Q562,MAX(0,MIN(Q562,INDEX(Employees!$S$5:$S$29,$A562)-(S562-R562))))</f>
        <v/>
      </c>
      <c r="U562" s="48">
        <f>Q562-T562</f>
        <v/>
      </c>
      <c r="V562" s="48">
        <f>S562-R562+T562</f>
        <v/>
      </c>
    </row>
    <row r="563">
      <c r="A563" s="47" t="n">
        <v>11</v>
      </c>
      <c r="B563" s="47" t="n">
        <v>29</v>
      </c>
      <c r="C563" s="48">
        <f>INDEX(Employees!$B$5:$B$29,$A563)&amp;""</f>
        <v/>
      </c>
      <c r="D563" s="49">
        <f>INDEX(Periods!$B$5:$B$57,$B563)</f>
        <v/>
      </c>
      <c r="E563" s="49">
        <f>INDEX(Periods!$C$5:$C$57,$B563)</f>
        <v/>
      </c>
      <c r="F563" s="47">
        <f>IF(AND($C563&lt;&gt;"",INDEX(Periods!$D$5:$D$57,$B563)=1),1,0)</f>
        <v/>
      </c>
      <c r="G563" s="47">
        <f>IF($F563=0,0,IF(AND(OR(INDEX(Employees!$D$5:$D$29,$A563)="",$E563&gt;=INDEX(Employees!$D$5:$D$29,$A563)+N(INDEX(Employees!$U$5:$U$29,$A563))),OR(INDEX(Employees!$E$5:$E$29,$A563)="",$D563&lt;=INDEX(Employees!$E$5:$E$29,$A563))),1,0))</f>
        <v/>
      </c>
      <c r="H563" s="47">
        <f>IF($G563=0,0,IF(INDEX(Employees!$D$5:$D$29,$A563)="",0,DATEDIF(INDEX(Employees!$D$5:$D$29,$A563),$E563,"y")))</f>
        <v/>
      </c>
      <c r="I563" s="48">
        <f>IF($G563=0,0,IF(INDEX('Hours Worked'!$D$5:$BD$29,$A563,$B563)="",N(INDEX(Employees!$H$5:$H$29,$A563)),INDEX('Hours Worked'!$D$5:$BD$29,$A563,$B563)))</f>
        <v/>
      </c>
      <c r="J563" s="48">
        <f>IF(OR($G563=0,INDEX(Employees!$O$5:$O$29,$A563)&lt;&gt;"Yes"),0,IF(COUNTIF(Settings!$D$4:$D$9,"&lt;="&amp;$H563)=0,0,INDEX(Settings!$E$4:$E$9,COUNTIF(Settings!$D$4:$D$9,"&lt;="&amp;$H563))))</f>
        <v/>
      </c>
      <c r="K563" s="48">
        <f>IF($G563=0,0,IF(INDEX(Employees!$I$5:$I$29,$A563)="Per pay period",(N(INDEX(Employees!$J$5:$J$29,$A563))+$J563)/Settings!$B$13,IF(INDEX(Employees!$I$5:$I$29,$A563)="Per hour worked",N(INDEX(Employees!$K$5:$K$29,$A563))*$I563,IF(INDEX(Employees!$I$5:$I$29,$A563)="Front-loaded",IF(OR($B563=1,N($G562)=0),N(INDEX(Employees!$J$5:$J$29,$A563))+$J563,0),0))))</f>
        <v/>
      </c>
      <c r="L563" s="48">
        <f>IF($F563=0,0,SUMIFS('Time Off Log'!$H$5:$H$504,'Time Off Log'!$A$5:$A$504,$C563,'Time Off Log'!$B$5:$B$504,"PTO",'Time Off Log'!$E$5:$E$504,"Approved",'Time Off Log'!$C$5:$C$504,"&gt;="&amp;INDEX(Periods!$E$5:$E$57,$B563),'Time Off Log'!$C$5:$C$504,"&lt;="&amp;INDEX(Periods!$F$5:$F$57,$B563)))</f>
        <v/>
      </c>
      <c r="M563" s="48">
        <f>IF($B563=1,N(INDEX(Employees!$N$5:$N$29,$A563)),P562)</f>
        <v/>
      </c>
      <c r="N563" s="48">
        <f>IF(INDEX(Employees!$L$5:$L$29,$A563)="",K563,MAX(0,MIN(K563,INDEX(Employees!$L$5:$L$29,$A563)-(M563-L563))))</f>
        <v/>
      </c>
      <c r="O563" s="48">
        <f>K563-N563</f>
        <v/>
      </c>
      <c r="P563" s="48">
        <f>M563-L563+N563</f>
        <v/>
      </c>
      <c r="Q563" s="48">
        <f>IF($G563=0,0,IF(INDEX(Employees!$P$5:$P$29,$A563)="Per pay period",(N(INDEX(Employees!$Q$5:$Q$29,$A563)))/Settings!$B$13,IF(INDEX(Employees!$P$5:$P$29,$A563)="Per hour worked",N(INDEX(Employees!$R$5:$R$29,$A563))*$I563,IF(INDEX(Employees!$P$5:$P$29,$A563)="Front-loaded",IF(OR($B563=1,N($G562)=0),N(INDEX(Employees!$Q$5:$Q$29,$A563)),0),0))))</f>
        <v/>
      </c>
      <c r="R563" s="48">
        <f>IF($F563=0,0,SUMIFS('Time Off Log'!$H$5:$H$504,'Time Off Log'!$A$5:$A$504,$C563,'Time Off Log'!$B$5:$B$504,"Sick",'Time Off Log'!$E$5:$E$504,"Approved",'Time Off Log'!$C$5:$C$504,"&gt;="&amp;INDEX(Periods!$E$5:$E$57,$B563),'Time Off Log'!$C$5:$C$504,"&lt;="&amp;INDEX(Periods!$F$5:$F$57,$B563)))</f>
        <v/>
      </c>
      <c r="S563" s="48">
        <f>IF($B563=1,N(INDEX(Employees!$T$5:$T$29,$A563)),V562)</f>
        <v/>
      </c>
      <c r="T563" s="48">
        <f>IF(INDEX(Employees!$S$5:$S$29,$A563)="",Q563,MAX(0,MIN(Q563,INDEX(Employees!$S$5:$S$29,$A563)-(S563-R563))))</f>
        <v/>
      </c>
      <c r="U563" s="48">
        <f>Q563-T563</f>
        <v/>
      </c>
      <c r="V563" s="48">
        <f>S563-R563+T563</f>
        <v/>
      </c>
    </row>
    <row r="564">
      <c r="A564" s="47" t="n">
        <v>11</v>
      </c>
      <c r="B564" s="47" t="n">
        <v>30</v>
      </c>
      <c r="C564" s="48">
        <f>INDEX(Employees!$B$5:$B$29,$A564)&amp;""</f>
        <v/>
      </c>
      <c r="D564" s="49">
        <f>INDEX(Periods!$B$5:$B$57,$B564)</f>
        <v/>
      </c>
      <c r="E564" s="49">
        <f>INDEX(Periods!$C$5:$C$57,$B564)</f>
        <v/>
      </c>
      <c r="F564" s="47">
        <f>IF(AND($C564&lt;&gt;"",INDEX(Periods!$D$5:$D$57,$B564)=1),1,0)</f>
        <v/>
      </c>
      <c r="G564" s="47">
        <f>IF($F564=0,0,IF(AND(OR(INDEX(Employees!$D$5:$D$29,$A564)="",$E564&gt;=INDEX(Employees!$D$5:$D$29,$A564)+N(INDEX(Employees!$U$5:$U$29,$A564))),OR(INDEX(Employees!$E$5:$E$29,$A564)="",$D564&lt;=INDEX(Employees!$E$5:$E$29,$A564))),1,0))</f>
        <v/>
      </c>
      <c r="H564" s="47">
        <f>IF($G564=0,0,IF(INDEX(Employees!$D$5:$D$29,$A564)="",0,DATEDIF(INDEX(Employees!$D$5:$D$29,$A564),$E564,"y")))</f>
        <v/>
      </c>
      <c r="I564" s="48">
        <f>IF($G564=0,0,IF(INDEX('Hours Worked'!$D$5:$BD$29,$A564,$B564)="",N(INDEX(Employees!$H$5:$H$29,$A564)),INDEX('Hours Worked'!$D$5:$BD$29,$A564,$B564)))</f>
        <v/>
      </c>
      <c r="J564" s="48">
        <f>IF(OR($G564=0,INDEX(Employees!$O$5:$O$29,$A564)&lt;&gt;"Yes"),0,IF(COUNTIF(Settings!$D$4:$D$9,"&lt;="&amp;$H564)=0,0,INDEX(Settings!$E$4:$E$9,COUNTIF(Settings!$D$4:$D$9,"&lt;="&amp;$H564))))</f>
        <v/>
      </c>
      <c r="K564" s="48">
        <f>IF($G564=0,0,IF(INDEX(Employees!$I$5:$I$29,$A564)="Per pay period",(N(INDEX(Employees!$J$5:$J$29,$A564))+$J564)/Settings!$B$13,IF(INDEX(Employees!$I$5:$I$29,$A564)="Per hour worked",N(INDEX(Employees!$K$5:$K$29,$A564))*$I564,IF(INDEX(Employees!$I$5:$I$29,$A564)="Front-loaded",IF(OR($B564=1,N($G563)=0),N(INDEX(Employees!$J$5:$J$29,$A564))+$J564,0),0))))</f>
        <v/>
      </c>
      <c r="L564" s="48">
        <f>IF($F564=0,0,SUMIFS('Time Off Log'!$H$5:$H$504,'Time Off Log'!$A$5:$A$504,$C564,'Time Off Log'!$B$5:$B$504,"PTO",'Time Off Log'!$E$5:$E$504,"Approved",'Time Off Log'!$C$5:$C$504,"&gt;="&amp;INDEX(Periods!$E$5:$E$57,$B564),'Time Off Log'!$C$5:$C$504,"&lt;="&amp;INDEX(Periods!$F$5:$F$57,$B564)))</f>
        <v/>
      </c>
      <c r="M564" s="48">
        <f>IF($B564=1,N(INDEX(Employees!$N$5:$N$29,$A564)),P563)</f>
        <v/>
      </c>
      <c r="N564" s="48">
        <f>IF(INDEX(Employees!$L$5:$L$29,$A564)="",K564,MAX(0,MIN(K564,INDEX(Employees!$L$5:$L$29,$A564)-(M564-L564))))</f>
        <v/>
      </c>
      <c r="O564" s="48">
        <f>K564-N564</f>
        <v/>
      </c>
      <c r="P564" s="48">
        <f>M564-L564+N564</f>
        <v/>
      </c>
      <c r="Q564" s="48">
        <f>IF($G564=0,0,IF(INDEX(Employees!$P$5:$P$29,$A564)="Per pay period",(N(INDEX(Employees!$Q$5:$Q$29,$A564)))/Settings!$B$13,IF(INDEX(Employees!$P$5:$P$29,$A564)="Per hour worked",N(INDEX(Employees!$R$5:$R$29,$A564))*$I564,IF(INDEX(Employees!$P$5:$P$29,$A564)="Front-loaded",IF(OR($B564=1,N($G563)=0),N(INDEX(Employees!$Q$5:$Q$29,$A564)),0),0))))</f>
        <v/>
      </c>
      <c r="R564" s="48">
        <f>IF($F564=0,0,SUMIFS('Time Off Log'!$H$5:$H$504,'Time Off Log'!$A$5:$A$504,$C564,'Time Off Log'!$B$5:$B$504,"Sick",'Time Off Log'!$E$5:$E$504,"Approved",'Time Off Log'!$C$5:$C$504,"&gt;="&amp;INDEX(Periods!$E$5:$E$57,$B564),'Time Off Log'!$C$5:$C$504,"&lt;="&amp;INDEX(Periods!$F$5:$F$57,$B564)))</f>
        <v/>
      </c>
      <c r="S564" s="48">
        <f>IF($B564=1,N(INDEX(Employees!$T$5:$T$29,$A564)),V563)</f>
        <v/>
      </c>
      <c r="T564" s="48">
        <f>IF(INDEX(Employees!$S$5:$S$29,$A564)="",Q564,MAX(0,MIN(Q564,INDEX(Employees!$S$5:$S$29,$A564)-(S564-R564))))</f>
        <v/>
      </c>
      <c r="U564" s="48">
        <f>Q564-T564</f>
        <v/>
      </c>
      <c r="V564" s="48">
        <f>S564-R564+T564</f>
        <v/>
      </c>
    </row>
    <row r="565">
      <c r="A565" s="47" t="n">
        <v>11</v>
      </c>
      <c r="B565" s="47" t="n">
        <v>31</v>
      </c>
      <c r="C565" s="48">
        <f>INDEX(Employees!$B$5:$B$29,$A565)&amp;""</f>
        <v/>
      </c>
      <c r="D565" s="49">
        <f>INDEX(Periods!$B$5:$B$57,$B565)</f>
        <v/>
      </c>
      <c r="E565" s="49">
        <f>INDEX(Periods!$C$5:$C$57,$B565)</f>
        <v/>
      </c>
      <c r="F565" s="47">
        <f>IF(AND($C565&lt;&gt;"",INDEX(Periods!$D$5:$D$57,$B565)=1),1,0)</f>
        <v/>
      </c>
      <c r="G565" s="47">
        <f>IF($F565=0,0,IF(AND(OR(INDEX(Employees!$D$5:$D$29,$A565)="",$E565&gt;=INDEX(Employees!$D$5:$D$29,$A565)+N(INDEX(Employees!$U$5:$U$29,$A565))),OR(INDEX(Employees!$E$5:$E$29,$A565)="",$D565&lt;=INDEX(Employees!$E$5:$E$29,$A565))),1,0))</f>
        <v/>
      </c>
      <c r="H565" s="47">
        <f>IF($G565=0,0,IF(INDEX(Employees!$D$5:$D$29,$A565)="",0,DATEDIF(INDEX(Employees!$D$5:$D$29,$A565),$E565,"y")))</f>
        <v/>
      </c>
      <c r="I565" s="48">
        <f>IF($G565=0,0,IF(INDEX('Hours Worked'!$D$5:$BD$29,$A565,$B565)="",N(INDEX(Employees!$H$5:$H$29,$A565)),INDEX('Hours Worked'!$D$5:$BD$29,$A565,$B565)))</f>
        <v/>
      </c>
      <c r="J565" s="48">
        <f>IF(OR($G565=0,INDEX(Employees!$O$5:$O$29,$A565)&lt;&gt;"Yes"),0,IF(COUNTIF(Settings!$D$4:$D$9,"&lt;="&amp;$H565)=0,0,INDEX(Settings!$E$4:$E$9,COUNTIF(Settings!$D$4:$D$9,"&lt;="&amp;$H565))))</f>
        <v/>
      </c>
      <c r="K565" s="48">
        <f>IF($G565=0,0,IF(INDEX(Employees!$I$5:$I$29,$A565)="Per pay period",(N(INDEX(Employees!$J$5:$J$29,$A565))+$J565)/Settings!$B$13,IF(INDEX(Employees!$I$5:$I$29,$A565)="Per hour worked",N(INDEX(Employees!$K$5:$K$29,$A565))*$I565,IF(INDEX(Employees!$I$5:$I$29,$A565)="Front-loaded",IF(OR($B565=1,N($G564)=0),N(INDEX(Employees!$J$5:$J$29,$A565))+$J565,0),0))))</f>
        <v/>
      </c>
      <c r="L565" s="48">
        <f>IF($F565=0,0,SUMIFS('Time Off Log'!$H$5:$H$504,'Time Off Log'!$A$5:$A$504,$C565,'Time Off Log'!$B$5:$B$504,"PTO",'Time Off Log'!$E$5:$E$504,"Approved",'Time Off Log'!$C$5:$C$504,"&gt;="&amp;INDEX(Periods!$E$5:$E$57,$B565),'Time Off Log'!$C$5:$C$504,"&lt;="&amp;INDEX(Periods!$F$5:$F$57,$B565)))</f>
        <v/>
      </c>
      <c r="M565" s="48">
        <f>IF($B565=1,N(INDEX(Employees!$N$5:$N$29,$A565)),P564)</f>
        <v/>
      </c>
      <c r="N565" s="48">
        <f>IF(INDEX(Employees!$L$5:$L$29,$A565)="",K565,MAX(0,MIN(K565,INDEX(Employees!$L$5:$L$29,$A565)-(M565-L565))))</f>
        <v/>
      </c>
      <c r="O565" s="48">
        <f>K565-N565</f>
        <v/>
      </c>
      <c r="P565" s="48">
        <f>M565-L565+N565</f>
        <v/>
      </c>
      <c r="Q565" s="48">
        <f>IF($G565=0,0,IF(INDEX(Employees!$P$5:$P$29,$A565)="Per pay period",(N(INDEX(Employees!$Q$5:$Q$29,$A565)))/Settings!$B$13,IF(INDEX(Employees!$P$5:$P$29,$A565)="Per hour worked",N(INDEX(Employees!$R$5:$R$29,$A565))*$I565,IF(INDEX(Employees!$P$5:$P$29,$A565)="Front-loaded",IF(OR($B565=1,N($G564)=0),N(INDEX(Employees!$Q$5:$Q$29,$A565)),0),0))))</f>
        <v/>
      </c>
      <c r="R565" s="48">
        <f>IF($F565=0,0,SUMIFS('Time Off Log'!$H$5:$H$504,'Time Off Log'!$A$5:$A$504,$C565,'Time Off Log'!$B$5:$B$504,"Sick",'Time Off Log'!$E$5:$E$504,"Approved",'Time Off Log'!$C$5:$C$504,"&gt;="&amp;INDEX(Periods!$E$5:$E$57,$B565),'Time Off Log'!$C$5:$C$504,"&lt;="&amp;INDEX(Periods!$F$5:$F$57,$B565)))</f>
        <v/>
      </c>
      <c r="S565" s="48">
        <f>IF($B565=1,N(INDEX(Employees!$T$5:$T$29,$A565)),V564)</f>
        <v/>
      </c>
      <c r="T565" s="48">
        <f>IF(INDEX(Employees!$S$5:$S$29,$A565)="",Q565,MAX(0,MIN(Q565,INDEX(Employees!$S$5:$S$29,$A565)-(S565-R565))))</f>
        <v/>
      </c>
      <c r="U565" s="48">
        <f>Q565-T565</f>
        <v/>
      </c>
      <c r="V565" s="48">
        <f>S565-R565+T565</f>
        <v/>
      </c>
    </row>
    <row r="566">
      <c r="A566" s="47" t="n">
        <v>11</v>
      </c>
      <c r="B566" s="47" t="n">
        <v>32</v>
      </c>
      <c r="C566" s="48">
        <f>INDEX(Employees!$B$5:$B$29,$A566)&amp;""</f>
        <v/>
      </c>
      <c r="D566" s="49">
        <f>INDEX(Periods!$B$5:$B$57,$B566)</f>
        <v/>
      </c>
      <c r="E566" s="49">
        <f>INDEX(Periods!$C$5:$C$57,$B566)</f>
        <v/>
      </c>
      <c r="F566" s="47">
        <f>IF(AND($C566&lt;&gt;"",INDEX(Periods!$D$5:$D$57,$B566)=1),1,0)</f>
        <v/>
      </c>
      <c r="G566" s="47">
        <f>IF($F566=0,0,IF(AND(OR(INDEX(Employees!$D$5:$D$29,$A566)="",$E566&gt;=INDEX(Employees!$D$5:$D$29,$A566)+N(INDEX(Employees!$U$5:$U$29,$A566))),OR(INDEX(Employees!$E$5:$E$29,$A566)="",$D566&lt;=INDEX(Employees!$E$5:$E$29,$A566))),1,0))</f>
        <v/>
      </c>
      <c r="H566" s="47">
        <f>IF($G566=0,0,IF(INDEX(Employees!$D$5:$D$29,$A566)="",0,DATEDIF(INDEX(Employees!$D$5:$D$29,$A566),$E566,"y")))</f>
        <v/>
      </c>
      <c r="I566" s="48">
        <f>IF($G566=0,0,IF(INDEX('Hours Worked'!$D$5:$BD$29,$A566,$B566)="",N(INDEX(Employees!$H$5:$H$29,$A566)),INDEX('Hours Worked'!$D$5:$BD$29,$A566,$B566)))</f>
        <v/>
      </c>
      <c r="J566" s="48">
        <f>IF(OR($G566=0,INDEX(Employees!$O$5:$O$29,$A566)&lt;&gt;"Yes"),0,IF(COUNTIF(Settings!$D$4:$D$9,"&lt;="&amp;$H566)=0,0,INDEX(Settings!$E$4:$E$9,COUNTIF(Settings!$D$4:$D$9,"&lt;="&amp;$H566))))</f>
        <v/>
      </c>
      <c r="K566" s="48">
        <f>IF($G566=0,0,IF(INDEX(Employees!$I$5:$I$29,$A566)="Per pay period",(N(INDEX(Employees!$J$5:$J$29,$A566))+$J566)/Settings!$B$13,IF(INDEX(Employees!$I$5:$I$29,$A566)="Per hour worked",N(INDEX(Employees!$K$5:$K$29,$A566))*$I566,IF(INDEX(Employees!$I$5:$I$29,$A566)="Front-loaded",IF(OR($B566=1,N($G565)=0),N(INDEX(Employees!$J$5:$J$29,$A566))+$J566,0),0))))</f>
        <v/>
      </c>
      <c r="L566" s="48">
        <f>IF($F566=0,0,SUMIFS('Time Off Log'!$H$5:$H$504,'Time Off Log'!$A$5:$A$504,$C566,'Time Off Log'!$B$5:$B$504,"PTO",'Time Off Log'!$E$5:$E$504,"Approved",'Time Off Log'!$C$5:$C$504,"&gt;="&amp;INDEX(Periods!$E$5:$E$57,$B566),'Time Off Log'!$C$5:$C$504,"&lt;="&amp;INDEX(Periods!$F$5:$F$57,$B566)))</f>
        <v/>
      </c>
      <c r="M566" s="48">
        <f>IF($B566=1,N(INDEX(Employees!$N$5:$N$29,$A566)),P565)</f>
        <v/>
      </c>
      <c r="N566" s="48">
        <f>IF(INDEX(Employees!$L$5:$L$29,$A566)="",K566,MAX(0,MIN(K566,INDEX(Employees!$L$5:$L$29,$A566)-(M566-L566))))</f>
        <v/>
      </c>
      <c r="O566" s="48">
        <f>K566-N566</f>
        <v/>
      </c>
      <c r="P566" s="48">
        <f>M566-L566+N566</f>
        <v/>
      </c>
      <c r="Q566" s="48">
        <f>IF($G566=0,0,IF(INDEX(Employees!$P$5:$P$29,$A566)="Per pay period",(N(INDEX(Employees!$Q$5:$Q$29,$A566)))/Settings!$B$13,IF(INDEX(Employees!$P$5:$P$29,$A566)="Per hour worked",N(INDEX(Employees!$R$5:$R$29,$A566))*$I566,IF(INDEX(Employees!$P$5:$P$29,$A566)="Front-loaded",IF(OR($B566=1,N($G565)=0),N(INDEX(Employees!$Q$5:$Q$29,$A566)),0),0))))</f>
        <v/>
      </c>
      <c r="R566" s="48">
        <f>IF($F566=0,0,SUMIFS('Time Off Log'!$H$5:$H$504,'Time Off Log'!$A$5:$A$504,$C566,'Time Off Log'!$B$5:$B$504,"Sick",'Time Off Log'!$E$5:$E$504,"Approved",'Time Off Log'!$C$5:$C$504,"&gt;="&amp;INDEX(Periods!$E$5:$E$57,$B566),'Time Off Log'!$C$5:$C$504,"&lt;="&amp;INDEX(Periods!$F$5:$F$57,$B566)))</f>
        <v/>
      </c>
      <c r="S566" s="48">
        <f>IF($B566=1,N(INDEX(Employees!$T$5:$T$29,$A566)),V565)</f>
        <v/>
      </c>
      <c r="T566" s="48">
        <f>IF(INDEX(Employees!$S$5:$S$29,$A566)="",Q566,MAX(0,MIN(Q566,INDEX(Employees!$S$5:$S$29,$A566)-(S566-R566))))</f>
        <v/>
      </c>
      <c r="U566" s="48">
        <f>Q566-T566</f>
        <v/>
      </c>
      <c r="V566" s="48">
        <f>S566-R566+T566</f>
        <v/>
      </c>
    </row>
    <row r="567">
      <c r="A567" s="47" t="n">
        <v>11</v>
      </c>
      <c r="B567" s="47" t="n">
        <v>33</v>
      </c>
      <c r="C567" s="48">
        <f>INDEX(Employees!$B$5:$B$29,$A567)&amp;""</f>
        <v/>
      </c>
      <c r="D567" s="49">
        <f>INDEX(Periods!$B$5:$B$57,$B567)</f>
        <v/>
      </c>
      <c r="E567" s="49">
        <f>INDEX(Periods!$C$5:$C$57,$B567)</f>
        <v/>
      </c>
      <c r="F567" s="47">
        <f>IF(AND($C567&lt;&gt;"",INDEX(Periods!$D$5:$D$57,$B567)=1),1,0)</f>
        <v/>
      </c>
      <c r="G567" s="47">
        <f>IF($F567=0,0,IF(AND(OR(INDEX(Employees!$D$5:$D$29,$A567)="",$E567&gt;=INDEX(Employees!$D$5:$D$29,$A567)+N(INDEX(Employees!$U$5:$U$29,$A567))),OR(INDEX(Employees!$E$5:$E$29,$A567)="",$D567&lt;=INDEX(Employees!$E$5:$E$29,$A567))),1,0))</f>
        <v/>
      </c>
      <c r="H567" s="47">
        <f>IF($G567=0,0,IF(INDEX(Employees!$D$5:$D$29,$A567)="",0,DATEDIF(INDEX(Employees!$D$5:$D$29,$A567),$E567,"y")))</f>
        <v/>
      </c>
      <c r="I567" s="48">
        <f>IF($G567=0,0,IF(INDEX('Hours Worked'!$D$5:$BD$29,$A567,$B567)="",N(INDEX(Employees!$H$5:$H$29,$A567)),INDEX('Hours Worked'!$D$5:$BD$29,$A567,$B567)))</f>
        <v/>
      </c>
      <c r="J567" s="48">
        <f>IF(OR($G567=0,INDEX(Employees!$O$5:$O$29,$A567)&lt;&gt;"Yes"),0,IF(COUNTIF(Settings!$D$4:$D$9,"&lt;="&amp;$H567)=0,0,INDEX(Settings!$E$4:$E$9,COUNTIF(Settings!$D$4:$D$9,"&lt;="&amp;$H567))))</f>
        <v/>
      </c>
      <c r="K567" s="48">
        <f>IF($G567=0,0,IF(INDEX(Employees!$I$5:$I$29,$A567)="Per pay period",(N(INDEX(Employees!$J$5:$J$29,$A567))+$J567)/Settings!$B$13,IF(INDEX(Employees!$I$5:$I$29,$A567)="Per hour worked",N(INDEX(Employees!$K$5:$K$29,$A567))*$I567,IF(INDEX(Employees!$I$5:$I$29,$A567)="Front-loaded",IF(OR($B567=1,N($G566)=0),N(INDEX(Employees!$J$5:$J$29,$A567))+$J567,0),0))))</f>
        <v/>
      </c>
      <c r="L567" s="48">
        <f>IF($F567=0,0,SUMIFS('Time Off Log'!$H$5:$H$504,'Time Off Log'!$A$5:$A$504,$C567,'Time Off Log'!$B$5:$B$504,"PTO",'Time Off Log'!$E$5:$E$504,"Approved",'Time Off Log'!$C$5:$C$504,"&gt;="&amp;INDEX(Periods!$E$5:$E$57,$B567),'Time Off Log'!$C$5:$C$504,"&lt;="&amp;INDEX(Periods!$F$5:$F$57,$B567)))</f>
        <v/>
      </c>
      <c r="M567" s="48">
        <f>IF($B567=1,N(INDEX(Employees!$N$5:$N$29,$A567)),P566)</f>
        <v/>
      </c>
      <c r="N567" s="48">
        <f>IF(INDEX(Employees!$L$5:$L$29,$A567)="",K567,MAX(0,MIN(K567,INDEX(Employees!$L$5:$L$29,$A567)-(M567-L567))))</f>
        <v/>
      </c>
      <c r="O567" s="48">
        <f>K567-N567</f>
        <v/>
      </c>
      <c r="P567" s="48">
        <f>M567-L567+N567</f>
        <v/>
      </c>
      <c r="Q567" s="48">
        <f>IF($G567=0,0,IF(INDEX(Employees!$P$5:$P$29,$A567)="Per pay period",(N(INDEX(Employees!$Q$5:$Q$29,$A567)))/Settings!$B$13,IF(INDEX(Employees!$P$5:$P$29,$A567)="Per hour worked",N(INDEX(Employees!$R$5:$R$29,$A567))*$I567,IF(INDEX(Employees!$P$5:$P$29,$A567)="Front-loaded",IF(OR($B567=1,N($G566)=0),N(INDEX(Employees!$Q$5:$Q$29,$A567)),0),0))))</f>
        <v/>
      </c>
      <c r="R567" s="48">
        <f>IF($F567=0,0,SUMIFS('Time Off Log'!$H$5:$H$504,'Time Off Log'!$A$5:$A$504,$C567,'Time Off Log'!$B$5:$B$504,"Sick",'Time Off Log'!$E$5:$E$504,"Approved",'Time Off Log'!$C$5:$C$504,"&gt;="&amp;INDEX(Periods!$E$5:$E$57,$B567),'Time Off Log'!$C$5:$C$504,"&lt;="&amp;INDEX(Periods!$F$5:$F$57,$B567)))</f>
        <v/>
      </c>
      <c r="S567" s="48">
        <f>IF($B567=1,N(INDEX(Employees!$T$5:$T$29,$A567)),V566)</f>
        <v/>
      </c>
      <c r="T567" s="48">
        <f>IF(INDEX(Employees!$S$5:$S$29,$A567)="",Q567,MAX(0,MIN(Q567,INDEX(Employees!$S$5:$S$29,$A567)-(S567-R567))))</f>
        <v/>
      </c>
      <c r="U567" s="48">
        <f>Q567-T567</f>
        <v/>
      </c>
      <c r="V567" s="48">
        <f>S567-R567+T567</f>
        <v/>
      </c>
    </row>
    <row r="568">
      <c r="A568" s="47" t="n">
        <v>11</v>
      </c>
      <c r="B568" s="47" t="n">
        <v>34</v>
      </c>
      <c r="C568" s="48">
        <f>INDEX(Employees!$B$5:$B$29,$A568)&amp;""</f>
        <v/>
      </c>
      <c r="D568" s="49">
        <f>INDEX(Periods!$B$5:$B$57,$B568)</f>
        <v/>
      </c>
      <c r="E568" s="49">
        <f>INDEX(Periods!$C$5:$C$57,$B568)</f>
        <v/>
      </c>
      <c r="F568" s="47">
        <f>IF(AND($C568&lt;&gt;"",INDEX(Periods!$D$5:$D$57,$B568)=1),1,0)</f>
        <v/>
      </c>
      <c r="G568" s="47">
        <f>IF($F568=0,0,IF(AND(OR(INDEX(Employees!$D$5:$D$29,$A568)="",$E568&gt;=INDEX(Employees!$D$5:$D$29,$A568)+N(INDEX(Employees!$U$5:$U$29,$A568))),OR(INDEX(Employees!$E$5:$E$29,$A568)="",$D568&lt;=INDEX(Employees!$E$5:$E$29,$A568))),1,0))</f>
        <v/>
      </c>
      <c r="H568" s="47">
        <f>IF($G568=0,0,IF(INDEX(Employees!$D$5:$D$29,$A568)="",0,DATEDIF(INDEX(Employees!$D$5:$D$29,$A568),$E568,"y")))</f>
        <v/>
      </c>
      <c r="I568" s="48">
        <f>IF($G568=0,0,IF(INDEX('Hours Worked'!$D$5:$BD$29,$A568,$B568)="",N(INDEX(Employees!$H$5:$H$29,$A568)),INDEX('Hours Worked'!$D$5:$BD$29,$A568,$B568)))</f>
        <v/>
      </c>
      <c r="J568" s="48">
        <f>IF(OR($G568=0,INDEX(Employees!$O$5:$O$29,$A568)&lt;&gt;"Yes"),0,IF(COUNTIF(Settings!$D$4:$D$9,"&lt;="&amp;$H568)=0,0,INDEX(Settings!$E$4:$E$9,COUNTIF(Settings!$D$4:$D$9,"&lt;="&amp;$H568))))</f>
        <v/>
      </c>
      <c r="K568" s="48">
        <f>IF($G568=0,0,IF(INDEX(Employees!$I$5:$I$29,$A568)="Per pay period",(N(INDEX(Employees!$J$5:$J$29,$A568))+$J568)/Settings!$B$13,IF(INDEX(Employees!$I$5:$I$29,$A568)="Per hour worked",N(INDEX(Employees!$K$5:$K$29,$A568))*$I568,IF(INDEX(Employees!$I$5:$I$29,$A568)="Front-loaded",IF(OR($B568=1,N($G567)=0),N(INDEX(Employees!$J$5:$J$29,$A568))+$J568,0),0))))</f>
        <v/>
      </c>
      <c r="L568" s="48">
        <f>IF($F568=0,0,SUMIFS('Time Off Log'!$H$5:$H$504,'Time Off Log'!$A$5:$A$504,$C568,'Time Off Log'!$B$5:$B$504,"PTO",'Time Off Log'!$E$5:$E$504,"Approved",'Time Off Log'!$C$5:$C$504,"&gt;="&amp;INDEX(Periods!$E$5:$E$57,$B568),'Time Off Log'!$C$5:$C$504,"&lt;="&amp;INDEX(Periods!$F$5:$F$57,$B568)))</f>
        <v/>
      </c>
      <c r="M568" s="48">
        <f>IF($B568=1,N(INDEX(Employees!$N$5:$N$29,$A568)),P567)</f>
        <v/>
      </c>
      <c r="N568" s="48">
        <f>IF(INDEX(Employees!$L$5:$L$29,$A568)="",K568,MAX(0,MIN(K568,INDEX(Employees!$L$5:$L$29,$A568)-(M568-L568))))</f>
        <v/>
      </c>
      <c r="O568" s="48">
        <f>K568-N568</f>
        <v/>
      </c>
      <c r="P568" s="48">
        <f>M568-L568+N568</f>
        <v/>
      </c>
      <c r="Q568" s="48">
        <f>IF($G568=0,0,IF(INDEX(Employees!$P$5:$P$29,$A568)="Per pay period",(N(INDEX(Employees!$Q$5:$Q$29,$A568)))/Settings!$B$13,IF(INDEX(Employees!$P$5:$P$29,$A568)="Per hour worked",N(INDEX(Employees!$R$5:$R$29,$A568))*$I568,IF(INDEX(Employees!$P$5:$P$29,$A568)="Front-loaded",IF(OR($B568=1,N($G567)=0),N(INDEX(Employees!$Q$5:$Q$29,$A568)),0),0))))</f>
        <v/>
      </c>
      <c r="R568" s="48">
        <f>IF($F568=0,0,SUMIFS('Time Off Log'!$H$5:$H$504,'Time Off Log'!$A$5:$A$504,$C568,'Time Off Log'!$B$5:$B$504,"Sick",'Time Off Log'!$E$5:$E$504,"Approved",'Time Off Log'!$C$5:$C$504,"&gt;="&amp;INDEX(Periods!$E$5:$E$57,$B568),'Time Off Log'!$C$5:$C$504,"&lt;="&amp;INDEX(Periods!$F$5:$F$57,$B568)))</f>
        <v/>
      </c>
      <c r="S568" s="48">
        <f>IF($B568=1,N(INDEX(Employees!$T$5:$T$29,$A568)),V567)</f>
        <v/>
      </c>
      <c r="T568" s="48">
        <f>IF(INDEX(Employees!$S$5:$S$29,$A568)="",Q568,MAX(0,MIN(Q568,INDEX(Employees!$S$5:$S$29,$A568)-(S568-R568))))</f>
        <v/>
      </c>
      <c r="U568" s="48">
        <f>Q568-T568</f>
        <v/>
      </c>
      <c r="V568" s="48">
        <f>S568-R568+T568</f>
        <v/>
      </c>
    </row>
    <row r="569">
      <c r="A569" s="47" t="n">
        <v>11</v>
      </c>
      <c r="B569" s="47" t="n">
        <v>35</v>
      </c>
      <c r="C569" s="48">
        <f>INDEX(Employees!$B$5:$B$29,$A569)&amp;""</f>
        <v/>
      </c>
      <c r="D569" s="49">
        <f>INDEX(Periods!$B$5:$B$57,$B569)</f>
        <v/>
      </c>
      <c r="E569" s="49">
        <f>INDEX(Periods!$C$5:$C$57,$B569)</f>
        <v/>
      </c>
      <c r="F569" s="47">
        <f>IF(AND($C569&lt;&gt;"",INDEX(Periods!$D$5:$D$57,$B569)=1),1,0)</f>
        <v/>
      </c>
      <c r="G569" s="47">
        <f>IF($F569=0,0,IF(AND(OR(INDEX(Employees!$D$5:$D$29,$A569)="",$E569&gt;=INDEX(Employees!$D$5:$D$29,$A569)+N(INDEX(Employees!$U$5:$U$29,$A569))),OR(INDEX(Employees!$E$5:$E$29,$A569)="",$D569&lt;=INDEX(Employees!$E$5:$E$29,$A569))),1,0))</f>
        <v/>
      </c>
      <c r="H569" s="47">
        <f>IF($G569=0,0,IF(INDEX(Employees!$D$5:$D$29,$A569)="",0,DATEDIF(INDEX(Employees!$D$5:$D$29,$A569),$E569,"y")))</f>
        <v/>
      </c>
      <c r="I569" s="48">
        <f>IF($G569=0,0,IF(INDEX('Hours Worked'!$D$5:$BD$29,$A569,$B569)="",N(INDEX(Employees!$H$5:$H$29,$A569)),INDEX('Hours Worked'!$D$5:$BD$29,$A569,$B569)))</f>
        <v/>
      </c>
      <c r="J569" s="48">
        <f>IF(OR($G569=0,INDEX(Employees!$O$5:$O$29,$A569)&lt;&gt;"Yes"),0,IF(COUNTIF(Settings!$D$4:$D$9,"&lt;="&amp;$H569)=0,0,INDEX(Settings!$E$4:$E$9,COUNTIF(Settings!$D$4:$D$9,"&lt;="&amp;$H569))))</f>
        <v/>
      </c>
      <c r="K569" s="48">
        <f>IF($G569=0,0,IF(INDEX(Employees!$I$5:$I$29,$A569)="Per pay period",(N(INDEX(Employees!$J$5:$J$29,$A569))+$J569)/Settings!$B$13,IF(INDEX(Employees!$I$5:$I$29,$A569)="Per hour worked",N(INDEX(Employees!$K$5:$K$29,$A569))*$I569,IF(INDEX(Employees!$I$5:$I$29,$A569)="Front-loaded",IF(OR($B569=1,N($G568)=0),N(INDEX(Employees!$J$5:$J$29,$A569))+$J569,0),0))))</f>
        <v/>
      </c>
      <c r="L569" s="48">
        <f>IF($F569=0,0,SUMIFS('Time Off Log'!$H$5:$H$504,'Time Off Log'!$A$5:$A$504,$C569,'Time Off Log'!$B$5:$B$504,"PTO",'Time Off Log'!$E$5:$E$504,"Approved",'Time Off Log'!$C$5:$C$504,"&gt;="&amp;INDEX(Periods!$E$5:$E$57,$B569),'Time Off Log'!$C$5:$C$504,"&lt;="&amp;INDEX(Periods!$F$5:$F$57,$B569)))</f>
        <v/>
      </c>
      <c r="M569" s="48">
        <f>IF($B569=1,N(INDEX(Employees!$N$5:$N$29,$A569)),P568)</f>
        <v/>
      </c>
      <c r="N569" s="48">
        <f>IF(INDEX(Employees!$L$5:$L$29,$A569)="",K569,MAX(0,MIN(K569,INDEX(Employees!$L$5:$L$29,$A569)-(M569-L569))))</f>
        <v/>
      </c>
      <c r="O569" s="48">
        <f>K569-N569</f>
        <v/>
      </c>
      <c r="P569" s="48">
        <f>M569-L569+N569</f>
        <v/>
      </c>
      <c r="Q569" s="48">
        <f>IF($G569=0,0,IF(INDEX(Employees!$P$5:$P$29,$A569)="Per pay period",(N(INDEX(Employees!$Q$5:$Q$29,$A569)))/Settings!$B$13,IF(INDEX(Employees!$P$5:$P$29,$A569)="Per hour worked",N(INDEX(Employees!$R$5:$R$29,$A569))*$I569,IF(INDEX(Employees!$P$5:$P$29,$A569)="Front-loaded",IF(OR($B569=1,N($G568)=0),N(INDEX(Employees!$Q$5:$Q$29,$A569)),0),0))))</f>
        <v/>
      </c>
      <c r="R569" s="48">
        <f>IF($F569=0,0,SUMIFS('Time Off Log'!$H$5:$H$504,'Time Off Log'!$A$5:$A$504,$C569,'Time Off Log'!$B$5:$B$504,"Sick",'Time Off Log'!$E$5:$E$504,"Approved",'Time Off Log'!$C$5:$C$504,"&gt;="&amp;INDEX(Periods!$E$5:$E$57,$B569),'Time Off Log'!$C$5:$C$504,"&lt;="&amp;INDEX(Periods!$F$5:$F$57,$B569)))</f>
        <v/>
      </c>
      <c r="S569" s="48">
        <f>IF($B569=1,N(INDEX(Employees!$T$5:$T$29,$A569)),V568)</f>
        <v/>
      </c>
      <c r="T569" s="48">
        <f>IF(INDEX(Employees!$S$5:$S$29,$A569)="",Q569,MAX(0,MIN(Q569,INDEX(Employees!$S$5:$S$29,$A569)-(S569-R569))))</f>
        <v/>
      </c>
      <c r="U569" s="48">
        <f>Q569-T569</f>
        <v/>
      </c>
      <c r="V569" s="48">
        <f>S569-R569+T569</f>
        <v/>
      </c>
    </row>
    <row r="570">
      <c r="A570" s="47" t="n">
        <v>11</v>
      </c>
      <c r="B570" s="47" t="n">
        <v>36</v>
      </c>
      <c r="C570" s="48">
        <f>INDEX(Employees!$B$5:$B$29,$A570)&amp;""</f>
        <v/>
      </c>
      <c r="D570" s="49">
        <f>INDEX(Periods!$B$5:$B$57,$B570)</f>
        <v/>
      </c>
      <c r="E570" s="49">
        <f>INDEX(Periods!$C$5:$C$57,$B570)</f>
        <v/>
      </c>
      <c r="F570" s="47">
        <f>IF(AND($C570&lt;&gt;"",INDEX(Periods!$D$5:$D$57,$B570)=1),1,0)</f>
        <v/>
      </c>
      <c r="G570" s="47">
        <f>IF($F570=0,0,IF(AND(OR(INDEX(Employees!$D$5:$D$29,$A570)="",$E570&gt;=INDEX(Employees!$D$5:$D$29,$A570)+N(INDEX(Employees!$U$5:$U$29,$A570))),OR(INDEX(Employees!$E$5:$E$29,$A570)="",$D570&lt;=INDEX(Employees!$E$5:$E$29,$A570))),1,0))</f>
        <v/>
      </c>
      <c r="H570" s="47">
        <f>IF($G570=0,0,IF(INDEX(Employees!$D$5:$D$29,$A570)="",0,DATEDIF(INDEX(Employees!$D$5:$D$29,$A570),$E570,"y")))</f>
        <v/>
      </c>
      <c r="I570" s="48">
        <f>IF($G570=0,0,IF(INDEX('Hours Worked'!$D$5:$BD$29,$A570,$B570)="",N(INDEX(Employees!$H$5:$H$29,$A570)),INDEX('Hours Worked'!$D$5:$BD$29,$A570,$B570)))</f>
        <v/>
      </c>
      <c r="J570" s="48">
        <f>IF(OR($G570=0,INDEX(Employees!$O$5:$O$29,$A570)&lt;&gt;"Yes"),0,IF(COUNTIF(Settings!$D$4:$D$9,"&lt;="&amp;$H570)=0,0,INDEX(Settings!$E$4:$E$9,COUNTIF(Settings!$D$4:$D$9,"&lt;="&amp;$H570))))</f>
        <v/>
      </c>
      <c r="K570" s="48">
        <f>IF($G570=0,0,IF(INDEX(Employees!$I$5:$I$29,$A570)="Per pay period",(N(INDEX(Employees!$J$5:$J$29,$A570))+$J570)/Settings!$B$13,IF(INDEX(Employees!$I$5:$I$29,$A570)="Per hour worked",N(INDEX(Employees!$K$5:$K$29,$A570))*$I570,IF(INDEX(Employees!$I$5:$I$29,$A570)="Front-loaded",IF(OR($B570=1,N($G569)=0),N(INDEX(Employees!$J$5:$J$29,$A570))+$J570,0),0))))</f>
        <v/>
      </c>
      <c r="L570" s="48">
        <f>IF($F570=0,0,SUMIFS('Time Off Log'!$H$5:$H$504,'Time Off Log'!$A$5:$A$504,$C570,'Time Off Log'!$B$5:$B$504,"PTO",'Time Off Log'!$E$5:$E$504,"Approved",'Time Off Log'!$C$5:$C$504,"&gt;="&amp;INDEX(Periods!$E$5:$E$57,$B570),'Time Off Log'!$C$5:$C$504,"&lt;="&amp;INDEX(Periods!$F$5:$F$57,$B570)))</f>
        <v/>
      </c>
      <c r="M570" s="48">
        <f>IF($B570=1,N(INDEX(Employees!$N$5:$N$29,$A570)),P569)</f>
        <v/>
      </c>
      <c r="N570" s="48">
        <f>IF(INDEX(Employees!$L$5:$L$29,$A570)="",K570,MAX(0,MIN(K570,INDEX(Employees!$L$5:$L$29,$A570)-(M570-L570))))</f>
        <v/>
      </c>
      <c r="O570" s="48">
        <f>K570-N570</f>
        <v/>
      </c>
      <c r="P570" s="48">
        <f>M570-L570+N570</f>
        <v/>
      </c>
      <c r="Q570" s="48">
        <f>IF($G570=0,0,IF(INDEX(Employees!$P$5:$P$29,$A570)="Per pay period",(N(INDEX(Employees!$Q$5:$Q$29,$A570)))/Settings!$B$13,IF(INDEX(Employees!$P$5:$P$29,$A570)="Per hour worked",N(INDEX(Employees!$R$5:$R$29,$A570))*$I570,IF(INDEX(Employees!$P$5:$P$29,$A570)="Front-loaded",IF(OR($B570=1,N($G569)=0),N(INDEX(Employees!$Q$5:$Q$29,$A570)),0),0))))</f>
        <v/>
      </c>
      <c r="R570" s="48">
        <f>IF($F570=0,0,SUMIFS('Time Off Log'!$H$5:$H$504,'Time Off Log'!$A$5:$A$504,$C570,'Time Off Log'!$B$5:$B$504,"Sick",'Time Off Log'!$E$5:$E$504,"Approved",'Time Off Log'!$C$5:$C$504,"&gt;="&amp;INDEX(Periods!$E$5:$E$57,$B570),'Time Off Log'!$C$5:$C$504,"&lt;="&amp;INDEX(Periods!$F$5:$F$57,$B570)))</f>
        <v/>
      </c>
      <c r="S570" s="48">
        <f>IF($B570=1,N(INDEX(Employees!$T$5:$T$29,$A570)),V569)</f>
        <v/>
      </c>
      <c r="T570" s="48">
        <f>IF(INDEX(Employees!$S$5:$S$29,$A570)="",Q570,MAX(0,MIN(Q570,INDEX(Employees!$S$5:$S$29,$A570)-(S570-R570))))</f>
        <v/>
      </c>
      <c r="U570" s="48">
        <f>Q570-T570</f>
        <v/>
      </c>
      <c r="V570" s="48">
        <f>S570-R570+T570</f>
        <v/>
      </c>
    </row>
    <row r="571">
      <c r="A571" s="47" t="n">
        <v>11</v>
      </c>
      <c r="B571" s="47" t="n">
        <v>37</v>
      </c>
      <c r="C571" s="48">
        <f>INDEX(Employees!$B$5:$B$29,$A571)&amp;""</f>
        <v/>
      </c>
      <c r="D571" s="49">
        <f>INDEX(Periods!$B$5:$B$57,$B571)</f>
        <v/>
      </c>
      <c r="E571" s="49">
        <f>INDEX(Periods!$C$5:$C$57,$B571)</f>
        <v/>
      </c>
      <c r="F571" s="47">
        <f>IF(AND($C571&lt;&gt;"",INDEX(Periods!$D$5:$D$57,$B571)=1),1,0)</f>
        <v/>
      </c>
      <c r="G571" s="47">
        <f>IF($F571=0,0,IF(AND(OR(INDEX(Employees!$D$5:$D$29,$A571)="",$E571&gt;=INDEX(Employees!$D$5:$D$29,$A571)+N(INDEX(Employees!$U$5:$U$29,$A571))),OR(INDEX(Employees!$E$5:$E$29,$A571)="",$D571&lt;=INDEX(Employees!$E$5:$E$29,$A571))),1,0))</f>
        <v/>
      </c>
      <c r="H571" s="47">
        <f>IF($G571=0,0,IF(INDEX(Employees!$D$5:$D$29,$A571)="",0,DATEDIF(INDEX(Employees!$D$5:$D$29,$A571),$E571,"y")))</f>
        <v/>
      </c>
      <c r="I571" s="48">
        <f>IF($G571=0,0,IF(INDEX('Hours Worked'!$D$5:$BD$29,$A571,$B571)="",N(INDEX(Employees!$H$5:$H$29,$A571)),INDEX('Hours Worked'!$D$5:$BD$29,$A571,$B571)))</f>
        <v/>
      </c>
      <c r="J571" s="48">
        <f>IF(OR($G571=0,INDEX(Employees!$O$5:$O$29,$A571)&lt;&gt;"Yes"),0,IF(COUNTIF(Settings!$D$4:$D$9,"&lt;="&amp;$H571)=0,0,INDEX(Settings!$E$4:$E$9,COUNTIF(Settings!$D$4:$D$9,"&lt;="&amp;$H571))))</f>
        <v/>
      </c>
      <c r="K571" s="48">
        <f>IF($G571=0,0,IF(INDEX(Employees!$I$5:$I$29,$A571)="Per pay period",(N(INDEX(Employees!$J$5:$J$29,$A571))+$J571)/Settings!$B$13,IF(INDEX(Employees!$I$5:$I$29,$A571)="Per hour worked",N(INDEX(Employees!$K$5:$K$29,$A571))*$I571,IF(INDEX(Employees!$I$5:$I$29,$A571)="Front-loaded",IF(OR($B571=1,N($G570)=0),N(INDEX(Employees!$J$5:$J$29,$A571))+$J571,0),0))))</f>
        <v/>
      </c>
      <c r="L571" s="48">
        <f>IF($F571=0,0,SUMIFS('Time Off Log'!$H$5:$H$504,'Time Off Log'!$A$5:$A$504,$C571,'Time Off Log'!$B$5:$B$504,"PTO",'Time Off Log'!$E$5:$E$504,"Approved",'Time Off Log'!$C$5:$C$504,"&gt;="&amp;INDEX(Periods!$E$5:$E$57,$B571),'Time Off Log'!$C$5:$C$504,"&lt;="&amp;INDEX(Periods!$F$5:$F$57,$B571)))</f>
        <v/>
      </c>
      <c r="M571" s="48">
        <f>IF($B571=1,N(INDEX(Employees!$N$5:$N$29,$A571)),P570)</f>
        <v/>
      </c>
      <c r="N571" s="48">
        <f>IF(INDEX(Employees!$L$5:$L$29,$A571)="",K571,MAX(0,MIN(K571,INDEX(Employees!$L$5:$L$29,$A571)-(M571-L571))))</f>
        <v/>
      </c>
      <c r="O571" s="48">
        <f>K571-N571</f>
        <v/>
      </c>
      <c r="P571" s="48">
        <f>M571-L571+N571</f>
        <v/>
      </c>
      <c r="Q571" s="48">
        <f>IF($G571=0,0,IF(INDEX(Employees!$P$5:$P$29,$A571)="Per pay period",(N(INDEX(Employees!$Q$5:$Q$29,$A571)))/Settings!$B$13,IF(INDEX(Employees!$P$5:$P$29,$A571)="Per hour worked",N(INDEX(Employees!$R$5:$R$29,$A571))*$I571,IF(INDEX(Employees!$P$5:$P$29,$A571)="Front-loaded",IF(OR($B571=1,N($G570)=0),N(INDEX(Employees!$Q$5:$Q$29,$A571)),0),0))))</f>
        <v/>
      </c>
      <c r="R571" s="48">
        <f>IF($F571=0,0,SUMIFS('Time Off Log'!$H$5:$H$504,'Time Off Log'!$A$5:$A$504,$C571,'Time Off Log'!$B$5:$B$504,"Sick",'Time Off Log'!$E$5:$E$504,"Approved",'Time Off Log'!$C$5:$C$504,"&gt;="&amp;INDEX(Periods!$E$5:$E$57,$B571),'Time Off Log'!$C$5:$C$504,"&lt;="&amp;INDEX(Periods!$F$5:$F$57,$B571)))</f>
        <v/>
      </c>
      <c r="S571" s="48">
        <f>IF($B571=1,N(INDEX(Employees!$T$5:$T$29,$A571)),V570)</f>
        <v/>
      </c>
      <c r="T571" s="48">
        <f>IF(INDEX(Employees!$S$5:$S$29,$A571)="",Q571,MAX(0,MIN(Q571,INDEX(Employees!$S$5:$S$29,$A571)-(S571-R571))))</f>
        <v/>
      </c>
      <c r="U571" s="48">
        <f>Q571-T571</f>
        <v/>
      </c>
      <c r="V571" s="48">
        <f>S571-R571+T571</f>
        <v/>
      </c>
    </row>
    <row r="572">
      <c r="A572" s="47" t="n">
        <v>11</v>
      </c>
      <c r="B572" s="47" t="n">
        <v>38</v>
      </c>
      <c r="C572" s="48">
        <f>INDEX(Employees!$B$5:$B$29,$A572)&amp;""</f>
        <v/>
      </c>
      <c r="D572" s="49">
        <f>INDEX(Periods!$B$5:$B$57,$B572)</f>
        <v/>
      </c>
      <c r="E572" s="49">
        <f>INDEX(Periods!$C$5:$C$57,$B572)</f>
        <v/>
      </c>
      <c r="F572" s="47">
        <f>IF(AND($C572&lt;&gt;"",INDEX(Periods!$D$5:$D$57,$B572)=1),1,0)</f>
        <v/>
      </c>
      <c r="G572" s="47">
        <f>IF($F572=0,0,IF(AND(OR(INDEX(Employees!$D$5:$D$29,$A572)="",$E572&gt;=INDEX(Employees!$D$5:$D$29,$A572)+N(INDEX(Employees!$U$5:$U$29,$A572))),OR(INDEX(Employees!$E$5:$E$29,$A572)="",$D572&lt;=INDEX(Employees!$E$5:$E$29,$A572))),1,0))</f>
        <v/>
      </c>
      <c r="H572" s="47">
        <f>IF($G572=0,0,IF(INDEX(Employees!$D$5:$D$29,$A572)="",0,DATEDIF(INDEX(Employees!$D$5:$D$29,$A572),$E572,"y")))</f>
        <v/>
      </c>
      <c r="I572" s="48">
        <f>IF($G572=0,0,IF(INDEX('Hours Worked'!$D$5:$BD$29,$A572,$B572)="",N(INDEX(Employees!$H$5:$H$29,$A572)),INDEX('Hours Worked'!$D$5:$BD$29,$A572,$B572)))</f>
        <v/>
      </c>
      <c r="J572" s="48">
        <f>IF(OR($G572=0,INDEX(Employees!$O$5:$O$29,$A572)&lt;&gt;"Yes"),0,IF(COUNTIF(Settings!$D$4:$D$9,"&lt;="&amp;$H572)=0,0,INDEX(Settings!$E$4:$E$9,COUNTIF(Settings!$D$4:$D$9,"&lt;="&amp;$H572))))</f>
        <v/>
      </c>
      <c r="K572" s="48">
        <f>IF($G572=0,0,IF(INDEX(Employees!$I$5:$I$29,$A572)="Per pay period",(N(INDEX(Employees!$J$5:$J$29,$A572))+$J572)/Settings!$B$13,IF(INDEX(Employees!$I$5:$I$29,$A572)="Per hour worked",N(INDEX(Employees!$K$5:$K$29,$A572))*$I572,IF(INDEX(Employees!$I$5:$I$29,$A572)="Front-loaded",IF(OR($B572=1,N($G571)=0),N(INDEX(Employees!$J$5:$J$29,$A572))+$J572,0),0))))</f>
        <v/>
      </c>
      <c r="L572" s="48">
        <f>IF($F572=0,0,SUMIFS('Time Off Log'!$H$5:$H$504,'Time Off Log'!$A$5:$A$504,$C572,'Time Off Log'!$B$5:$B$504,"PTO",'Time Off Log'!$E$5:$E$504,"Approved",'Time Off Log'!$C$5:$C$504,"&gt;="&amp;INDEX(Periods!$E$5:$E$57,$B572),'Time Off Log'!$C$5:$C$504,"&lt;="&amp;INDEX(Periods!$F$5:$F$57,$B572)))</f>
        <v/>
      </c>
      <c r="M572" s="48">
        <f>IF($B572=1,N(INDEX(Employees!$N$5:$N$29,$A572)),P571)</f>
        <v/>
      </c>
      <c r="N572" s="48">
        <f>IF(INDEX(Employees!$L$5:$L$29,$A572)="",K572,MAX(0,MIN(K572,INDEX(Employees!$L$5:$L$29,$A572)-(M572-L572))))</f>
        <v/>
      </c>
      <c r="O572" s="48">
        <f>K572-N572</f>
        <v/>
      </c>
      <c r="P572" s="48">
        <f>M572-L572+N572</f>
        <v/>
      </c>
      <c r="Q572" s="48">
        <f>IF($G572=0,0,IF(INDEX(Employees!$P$5:$P$29,$A572)="Per pay period",(N(INDEX(Employees!$Q$5:$Q$29,$A572)))/Settings!$B$13,IF(INDEX(Employees!$P$5:$P$29,$A572)="Per hour worked",N(INDEX(Employees!$R$5:$R$29,$A572))*$I572,IF(INDEX(Employees!$P$5:$P$29,$A572)="Front-loaded",IF(OR($B572=1,N($G571)=0),N(INDEX(Employees!$Q$5:$Q$29,$A572)),0),0))))</f>
        <v/>
      </c>
      <c r="R572" s="48">
        <f>IF($F572=0,0,SUMIFS('Time Off Log'!$H$5:$H$504,'Time Off Log'!$A$5:$A$504,$C572,'Time Off Log'!$B$5:$B$504,"Sick",'Time Off Log'!$E$5:$E$504,"Approved",'Time Off Log'!$C$5:$C$504,"&gt;="&amp;INDEX(Periods!$E$5:$E$57,$B572),'Time Off Log'!$C$5:$C$504,"&lt;="&amp;INDEX(Periods!$F$5:$F$57,$B572)))</f>
        <v/>
      </c>
      <c r="S572" s="48">
        <f>IF($B572=1,N(INDEX(Employees!$T$5:$T$29,$A572)),V571)</f>
        <v/>
      </c>
      <c r="T572" s="48">
        <f>IF(INDEX(Employees!$S$5:$S$29,$A572)="",Q572,MAX(0,MIN(Q572,INDEX(Employees!$S$5:$S$29,$A572)-(S572-R572))))</f>
        <v/>
      </c>
      <c r="U572" s="48">
        <f>Q572-T572</f>
        <v/>
      </c>
      <c r="V572" s="48">
        <f>S572-R572+T572</f>
        <v/>
      </c>
    </row>
    <row r="573">
      <c r="A573" s="47" t="n">
        <v>11</v>
      </c>
      <c r="B573" s="47" t="n">
        <v>39</v>
      </c>
      <c r="C573" s="48">
        <f>INDEX(Employees!$B$5:$B$29,$A573)&amp;""</f>
        <v/>
      </c>
      <c r="D573" s="49">
        <f>INDEX(Periods!$B$5:$B$57,$B573)</f>
        <v/>
      </c>
      <c r="E573" s="49">
        <f>INDEX(Periods!$C$5:$C$57,$B573)</f>
        <v/>
      </c>
      <c r="F573" s="47">
        <f>IF(AND($C573&lt;&gt;"",INDEX(Periods!$D$5:$D$57,$B573)=1),1,0)</f>
        <v/>
      </c>
      <c r="G573" s="47">
        <f>IF($F573=0,0,IF(AND(OR(INDEX(Employees!$D$5:$D$29,$A573)="",$E573&gt;=INDEX(Employees!$D$5:$D$29,$A573)+N(INDEX(Employees!$U$5:$U$29,$A573))),OR(INDEX(Employees!$E$5:$E$29,$A573)="",$D573&lt;=INDEX(Employees!$E$5:$E$29,$A573))),1,0))</f>
        <v/>
      </c>
      <c r="H573" s="47">
        <f>IF($G573=0,0,IF(INDEX(Employees!$D$5:$D$29,$A573)="",0,DATEDIF(INDEX(Employees!$D$5:$D$29,$A573),$E573,"y")))</f>
        <v/>
      </c>
      <c r="I573" s="48">
        <f>IF($G573=0,0,IF(INDEX('Hours Worked'!$D$5:$BD$29,$A573,$B573)="",N(INDEX(Employees!$H$5:$H$29,$A573)),INDEX('Hours Worked'!$D$5:$BD$29,$A573,$B573)))</f>
        <v/>
      </c>
      <c r="J573" s="48">
        <f>IF(OR($G573=0,INDEX(Employees!$O$5:$O$29,$A573)&lt;&gt;"Yes"),0,IF(COUNTIF(Settings!$D$4:$D$9,"&lt;="&amp;$H573)=0,0,INDEX(Settings!$E$4:$E$9,COUNTIF(Settings!$D$4:$D$9,"&lt;="&amp;$H573))))</f>
        <v/>
      </c>
      <c r="K573" s="48">
        <f>IF($G573=0,0,IF(INDEX(Employees!$I$5:$I$29,$A573)="Per pay period",(N(INDEX(Employees!$J$5:$J$29,$A573))+$J573)/Settings!$B$13,IF(INDEX(Employees!$I$5:$I$29,$A573)="Per hour worked",N(INDEX(Employees!$K$5:$K$29,$A573))*$I573,IF(INDEX(Employees!$I$5:$I$29,$A573)="Front-loaded",IF(OR($B573=1,N($G572)=0),N(INDEX(Employees!$J$5:$J$29,$A573))+$J573,0),0))))</f>
        <v/>
      </c>
      <c r="L573" s="48">
        <f>IF($F573=0,0,SUMIFS('Time Off Log'!$H$5:$H$504,'Time Off Log'!$A$5:$A$504,$C573,'Time Off Log'!$B$5:$B$504,"PTO",'Time Off Log'!$E$5:$E$504,"Approved",'Time Off Log'!$C$5:$C$504,"&gt;="&amp;INDEX(Periods!$E$5:$E$57,$B573),'Time Off Log'!$C$5:$C$504,"&lt;="&amp;INDEX(Periods!$F$5:$F$57,$B573)))</f>
        <v/>
      </c>
      <c r="M573" s="48">
        <f>IF($B573=1,N(INDEX(Employees!$N$5:$N$29,$A573)),P572)</f>
        <v/>
      </c>
      <c r="N573" s="48">
        <f>IF(INDEX(Employees!$L$5:$L$29,$A573)="",K573,MAX(0,MIN(K573,INDEX(Employees!$L$5:$L$29,$A573)-(M573-L573))))</f>
        <v/>
      </c>
      <c r="O573" s="48">
        <f>K573-N573</f>
        <v/>
      </c>
      <c r="P573" s="48">
        <f>M573-L573+N573</f>
        <v/>
      </c>
      <c r="Q573" s="48">
        <f>IF($G573=0,0,IF(INDEX(Employees!$P$5:$P$29,$A573)="Per pay period",(N(INDEX(Employees!$Q$5:$Q$29,$A573)))/Settings!$B$13,IF(INDEX(Employees!$P$5:$P$29,$A573)="Per hour worked",N(INDEX(Employees!$R$5:$R$29,$A573))*$I573,IF(INDEX(Employees!$P$5:$P$29,$A573)="Front-loaded",IF(OR($B573=1,N($G572)=0),N(INDEX(Employees!$Q$5:$Q$29,$A573)),0),0))))</f>
        <v/>
      </c>
      <c r="R573" s="48">
        <f>IF($F573=0,0,SUMIFS('Time Off Log'!$H$5:$H$504,'Time Off Log'!$A$5:$A$504,$C573,'Time Off Log'!$B$5:$B$504,"Sick",'Time Off Log'!$E$5:$E$504,"Approved",'Time Off Log'!$C$5:$C$504,"&gt;="&amp;INDEX(Periods!$E$5:$E$57,$B573),'Time Off Log'!$C$5:$C$504,"&lt;="&amp;INDEX(Periods!$F$5:$F$57,$B573)))</f>
        <v/>
      </c>
      <c r="S573" s="48">
        <f>IF($B573=1,N(INDEX(Employees!$T$5:$T$29,$A573)),V572)</f>
        <v/>
      </c>
      <c r="T573" s="48">
        <f>IF(INDEX(Employees!$S$5:$S$29,$A573)="",Q573,MAX(0,MIN(Q573,INDEX(Employees!$S$5:$S$29,$A573)-(S573-R573))))</f>
        <v/>
      </c>
      <c r="U573" s="48">
        <f>Q573-T573</f>
        <v/>
      </c>
      <c r="V573" s="48">
        <f>S573-R573+T573</f>
        <v/>
      </c>
    </row>
    <row r="574">
      <c r="A574" s="47" t="n">
        <v>11</v>
      </c>
      <c r="B574" s="47" t="n">
        <v>40</v>
      </c>
      <c r="C574" s="48">
        <f>INDEX(Employees!$B$5:$B$29,$A574)&amp;""</f>
        <v/>
      </c>
      <c r="D574" s="49">
        <f>INDEX(Periods!$B$5:$B$57,$B574)</f>
        <v/>
      </c>
      <c r="E574" s="49">
        <f>INDEX(Periods!$C$5:$C$57,$B574)</f>
        <v/>
      </c>
      <c r="F574" s="47">
        <f>IF(AND($C574&lt;&gt;"",INDEX(Periods!$D$5:$D$57,$B574)=1),1,0)</f>
        <v/>
      </c>
      <c r="G574" s="47">
        <f>IF($F574=0,0,IF(AND(OR(INDEX(Employees!$D$5:$D$29,$A574)="",$E574&gt;=INDEX(Employees!$D$5:$D$29,$A574)+N(INDEX(Employees!$U$5:$U$29,$A574))),OR(INDEX(Employees!$E$5:$E$29,$A574)="",$D574&lt;=INDEX(Employees!$E$5:$E$29,$A574))),1,0))</f>
        <v/>
      </c>
      <c r="H574" s="47">
        <f>IF($G574=0,0,IF(INDEX(Employees!$D$5:$D$29,$A574)="",0,DATEDIF(INDEX(Employees!$D$5:$D$29,$A574),$E574,"y")))</f>
        <v/>
      </c>
      <c r="I574" s="48">
        <f>IF($G574=0,0,IF(INDEX('Hours Worked'!$D$5:$BD$29,$A574,$B574)="",N(INDEX(Employees!$H$5:$H$29,$A574)),INDEX('Hours Worked'!$D$5:$BD$29,$A574,$B574)))</f>
        <v/>
      </c>
      <c r="J574" s="48">
        <f>IF(OR($G574=0,INDEX(Employees!$O$5:$O$29,$A574)&lt;&gt;"Yes"),0,IF(COUNTIF(Settings!$D$4:$D$9,"&lt;="&amp;$H574)=0,0,INDEX(Settings!$E$4:$E$9,COUNTIF(Settings!$D$4:$D$9,"&lt;="&amp;$H574))))</f>
        <v/>
      </c>
      <c r="K574" s="48">
        <f>IF($G574=0,0,IF(INDEX(Employees!$I$5:$I$29,$A574)="Per pay period",(N(INDEX(Employees!$J$5:$J$29,$A574))+$J574)/Settings!$B$13,IF(INDEX(Employees!$I$5:$I$29,$A574)="Per hour worked",N(INDEX(Employees!$K$5:$K$29,$A574))*$I574,IF(INDEX(Employees!$I$5:$I$29,$A574)="Front-loaded",IF(OR($B574=1,N($G573)=0),N(INDEX(Employees!$J$5:$J$29,$A574))+$J574,0),0))))</f>
        <v/>
      </c>
      <c r="L574" s="48">
        <f>IF($F574=0,0,SUMIFS('Time Off Log'!$H$5:$H$504,'Time Off Log'!$A$5:$A$504,$C574,'Time Off Log'!$B$5:$B$504,"PTO",'Time Off Log'!$E$5:$E$504,"Approved",'Time Off Log'!$C$5:$C$504,"&gt;="&amp;INDEX(Periods!$E$5:$E$57,$B574),'Time Off Log'!$C$5:$C$504,"&lt;="&amp;INDEX(Periods!$F$5:$F$57,$B574)))</f>
        <v/>
      </c>
      <c r="M574" s="48">
        <f>IF($B574=1,N(INDEX(Employees!$N$5:$N$29,$A574)),P573)</f>
        <v/>
      </c>
      <c r="N574" s="48">
        <f>IF(INDEX(Employees!$L$5:$L$29,$A574)="",K574,MAX(0,MIN(K574,INDEX(Employees!$L$5:$L$29,$A574)-(M574-L574))))</f>
        <v/>
      </c>
      <c r="O574" s="48">
        <f>K574-N574</f>
        <v/>
      </c>
      <c r="P574" s="48">
        <f>M574-L574+N574</f>
        <v/>
      </c>
      <c r="Q574" s="48">
        <f>IF($G574=0,0,IF(INDEX(Employees!$P$5:$P$29,$A574)="Per pay period",(N(INDEX(Employees!$Q$5:$Q$29,$A574)))/Settings!$B$13,IF(INDEX(Employees!$P$5:$P$29,$A574)="Per hour worked",N(INDEX(Employees!$R$5:$R$29,$A574))*$I574,IF(INDEX(Employees!$P$5:$P$29,$A574)="Front-loaded",IF(OR($B574=1,N($G573)=0),N(INDEX(Employees!$Q$5:$Q$29,$A574)),0),0))))</f>
        <v/>
      </c>
      <c r="R574" s="48">
        <f>IF($F574=0,0,SUMIFS('Time Off Log'!$H$5:$H$504,'Time Off Log'!$A$5:$A$504,$C574,'Time Off Log'!$B$5:$B$504,"Sick",'Time Off Log'!$E$5:$E$504,"Approved",'Time Off Log'!$C$5:$C$504,"&gt;="&amp;INDEX(Periods!$E$5:$E$57,$B574),'Time Off Log'!$C$5:$C$504,"&lt;="&amp;INDEX(Periods!$F$5:$F$57,$B574)))</f>
        <v/>
      </c>
      <c r="S574" s="48">
        <f>IF($B574=1,N(INDEX(Employees!$T$5:$T$29,$A574)),V573)</f>
        <v/>
      </c>
      <c r="T574" s="48">
        <f>IF(INDEX(Employees!$S$5:$S$29,$A574)="",Q574,MAX(0,MIN(Q574,INDEX(Employees!$S$5:$S$29,$A574)-(S574-R574))))</f>
        <v/>
      </c>
      <c r="U574" s="48">
        <f>Q574-T574</f>
        <v/>
      </c>
      <c r="V574" s="48">
        <f>S574-R574+T574</f>
        <v/>
      </c>
    </row>
    <row r="575">
      <c r="A575" s="47" t="n">
        <v>11</v>
      </c>
      <c r="B575" s="47" t="n">
        <v>41</v>
      </c>
      <c r="C575" s="48">
        <f>INDEX(Employees!$B$5:$B$29,$A575)&amp;""</f>
        <v/>
      </c>
      <c r="D575" s="49">
        <f>INDEX(Periods!$B$5:$B$57,$B575)</f>
        <v/>
      </c>
      <c r="E575" s="49">
        <f>INDEX(Periods!$C$5:$C$57,$B575)</f>
        <v/>
      </c>
      <c r="F575" s="47">
        <f>IF(AND($C575&lt;&gt;"",INDEX(Periods!$D$5:$D$57,$B575)=1),1,0)</f>
        <v/>
      </c>
      <c r="G575" s="47">
        <f>IF($F575=0,0,IF(AND(OR(INDEX(Employees!$D$5:$D$29,$A575)="",$E575&gt;=INDEX(Employees!$D$5:$D$29,$A575)+N(INDEX(Employees!$U$5:$U$29,$A575))),OR(INDEX(Employees!$E$5:$E$29,$A575)="",$D575&lt;=INDEX(Employees!$E$5:$E$29,$A575))),1,0))</f>
        <v/>
      </c>
      <c r="H575" s="47">
        <f>IF($G575=0,0,IF(INDEX(Employees!$D$5:$D$29,$A575)="",0,DATEDIF(INDEX(Employees!$D$5:$D$29,$A575),$E575,"y")))</f>
        <v/>
      </c>
      <c r="I575" s="48">
        <f>IF($G575=0,0,IF(INDEX('Hours Worked'!$D$5:$BD$29,$A575,$B575)="",N(INDEX(Employees!$H$5:$H$29,$A575)),INDEX('Hours Worked'!$D$5:$BD$29,$A575,$B575)))</f>
        <v/>
      </c>
      <c r="J575" s="48">
        <f>IF(OR($G575=0,INDEX(Employees!$O$5:$O$29,$A575)&lt;&gt;"Yes"),0,IF(COUNTIF(Settings!$D$4:$D$9,"&lt;="&amp;$H575)=0,0,INDEX(Settings!$E$4:$E$9,COUNTIF(Settings!$D$4:$D$9,"&lt;="&amp;$H575))))</f>
        <v/>
      </c>
      <c r="K575" s="48">
        <f>IF($G575=0,0,IF(INDEX(Employees!$I$5:$I$29,$A575)="Per pay period",(N(INDEX(Employees!$J$5:$J$29,$A575))+$J575)/Settings!$B$13,IF(INDEX(Employees!$I$5:$I$29,$A575)="Per hour worked",N(INDEX(Employees!$K$5:$K$29,$A575))*$I575,IF(INDEX(Employees!$I$5:$I$29,$A575)="Front-loaded",IF(OR($B575=1,N($G574)=0),N(INDEX(Employees!$J$5:$J$29,$A575))+$J575,0),0))))</f>
        <v/>
      </c>
      <c r="L575" s="48">
        <f>IF($F575=0,0,SUMIFS('Time Off Log'!$H$5:$H$504,'Time Off Log'!$A$5:$A$504,$C575,'Time Off Log'!$B$5:$B$504,"PTO",'Time Off Log'!$E$5:$E$504,"Approved",'Time Off Log'!$C$5:$C$504,"&gt;="&amp;INDEX(Periods!$E$5:$E$57,$B575),'Time Off Log'!$C$5:$C$504,"&lt;="&amp;INDEX(Periods!$F$5:$F$57,$B575)))</f>
        <v/>
      </c>
      <c r="M575" s="48">
        <f>IF($B575=1,N(INDEX(Employees!$N$5:$N$29,$A575)),P574)</f>
        <v/>
      </c>
      <c r="N575" s="48">
        <f>IF(INDEX(Employees!$L$5:$L$29,$A575)="",K575,MAX(0,MIN(K575,INDEX(Employees!$L$5:$L$29,$A575)-(M575-L575))))</f>
        <v/>
      </c>
      <c r="O575" s="48">
        <f>K575-N575</f>
        <v/>
      </c>
      <c r="P575" s="48">
        <f>M575-L575+N575</f>
        <v/>
      </c>
      <c r="Q575" s="48">
        <f>IF($G575=0,0,IF(INDEX(Employees!$P$5:$P$29,$A575)="Per pay period",(N(INDEX(Employees!$Q$5:$Q$29,$A575)))/Settings!$B$13,IF(INDEX(Employees!$P$5:$P$29,$A575)="Per hour worked",N(INDEX(Employees!$R$5:$R$29,$A575))*$I575,IF(INDEX(Employees!$P$5:$P$29,$A575)="Front-loaded",IF(OR($B575=1,N($G574)=0),N(INDEX(Employees!$Q$5:$Q$29,$A575)),0),0))))</f>
        <v/>
      </c>
      <c r="R575" s="48">
        <f>IF($F575=0,0,SUMIFS('Time Off Log'!$H$5:$H$504,'Time Off Log'!$A$5:$A$504,$C575,'Time Off Log'!$B$5:$B$504,"Sick",'Time Off Log'!$E$5:$E$504,"Approved",'Time Off Log'!$C$5:$C$504,"&gt;="&amp;INDEX(Periods!$E$5:$E$57,$B575),'Time Off Log'!$C$5:$C$504,"&lt;="&amp;INDEX(Periods!$F$5:$F$57,$B575)))</f>
        <v/>
      </c>
      <c r="S575" s="48">
        <f>IF($B575=1,N(INDEX(Employees!$T$5:$T$29,$A575)),V574)</f>
        <v/>
      </c>
      <c r="T575" s="48">
        <f>IF(INDEX(Employees!$S$5:$S$29,$A575)="",Q575,MAX(0,MIN(Q575,INDEX(Employees!$S$5:$S$29,$A575)-(S575-R575))))</f>
        <v/>
      </c>
      <c r="U575" s="48">
        <f>Q575-T575</f>
        <v/>
      </c>
      <c r="V575" s="48">
        <f>S575-R575+T575</f>
        <v/>
      </c>
    </row>
    <row r="576">
      <c r="A576" s="47" t="n">
        <v>11</v>
      </c>
      <c r="B576" s="47" t="n">
        <v>42</v>
      </c>
      <c r="C576" s="48">
        <f>INDEX(Employees!$B$5:$B$29,$A576)&amp;""</f>
        <v/>
      </c>
      <c r="D576" s="49">
        <f>INDEX(Periods!$B$5:$B$57,$B576)</f>
        <v/>
      </c>
      <c r="E576" s="49">
        <f>INDEX(Periods!$C$5:$C$57,$B576)</f>
        <v/>
      </c>
      <c r="F576" s="47">
        <f>IF(AND($C576&lt;&gt;"",INDEX(Periods!$D$5:$D$57,$B576)=1),1,0)</f>
        <v/>
      </c>
      <c r="G576" s="47">
        <f>IF($F576=0,0,IF(AND(OR(INDEX(Employees!$D$5:$D$29,$A576)="",$E576&gt;=INDEX(Employees!$D$5:$D$29,$A576)+N(INDEX(Employees!$U$5:$U$29,$A576))),OR(INDEX(Employees!$E$5:$E$29,$A576)="",$D576&lt;=INDEX(Employees!$E$5:$E$29,$A576))),1,0))</f>
        <v/>
      </c>
      <c r="H576" s="47">
        <f>IF($G576=0,0,IF(INDEX(Employees!$D$5:$D$29,$A576)="",0,DATEDIF(INDEX(Employees!$D$5:$D$29,$A576),$E576,"y")))</f>
        <v/>
      </c>
      <c r="I576" s="48">
        <f>IF($G576=0,0,IF(INDEX('Hours Worked'!$D$5:$BD$29,$A576,$B576)="",N(INDEX(Employees!$H$5:$H$29,$A576)),INDEX('Hours Worked'!$D$5:$BD$29,$A576,$B576)))</f>
        <v/>
      </c>
      <c r="J576" s="48">
        <f>IF(OR($G576=0,INDEX(Employees!$O$5:$O$29,$A576)&lt;&gt;"Yes"),0,IF(COUNTIF(Settings!$D$4:$D$9,"&lt;="&amp;$H576)=0,0,INDEX(Settings!$E$4:$E$9,COUNTIF(Settings!$D$4:$D$9,"&lt;="&amp;$H576))))</f>
        <v/>
      </c>
      <c r="K576" s="48">
        <f>IF($G576=0,0,IF(INDEX(Employees!$I$5:$I$29,$A576)="Per pay period",(N(INDEX(Employees!$J$5:$J$29,$A576))+$J576)/Settings!$B$13,IF(INDEX(Employees!$I$5:$I$29,$A576)="Per hour worked",N(INDEX(Employees!$K$5:$K$29,$A576))*$I576,IF(INDEX(Employees!$I$5:$I$29,$A576)="Front-loaded",IF(OR($B576=1,N($G575)=0),N(INDEX(Employees!$J$5:$J$29,$A576))+$J576,0),0))))</f>
        <v/>
      </c>
      <c r="L576" s="48">
        <f>IF($F576=0,0,SUMIFS('Time Off Log'!$H$5:$H$504,'Time Off Log'!$A$5:$A$504,$C576,'Time Off Log'!$B$5:$B$504,"PTO",'Time Off Log'!$E$5:$E$504,"Approved",'Time Off Log'!$C$5:$C$504,"&gt;="&amp;INDEX(Periods!$E$5:$E$57,$B576),'Time Off Log'!$C$5:$C$504,"&lt;="&amp;INDEX(Periods!$F$5:$F$57,$B576)))</f>
        <v/>
      </c>
      <c r="M576" s="48">
        <f>IF($B576=1,N(INDEX(Employees!$N$5:$N$29,$A576)),P575)</f>
        <v/>
      </c>
      <c r="N576" s="48">
        <f>IF(INDEX(Employees!$L$5:$L$29,$A576)="",K576,MAX(0,MIN(K576,INDEX(Employees!$L$5:$L$29,$A576)-(M576-L576))))</f>
        <v/>
      </c>
      <c r="O576" s="48">
        <f>K576-N576</f>
        <v/>
      </c>
      <c r="P576" s="48">
        <f>M576-L576+N576</f>
        <v/>
      </c>
      <c r="Q576" s="48">
        <f>IF($G576=0,0,IF(INDEX(Employees!$P$5:$P$29,$A576)="Per pay period",(N(INDEX(Employees!$Q$5:$Q$29,$A576)))/Settings!$B$13,IF(INDEX(Employees!$P$5:$P$29,$A576)="Per hour worked",N(INDEX(Employees!$R$5:$R$29,$A576))*$I576,IF(INDEX(Employees!$P$5:$P$29,$A576)="Front-loaded",IF(OR($B576=1,N($G575)=0),N(INDEX(Employees!$Q$5:$Q$29,$A576)),0),0))))</f>
        <v/>
      </c>
      <c r="R576" s="48">
        <f>IF($F576=0,0,SUMIFS('Time Off Log'!$H$5:$H$504,'Time Off Log'!$A$5:$A$504,$C576,'Time Off Log'!$B$5:$B$504,"Sick",'Time Off Log'!$E$5:$E$504,"Approved",'Time Off Log'!$C$5:$C$504,"&gt;="&amp;INDEX(Periods!$E$5:$E$57,$B576),'Time Off Log'!$C$5:$C$504,"&lt;="&amp;INDEX(Periods!$F$5:$F$57,$B576)))</f>
        <v/>
      </c>
      <c r="S576" s="48">
        <f>IF($B576=1,N(INDEX(Employees!$T$5:$T$29,$A576)),V575)</f>
        <v/>
      </c>
      <c r="T576" s="48">
        <f>IF(INDEX(Employees!$S$5:$S$29,$A576)="",Q576,MAX(0,MIN(Q576,INDEX(Employees!$S$5:$S$29,$A576)-(S576-R576))))</f>
        <v/>
      </c>
      <c r="U576" s="48">
        <f>Q576-T576</f>
        <v/>
      </c>
      <c r="V576" s="48">
        <f>S576-R576+T576</f>
        <v/>
      </c>
    </row>
    <row r="577">
      <c r="A577" s="47" t="n">
        <v>11</v>
      </c>
      <c r="B577" s="47" t="n">
        <v>43</v>
      </c>
      <c r="C577" s="48">
        <f>INDEX(Employees!$B$5:$B$29,$A577)&amp;""</f>
        <v/>
      </c>
      <c r="D577" s="49">
        <f>INDEX(Periods!$B$5:$B$57,$B577)</f>
        <v/>
      </c>
      <c r="E577" s="49">
        <f>INDEX(Periods!$C$5:$C$57,$B577)</f>
        <v/>
      </c>
      <c r="F577" s="47">
        <f>IF(AND($C577&lt;&gt;"",INDEX(Periods!$D$5:$D$57,$B577)=1),1,0)</f>
        <v/>
      </c>
      <c r="G577" s="47">
        <f>IF($F577=0,0,IF(AND(OR(INDEX(Employees!$D$5:$D$29,$A577)="",$E577&gt;=INDEX(Employees!$D$5:$D$29,$A577)+N(INDEX(Employees!$U$5:$U$29,$A577))),OR(INDEX(Employees!$E$5:$E$29,$A577)="",$D577&lt;=INDEX(Employees!$E$5:$E$29,$A577))),1,0))</f>
        <v/>
      </c>
      <c r="H577" s="47">
        <f>IF($G577=0,0,IF(INDEX(Employees!$D$5:$D$29,$A577)="",0,DATEDIF(INDEX(Employees!$D$5:$D$29,$A577),$E577,"y")))</f>
        <v/>
      </c>
      <c r="I577" s="48">
        <f>IF($G577=0,0,IF(INDEX('Hours Worked'!$D$5:$BD$29,$A577,$B577)="",N(INDEX(Employees!$H$5:$H$29,$A577)),INDEX('Hours Worked'!$D$5:$BD$29,$A577,$B577)))</f>
        <v/>
      </c>
      <c r="J577" s="48">
        <f>IF(OR($G577=0,INDEX(Employees!$O$5:$O$29,$A577)&lt;&gt;"Yes"),0,IF(COUNTIF(Settings!$D$4:$D$9,"&lt;="&amp;$H577)=0,0,INDEX(Settings!$E$4:$E$9,COUNTIF(Settings!$D$4:$D$9,"&lt;="&amp;$H577))))</f>
        <v/>
      </c>
      <c r="K577" s="48">
        <f>IF($G577=0,0,IF(INDEX(Employees!$I$5:$I$29,$A577)="Per pay period",(N(INDEX(Employees!$J$5:$J$29,$A577))+$J577)/Settings!$B$13,IF(INDEX(Employees!$I$5:$I$29,$A577)="Per hour worked",N(INDEX(Employees!$K$5:$K$29,$A577))*$I577,IF(INDEX(Employees!$I$5:$I$29,$A577)="Front-loaded",IF(OR($B577=1,N($G576)=0),N(INDEX(Employees!$J$5:$J$29,$A577))+$J577,0),0))))</f>
        <v/>
      </c>
      <c r="L577" s="48">
        <f>IF($F577=0,0,SUMIFS('Time Off Log'!$H$5:$H$504,'Time Off Log'!$A$5:$A$504,$C577,'Time Off Log'!$B$5:$B$504,"PTO",'Time Off Log'!$E$5:$E$504,"Approved",'Time Off Log'!$C$5:$C$504,"&gt;="&amp;INDEX(Periods!$E$5:$E$57,$B577),'Time Off Log'!$C$5:$C$504,"&lt;="&amp;INDEX(Periods!$F$5:$F$57,$B577)))</f>
        <v/>
      </c>
      <c r="M577" s="48">
        <f>IF($B577=1,N(INDEX(Employees!$N$5:$N$29,$A577)),P576)</f>
        <v/>
      </c>
      <c r="N577" s="48">
        <f>IF(INDEX(Employees!$L$5:$L$29,$A577)="",K577,MAX(0,MIN(K577,INDEX(Employees!$L$5:$L$29,$A577)-(M577-L577))))</f>
        <v/>
      </c>
      <c r="O577" s="48">
        <f>K577-N577</f>
        <v/>
      </c>
      <c r="P577" s="48">
        <f>M577-L577+N577</f>
        <v/>
      </c>
      <c r="Q577" s="48">
        <f>IF($G577=0,0,IF(INDEX(Employees!$P$5:$P$29,$A577)="Per pay period",(N(INDEX(Employees!$Q$5:$Q$29,$A577)))/Settings!$B$13,IF(INDEX(Employees!$P$5:$P$29,$A577)="Per hour worked",N(INDEX(Employees!$R$5:$R$29,$A577))*$I577,IF(INDEX(Employees!$P$5:$P$29,$A577)="Front-loaded",IF(OR($B577=1,N($G576)=0),N(INDEX(Employees!$Q$5:$Q$29,$A577)),0),0))))</f>
        <v/>
      </c>
      <c r="R577" s="48">
        <f>IF($F577=0,0,SUMIFS('Time Off Log'!$H$5:$H$504,'Time Off Log'!$A$5:$A$504,$C577,'Time Off Log'!$B$5:$B$504,"Sick",'Time Off Log'!$E$5:$E$504,"Approved",'Time Off Log'!$C$5:$C$504,"&gt;="&amp;INDEX(Periods!$E$5:$E$57,$B577),'Time Off Log'!$C$5:$C$504,"&lt;="&amp;INDEX(Periods!$F$5:$F$57,$B577)))</f>
        <v/>
      </c>
      <c r="S577" s="48">
        <f>IF($B577=1,N(INDEX(Employees!$T$5:$T$29,$A577)),V576)</f>
        <v/>
      </c>
      <c r="T577" s="48">
        <f>IF(INDEX(Employees!$S$5:$S$29,$A577)="",Q577,MAX(0,MIN(Q577,INDEX(Employees!$S$5:$S$29,$A577)-(S577-R577))))</f>
        <v/>
      </c>
      <c r="U577" s="48">
        <f>Q577-T577</f>
        <v/>
      </c>
      <c r="V577" s="48">
        <f>S577-R577+T577</f>
        <v/>
      </c>
    </row>
    <row r="578">
      <c r="A578" s="47" t="n">
        <v>11</v>
      </c>
      <c r="B578" s="47" t="n">
        <v>44</v>
      </c>
      <c r="C578" s="48">
        <f>INDEX(Employees!$B$5:$B$29,$A578)&amp;""</f>
        <v/>
      </c>
      <c r="D578" s="49">
        <f>INDEX(Periods!$B$5:$B$57,$B578)</f>
        <v/>
      </c>
      <c r="E578" s="49">
        <f>INDEX(Periods!$C$5:$C$57,$B578)</f>
        <v/>
      </c>
      <c r="F578" s="47">
        <f>IF(AND($C578&lt;&gt;"",INDEX(Periods!$D$5:$D$57,$B578)=1),1,0)</f>
        <v/>
      </c>
      <c r="G578" s="47">
        <f>IF($F578=0,0,IF(AND(OR(INDEX(Employees!$D$5:$D$29,$A578)="",$E578&gt;=INDEX(Employees!$D$5:$D$29,$A578)+N(INDEX(Employees!$U$5:$U$29,$A578))),OR(INDEX(Employees!$E$5:$E$29,$A578)="",$D578&lt;=INDEX(Employees!$E$5:$E$29,$A578))),1,0))</f>
        <v/>
      </c>
      <c r="H578" s="47">
        <f>IF($G578=0,0,IF(INDEX(Employees!$D$5:$D$29,$A578)="",0,DATEDIF(INDEX(Employees!$D$5:$D$29,$A578),$E578,"y")))</f>
        <v/>
      </c>
      <c r="I578" s="48">
        <f>IF($G578=0,0,IF(INDEX('Hours Worked'!$D$5:$BD$29,$A578,$B578)="",N(INDEX(Employees!$H$5:$H$29,$A578)),INDEX('Hours Worked'!$D$5:$BD$29,$A578,$B578)))</f>
        <v/>
      </c>
      <c r="J578" s="48">
        <f>IF(OR($G578=0,INDEX(Employees!$O$5:$O$29,$A578)&lt;&gt;"Yes"),0,IF(COUNTIF(Settings!$D$4:$D$9,"&lt;="&amp;$H578)=0,0,INDEX(Settings!$E$4:$E$9,COUNTIF(Settings!$D$4:$D$9,"&lt;="&amp;$H578))))</f>
        <v/>
      </c>
      <c r="K578" s="48">
        <f>IF($G578=0,0,IF(INDEX(Employees!$I$5:$I$29,$A578)="Per pay period",(N(INDEX(Employees!$J$5:$J$29,$A578))+$J578)/Settings!$B$13,IF(INDEX(Employees!$I$5:$I$29,$A578)="Per hour worked",N(INDEX(Employees!$K$5:$K$29,$A578))*$I578,IF(INDEX(Employees!$I$5:$I$29,$A578)="Front-loaded",IF(OR($B578=1,N($G577)=0),N(INDEX(Employees!$J$5:$J$29,$A578))+$J578,0),0))))</f>
        <v/>
      </c>
      <c r="L578" s="48">
        <f>IF($F578=0,0,SUMIFS('Time Off Log'!$H$5:$H$504,'Time Off Log'!$A$5:$A$504,$C578,'Time Off Log'!$B$5:$B$504,"PTO",'Time Off Log'!$E$5:$E$504,"Approved",'Time Off Log'!$C$5:$C$504,"&gt;="&amp;INDEX(Periods!$E$5:$E$57,$B578),'Time Off Log'!$C$5:$C$504,"&lt;="&amp;INDEX(Periods!$F$5:$F$57,$B578)))</f>
        <v/>
      </c>
      <c r="M578" s="48">
        <f>IF($B578=1,N(INDEX(Employees!$N$5:$N$29,$A578)),P577)</f>
        <v/>
      </c>
      <c r="N578" s="48">
        <f>IF(INDEX(Employees!$L$5:$L$29,$A578)="",K578,MAX(0,MIN(K578,INDEX(Employees!$L$5:$L$29,$A578)-(M578-L578))))</f>
        <v/>
      </c>
      <c r="O578" s="48">
        <f>K578-N578</f>
        <v/>
      </c>
      <c r="P578" s="48">
        <f>M578-L578+N578</f>
        <v/>
      </c>
      <c r="Q578" s="48">
        <f>IF($G578=0,0,IF(INDEX(Employees!$P$5:$P$29,$A578)="Per pay period",(N(INDEX(Employees!$Q$5:$Q$29,$A578)))/Settings!$B$13,IF(INDEX(Employees!$P$5:$P$29,$A578)="Per hour worked",N(INDEX(Employees!$R$5:$R$29,$A578))*$I578,IF(INDEX(Employees!$P$5:$P$29,$A578)="Front-loaded",IF(OR($B578=1,N($G577)=0),N(INDEX(Employees!$Q$5:$Q$29,$A578)),0),0))))</f>
        <v/>
      </c>
      <c r="R578" s="48">
        <f>IF($F578=0,0,SUMIFS('Time Off Log'!$H$5:$H$504,'Time Off Log'!$A$5:$A$504,$C578,'Time Off Log'!$B$5:$B$504,"Sick",'Time Off Log'!$E$5:$E$504,"Approved",'Time Off Log'!$C$5:$C$504,"&gt;="&amp;INDEX(Periods!$E$5:$E$57,$B578),'Time Off Log'!$C$5:$C$504,"&lt;="&amp;INDEX(Periods!$F$5:$F$57,$B578)))</f>
        <v/>
      </c>
      <c r="S578" s="48">
        <f>IF($B578=1,N(INDEX(Employees!$T$5:$T$29,$A578)),V577)</f>
        <v/>
      </c>
      <c r="T578" s="48">
        <f>IF(INDEX(Employees!$S$5:$S$29,$A578)="",Q578,MAX(0,MIN(Q578,INDEX(Employees!$S$5:$S$29,$A578)-(S578-R578))))</f>
        <v/>
      </c>
      <c r="U578" s="48">
        <f>Q578-T578</f>
        <v/>
      </c>
      <c r="V578" s="48">
        <f>S578-R578+T578</f>
        <v/>
      </c>
    </row>
    <row r="579">
      <c r="A579" s="47" t="n">
        <v>11</v>
      </c>
      <c r="B579" s="47" t="n">
        <v>45</v>
      </c>
      <c r="C579" s="48">
        <f>INDEX(Employees!$B$5:$B$29,$A579)&amp;""</f>
        <v/>
      </c>
      <c r="D579" s="49">
        <f>INDEX(Periods!$B$5:$B$57,$B579)</f>
        <v/>
      </c>
      <c r="E579" s="49">
        <f>INDEX(Periods!$C$5:$C$57,$B579)</f>
        <v/>
      </c>
      <c r="F579" s="47">
        <f>IF(AND($C579&lt;&gt;"",INDEX(Periods!$D$5:$D$57,$B579)=1),1,0)</f>
        <v/>
      </c>
      <c r="G579" s="47">
        <f>IF($F579=0,0,IF(AND(OR(INDEX(Employees!$D$5:$D$29,$A579)="",$E579&gt;=INDEX(Employees!$D$5:$D$29,$A579)+N(INDEX(Employees!$U$5:$U$29,$A579))),OR(INDEX(Employees!$E$5:$E$29,$A579)="",$D579&lt;=INDEX(Employees!$E$5:$E$29,$A579))),1,0))</f>
        <v/>
      </c>
      <c r="H579" s="47">
        <f>IF($G579=0,0,IF(INDEX(Employees!$D$5:$D$29,$A579)="",0,DATEDIF(INDEX(Employees!$D$5:$D$29,$A579),$E579,"y")))</f>
        <v/>
      </c>
      <c r="I579" s="48">
        <f>IF($G579=0,0,IF(INDEX('Hours Worked'!$D$5:$BD$29,$A579,$B579)="",N(INDEX(Employees!$H$5:$H$29,$A579)),INDEX('Hours Worked'!$D$5:$BD$29,$A579,$B579)))</f>
        <v/>
      </c>
      <c r="J579" s="48">
        <f>IF(OR($G579=0,INDEX(Employees!$O$5:$O$29,$A579)&lt;&gt;"Yes"),0,IF(COUNTIF(Settings!$D$4:$D$9,"&lt;="&amp;$H579)=0,0,INDEX(Settings!$E$4:$E$9,COUNTIF(Settings!$D$4:$D$9,"&lt;="&amp;$H579))))</f>
        <v/>
      </c>
      <c r="K579" s="48">
        <f>IF($G579=0,0,IF(INDEX(Employees!$I$5:$I$29,$A579)="Per pay period",(N(INDEX(Employees!$J$5:$J$29,$A579))+$J579)/Settings!$B$13,IF(INDEX(Employees!$I$5:$I$29,$A579)="Per hour worked",N(INDEX(Employees!$K$5:$K$29,$A579))*$I579,IF(INDEX(Employees!$I$5:$I$29,$A579)="Front-loaded",IF(OR($B579=1,N($G578)=0),N(INDEX(Employees!$J$5:$J$29,$A579))+$J579,0),0))))</f>
        <v/>
      </c>
      <c r="L579" s="48">
        <f>IF($F579=0,0,SUMIFS('Time Off Log'!$H$5:$H$504,'Time Off Log'!$A$5:$A$504,$C579,'Time Off Log'!$B$5:$B$504,"PTO",'Time Off Log'!$E$5:$E$504,"Approved",'Time Off Log'!$C$5:$C$504,"&gt;="&amp;INDEX(Periods!$E$5:$E$57,$B579),'Time Off Log'!$C$5:$C$504,"&lt;="&amp;INDEX(Periods!$F$5:$F$57,$B579)))</f>
        <v/>
      </c>
      <c r="M579" s="48">
        <f>IF($B579=1,N(INDEX(Employees!$N$5:$N$29,$A579)),P578)</f>
        <v/>
      </c>
      <c r="N579" s="48">
        <f>IF(INDEX(Employees!$L$5:$L$29,$A579)="",K579,MAX(0,MIN(K579,INDEX(Employees!$L$5:$L$29,$A579)-(M579-L579))))</f>
        <v/>
      </c>
      <c r="O579" s="48">
        <f>K579-N579</f>
        <v/>
      </c>
      <c r="P579" s="48">
        <f>M579-L579+N579</f>
        <v/>
      </c>
      <c r="Q579" s="48">
        <f>IF($G579=0,0,IF(INDEX(Employees!$P$5:$P$29,$A579)="Per pay period",(N(INDEX(Employees!$Q$5:$Q$29,$A579)))/Settings!$B$13,IF(INDEX(Employees!$P$5:$P$29,$A579)="Per hour worked",N(INDEX(Employees!$R$5:$R$29,$A579))*$I579,IF(INDEX(Employees!$P$5:$P$29,$A579)="Front-loaded",IF(OR($B579=1,N($G578)=0),N(INDEX(Employees!$Q$5:$Q$29,$A579)),0),0))))</f>
        <v/>
      </c>
      <c r="R579" s="48">
        <f>IF($F579=0,0,SUMIFS('Time Off Log'!$H$5:$H$504,'Time Off Log'!$A$5:$A$504,$C579,'Time Off Log'!$B$5:$B$504,"Sick",'Time Off Log'!$E$5:$E$504,"Approved",'Time Off Log'!$C$5:$C$504,"&gt;="&amp;INDEX(Periods!$E$5:$E$57,$B579),'Time Off Log'!$C$5:$C$504,"&lt;="&amp;INDEX(Periods!$F$5:$F$57,$B579)))</f>
        <v/>
      </c>
      <c r="S579" s="48">
        <f>IF($B579=1,N(INDEX(Employees!$T$5:$T$29,$A579)),V578)</f>
        <v/>
      </c>
      <c r="T579" s="48">
        <f>IF(INDEX(Employees!$S$5:$S$29,$A579)="",Q579,MAX(0,MIN(Q579,INDEX(Employees!$S$5:$S$29,$A579)-(S579-R579))))</f>
        <v/>
      </c>
      <c r="U579" s="48">
        <f>Q579-T579</f>
        <v/>
      </c>
      <c r="V579" s="48">
        <f>S579-R579+T579</f>
        <v/>
      </c>
    </row>
    <row r="580">
      <c r="A580" s="47" t="n">
        <v>11</v>
      </c>
      <c r="B580" s="47" t="n">
        <v>46</v>
      </c>
      <c r="C580" s="48">
        <f>INDEX(Employees!$B$5:$B$29,$A580)&amp;""</f>
        <v/>
      </c>
      <c r="D580" s="49">
        <f>INDEX(Periods!$B$5:$B$57,$B580)</f>
        <v/>
      </c>
      <c r="E580" s="49">
        <f>INDEX(Periods!$C$5:$C$57,$B580)</f>
        <v/>
      </c>
      <c r="F580" s="47">
        <f>IF(AND($C580&lt;&gt;"",INDEX(Periods!$D$5:$D$57,$B580)=1),1,0)</f>
        <v/>
      </c>
      <c r="G580" s="47">
        <f>IF($F580=0,0,IF(AND(OR(INDEX(Employees!$D$5:$D$29,$A580)="",$E580&gt;=INDEX(Employees!$D$5:$D$29,$A580)+N(INDEX(Employees!$U$5:$U$29,$A580))),OR(INDEX(Employees!$E$5:$E$29,$A580)="",$D580&lt;=INDEX(Employees!$E$5:$E$29,$A580))),1,0))</f>
        <v/>
      </c>
      <c r="H580" s="47">
        <f>IF($G580=0,0,IF(INDEX(Employees!$D$5:$D$29,$A580)="",0,DATEDIF(INDEX(Employees!$D$5:$D$29,$A580),$E580,"y")))</f>
        <v/>
      </c>
      <c r="I580" s="48">
        <f>IF($G580=0,0,IF(INDEX('Hours Worked'!$D$5:$BD$29,$A580,$B580)="",N(INDEX(Employees!$H$5:$H$29,$A580)),INDEX('Hours Worked'!$D$5:$BD$29,$A580,$B580)))</f>
        <v/>
      </c>
      <c r="J580" s="48">
        <f>IF(OR($G580=0,INDEX(Employees!$O$5:$O$29,$A580)&lt;&gt;"Yes"),0,IF(COUNTIF(Settings!$D$4:$D$9,"&lt;="&amp;$H580)=0,0,INDEX(Settings!$E$4:$E$9,COUNTIF(Settings!$D$4:$D$9,"&lt;="&amp;$H580))))</f>
        <v/>
      </c>
      <c r="K580" s="48">
        <f>IF($G580=0,0,IF(INDEX(Employees!$I$5:$I$29,$A580)="Per pay period",(N(INDEX(Employees!$J$5:$J$29,$A580))+$J580)/Settings!$B$13,IF(INDEX(Employees!$I$5:$I$29,$A580)="Per hour worked",N(INDEX(Employees!$K$5:$K$29,$A580))*$I580,IF(INDEX(Employees!$I$5:$I$29,$A580)="Front-loaded",IF(OR($B580=1,N($G579)=0),N(INDEX(Employees!$J$5:$J$29,$A580))+$J580,0),0))))</f>
        <v/>
      </c>
      <c r="L580" s="48">
        <f>IF($F580=0,0,SUMIFS('Time Off Log'!$H$5:$H$504,'Time Off Log'!$A$5:$A$504,$C580,'Time Off Log'!$B$5:$B$504,"PTO",'Time Off Log'!$E$5:$E$504,"Approved",'Time Off Log'!$C$5:$C$504,"&gt;="&amp;INDEX(Periods!$E$5:$E$57,$B580),'Time Off Log'!$C$5:$C$504,"&lt;="&amp;INDEX(Periods!$F$5:$F$57,$B580)))</f>
        <v/>
      </c>
      <c r="M580" s="48">
        <f>IF($B580=1,N(INDEX(Employees!$N$5:$N$29,$A580)),P579)</f>
        <v/>
      </c>
      <c r="N580" s="48">
        <f>IF(INDEX(Employees!$L$5:$L$29,$A580)="",K580,MAX(0,MIN(K580,INDEX(Employees!$L$5:$L$29,$A580)-(M580-L580))))</f>
        <v/>
      </c>
      <c r="O580" s="48">
        <f>K580-N580</f>
        <v/>
      </c>
      <c r="P580" s="48">
        <f>M580-L580+N580</f>
        <v/>
      </c>
      <c r="Q580" s="48">
        <f>IF($G580=0,0,IF(INDEX(Employees!$P$5:$P$29,$A580)="Per pay period",(N(INDEX(Employees!$Q$5:$Q$29,$A580)))/Settings!$B$13,IF(INDEX(Employees!$P$5:$P$29,$A580)="Per hour worked",N(INDEX(Employees!$R$5:$R$29,$A580))*$I580,IF(INDEX(Employees!$P$5:$P$29,$A580)="Front-loaded",IF(OR($B580=1,N($G579)=0),N(INDEX(Employees!$Q$5:$Q$29,$A580)),0),0))))</f>
        <v/>
      </c>
      <c r="R580" s="48">
        <f>IF($F580=0,0,SUMIFS('Time Off Log'!$H$5:$H$504,'Time Off Log'!$A$5:$A$504,$C580,'Time Off Log'!$B$5:$B$504,"Sick",'Time Off Log'!$E$5:$E$504,"Approved",'Time Off Log'!$C$5:$C$504,"&gt;="&amp;INDEX(Periods!$E$5:$E$57,$B580),'Time Off Log'!$C$5:$C$504,"&lt;="&amp;INDEX(Periods!$F$5:$F$57,$B580)))</f>
        <v/>
      </c>
      <c r="S580" s="48">
        <f>IF($B580=1,N(INDEX(Employees!$T$5:$T$29,$A580)),V579)</f>
        <v/>
      </c>
      <c r="T580" s="48">
        <f>IF(INDEX(Employees!$S$5:$S$29,$A580)="",Q580,MAX(0,MIN(Q580,INDEX(Employees!$S$5:$S$29,$A580)-(S580-R580))))</f>
        <v/>
      </c>
      <c r="U580" s="48">
        <f>Q580-T580</f>
        <v/>
      </c>
      <c r="V580" s="48">
        <f>S580-R580+T580</f>
        <v/>
      </c>
    </row>
    <row r="581">
      <c r="A581" s="47" t="n">
        <v>11</v>
      </c>
      <c r="B581" s="47" t="n">
        <v>47</v>
      </c>
      <c r="C581" s="48">
        <f>INDEX(Employees!$B$5:$B$29,$A581)&amp;""</f>
        <v/>
      </c>
      <c r="D581" s="49">
        <f>INDEX(Periods!$B$5:$B$57,$B581)</f>
        <v/>
      </c>
      <c r="E581" s="49">
        <f>INDEX(Periods!$C$5:$C$57,$B581)</f>
        <v/>
      </c>
      <c r="F581" s="47">
        <f>IF(AND($C581&lt;&gt;"",INDEX(Periods!$D$5:$D$57,$B581)=1),1,0)</f>
        <v/>
      </c>
      <c r="G581" s="47">
        <f>IF($F581=0,0,IF(AND(OR(INDEX(Employees!$D$5:$D$29,$A581)="",$E581&gt;=INDEX(Employees!$D$5:$D$29,$A581)+N(INDEX(Employees!$U$5:$U$29,$A581))),OR(INDEX(Employees!$E$5:$E$29,$A581)="",$D581&lt;=INDEX(Employees!$E$5:$E$29,$A581))),1,0))</f>
        <v/>
      </c>
      <c r="H581" s="47">
        <f>IF($G581=0,0,IF(INDEX(Employees!$D$5:$D$29,$A581)="",0,DATEDIF(INDEX(Employees!$D$5:$D$29,$A581),$E581,"y")))</f>
        <v/>
      </c>
      <c r="I581" s="48">
        <f>IF($G581=0,0,IF(INDEX('Hours Worked'!$D$5:$BD$29,$A581,$B581)="",N(INDEX(Employees!$H$5:$H$29,$A581)),INDEX('Hours Worked'!$D$5:$BD$29,$A581,$B581)))</f>
        <v/>
      </c>
      <c r="J581" s="48">
        <f>IF(OR($G581=0,INDEX(Employees!$O$5:$O$29,$A581)&lt;&gt;"Yes"),0,IF(COUNTIF(Settings!$D$4:$D$9,"&lt;="&amp;$H581)=0,0,INDEX(Settings!$E$4:$E$9,COUNTIF(Settings!$D$4:$D$9,"&lt;="&amp;$H581))))</f>
        <v/>
      </c>
      <c r="K581" s="48">
        <f>IF($G581=0,0,IF(INDEX(Employees!$I$5:$I$29,$A581)="Per pay period",(N(INDEX(Employees!$J$5:$J$29,$A581))+$J581)/Settings!$B$13,IF(INDEX(Employees!$I$5:$I$29,$A581)="Per hour worked",N(INDEX(Employees!$K$5:$K$29,$A581))*$I581,IF(INDEX(Employees!$I$5:$I$29,$A581)="Front-loaded",IF(OR($B581=1,N($G580)=0),N(INDEX(Employees!$J$5:$J$29,$A581))+$J581,0),0))))</f>
        <v/>
      </c>
      <c r="L581" s="48">
        <f>IF($F581=0,0,SUMIFS('Time Off Log'!$H$5:$H$504,'Time Off Log'!$A$5:$A$504,$C581,'Time Off Log'!$B$5:$B$504,"PTO",'Time Off Log'!$E$5:$E$504,"Approved",'Time Off Log'!$C$5:$C$504,"&gt;="&amp;INDEX(Periods!$E$5:$E$57,$B581),'Time Off Log'!$C$5:$C$504,"&lt;="&amp;INDEX(Periods!$F$5:$F$57,$B581)))</f>
        <v/>
      </c>
      <c r="M581" s="48">
        <f>IF($B581=1,N(INDEX(Employees!$N$5:$N$29,$A581)),P580)</f>
        <v/>
      </c>
      <c r="N581" s="48">
        <f>IF(INDEX(Employees!$L$5:$L$29,$A581)="",K581,MAX(0,MIN(K581,INDEX(Employees!$L$5:$L$29,$A581)-(M581-L581))))</f>
        <v/>
      </c>
      <c r="O581" s="48">
        <f>K581-N581</f>
        <v/>
      </c>
      <c r="P581" s="48">
        <f>M581-L581+N581</f>
        <v/>
      </c>
      <c r="Q581" s="48">
        <f>IF($G581=0,0,IF(INDEX(Employees!$P$5:$P$29,$A581)="Per pay period",(N(INDEX(Employees!$Q$5:$Q$29,$A581)))/Settings!$B$13,IF(INDEX(Employees!$P$5:$P$29,$A581)="Per hour worked",N(INDEX(Employees!$R$5:$R$29,$A581))*$I581,IF(INDEX(Employees!$P$5:$P$29,$A581)="Front-loaded",IF(OR($B581=1,N($G580)=0),N(INDEX(Employees!$Q$5:$Q$29,$A581)),0),0))))</f>
        <v/>
      </c>
      <c r="R581" s="48">
        <f>IF($F581=0,0,SUMIFS('Time Off Log'!$H$5:$H$504,'Time Off Log'!$A$5:$A$504,$C581,'Time Off Log'!$B$5:$B$504,"Sick",'Time Off Log'!$E$5:$E$504,"Approved",'Time Off Log'!$C$5:$C$504,"&gt;="&amp;INDEX(Periods!$E$5:$E$57,$B581),'Time Off Log'!$C$5:$C$504,"&lt;="&amp;INDEX(Periods!$F$5:$F$57,$B581)))</f>
        <v/>
      </c>
      <c r="S581" s="48">
        <f>IF($B581=1,N(INDEX(Employees!$T$5:$T$29,$A581)),V580)</f>
        <v/>
      </c>
      <c r="T581" s="48">
        <f>IF(INDEX(Employees!$S$5:$S$29,$A581)="",Q581,MAX(0,MIN(Q581,INDEX(Employees!$S$5:$S$29,$A581)-(S581-R581))))</f>
        <v/>
      </c>
      <c r="U581" s="48">
        <f>Q581-T581</f>
        <v/>
      </c>
      <c r="V581" s="48">
        <f>S581-R581+T581</f>
        <v/>
      </c>
    </row>
    <row r="582">
      <c r="A582" s="47" t="n">
        <v>11</v>
      </c>
      <c r="B582" s="47" t="n">
        <v>48</v>
      </c>
      <c r="C582" s="48">
        <f>INDEX(Employees!$B$5:$B$29,$A582)&amp;""</f>
        <v/>
      </c>
      <c r="D582" s="49">
        <f>INDEX(Periods!$B$5:$B$57,$B582)</f>
        <v/>
      </c>
      <c r="E582" s="49">
        <f>INDEX(Periods!$C$5:$C$57,$B582)</f>
        <v/>
      </c>
      <c r="F582" s="47">
        <f>IF(AND($C582&lt;&gt;"",INDEX(Periods!$D$5:$D$57,$B582)=1),1,0)</f>
        <v/>
      </c>
      <c r="G582" s="47">
        <f>IF($F582=0,0,IF(AND(OR(INDEX(Employees!$D$5:$D$29,$A582)="",$E582&gt;=INDEX(Employees!$D$5:$D$29,$A582)+N(INDEX(Employees!$U$5:$U$29,$A582))),OR(INDEX(Employees!$E$5:$E$29,$A582)="",$D582&lt;=INDEX(Employees!$E$5:$E$29,$A582))),1,0))</f>
        <v/>
      </c>
      <c r="H582" s="47">
        <f>IF($G582=0,0,IF(INDEX(Employees!$D$5:$D$29,$A582)="",0,DATEDIF(INDEX(Employees!$D$5:$D$29,$A582),$E582,"y")))</f>
        <v/>
      </c>
      <c r="I582" s="48">
        <f>IF($G582=0,0,IF(INDEX('Hours Worked'!$D$5:$BD$29,$A582,$B582)="",N(INDEX(Employees!$H$5:$H$29,$A582)),INDEX('Hours Worked'!$D$5:$BD$29,$A582,$B582)))</f>
        <v/>
      </c>
      <c r="J582" s="48">
        <f>IF(OR($G582=0,INDEX(Employees!$O$5:$O$29,$A582)&lt;&gt;"Yes"),0,IF(COUNTIF(Settings!$D$4:$D$9,"&lt;="&amp;$H582)=0,0,INDEX(Settings!$E$4:$E$9,COUNTIF(Settings!$D$4:$D$9,"&lt;="&amp;$H582))))</f>
        <v/>
      </c>
      <c r="K582" s="48">
        <f>IF($G582=0,0,IF(INDEX(Employees!$I$5:$I$29,$A582)="Per pay period",(N(INDEX(Employees!$J$5:$J$29,$A582))+$J582)/Settings!$B$13,IF(INDEX(Employees!$I$5:$I$29,$A582)="Per hour worked",N(INDEX(Employees!$K$5:$K$29,$A582))*$I582,IF(INDEX(Employees!$I$5:$I$29,$A582)="Front-loaded",IF(OR($B582=1,N($G581)=0),N(INDEX(Employees!$J$5:$J$29,$A582))+$J582,0),0))))</f>
        <v/>
      </c>
      <c r="L582" s="48">
        <f>IF($F582=0,0,SUMIFS('Time Off Log'!$H$5:$H$504,'Time Off Log'!$A$5:$A$504,$C582,'Time Off Log'!$B$5:$B$504,"PTO",'Time Off Log'!$E$5:$E$504,"Approved",'Time Off Log'!$C$5:$C$504,"&gt;="&amp;INDEX(Periods!$E$5:$E$57,$B582),'Time Off Log'!$C$5:$C$504,"&lt;="&amp;INDEX(Periods!$F$5:$F$57,$B582)))</f>
        <v/>
      </c>
      <c r="M582" s="48">
        <f>IF($B582=1,N(INDEX(Employees!$N$5:$N$29,$A582)),P581)</f>
        <v/>
      </c>
      <c r="N582" s="48">
        <f>IF(INDEX(Employees!$L$5:$L$29,$A582)="",K582,MAX(0,MIN(K582,INDEX(Employees!$L$5:$L$29,$A582)-(M582-L582))))</f>
        <v/>
      </c>
      <c r="O582" s="48">
        <f>K582-N582</f>
        <v/>
      </c>
      <c r="P582" s="48">
        <f>M582-L582+N582</f>
        <v/>
      </c>
      <c r="Q582" s="48">
        <f>IF($G582=0,0,IF(INDEX(Employees!$P$5:$P$29,$A582)="Per pay period",(N(INDEX(Employees!$Q$5:$Q$29,$A582)))/Settings!$B$13,IF(INDEX(Employees!$P$5:$P$29,$A582)="Per hour worked",N(INDEX(Employees!$R$5:$R$29,$A582))*$I582,IF(INDEX(Employees!$P$5:$P$29,$A582)="Front-loaded",IF(OR($B582=1,N($G581)=0),N(INDEX(Employees!$Q$5:$Q$29,$A582)),0),0))))</f>
        <v/>
      </c>
      <c r="R582" s="48">
        <f>IF($F582=0,0,SUMIFS('Time Off Log'!$H$5:$H$504,'Time Off Log'!$A$5:$A$504,$C582,'Time Off Log'!$B$5:$B$504,"Sick",'Time Off Log'!$E$5:$E$504,"Approved",'Time Off Log'!$C$5:$C$504,"&gt;="&amp;INDEX(Periods!$E$5:$E$57,$B582),'Time Off Log'!$C$5:$C$504,"&lt;="&amp;INDEX(Periods!$F$5:$F$57,$B582)))</f>
        <v/>
      </c>
      <c r="S582" s="48">
        <f>IF($B582=1,N(INDEX(Employees!$T$5:$T$29,$A582)),V581)</f>
        <v/>
      </c>
      <c r="T582" s="48">
        <f>IF(INDEX(Employees!$S$5:$S$29,$A582)="",Q582,MAX(0,MIN(Q582,INDEX(Employees!$S$5:$S$29,$A582)-(S582-R582))))</f>
        <v/>
      </c>
      <c r="U582" s="48">
        <f>Q582-T582</f>
        <v/>
      </c>
      <c r="V582" s="48">
        <f>S582-R582+T582</f>
        <v/>
      </c>
    </row>
    <row r="583">
      <c r="A583" s="47" t="n">
        <v>11</v>
      </c>
      <c r="B583" s="47" t="n">
        <v>49</v>
      </c>
      <c r="C583" s="48">
        <f>INDEX(Employees!$B$5:$B$29,$A583)&amp;""</f>
        <v/>
      </c>
      <c r="D583" s="49">
        <f>INDEX(Periods!$B$5:$B$57,$B583)</f>
        <v/>
      </c>
      <c r="E583" s="49">
        <f>INDEX(Periods!$C$5:$C$57,$B583)</f>
        <v/>
      </c>
      <c r="F583" s="47">
        <f>IF(AND($C583&lt;&gt;"",INDEX(Periods!$D$5:$D$57,$B583)=1),1,0)</f>
        <v/>
      </c>
      <c r="G583" s="47">
        <f>IF($F583=0,0,IF(AND(OR(INDEX(Employees!$D$5:$D$29,$A583)="",$E583&gt;=INDEX(Employees!$D$5:$D$29,$A583)+N(INDEX(Employees!$U$5:$U$29,$A583))),OR(INDEX(Employees!$E$5:$E$29,$A583)="",$D583&lt;=INDEX(Employees!$E$5:$E$29,$A583))),1,0))</f>
        <v/>
      </c>
      <c r="H583" s="47">
        <f>IF($G583=0,0,IF(INDEX(Employees!$D$5:$D$29,$A583)="",0,DATEDIF(INDEX(Employees!$D$5:$D$29,$A583),$E583,"y")))</f>
        <v/>
      </c>
      <c r="I583" s="48">
        <f>IF($G583=0,0,IF(INDEX('Hours Worked'!$D$5:$BD$29,$A583,$B583)="",N(INDEX(Employees!$H$5:$H$29,$A583)),INDEX('Hours Worked'!$D$5:$BD$29,$A583,$B583)))</f>
        <v/>
      </c>
      <c r="J583" s="48">
        <f>IF(OR($G583=0,INDEX(Employees!$O$5:$O$29,$A583)&lt;&gt;"Yes"),0,IF(COUNTIF(Settings!$D$4:$D$9,"&lt;="&amp;$H583)=0,0,INDEX(Settings!$E$4:$E$9,COUNTIF(Settings!$D$4:$D$9,"&lt;="&amp;$H583))))</f>
        <v/>
      </c>
      <c r="K583" s="48">
        <f>IF($G583=0,0,IF(INDEX(Employees!$I$5:$I$29,$A583)="Per pay period",(N(INDEX(Employees!$J$5:$J$29,$A583))+$J583)/Settings!$B$13,IF(INDEX(Employees!$I$5:$I$29,$A583)="Per hour worked",N(INDEX(Employees!$K$5:$K$29,$A583))*$I583,IF(INDEX(Employees!$I$5:$I$29,$A583)="Front-loaded",IF(OR($B583=1,N($G582)=0),N(INDEX(Employees!$J$5:$J$29,$A583))+$J583,0),0))))</f>
        <v/>
      </c>
      <c r="L583" s="48">
        <f>IF($F583=0,0,SUMIFS('Time Off Log'!$H$5:$H$504,'Time Off Log'!$A$5:$A$504,$C583,'Time Off Log'!$B$5:$B$504,"PTO",'Time Off Log'!$E$5:$E$504,"Approved",'Time Off Log'!$C$5:$C$504,"&gt;="&amp;INDEX(Periods!$E$5:$E$57,$B583),'Time Off Log'!$C$5:$C$504,"&lt;="&amp;INDEX(Periods!$F$5:$F$57,$B583)))</f>
        <v/>
      </c>
      <c r="M583" s="48">
        <f>IF($B583=1,N(INDEX(Employees!$N$5:$N$29,$A583)),P582)</f>
        <v/>
      </c>
      <c r="N583" s="48">
        <f>IF(INDEX(Employees!$L$5:$L$29,$A583)="",K583,MAX(0,MIN(K583,INDEX(Employees!$L$5:$L$29,$A583)-(M583-L583))))</f>
        <v/>
      </c>
      <c r="O583" s="48">
        <f>K583-N583</f>
        <v/>
      </c>
      <c r="P583" s="48">
        <f>M583-L583+N583</f>
        <v/>
      </c>
      <c r="Q583" s="48">
        <f>IF($G583=0,0,IF(INDEX(Employees!$P$5:$P$29,$A583)="Per pay period",(N(INDEX(Employees!$Q$5:$Q$29,$A583)))/Settings!$B$13,IF(INDEX(Employees!$P$5:$P$29,$A583)="Per hour worked",N(INDEX(Employees!$R$5:$R$29,$A583))*$I583,IF(INDEX(Employees!$P$5:$P$29,$A583)="Front-loaded",IF(OR($B583=1,N($G582)=0),N(INDEX(Employees!$Q$5:$Q$29,$A583)),0),0))))</f>
        <v/>
      </c>
      <c r="R583" s="48">
        <f>IF($F583=0,0,SUMIFS('Time Off Log'!$H$5:$H$504,'Time Off Log'!$A$5:$A$504,$C583,'Time Off Log'!$B$5:$B$504,"Sick",'Time Off Log'!$E$5:$E$504,"Approved",'Time Off Log'!$C$5:$C$504,"&gt;="&amp;INDEX(Periods!$E$5:$E$57,$B583),'Time Off Log'!$C$5:$C$504,"&lt;="&amp;INDEX(Periods!$F$5:$F$57,$B583)))</f>
        <v/>
      </c>
      <c r="S583" s="48">
        <f>IF($B583=1,N(INDEX(Employees!$T$5:$T$29,$A583)),V582)</f>
        <v/>
      </c>
      <c r="T583" s="48">
        <f>IF(INDEX(Employees!$S$5:$S$29,$A583)="",Q583,MAX(0,MIN(Q583,INDEX(Employees!$S$5:$S$29,$A583)-(S583-R583))))</f>
        <v/>
      </c>
      <c r="U583" s="48">
        <f>Q583-T583</f>
        <v/>
      </c>
      <c r="V583" s="48">
        <f>S583-R583+T583</f>
        <v/>
      </c>
    </row>
    <row r="584">
      <c r="A584" s="47" t="n">
        <v>11</v>
      </c>
      <c r="B584" s="47" t="n">
        <v>50</v>
      </c>
      <c r="C584" s="48">
        <f>INDEX(Employees!$B$5:$B$29,$A584)&amp;""</f>
        <v/>
      </c>
      <c r="D584" s="49">
        <f>INDEX(Periods!$B$5:$B$57,$B584)</f>
        <v/>
      </c>
      <c r="E584" s="49">
        <f>INDEX(Periods!$C$5:$C$57,$B584)</f>
        <v/>
      </c>
      <c r="F584" s="47">
        <f>IF(AND($C584&lt;&gt;"",INDEX(Periods!$D$5:$D$57,$B584)=1),1,0)</f>
        <v/>
      </c>
      <c r="G584" s="47">
        <f>IF($F584=0,0,IF(AND(OR(INDEX(Employees!$D$5:$D$29,$A584)="",$E584&gt;=INDEX(Employees!$D$5:$D$29,$A584)+N(INDEX(Employees!$U$5:$U$29,$A584))),OR(INDEX(Employees!$E$5:$E$29,$A584)="",$D584&lt;=INDEX(Employees!$E$5:$E$29,$A584))),1,0))</f>
        <v/>
      </c>
      <c r="H584" s="47">
        <f>IF($G584=0,0,IF(INDEX(Employees!$D$5:$D$29,$A584)="",0,DATEDIF(INDEX(Employees!$D$5:$D$29,$A584),$E584,"y")))</f>
        <v/>
      </c>
      <c r="I584" s="48">
        <f>IF($G584=0,0,IF(INDEX('Hours Worked'!$D$5:$BD$29,$A584,$B584)="",N(INDEX(Employees!$H$5:$H$29,$A584)),INDEX('Hours Worked'!$D$5:$BD$29,$A584,$B584)))</f>
        <v/>
      </c>
      <c r="J584" s="48">
        <f>IF(OR($G584=0,INDEX(Employees!$O$5:$O$29,$A584)&lt;&gt;"Yes"),0,IF(COUNTIF(Settings!$D$4:$D$9,"&lt;="&amp;$H584)=0,0,INDEX(Settings!$E$4:$E$9,COUNTIF(Settings!$D$4:$D$9,"&lt;="&amp;$H584))))</f>
        <v/>
      </c>
      <c r="K584" s="48">
        <f>IF($G584=0,0,IF(INDEX(Employees!$I$5:$I$29,$A584)="Per pay period",(N(INDEX(Employees!$J$5:$J$29,$A584))+$J584)/Settings!$B$13,IF(INDEX(Employees!$I$5:$I$29,$A584)="Per hour worked",N(INDEX(Employees!$K$5:$K$29,$A584))*$I584,IF(INDEX(Employees!$I$5:$I$29,$A584)="Front-loaded",IF(OR($B584=1,N($G583)=0),N(INDEX(Employees!$J$5:$J$29,$A584))+$J584,0),0))))</f>
        <v/>
      </c>
      <c r="L584" s="48">
        <f>IF($F584=0,0,SUMIFS('Time Off Log'!$H$5:$H$504,'Time Off Log'!$A$5:$A$504,$C584,'Time Off Log'!$B$5:$B$504,"PTO",'Time Off Log'!$E$5:$E$504,"Approved",'Time Off Log'!$C$5:$C$504,"&gt;="&amp;INDEX(Periods!$E$5:$E$57,$B584),'Time Off Log'!$C$5:$C$504,"&lt;="&amp;INDEX(Periods!$F$5:$F$57,$B584)))</f>
        <v/>
      </c>
      <c r="M584" s="48">
        <f>IF($B584=1,N(INDEX(Employees!$N$5:$N$29,$A584)),P583)</f>
        <v/>
      </c>
      <c r="N584" s="48">
        <f>IF(INDEX(Employees!$L$5:$L$29,$A584)="",K584,MAX(0,MIN(K584,INDEX(Employees!$L$5:$L$29,$A584)-(M584-L584))))</f>
        <v/>
      </c>
      <c r="O584" s="48">
        <f>K584-N584</f>
        <v/>
      </c>
      <c r="P584" s="48">
        <f>M584-L584+N584</f>
        <v/>
      </c>
      <c r="Q584" s="48">
        <f>IF($G584=0,0,IF(INDEX(Employees!$P$5:$P$29,$A584)="Per pay period",(N(INDEX(Employees!$Q$5:$Q$29,$A584)))/Settings!$B$13,IF(INDEX(Employees!$P$5:$P$29,$A584)="Per hour worked",N(INDEX(Employees!$R$5:$R$29,$A584))*$I584,IF(INDEX(Employees!$P$5:$P$29,$A584)="Front-loaded",IF(OR($B584=1,N($G583)=0),N(INDEX(Employees!$Q$5:$Q$29,$A584)),0),0))))</f>
        <v/>
      </c>
      <c r="R584" s="48">
        <f>IF($F584=0,0,SUMIFS('Time Off Log'!$H$5:$H$504,'Time Off Log'!$A$5:$A$504,$C584,'Time Off Log'!$B$5:$B$504,"Sick",'Time Off Log'!$E$5:$E$504,"Approved",'Time Off Log'!$C$5:$C$504,"&gt;="&amp;INDEX(Periods!$E$5:$E$57,$B584),'Time Off Log'!$C$5:$C$504,"&lt;="&amp;INDEX(Periods!$F$5:$F$57,$B584)))</f>
        <v/>
      </c>
      <c r="S584" s="48">
        <f>IF($B584=1,N(INDEX(Employees!$T$5:$T$29,$A584)),V583)</f>
        <v/>
      </c>
      <c r="T584" s="48">
        <f>IF(INDEX(Employees!$S$5:$S$29,$A584)="",Q584,MAX(0,MIN(Q584,INDEX(Employees!$S$5:$S$29,$A584)-(S584-R584))))</f>
        <v/>
      </c>
      <c r="U584" s="48">
        <f>Q584-T584</f>
        <v/>
      </c>
      <c r="V584" s="48">
        <f>S584-R584+T584</f>
        <v/>
      </c>
    </row>
    <row r="585">
      <c r="A585" s="47" t="n">
        <v>11</v>
      </c>
      <c r="B585" s="47" t="n">
        <v>51</v>
      </c>
      <c r="C585" s="48">
        <f>INDEX(Employees!$B$5:$B$29,$A585)&amp;""</f>
        <v/>
      </c>
      <c r="D585" s="49">
        <f>INDEX(Periods!$B$5:$B$57,$B585)</f>
        <v/>
      </c>
      <c r="E585" s="49">
        <f>INDEX(Periods!$C$5:$C$57,$B585)</f>
        <v/>
      </c>
      <c r="F585" s="47">
        <f>IF(AND($C585&lt;&gt;"",INDEX(Periods!$D$5:$D$57,$B585)=1),1,0)</f>
        <v/>
      </c>
      <c r="G585" s="47">
        <f>IF($F585=0,0,IF(AND(OR(INDEX(Employees!$D$5:$D$29,$A585)="",$E585&gt;=INDEX(Employees!$D$5:$D$29,$A585)+N(INDEX(Employees!$U$5:$U$29,$A585))),OR(INDEX(Employees!$E$5:$E$29,$A585)="",$D585&lt;=INDEX(Employees!$E$5:$E$29,$A585))),1,0))</f>
        <v/>
      </c>
      <c r="H585" s="47">
        <f>IF($G585=0,0,IF(INDEX(Employees!$D$5:$D$29,$A585)="",0,DATEDIF(INDEX(Employees!$D$5:$D$29,$A585),$E585,"y")))</f>
        <v/>
      </c>
      <c r="I585" s="48">
        <f>IF($G585=0,0,IF(INDEX('Hours Worked'!$D$5:$BD$29,$A585,$B585)="",N(INDEX(Employees!$H$5:$H$29,$A585)),INDEX('Hours Worked'!$D$5:$BD$29,$A585,$B585)))</f>
        <v/>
      </c>
      <c r="J585" s="48">
        <f>IF(OR($G585=0,INDEX(Employees!$O$5:$O$29,$A585)&lt;&gt;"Yes"),0,IF(COUNTIF(Settings!$D$4:$D$9,"&lt;="&amp;$H585)=0,0,INDEX(Settings!$E$4:$E$9,COUNTIF(Settings!$D$4:$D$9,"&lt;="&amp;$H585))))</f>
        <v/>
      </c>
      <c r="K585" s="48">
        <f>IF($G585=0,0,IF(INDEX(Employees!$I$5:$I$29,$A585)="Per pay period",(N(INDEX(Employees!$J$5:$J$29,$A585))+$J585)/Settings!$B$13,IF(INDEX(Employees!$I$5:$I$29,$A585)="Per hour worked",N(INDEX(Employees!$K$5:$K$29,$A585))*$I585,IF(INDEX(Employees!$I$5:$I$29,$A585)="Front-loaded",IF(OR($B585=1,N($G584)=0),N(INDEX(Employees!$J$5:$J$29,$A585))+$J585,0),0))))</f>
        <v/>
      </c>
      <c r="L585" s="48">
        <f>IF($F585=0,0,SUMIFS('Time Off Log'!$H$5:$H$504,'Time Off Log'!$A$5:$A$504,$C585,'Time Off Log'!$B$5:$B$504,"PTO",'Time Off Log'!$E$5:$E$504,"Approved",'Time Off Log'!$C$5:$C$504,"&gt;="&amp;INDEX(Periods!$E$5:$E$57,$B585),'Time Off Log'!$C$5:$C$504,"&lt;="&amp;INDEX(Periods!$F$5:$F$57,$B585)))</f>
        <v/>
      </c>
      <c r="M585" s="48">
        <f>IF($B585=1,N(INDEX(Employees!$N$5:$N$29,$A585)),P584)</f>
        <v/>
      </c>
      <c r="N585" s="48">
        <f>IF(INDEX(Employees!$L$5:$L$29,$A585)="",K585,MAX(0,MIN(K585,INDEX(Employees!$L$5:$L$29,$A585)-(M585-L585))))</f>
        <v/>
      </c>
      <c r="O585" s="48">
        <f>K585-N585</f>
        <v/>
      </c>
      <c r="P585" s="48">
        <f>M585-L585+N585</f>
        <v/>
      </c>
      <c r="Q585" s="48">
        <f>IF($G585=0,0,IF(INDEX(Employees!$P$5:$P$29,$A585)="Per pay period",(N(INDEX(Employees!$Q$5:$Q$29,$A585)))/Settings!$B$13,IF(INDEX(Employees!$P$5:$P$29,$A585)="Per hour worked",N(INDEX(Employees!$R$5:$R$29,$A585))*$I585,IF(INDEX(Employees!$P$5:$P$29,$A585)="Front-loaded",IF(OR($B585=1,N($G584)=0),N(INDEX(Employees!$Q$5:$Q$29,$A585)),0),0))))</f>
        <v/>
      </c>
      <c r="R585" s="48">
        <f>IF($F585=0,0,SUMIFS('Time Off Log'!$H$5:$H$504,'Time Off Log'!$A$5:$A$504,$C585,'Time Off Log'!$B$5:$B$504,"Sick",'Time Off Log'!$E$5:$E$504,"Approved",'Time Off Log'!$C$5:$C$504,"&gt;="&amp;INDEX(Periods!$E$5:$E$57,$B585),'Time Off Log'!$C$5:$C$504,"&lt;="&amp;INDEX(Periods!$F$5:$F$57,$B585)))</f>
        <v/>
      </c>
      <c r="S585" s="48">
        <f>IF($B585=1,N(INDEX(Employees!$T$5:$T$29,$A585)),V584)</f>
        <v/>
      </c>
      <c r="T585" s="48">
        <f>IF(INDEX(Employees!$S$5:$S$29,$A585)="",Q585,MAX(0,MIN(Q585,INDEX(Employees!$S$5:$S$29,$A585)-(S585-R585))))</f>
        <v/>
      </c>
      <c r="U585" s="48">
        <f>Q585-T585</f>
        <v/>
      </c>
      <c r="V585" s="48">
        <f>S585-R585+T585</f>
        <v/>
      </c>
    </row>
    <row r="586">
      <c r="A586" s="47" t="n">
        <v>11</v>
      </c>
      <c r="B586" s="47" t="n">
        <v>52</v>
      </c>
      <c r="C586" s="48">
        <f>INDEX(Employees!$B$5:$B$29,$A586)&amp;""</f>
        <v/>
      </c>
      <c r="D586" s="49">
        <f>INDEX(Periods!$B$5:$B$57,$B586)</f>
        <v/>
      </c>
      <c r="E586" s="49">
        <f>INDEX(Periods!$C$5:$C$57,$B586)</f>
        <v/>
      </c>
      <c r="F586" s="47">
        <f>IF(AND($C586&lt;&gt;"",INDEX(Periods!$D$5:$D$57,$B586)=1),1,0)</f>
        <v/>
      </c>
      <c r="G586" s="47">
        <f>IF($F586=0,0,IF(AND(OR(INDEX(Employees!$D$5:$D$29,$A586)="",$E586&gt;=INDEX(Employees!$D$5:$D$29,$A586)+N(INDEX(Employees!$U$5:$U$29,$A586))),OR(INDEX(Employees!$E$5:$E$29,$A586)="",$D586&lt;=INDEX(Employees!$E$5:$E$29,$A586))),1,0))</f>
        <v/>
      </c>
      <c r="H586" s="47">
        <f>IF($G586=0,0,IF(INDEX(Employees!$D$5:$D$29,$A586)="",0,DATEDIF(INDEX(Employees!$D$5:$D$29,$A586),$E586,"y")))</f>
        <v/>
      </c>
      <c r="I586" s="48">
        <f>IF($G586=0,0,IF(INDEX('Hours Worked'!$D$5:$BD$29,$A586,$B586)="",N(INDEX(Employees!$H$5:$H$29,$A586)),INDEX('Hours Worked'!$D$5:$BD$29,$A586,$B586)))</f>
        <v/>
      </c>
      <c r="J586" s="48">
        <f>IF(OR($G586=0,INDEX(Employees!$O$5:$O$29,$A586)&lt;&gt;"Yes"),0,IF(COUNTIF(Settings!$D$4:$D$9,"&lt;="&amp;$H586)=0,0,INDEX(Settings!$E$4:$E$9,COUNTIF(Settings!$D$4:$D$9,"&lt;="&amp;$H586))))</f>
        <v/>
      </c>
      <c r="K586" s="48">
        <f>IF($G586=0,0,IF(INDEX(Employees!$I$5:$I$29,$A586)="Per pay period",(N(INDEX(Employees!$J$5:$J$29,$A586))+$J586)/Settings!$B$13,IF(INDEX(Employees!$I$5:$I$29,$A586)="Per hour worked",N(INDEX(Employees!$K$5:$K$29,$A586))*$I586,IF(INDEX(Employees!$I$5:$I$29,$A586)="Front-loaded",IF(OR($B586=1,N($G585)=0),N(INDEX(Employees!$J$5:$J$29,$A586))+$J586,0),0))))</f>
        <v/>
      </c>
      <c r="L586" s="48">
        <f>IF($F586=0,0,SUMIFS('Time Off Log'!$H$5:$H$504,'Time Off Log'!$A$5:$A$504,$C586,'Time Off Log'!$B$5:$B$504,"PTO",'Time Off Log'!$E$5:$E$504,"Approved",'Time Off Log'!$C$5:$C$504,"&gt;="&amp;INDEX(Periods!$E$5:$E$57,$B586),'Time Off Log'!$C$5:$C$504,"&lt;="&amp;INDEX(Periods!$F$5:$F$57,$B586)))</f>
        <v/>
      </c>
      <c r="M586" s="48">
        <f>IF($B586=1,N(INDEX(Employees!$N$5:$N$29,$A586)),P585)</f>
        <v/>
      </c>
      <c r="N586" s="48">
        <f>IF(INDEX(Employees!$L$5:$L$29,$A586)="",K586,MAX(0,MIN(K586,INDEX(Employees!$L$5:$L$29,$A586)-(M586-L586))))</f>
        <v/>
      </c>
      <c r="O586" s="48">
        <f>K586-N586</f>
        <v/>
      </c>
      <c r="P586" s="48">
        <f>M586-L586+N586</f>
        <v/>
      </c>
      <c r="Q586" s="48">
        <f>IF($G586=0,0,IF(INDEX(Employees!$P$5:$P$29,$A586)="Per pay period",(N(INDEX(Employees!$Q$5:$Q$29,$A586)))/Settings!$B$13,IF(INDEX(Employees!$P$5:$P$29,$A586)="Per hour worked",N(INDEX(Employees!$R$5:$R$29,$A586))*$I586,IF(INDEX(Employees!$P$5:$P$29,$A586)="Front-loaded",IF(OR($B586=1,N($G585)=0),N(INDEX(Employees!$Q$5:$Q$29,$A586)),0),0))))</f>
        <v/>
      </c>
      <c r="R586" s="48">
        <f>IF($F586=0,0,SUMIFS('Time Off Log'!$H$5:$H$504,'Time Off Log'!$A$5:$A$504,$C586,'Time Off Log'!$B$5:$B$504,"Sick",'Time Off Log'!$E$5:$E$504,"Approved",'Time Off Log'!$C$5:$C$504,"&gt;="&amp;INDEX(Periods!$E$5:$E$57,$B586),'Time Off Log'!$C$5:$C$504,"&lt;="&amp;INDEX(Periods!$F$5:$F$57,$B586)))</f>
        <v/>
      </c>
      <c r="S586" s="48">
        <f>IF($B586=1,N(INDEX(Employees!$T$5:$T$29,$A586)),V585)</f>
        <v/>
      </c>
      <c r="T586" s="48">
        <f>IF(INDEX(Employees!$S$5:$S$29,$A586)="",Q586,MAX(0,MIN(Q586,INDEX(Employees!$S$5:$S$29,$A586)-(S586-R586))))</f>
        <v/>
      </c>
      <c r="U586" s="48">
        <f>Q586-T586</f>
        <v/>
      </c>
      <c r="V586" s="48">
        <f>S586-R586+T586</f>
        <v/>
      </c>
    </row>
    <row r="587">
      <c r="A587" s="47" t="n">
        <v>11</v>
      </c>
      <c r="B587" s="47" t="n">
        <v>53</v>
      </c>
      <c r="C587" s="48">
        <f>INDEX(Employees!$B$5:$B$29,$A587)&amp;""</f>
        <v/>
      </c>
      <c r="D587" s="49">
        <f>INDEX(Periods!$B$5:$B$57,$B587)</f>
        <v/>
      </c>
      <c r="E587" s="49">
        <f>INDEX(Periods!$C$5:$C$57,$B587)</f>
        <v/>
      </c>
      <c r="F587" s="47">
        <f>IF(AND($C587&lt;&gt;"",INDEX(Periods!$D$5:$D$57,$B587)=1),1,0)</f>
        <v/>
      </c>
      <c r="G587" s="47">
        <f>IF($F587=0,0,IF(AND(OR(INDEX(Employees!$D$5:$D$29,$A587)="",$E587&gt;=INDEX(Employees!$D$5:$D$29,$A587)+N(INDEX(Employees!$U$5:$U$29,$A587))),OR(INDEX(Employees!$E$5:$E$29,$A587)="",$D587&lt;=INDEX(Employees!$E$5:$E$29,$A587))),1,0))</f>
        <v/>
      </c>
      <c r="H587" s="47">
        <f>IF($G587=0,0,IF(INDEX(Employees!$D$5:$D$29,$A587)="",0,DATEDIF(INDEX(Employees!$D$5:$D$29,$A587),$E587,"y")))</f>
        <v/>
      </c>
      <c r="I587" s="48">
        <f>IF($G587=0,0,IF(INDEX('Hours Worked'!$D$5:$BD$29,$A587,$B587)="",N(INDEX(Employees!$H$5:$H$29,$A587)),INDEX('Hours Worked'!$D$5:$BD$29,$A587,$B587)))</f>
        <v/>
      </c>
      <c r="J587" s="48">
        <f>IF(OR($G587=0,INDEX(Employees!$O$5:$O$29,$A587)&lt;&gt;"Yes"),0,IF(COUNTIF(Settings!$D$4:$D$9,"&lt;="&amp;$H587)=0,0,INDEX(Settings!$E$4:$E$9,COUNTIF(Settings!$D$4:$D$9,"&lt;="&amp;$H587))))</f>
        <v/>
      </c>
      <c r="K587" s="48">
        <f>IF($G587=0,0,IF(INDEX(Employees!$I$5:$I$29,$A587)="Per pay period",(N(INDEX(Employees!$J$5:$J$29,$A587))+$J587)/Settings!$B$13,IF(INDEX(Employees!$I$5:$I$29,$A587)="Per hour worked",N(INDEX(Employees!$K$5:$K$29,$A587))*$I587,IF(INDEX(Employees!$I$5:$I$29,$A587)="Front-loaded",IF(OR($B587=1,N($G586)=0),N(INDEX(Employees!$J$5:$J$29,$A587))+$J587,0),0))))</f>
        <v/>
      </c>
      <c r="L587" s="48">
        <f>IF($F587=0,0,SUMIFS('Time Off Log'!$H$5:$H$504,'Time Off Log'!$A$5:$A$504,$C587,'Time Off Log'!$B$5:$B$504,"PTO",'Time Off Log'!$E$5:$E$504,"Approved",'Time Off Log'!$C$5:$C$504,"&gt;="&amp;INDEX(Periods!$E$5:$E$57,$B587),'Time Off Log'!$C$5:$C$504,"&lt;="&amp;INDEX(Periods!$F$5:$F$57,$B587)))</f>
        <v/>
      </c>
      <c r="M587" s="48">
        <f>IF($B587=1,N(INDEX(Employees!$N$5:$N$29,$A587)),P586)</f>
        <v/>
      </c>
      <c r="N587" s="48">
        <f>IF(INDEX(Employees!$L$5:$L$29,$A587)="",K587,MAX(0,MIN(K587,INDEX(Employees!$L$5:$L$29,$A587)-(M587-L587))))</f>
        <v/>
      </c>
      <c r="O587" s="48">
        <f>K587-N587</f>
        <v/>
      </c>
      <c r="P587" s="48">
        <f>M587-L587+N587</f>
        <v/>
      </c>
      <c r="Q587" s="48">
        <f>IF($G587=0,0,IF(INDEX(Employees!$P$5:$P$29,$A587)="Per pay period",(N(INDEX(Employees!$Q$5:$Q$29,$A587)))/Settings!$B$13,IF(INDEX(Employees!$P$5:$P$29,$A587)="Per hour worked",N(INDEX(Employees!$R$5:$R$29,$A587))*$I587,IF(INDEX(Employees!$P$5:$P$29,$A587)="Front-loaded",IF(OR($B587=1,N($G586)=0),N(INDEX(Employees!$Q$5:$Q$29,$A587)),0),0))))</f>
        <v/>
      </c>
      <c r="R587" s="48">
        <f>IF($F587=0,0,SUMIFS('Time Off Log'!$H$5:$H$504,'Time Off Log'!$A$5:$A$504,$C587,'Time Off Log'!$B$5:$B$504,"Sick",'Time Off Log'!$E$5:$E$504,"Approved",'Time Off Log'!$C$5:$C$504,"&gt;="&amp;INDEX(Periods!$E$5:$E$57,$B587),'Time Off Log'!$C$5:$C$504,"&lt;="&amp;INDEX(Periods!$F$5:$F$57,$B587)))</f>
        <v/>
      </c>
      <c r="S587" s="48">
        <f>IF($B587=1,N(INDEX(Employees!$T$5:$T$29,$A587)),V586)</f>
        <v/>
      </c>
      <c r="T587" s="48">
        <f>IF(INDEX(Employees!$S$5:$S$29,$A587)="",Q587,MAX(0,MIN(Q587,INDEX(Employees!$S$5:$S$29,$A587)-(S587-R587))))</f>
        <v/>
      </c>
      <c r="U587" s="48">
        <f>Q587-T587</f>
        <v/>
      </c>
      <c r="V587" s="48">
        <f>S587-R587+T587</f>
        <v/>
      </c>
    </row>
    <row r="588">
      <c r="A588" s="50" t="n">
        <v>12</v>
      </c>
      <c r="B588" s="50" t="n">
        <v>1</v>
      </c>
      <c r="C588" s="51">
        <f>INDEX(Employees!$B$5:$B$29,$A588)&amp;""</f>
        <v/>
      </c>
      <c r="D588" s="52">
        <f>INDEX(Periods!$B$5:$B$57,$B588)</f>
        <v/>
      </c>
      <c r="E588" s="52">
        <f>INDEX(Periods!$C$5:$C$57,$B588)</f>
        <v/>
      </c>
      <c r="F588" s="50">
        <f>IF(AND($C588&lt;&gt;"",INDEX(Periods!$D$5:$D$57,$B588)=1),1,0)</f>
        <v/>
      </c>
      <c r="G588" s="50">
        <f>IF($F588=0,0,IF(AND(OR(INDEX(Employees!$D$5:$D$29,$A588)="",$E588&gt;=INDEX(Employees!$D$5:$D$29,$A588)+N(INDEX(Employees!$U$5:$U$29,$A588))),OR(INDEX(Employees!$E$5:$E$29,$A588)="",$D588&lt;=INDEX(Employees!$E$5:$E$29,$A588))),1,0))</f>
        <v/>
      </c>
      <c r="H588" s="50">
        <f>IF($G588=0,0,IF(INDEX(Employees!$D$5:$D$29,$A588)="",0,DATEDIF(INDEX(Employees!$D$5:$D$29,$A588),$E588,"y")))</f>
        <v/>
      </c>
      <c r="I588" s="51">
        <f>IF($G588=0,0,IF(INDEX('Hours Worked'!$D$5:$BD$29,$A588,$B588)="",N(INDEX(Employees!$H$5:$H$29,$A588)),INDEX('Hours Worked'!$D$5:$BD$29,$A588,$B588)))</f>
        <v/>
      </c>
      <c r="J588" s="51">
        <f>IF(OR($G588=0,INDEX(Employees!$O$5:$O$29,$A588)&lt;&gt;"Yes"),0,IF(COUNTIF(Settings!$D$4:$D$9,"&lt;="&amp;$H588)=0,0,INDEX(Settings!$E$4:$E$9,COUNTIF(Settings!$D$4:$D$9,"&lt;="&amp;$H588))))</f>
        <v/>
      </c>
      <c r="K588" s="51">
        <f>IF($G588=0,0,IF(INDEX(Employees!$I$5:$I$29,$A588)="Per pay period",(N(INDEX(Employees!$J$5:$J$29,$A588))+$J588)/Settings!$B$13,IF(INDEX(Employees!$I$5:$I$29,$A588)="Per hour worked",N(INDEX(Employees!$K$5:$K$29,$A588))*$I588,IF(INDEX(Employees!$I$5:$I$29,$A588)="Front-loaded",IF(OR($B588=1,N($G587)=0),N(INDEX(Employees!$J$5:$J$29,$A588))+$J588,0),0))))</f>
        <v/>
      </c>
      <c r="L588" s="51">
        <f>IF($F588=0,0,SUMIFS('Time Off Log'!$H$5:$H$504,'Time Off Log'!$A$5:$A$504,$C588,'Time Off Log'!$B$5:$B$504,"PTO",'Time Off Log'!$E$5:$E$504,"Approved",'Time Off Log'!$C$5:$C$504,"&gt;="&amp;INDEX(Periods!$E$5:$E$57,$B588),'Time Off Log'!$C$5:$C$504,"&lt;="&amp;INDEX(Periods!$F$5:$F$57,$B588)))</f>
        <v/>
      </c>
      <c r="M588" s="51">
        <f>N(INDEX(Employees!$N$5:$N$29,$A588))</f>
        <v/>
      </c>
      <c r="N588" s="51">
        <f>IF(INDEX(Employees!$L$5:$L$29,$A588)="",K588,MAX(0,MIN(K588,INDEX(Employees!$L$5:$L$29,$A588)-(M588-L588))))</f>
        <v/>
      </c>
      <c r="O588" s="51">
        <f>K588-N588</f>
        <v/>
      </c>
      <c r="P588" s="51">
        <f>M588-L588+N588</f>
        <v/>
      </c>
      <c r="Q588" s="51">
        <f>IF($G588=0,0,IF(INDEX(Employees!$P$5:$P$29,$A588)="Per pay period",(N(INDEX(Employees!$Q$5:$Q$29,$A588)))/Settings!$B$13,IF(INDEX(Employees!$P$5:$P$29,$A588)="Per hour worked",N(INDEX(Employees!$R$5:$R$29,$A588))*$I588,IF(INDEX(Employees!$P$5:$P$29,$A588)="Front-loaded",IF(OR($B588=1,N($G587)=0),N(INDEX(Employees!$Q$5:$Q$29,$A588)),0),0))))</f>
        <v/>
      </c>
      <c r="R588" s="51">
        <f>IF($F588=0,0,SUMIFS('Time Off Log'!$H$5:$H$504,'Time Off Log'!$A$5:$A$504,$C588,'Time Off Log'!$B$5:$B$504,"Sick",'Time Off Log'!$E$5:$E$504,"Approved",'Time Off Log'!$C$5:$C$504,"&gt;="&amp;INDEX(Periods!$E$5:$E$57,$B588),'Time Off Log'!$C$5:$C$504,"&lt;="&amp;INDEX(Periods!$F$5:$F$57,$B588)))</f>
        <v/>
      </c>
      <c r="S588" s="51">
        <f>N(INDEX(Employees!$T$5:$T$29,$A588))</f>
        <v/>
      </c>
      <c r="T588" s="51">
        <f>IF(INDEX(Employees!$S$5:$S$29,$A588)="",Q588,MAX(0,MIN(Q588,INDEX(Employees!$S$5:$S$29,$A588)-(S588-R588))))</f>
        <v/>
      </c>
      <c r="U588" s="51">
        <f>Q588-T588</f>
        <v/>
      </c>
      <c r="V588" s="51">
        <f>S588-R588+T588</f>
        <v/>
      </c>
    </row>
    <row r="589">
      <c r="A589" s="50" t="n">
        <v>12</v>
      </c>
      <c r="B589" s="50" t="n">
        <v>2</v>
      </c>
      <c r="C589" s="51">
        <f>INDEX(Employees!$B$5:$B$29,$A589)&amp;""</f>
        <v/>
      </c>
      <c r="D589" s="52">
        <f>INDEX(Periods!$B$5:$B$57,$B589)</f>
        <v/>
      </c>
      <c r="E589" s="52">
        <f>INDEX(Periods!$C$5:$C$57,$B589)</f>
        <v/>
      </c>
      <c r="F589" s="50">
        <f>IF(AND($C589&lt;&gt;"",INDEX(Periods!$D$5:$D$57,$B589)=1),1,0)</f>
        <v/>
      </c>
      <c r="G589" s="50">
        <f>IF($F589=0,0,IF(AND(OR(INDEX(Employees!$D$5:$D$29,$A589)="",$E589&gt;=INDEX(Employees!$D$5:$D$29,$A589)+N(INDEX(Employees!$U$5:$U$29,$A589))),OR(INDEX(Employees!$E$5:$E$29,$A589)="",$D589&lt;=INDEX(Employees!$E$5:$E$29,$A589))),1,0))</f>
        <v/>
      </c>
      <c r="H589" s="50">
        <f>IF($G589=0,0,IF(INDEX(Employees!$D$5:$D$29,$A589)="",0,DATEDIF(INDEX(Employees!$D$5:$D$29,$A589),$E589,"y")))</f>
        <v/>
      </c>
      <c r="I589" s="51">
        <f>IF($G589=0,0,IF(INDEX('Hours Worked'!$D$5:$BD$29,$A589,$B589)="",N(INDEX(Employees!$H$5:$H$29,$A589)),INDEX('Hours Worked'!$D$5:$BD$29,$A589,$B589)))</f>
        <v/>
      </c>
      <c r="J589" s="51">
        <f>IF(OR($G589=0,INDEX(Employees!$O$5:$O$29,$A589)&lt;&gt;"Yes"),0,IF(COUNTIF(Settings!$D$4:$D$9,"&lt;="&amp;$H589)=0,0,INDEX(Settings!$E$4:$E$9,COUNTIF(Settings!$D$4:$D$9,"&lt;="&amp;$H589))))</f>
        <v/>
      </c>
      <c r="K589" s="51">
        <f>IF($G589=0,0,IF(INDEX(Employees!$I$5:$I$29,$A589)="Per pay period",(N(INDEX(Employees!$J$5:$J$29,$A589))+$J589)/Settings!$B$13,IF(INDEX(Employees!$I$5:$I$29,$A589)="Per hour worked",N(INDEX(Employees!$K$5:$K$29,$A589))*$I589,IF(INDEX(Employees!$I$5:$I$29,$A589)="Front-loaded",IF(OR($B589=1,N($G588)=0),N(INDEX(Employees!$J$5:$J$29,$A589))+$J589,0),0))))</f>
        <v/>
      </c>
      <c r="L589" s="51">
        <f>IF($F589=0,0,SUMIFS('Time Off Log'!$H$5:$H$504,'Time Off Log'!$A$5:$A$504,$C589,'Time Off Log'!$B$5:$B$504,"PTO",'Time Off Log'!$E$5:$E$504,"Approved",'Time Off Log'!$C$5:$C$504,"&gt;="&amp;INDEX(Periods!$E$5:$E$57,$B589),'Time Off Log'!$C$5:$C$504,"&lt;="&amp;INDEX(Periods!$F$5:$F$57,$B589)))</f>
        <v/>
      </c>
      <c r="M589" s="51">
        <f>IF($B589=1,N(INDEX(Employees!$N$5:$N$29,$A589)),P588)</f>
        <v/>
      </c>
      <c r="N589" s="51">
        <f>IF(INDEX(Employees!$L$5:$L$29,$A589)="",K589,MAX(0,MIN(K589,INDEX(Employees!$L$5:$L$29,$A589)-(M589-L589))))</f>
        <v/>
      </c>
      <c r="O589" s="51">
        <f>K589-N589</f>
        <v/>
      </c>
      <c r="P589" s="51">
        <f>M589-L589+N589</f>
        <v/>
      </c>
      <c r="Q589" s="51">
        <f>IF($G589=0,0,IF(INDEX(Employees!$P$5:$P$29,$A589)="Per pay period",(N(INDEX(Employees!$Q$5:$Q$29,$A589)))/Settings!$B$13,IF(INDEX(Employees!$P$5:$P$29,$A589)="Per hour worked",N(INDEX(Employees!$R$5:$R$29,$A589))*$I589,IF(INDEX(Employees!$P$5:$P$29,$A589)="Front-loaded",IF(OR($B589=1,N($G588)=0),N(INDEX(Employees!$Q$5:$Q$29,$A589)),0),0))))</f>
        <v/>
      </c>
      <c r="R589" s="51">
        <f>IF($F589=0,0,SUMIFS('Time Off Log'!$H$5:$H$504,'Time Off Log'!$A$5:$A$504,$C589,'Time Off Log'!$B$5:$B$504,"Sick",'Time Off Log'!$E$5:$E$504,"Approved",'Time Off Log'!$C$5:$C$504,"&gt;="&amp;INDEX(Periods!$E$5:$E$57,$B589),'Time Off Log'!$C$5:$C$504,"&lt;="&amp;INDEX(Periods!$F$5:$F$57,$B589)))</f>
        <v/>
      </c>
      <c r="S589" s="51">
        <f>IF($B589=1,N(INDEX(Employees!$T$5:$T$29,$A589)),V588)</f>
        <v/>
      </c>
      <c r="T589" s="51">
        <f>IF(INDEX(Employees!$S$5:$S$29,$A589)="",Q589,MAX(0,MIN(Q589,INDEX(Employees!$S$5:$S$29,$A589)-(S589-R589))))</f>
        <v/>
      </c>
      <c r="U589" s="51">
        <f>Q589-T589</f>
        <v/>
      </c>
      <c r="V589" s="51">
        <f>S589-R589+T589</f>
        <v/>
      </c>
    </row>
    <row r="590">
      <c r="A590" s="50" t="n">
        <v>12</v>
      </c>
      <c r="B590" s="50" t="n">
        <v>3</v>
      </c>
      <c r="C590" s="51">
        <f>INDEX(Employees!$B$5:$B$29,$A590)&amp;""</f>
        <v/>
      </c>
      <c r="D590" s="52">
        <f>INDEX(Periods!$B$5:$B$57,$B590)</f>
        <v/>
      </c>
      <c r="E590" s="52">
        <f>INDEX(Periods!$C$5:$C$57,$B590)</f>
        <v/>
      </c>
      <c r="F590" s="50">
        <f>IF(AND($C590&lt;&gt;"",INDEX(Periods!$D$5:$D$57,$B590)=1),1,0)</f>
        <v/>
      </c>
      <c r="G590" s="50">
        <f>IF($F590=0,0,IF(AND(OR(INDEX(Employees!$D$5:$D$29,$A590)="",$E590&gt;=INDEX(Employees!$D$5:$D$29,$A590)+N(INDEX(Employees!$U$5:$U$29,$A590))),OR(INDEX(Employees!$E$5:$E$29,$A590)="",$D590&lt;=INDEX(Employees!$E$5:$E$29,$A590))),1,0))</f>
        <v/>
      </c>
      <c r="H590" s="50">
        <f>IF($G590=0,0,IF(INDEX(Employees!$D$5:$D$29,$A590)="",0,DATEDIF(INDEX(Employees!$D$5:$D$29,$A590),$E590,"y")))</f>
        <v/>
      </c>
      <c r="I590" s="51">
        <f>IF($G590=0,0,IF(INDEX('Hours Worked'!$D$5:$BD$29,$A590,$B590)="",N(INDEX(Employees!$H$5:$H$29,$A590)),INDEX('Hours Worked'!$D$5:$BD$29,$A590,$B590)))</f>
        <v/>
      </c>
      <c r="J590" s="51">
        <f>IF(OR($G590=0,INDEX(Employees!$O$5:$O$29,$A590)&lt;&gt;"Yes"),0,IF(COUNTIF(Settings!$D$4:$D$9,"&lt;="&amp;$H590)=0,0,INDEX(Settings!$E$4:$E$9,COUNTIF(Settings!$D$4:$D$9,"&lt;="&amp;$H590))))</f>
        <v/>
      </c>
      <c r="K590" s="51">
        <f>IF($G590=0,0,IF(INDEX(Employees!$I$5:$I$29,$A590)="Per pay period",(N(INDEX(Employees!$J$5:$J$29,$A590))+$J590)/Settings!$B$13,IF(INDEX(Employees!$I$5:$I$29,$A590)="Per hour worked",N(INDEX(Employees!$K$5:$K$29,$A590))*$I590,IF(INDEX(Employees!$I$5:$I$29,$A590)="Front-loaded",IF(OR($B590=1,N($G589)=0),N(INDEX(Employees!$J$5:$J$29,$A590))+$J590,0),0))))</f>
        <v/>
      </c>
      <c r="L590" s="51">
        <f>IF($F590=0,0,SUMIFS('Time Off Log'!$H$5:$H$504,'Time Off Log'!$A$5:$A$504,$C590,'Time Off Log'!$B$5:$B$504,"PTO",'Time Off Log'!$E$5:$E$504,"Approved",'Time Off Log'!$C$5:$C$504,"&gt;="&amp;INDEX(Periods!$E$5:$E$57,$B590),'Time Off Log'!$C$5:$C$504,"&lt;="&amp;INDEX(Periods!$F$5:$F$57,$B590)))</f>
        <v/>
      </c>
      <c r="M590" s="51">
        <f>IF($B590=1,N(INDEX(Employees!$N$5:$N$29,$A590)),P589)</f>
        <v/>
      </c>
      <c r="N590" s="51">
        <f>IF(INDEX(Employees!$L$5:$L$29,$A590)="",K590,MAX(0,MIN(K590,INDEX(Employees!$L$5:$L$29,$A590)-(M590-L590))))</f>
        <v/>
      </c>
      <c r="O590" s="51">
        <f>K590-N590</f>
        <v/>
      </c>
      <c r="P590" s="51">
        <f>M590-L590+N590</f>
        <v/>
      </c>
      <c r="Q590" s="51">
        <f>IF($G590=0,0,IF(INDEX(Employees!$P$5:$P$29,$A590)="Per pay period",(N(INDEX(Employees!$Q$5:$Q$29,$A590)))/Settings!$B$13,IF(INDEX(Employees!$P$5:$P$29,$A590)="Per hour worked",N(INDEX(Employees!$R$5:$R$29,$A590))*$I590,IF(INDEX(Employees!$P$5:$P$29,$A590)="Front-loaded",IF(OR($B590=1,N($G589)=0),N(INDEX(Employees!$Q$5:$Q$29,$A590)),0),0))))</f>
        <v/>
      </c>
      <c r="R590" s="51">
        <f>IF($F590=0,0,SUMIFS('Time Off Log'!$H$5:$H$504,'Time Off Log'!$A$5:$A$504,$C590,'Time Off Log'!$B$5:$B$504,"Sick",'Time Off Log'!$E$5:$E$504,"Approved",'Time Off Log'!$C$5:$C$504,"&gt;="&amp;INDEX(Periods!$E$5:$E$57,$B590),'Time Off Log'!$C$5:$C$504,"&lt;="&amp;INDEX(Periods!$F$5:$F$57,$B590)))</f>
        <v/>
      </c>
      <c r="S590" s="51">
        <f>IF($B590=1,N(INDEX(Employees!$T$5:$T$29,$A590)),V589)</f>
        <v/>
      </c>
      <c r="T590" s="51">
        <f>IF(INDEX(Employees!$S$5:$S$29,$A590)="",Q590,MAX(0,MIN(Q590,INDEX(Employees!$S$5:$S$29,$A590)-(S590-R590))))</f>
        <v/>
      </c>
      <c r="U590" s="51">
        <f>Q590-T590</f>
        <v/>
      </c>
      <c r="V590" s="51">
        <f>S590-R590+T590</f>
        <v/>
      </c>
    </row>
    <row r="591">
      <c r="A591" s="50" t="n">
        <v>12</v>
      </c>
      <c r="B591" s="50" t="n">
        <v>4</v>
      </c>
      <c r="C591" s="51">
        <f>INDEX(Employees!$B$5:$B$29,$A591)&amp;""</f>
        <v/>
      </c>
      <c r="D591" s="52">
        <f>INDEX(Periods!$B$5:$B$57,$B591)</f>
        <v/>
      </c>
      <c r="E591" s="52">
        <f>INDEX(Periods!$C$5:$C$57,$B591)</f>
        <v/>
      </c>
      <c r="F591" s="50">
        <f>IF(AND($C591&lt;&gt;"",INDEX(Periods!$D$5:$D$57,$B591)=1),1,0)</f>
        <v/>
      </c>
      <c r="G591" s="50">
        <f>IF($F591=0,0,IF(AND(OR(INDEX(Employees!$D$5:$D$29,$A591)="",$E591&gt;=INDEX(Employees!$D$5:$D$29,$A591)+N(INDEX(Employees!$U$5:$U$29,$A591))),OR(INDEX(Employees!$E$5:$E$29,$A591)="",$D591&lt;=INDEX(Employees!$E$5:$E$29,$A591))),1,0))</f>
        <v/>
      </c>
      <c r="H591" s="50">
        <f>IF($G591=0,0,IF(INDEX(Employees!$D$5:$D$29,$A591)="",0,DATEDIF(INDEX(Employees!$D$5:$D$29,$A591),$E591,"y")))</f>
        <v/>
      </c>
      <c r="I591" s="51">
        <f>IF($G591=0,0,IF(INDEX('Hours Worked'!$D$5:$BD$29,$A591,$B591)="",N(INDEX(Employees!$H$5:$H$29,$A591)),INDEX('Hours Worked'!$D$5:$BD$29,$A591,$B591)))</f>
        <v/>
      </c>
      <c r="J591" s="51">
        <f>IF(OR($G591=0,INDEX(Employees!$O$5:$O$29,$A591)&lt;&gt;"Yes"),0,IF(COUNTIF(Settings!$D$4:$D$9,"&lt;="&amp;$H591)=0,0,INDEX(Settings!$E$4:$E$9,COUNTIF(Settings!$D$4:$D$9,"&lt;="&amp;$H591))))</f>
        <v/>
      </c>
      <c r="K591" s="51">
        <f>IF($G591=0,0,IF(INDEX(Employees!$I$5:$I$29,$A591)="Per pay period",(N(INDEX(Employees!$J$5:$J$29,$A591))+$J591)/Settings!$B$13,IF(INDEX(Employees!$I$5:$I$29,$A591)="Per hour worked",N(INDEX(Employees!$K$5:$K$29,$A591))*$I591,IF(INDEX(Employees!$I$5:$I$29,$A591)="Front-loaded",IF(OR($B591=1,N($G590)=0),N(INDEX(Employees!$J$5:$J$29,$A591))+$J591,0),0))))</f>
        <v/>
      </c>
      <c r="L591" s="51">
        <f>IF($F591=0,0,SUMIFS('Time Off Log'!$H$5:$H$504,'Time Off Log'!$A$5:$A$504,$C591,'Time Off Log'!$B$5:$B$504,"PTO",'Time Off Log'!$E$5:$E$504,"Approved",'Time Off Log'!$C$5:$C$504,"&gt;="&amp;INDEX(Periods!$E$5:$E$57,$B591),'Time Off Log'!$C$5:$C$504,"&lt;="&amp;INDEX(Periods!$F$5:$F$57,$B591)))</f>
        <v/>
      </c>
      <c r="M591" s="51">
        <f>IF($B591=1,N(INDEX(Employees!$N$5:$N$29,$A591)),P590)</f>
        <v/>
      </c>
      <c r="N591" s="51">
        <f>IF(INDEX(Employees!$L$5:$L$29,$A591)="",K591,MAX(0,MIN(K591,INDEX(Employees!$L$5:$L$29,$A591)-(M591-L591))))</f>
        <v/>
      </c>
      <c r="O591" s="51">
        <f>K591-N591</f>
        <v/>
      </c>
      <c r="P591" s="51">
        <f>M591-L591+N591</f>
        <v/>
      </c>
      <c r="Q591" s="51">
        <f>IF($G591=0,0,IF(INDEX(Employees!$P$5:$P$29,$A591)="Per pay period",(N(INDEX(Employees!$Q$5:$Q$29,$A591)))/Settings!$B$13,IF(INDEX(Employees!$P$5:$P$29,$A591)="Per hour worked",N(INDEX(Employees!$R$5:$R$29,$A591))*$I591,IF(INDEX(Employees!$P$5:$P$29,$A591)="Front-loaded",IF(OR($B591=1,N($G590)=0),N(INDEX(Employees!$Q$5:$Q$29,$A591)),0),0))))</f>
        <v/>
      </c>
      <c r="R591" s="51">
        <f>IF($F591=0,0,SUMIFS('Time Off Log'!$H$5:$H$504,'Time Off Log'!$A$5:$A$504,$C591,'Time Off Log'!$B$5:$B$504,"Sick",'Time Off Log'!$E$5:$E$504,"Approved",'Time Off Log'!$C$5:$C$504,"&gt;="&amp;INDEX(Periods!$E$5:$E$57,$B591),'Time Off Log'!$C$5:$C$504,"&lt;="&amp;INDEX(Periods!$F$5:$F$57,$B591)))</f>
        <v/>
      </c>
      <c r="S591" s="51">
        <f>IF($B591=1,N(INDEX(Employees!$T$5:$T$29,$A591)),V590)</f>
        <v/>
      </c>
      <c r="T591" s="51">
        <f>IF(INDEX(Employees!$S$5:$S$29,$A591)="",Q591,MAX(0,MIN(Q591,INDEX(Employees!$S$5:$S$29,$A591)-(S591-R591))))</f>
        <v/>
      </c>
      <c r="U591" s="51">
        <f>Q591-T591</f>
        <v/>
      </c>
      <c r="V591" s="51">
        <f>S591-R591+T591</f>
        <v/>
      </c>
    </row>
    <row r="592">
      <c r="A592" s="50" t="n">
        <v>12</v>
      </c>
      <c r="B592" s="50" t="n">
        <v>5</v>
      </c>
      <c r="C592" s="51">
        <f>INDEX(Employees!$B$5:$B$29,$A592)&amp;""</f>
        <v/>
      </c>
      <c r="D592" s="52">
        <f>INDEX(Periods!$B$5:$B$57,$B592)</f>
        <v/>
      </c>
      <c r="E592" s="52">
        <f>INDEX(Periods!$C$5:$C$57,$B592)</f>
        <v/>
      </c>
      <c r="F592" s="50">
        <f>IF(AND($C592&lt;&gt;"",INDEX(Periods!$D$5:$D$57,$B592)=1),1,0)</f>
        <v/>
      </c>
      <c r="G592" s="50">
        <f>IF($F592=0,0,IF(AND(OR(INDEX(Employees!$D$5:$D$29,$A592)="",$E592&gt;=INDEX(Employees!$D$5:$D$29,$A592)+N(INDEX(Employees!$U$5:$U$29,$A592))),OR(INDEX(Employees!$E$5:$E$29,$A592)="",$D592&lt;=INDEX(Employees!$E$5:$E$29,$A592))),1,0))</f>
        <v/>
      </c>
      <c r="H592" s="50">
        <f>IF($G592=0,0,IF(INDEX(Employees!$D$5:$D$29,$A592)="",0,DATEDIF(INDEX(Employees!$D$5:$D$29,$A592),$E592,"y")))</f>
        <v/>
      </c>
      <c r="I592" s="51">
        <f>IF($G592=0,0,IF(INDEX('Hours Worked'!$D$5:$BD$29,$A592,$B592)="",N(INDEX(Employees!$H$5:$H$29,$A592)),INDEX('Hours Worked'!$D$5:$BD$29,$A592,$B592)))</f>
        <v/>
      </c>
      <c r="J592" s="51">
        <f>IF(OR($G592=0,INDEX(Employees!$O$5:$O$29,$A592)&lt;&gt;"Yes"),0,IF(COUNTIF(Settings!$D$4:$D$9,"&lt;="&amp;$H592)=0,0,INDEX(Settings!$E$4:$E$9,COUNTIF(Settings!$D$4:$D$9,"&lt;="&amp;$H592))))</f>
        <v/>
      </c>
      <c r="K592" s="51">
        <f>IF($G592=0,0,IF(INDEX(Employees!$I$5:$I$29,$A592)="Per pay period",(N(INDEX(Employees!$J$5:$J$29,$A592))+$J592)/Settings!$B$13,IF(INDEX(Employees!$I$5:$I$29,$A592)="Per hour worked",N(INDEX(Employees!$K$5:$K$29,$A592))*$I592,IF(INDEX(Employees!$I$5:$I$29,$A592)="Front-loaded",IF(OR($B592=1,N($G591)=0),N(INDEX(Employees!$J$5:$J$29,$A592))+$J592,0),0))))</f>
        <v/>
      </c>
      <c r="L592" s="51">
        <f>IF($F592=0,0,SUMIFS('Time Off Log'!$H$5:$H$504,'Time Off Log'!$A$5:$A$504,$C592,'Time Off Log'!$B$5:$B$504,"PTO",'Time Off Log'!$E$5:$E$504,"Approved",'Time Off Log'!$C$5:$C$504,"&gt;="&amp;INDEX(Periods!$E$5:$E$57,$B592),'Time Off Log'!$C$5:$C$504,"&lt;="&amp;INDEX(Periods!$F$5:$F$57,$B592)))</f>
        <v/>
      </c>
      <c r="M592" s="51">
        <f>IF($B592=1,N(INDEX(Employees!$N$5:$N$29,$A592)),P591)</f>
        <v/>
      </c>
      <c r="N592" s="51">
        <f>IF(INDEX(Employees!$L$5:$L$29,$A592)="",K592,MAX(0,MIN(K592,INDEX(Employees!$L$5:$L$29,$A592)-(M592-L592))))</f>
        <v/>
      </c>
      <c r="O592" s="51">
        <f>K592-N592</f>
        <v/>
      </c>
      <c r="P592" s="51">
        <f>M592-L592+N592</f>
        <v/>
      </c>
      <c r="Q592" s="51">
        <f>IF($G592=0,0,IF(INDEX(Employees!$P$5:$P$29,$A592)="Per pay period",(N(INDEX(Employees!$Q$5:$Q$29,$A592)))/Settings!$B$13,IF(INDEX(Employees!$P$5:$P$29,$A592)="Per hour worked",N(INDEX(Employees!$R$5:$R$29,$A592))*$I592,IF(INDEX(Employees!$P$5:$P$29,$A592)="Front-loaded",IF(OR($B592=1,N($G591)=0),N(INDEX(Employees!$Q$5:$Q$29,$A592)),0),0))))</f>
        <v/>
      </c>
      <c r="R592" s="51">
        <f>IF($F592=0,0,SUMIFS('Time Off Log'!$H$5:$H$504,'Time Off Log'!$A$5:$A$504,$C592,'Time Off Log'!$B$5:$B$504,"Sick",'Time Off Log'!$E$5:$E$504,"Approved",'Time Off Log'!$C$5:$C$504,"&gt;="&amp;INDEX(Periods!$E$5:$E$57,$B592),'Time Off Log'!$C$5:$C$504,"&lt;="&amp;INDEX(Periods!$F$5:$F$57,$B592)))</f>
        <v/>
      </c>
      <c r="S592" s="51">
        <f>IF($B592=1,N(INDEX(Employees!$T$5:$T$29,$A592)),V591)</f>
        <v/>
      </c>
      <c r="T592" s="51">
        <f>IF(INDEX(Employees!$S$5:$S$29,$A592)="",Q592,MAX(0,MIN(Q592,INDEX(Employees!$S$5:$S$29,$A592)-(S592-R592))))</f>
        <v/>
      </c>
      <c r="U592" s="51">
        <f>Q592-T592</f>
        <v/>
      </c>
      <c r="V592" s="51">
        <f>S592-R592+T592</f>
        <v/>
      </c>
    </row>
    <row r="593">
      <c r="A593" s="50" t="n">
        <v>12</v>
      </c>
      <c r="B593" s="50" t="n">
        <v>6</v>
      </c>
      <c r="C593" s="51">
        <f>INDEX(Employees!$B$5:$B$29,$A593)&amp;""</f>
        <v/>
      </c>
      <c r="D593" s="52">
        <f>INDEX(Periods!$B$5:$B$57,$B593)</f>
        <v/>
      </c>
      <c r="E593" s="52">
        <f>INDEX(Periods!$C$5:$C$57,$B593)</f>
        <v/>
      </c>
      <c r="F593" s="50">
        <f>IF(AND($C593&lt;&gt;"",INDEX(Periods!$D$5:$D$57,$B593)=1),1,0)</f>
        <v/>
      </c>
      <c r="G593" s="50">
        <f>IF($F593=0,0,IF(AND(OR(INDEX(Employees!$D$5:$D$29,$A593)="",$E593&gt;=INDEX(Employees!$D$5:$D$29,$A593)+N(INDEX(Employees!$U$5:$U$29,$A593))),OR(INDEX(Employees!$E$5:$E$29,$A593)="",$D593&lt;=INDEX(Employees!$E$5:$E$29,$A593))),1,0))</f>
        <v/>
      </c>
      <c r="H593" s="50">
        <f>IF($G593=0,0,IF(INDEX(Employees!$D$5:$D$29,$A593)="",0,DATEDIF(INDEX(Employees!$D$5:$D$29,$A593),$E593,"y")))</f>
        <v/>
      </c>
      <c r="I593" s="51">
        <f>IF($G593=0,0,IF(INDEX('Hours Worked'!$D$5:$BD$29,$A593,$B593)="",N(INDEX(Employees!$H$5:$H$29,$A593)),INDEX('Hours Worked'!$D$5:$BD$29,$A593,$B593)))</f>
        <v/>
      </c>
      <c r="J593" s="51">
        <f>IF(OR($G593=0,INDEX(Employees!$O$5:$O$29,$A593)&lt;&gt;"Yes"),0,IF(COUNTIF(Settings!$D$4:$D$9,"&lt;="&amp;$H593)=0,0,INDEX(Settings!$E$4:$E$9,COUNTIF(Settings!$D$4:$D$9,"&lt;="&amp;$H593))))</f>
        <v/>
      </c>
      <c r="K593" s="51">
        <f>IF($G593=0,0,IF(INDEX(Employees!$I$5:$I$29,$A593)="Per pay period",(N(INDEX(Employees!$J$5:$J$29,$A593))+$J593)/Settings!$B$13,IF(INDEX(Employees!$I$5:$I$29,$A593)="Per hour worked",N(INDEX(Employees!$K$5:$K$29,$A593))*$I593,IF(INDEX(Employees!$I$5:$I$29,$A593)="Front-loaded",IF(OR($B593=1,N($G592)=0),N(INDEX(Employees!$J$5:$J$29,$A593))+$J593,0),0))))</f>
        <v/>
      </c>
      <c r="L593" s="51">
        <f>IF($F593=0,0,SUMIFS('Time Off Log'!$H$5:$H$504,'Time Off Log'!$A$5:$A$504,$C593,'Time Off Log'!$B$5:$B$504,"PTO",'Time Off Log'!$E$5:$E$504,"Approved",'Time Off Log'!$C$5:$C$504,"&gt;="&amp;INDEX(Periods!$E$5:$E$57,$B593),'Time Off Log'!$C$5:$C$504,"&lt;="&amp;INDEX(Periods!$F$5:$F$57,$B593)))</f>
        <v/>
      </c>
      <c r="M593" s="51">
        <f>IF($B593=1,N(INDEX(Employees!$N$5:$N$29,$A593)),P592)</f>
        <v/>
      </c>
      <c r="N593" s="51">
        <f>IF(INDEX(Employees!$L$5:$L$29,$A593)="",K593,MAX(0,MIN(K593,INDEX(Employees!$L$5:$L$29,$A593)-(M593-L593))))</f>
        <v/>
      </c>
      <c r="O593" s="51">
        <f>K593-N593</f>
        <v/>
      </c>
      <c r="P593" s="51">
        <f>M593-L593+N593</f>
        <v/>
      </c>
      <c r="Q593" s="51">
        <f>IF($G593=0,0,IF(INDEX(Employees!$P$5:$P$29,$A593)="Per pay period",(N(INDEX(Employees!$Q$5:$Q$29,$A593)))/Settings!$B$13,IF(INDEX(Employees!$P$5:$P$29,$A593)="Per hour worked",N(INDEX(Employees!$R$5:$R$29,$A593))*$I593,IF(INDEX(Employees!$P$5:$P$29,$A593)="Front-loaded",IF(OR($B593=1,N($G592)=0),N(INDEX(Employees!$Q$5:$Q$29,$A593)),0),0))))</f>
        <v/>
      </c>
      <c r="R593" s="51">
        <f>IF($F593=0,0,SUMIFS('Time Off Log'!$H$5:$H$504,'Time Off Log'!$A$5:$A$504,$C593,'Time Off Log'!$B$5:$B$504,"Sick",'Time Off Log'!$E$5:$E$504,"Approved",'Time Off Log'!$C$5:$C$504,"&gt;="&amp;INDEX(Periods!$E$5:$E$57,$B593),'Time Off Log'!$C$5:$C$504,"&lt;="&amp;INDEX(Periods!$F$5:$F$57,$B593)))</f>
        <v/>
      </c>
      <c r="S593" s="51">
        <f>IF($B593=1,N(INDEX(Employees!$T$5:$T$29,$A593)),V592)</f>
        <v/>
      </c>
      <c r="T593" s="51">
        <f>IF(INDEX(Employees!$S$5:$S$29,$A593)="",Q593,MAX(0,MIN(Q593,INDEX(Employees!$S$5:$S$29,$A593)-(S593-R593))))</f>
        <v/>
      </c>
      <c r="U593" s="51">
        <f>Q593-T593</f>
        <v/>
      </c>
      <c r="V593" s="51">
        <f>S593-R593+T593</f>
        <v/>
      </c>
    </row>
    <row r="594">
      <c r="A594" s="50" t="n">
        <v>12</v>
      </c>
      <c r="B594" s="50" t="n">
        <v>7</v>
      </c>
      <c r="C594" s="51">
        <f>INDEX(Employees!$B$5:$B$29,$A594)&amp;""</f>
        <v/>
      </c>
      <c r="D594" s="52">
        <f>INDEX(Periods!$B$5:$B$57,$B594)</f>
        <v/>
      </c>
      <c r="E594" s="52">
        <f>INDEX(Periods!$C$5:$C$57,$B594)</f>
        <v/>
      </c>
      <c r="F594" s="50">
        <f>IF(AND($C594&lt;&gt;"",INDEX(Periods!$D$5:$D$57,$B594)=1),1,0)</f>
        <v/>
      </c>
      <c r="G594" s="50">
        <f>IF($F594=0,0,IF(AND(OR(INDEX(Employees!$D$5:$D$29,$A594)="",$E594&gt;=INDEX(Employees!$D$5:$D$29,$A594)+N(INDEX(Employees!$U$5:$U$29,$A594))),OR(INDEX(Employees!$E$5:$E$29,$A594)="",$D594&lt;=INDEX(Employees!$E$5:$E$29,$A594))),1,0))</f>
        <v/>
      </c>
      <c r="H594" s="50">
        <f>IF($G594=0,0,IF(INDEX(Employees!$D$5:$D$29,$A594)="",0,DATEDIF(INDEX(Employees!$D$5:$D$29,$A594),$E594,"y")))</f>
        <v/>
      </c>
      <c r="I594" s="51">
        <f>IF($G594=0,0,IF(INDEX('Hours Worked'!$D$5:$BD$29,$A594,$B594)="",N(INDEX(Employees!$H$5:$H$29,$A594)),INDEX('Hours Worked'!$D$5:$BD$29,$A594,$B594)))</f>
        <v/>
      </c>
      <c r="J594" s="51">
        <f>IF(OR($G594=0,INDEX(Employees!$O$5:$O$29,$A594)&lt;&gt;"Yes"),0,IF(COUNTIF(Settings!$D$4:$D$9,"&lt;="&amp;$H594)=0,0,INDEX(Settings!$E$4:$E$9,COUNTIF(Settings!$D$4:$D$9,"&lt;="&amp;$H594))))</f>
        <v/>
      </c>
      <c r="K594" s="51">
        <f>IF($G594=0,0,IF(INDEX(Employees!$I$5:$I$29,$A594)="Per pay period",(N(INDEX(Employees!$J$5:$J$29,$A594))+$J594)/Settings!$B$13,IF(INDEX(Employees!$I$5:$I$29,$A594)="Per hour worked",N(INDEX(Employees!$K$5:$K$29,$A594))*$I594,IF(INDEX(Employees!$I$5:$I$29,$A594)="Front-loaded",IF(OR($B594=1,N($G593)=0),N(INDEX(Employees!$J$5:$J$29,$A594))+$J594,0),0))))</f>
        <v/>
      </c>
      <c r="L594" s="51">
        <f>IF($F594=0,0,SUMIFS('Time Off Log'!$H$5:$H$504,'Time Off Log'!$A$5:$A$504,$C594,'Time Off Log'!$B$5:$B$504,"PTO",'Time Off Log'!$E$5:$E$504,"Approved",'Time Off Log'!$C$5:$C$504,"&gt;="&amp;INDEX(Periods!$E$5:$E$57,$B594),'Time Off Log'!$C$5:$C$504,"&lt;="&amp;INDEX(Periods!$F$5:$F$57,$B594)))</f>
        <v/>
      </c>
      <c r="M594" s="51">
        <f>IF($B594=1,N(INDEX(Employees!$N$5:$N$29,$A594)),P593)</f>
        <v/>
      </c>
      <c r="N594" s="51">
        <f>IF(INDEX(Employees!$L$5:$L$29,$A594)="",K594,MAX(0,MIN(K594,INDEX(Employees!$L$5:$L$29,$A594)-(M594-L594))))</f>
        <v/>
      </c>
      <c r="O594" s="51">
        <f>K594-N594</f>
        <v/>
      </c>
      <c r="P594" s="51">
        <f>M594-L594+N594</f>
        <v/>
      </c>
      <c r="Q594" s="51">
        <f>IF($G594=0,0,IF(INDEX(Employees!$P$5:$P$29,$A594)="Per pay period",(N(INDEX(Employees!$Q$5:$Q$29,$A594)))/Settings!$B$13,IF(INDEX(Employees!$P$5:$P$29,$A594)="Per hour worked",N(INDEX(Employees!$R$5:$R$29,$A594))*$I594,IF(INDEX(Employees!$P$5:$P$29,$A594)="Front-loaded",IF(OR($B594=1,N($G593)=0),N(INDEX(Employees!$Q$5:$Q$29,$A594)),0),0))))</f>
        <v/>
      </c>
      <c r="R594" s="51">
        <f>IF($F594=0,0,SUMIFS('Time Off Log'!$H$5:$H$504,'Time Off Log'!$A$5:$A$504,$C594,'Time Off Log'!$B$5:$B$504,"Sick",'Time Off Log'!$E$5:$E$504,"Approved",'Time Off Log'!$C$5:$C$504,"&gt;="&amp;INDEX(Periods!$E$5:$E$57,$B594),'Time Off Log'!$C$5:$C$504,"&lt;="&amp;INDEX(Periods!$F$5:$F$57,$B594)))</f>
        <v/>
      </c>
      <c r="S594" s="51">
        <f>IF($B594=1,N(INDEX(Employees!$T$5:$T$29,$A594)),V593)</f>
        <v/>
      </c>
      <c r="T594" s="51">
        <f>IF(INDEX(Employees!$S$5:$S$29,$A594)="",Q594,MAX(0,MIN(Q594,INDEX(Employees!$S$5:$S$29,$A594)-(S594-R594))))</f>
        <v/>
      </c>
      <c r="U594" s="51">
        <f>Q594-T594</f>
        <v/>
      </c>
      <c r="V594" s="51">
        <f>S594-R594+T594</f>
        <v/>
      </c>
    </row>
    <row r="595">
      <c r="A595" s="50" t="n">
        <v>12</v>
      </c>
      <c r="B595" s="50" t="n">
        <v>8</v>
      </c>
      <c r="C595" s="51">
        <f>INDEX(Employees!$B$5:$B$29,$A595)&amp;""</f>
        <v/>
      </c>
      <c r="D595" s="52">
        <f>INDEX(Periods!$B$5:$B$57,$B595)</f>
        <v/>
      </c>
      <c r="E595" s="52">
        <f>INDEX(Periods!$C$5:$C$57,$B595)</f>
        <v/>
      </c>
      <c r="F595" s="50">
        <f>IF(AND($C595&lt;&gt;"",INDEX(Periods!$D$5:$D$57,$B595)=1),1,0)</f>
        <v/>
      </c>
      <c r="G595" s="50">
        <f>IF($F595=0,0,IF(AND(OR(INDEX(Employees!$D$5:$D$29,$A595)="",$E595&gt;=INDEX(Employees!$D$5:$D$29,$A595)+N(INDEX(Employees!$U$5:$U$29,$A595))),OR(INDEX(Employees!$E$5:$E$29,$A595)="",$D595&lt;=INDEX(Employees!$E$5:$E$29,$A595))),1,0))</f>
        <v/>
      </c>
      <c r="H595" s="50">
        <f>IF($G595=0,0,IF(INDEX(Employees!$D$5:$D$29,$A595)="",0,DATEDIF(INDEX(Employees!$D$5:$D$29,$A595),$E595,"y")))</f>
        <v/>
      </c>
      <c r="I595" s="51">
        <f>IF($G595=0,0,IF(INDEX('Hours Worked'!$D$5:$BD$29,$A595,$B595)="",N(INDEX(Employees!$H$5:$H$29,$A595)),INDEX('Hours Worked'!$D$5:$BD$29,$A595,$B595)))</f>
        <v/>
      </c>
      <c r="J595" s="51">
        <f>IF(OR($G595=0,INDEX(Employees!$O$5:$O$29,$A595)&lt;&gt;"Yes"),0,IF(COUNTIF(Settings!$D$4:$D$9,"&lt;="&amp;$H595)=0,0,INDEX(Settings!$E$4:$E$9,COUNTIF(Settings!$D$4:$D$9,"&lt;="&amp;$H595))))</f>
        <v/>
      </c>
      <c r="K595" s="51">
        <f>IF($G595=0,0,IF(INDEX(Employees!$I$5:$I$29,$A595)="Per pay period",(N(INDEX(Employees!$J$5:$J$29,$A595))+$J595)/Settings!$B$13,IF(INDEX(Employees!$I$5:$I$29,$A595)="Per hour worked",N(INDEX(Employees!$K$5:$K$29,$A595))*$I595,IF(INDEX(Employees!$I$5:$I$29,$A595)="Front-loaded",IF(OR($B595=1,N($G594)=0),N(INDEX(Employees!$J$5:$J$29,$A595))+$J595,0),0))))</f>
        <v/>
      </c>
      <c r="L595" s="51">
        <f>IF($F595=0,0,SUMIFS('Time Off Log'!$H$5:$H$504,'Time Off Log'!$A$5:$A$504,$C595,'Time Off Log'!$B$5:$B$504,"PTO",'Time Off Log'!$E$5:$E$504,"Approved",'Time Off Log'!$C$5:$C$504,"&gt;="&amp;INDEX(Periods!$E$5:$E$57,$B595),'Time Off Log'!$C$5:$C$504,"&lt;="&amp;INDEX(Periods!$F$5:$F$57,$B595)))</f>
        <v/>
      </c>
      <c r="M595" s="51">
        <f>IF($B595=1,N(INDEX(Employees!$N$5:$N$29,$A595)),P594)</f>
        <v/>
      </c>
      <c r="N595" s="51">
        <f>IF(INDEX(Employees!$L$5:$L$29,$A595)="",K595,MAX(0,MIN(K595,INDEX(Employees!$L$5:$L$29,$A595)-(M595-L595))))</f>
        <v/>
      </c>
      <c r="O595" s="51">
        <f>K595-N595</f>
        <v/>
      </c>
      <c r="P595" s="51">
        <f>M595-L595+N595</f>
        <v/>
      </c>
      <c r="Q595" s="51">
        <f>IF($G595=0,0,IF(INDEX(Employees!$P$5:$P$29,$A595)="Per pay period",(N(INDEX(Employees!$Q$5:$Q$29,$A595)))/Settings!$B$13,IF(INDEX(Employees!$P$5:$P$29,$A595)="Per hour worked",N(INDEX(Employees!$R$5:$R$29,$A595))*$I595,IF(INDEX(Employees!$P$5:$P$29,$A595)="Front-loaded",IF(OR($B595=1,N($G594)=0),N(INDEX(Employees!$Q$5:$Q$29,$A595)),0),0))))</f>
        <v/>
      </c>
      <c r="R595" s="51">
        <f>IF($F595=0,0,SUMIFS('Time Off Log'!$H$5:$H$504,'Time Off Log'!$A$5:$A$504,$C595,'Time Off Log'!$B$5:$B$504,"Sick",'Time Off Log'!$E$5:$E$504,"Approved",'Time Off Log'!$C$5:$C$504,"&gt;="&amp;INDEX(Periods!$E$5:$E$57,$B595),'Time Off Log'!$C$5:$C$504,"&lt;="&amp;INDEX(Periods!$F$5:$F$57,$B595)))</f>
        <v/>
      </c>
      <c r="S595" s="51">
        <f>IF($B595=1,N(INDEX(Employees!$T$5:$T$29,$A595)),V594)</f>
        <v/>
      </c>
      <c r="T595" s="51">
        <f>IF(INDEX(Employees!$S$5:$S$29,$A595)="",Q595,MAX(0,MIN(Q595,INDEX(Employees!$S$5:$S$29,$A595)-(S595-R595))))</f>
        <v/>
      </c>
      <c r="U595" s="51">
        <f>Q595-T595</f>
        <v/>
      </c>
      <c r="V595" s="51">
        <f>S595-R595+T595</f>
        <v/>
      </c>
    </row>
    <row r="596">
      <c r="A596" s="50" t="n">
        <v>12</v>
      </c>
      <c r="B596" s="50" t="n">
        <v>9</v>
      </c>
      <c r="C596" s="51">
        <f>INDEX(Employees!$B$5:$B$29,$A596)&amp;""</f>
        <v/>
      </c>
      <c r="D596" s="52">
        <f>INDEX(Periods!$B$5:$B$57,$B596)</f>
        <v/>
      </c>
      <c r="E596" s="52">
        <f>INDEX(Periods!$C$5:$C$57,$B596)</f>
        <v/>
      </c>
      <c r="F596" s="50">
        <f>IF(AND($C596&lt;&gt;"",INDEX(Periods!$D$5:$D$57,$B596)=1),1,0)</f>
        <v/>
      </c>
      <c r="G596" s="50">
        <f>IF($F596=0,0,IF(AND(OR(INDEX(Employees!$D$5:$D$29,$A596)="",$E596&gt;=INDEX(Employees!$D$5:$D$29,$A596)+N(INDEX(Employees!$U$5:$U$29,$A596))),OR(INDEX(Employees!$E$5:$E$29,$A596)="",$D596&lt;=INDEX(Employees!$E$5:$E$29,$A596))),1,0))</f>
        <v/>
      </c>
      <c r="H596" s="50">
        <f>IF($G596=0,0,IF(INDEX(Employees!$D$5:$D$29,$A596)="",0,DATEDIF(INDEX(Employees!$D$5:$D$29,$A596),$E596,"y")))</f>
        <v/>
      </c>
      <c r="I596" s="51">
        <f>IF($G596=0,0,IF(INDEX('Hours Worked'!$D$5:$BD$29,$A596,$B596)="",N(INDEX(Employees!$H$5:$H$29,$A596)),INDEX('Hours Worked'!$D$5:$BD$29,$A596,$B596)))</f>
        <v/>
      </c>
      <c r="J596" s="51">
        <f>IF(OR($G596=0,INDEX(Employees!$O$5:$O$29,$A596)&lt;&gt;"Yes"),0,IF(COUNTIF(Settings!$D$4:$D$9,"&lt;="&amp;$H596)=0,0,INDEX(Settings!$E$4:$E$9,COUNTIF(Settings!$D$4:$D$9,"&lt;="&amp;$H596))))</f>
        <v/>
      </c>
      <c r="K596" s="51">
        <f>IF($G596=0,0,IF(INDEX(Employees!$I$5:$I$29,$A596)="Per pay period",(N(INDEX(Employees!$J$5:$J$29,$A596))+$J596)/Settings!$B$13,IF(INDEX(Employees!$I$5:$I$29,$A596)="Per hour worked",N(INDEX(Employees!$K$5:$K$29,$A596))*$I596,IF(INDEX(Employees!$I$5:$I$29,$A596)="Front-loaded",IF(OR($B596=1,N($G595)=0),N(INDEX(Employees!$J$5:$J$29,$A596))+$J596,0),0))))</f>
        <v/>
      </c>
      <c r="L596" s="51">
        <f>IF($F596=0,0,SUMIFS('Time Off Log'!$H$5:$H$504,'Time Off Log'!$A$5:$A$504,$C596,'Time Off Log'!$B$5:$B$504,"PTO",'Time Off Log'!$E$5:$E$504,"Approved",'Time Off Log'!$C$5:$C$504,"&gt;="&amp;INDEX(Periods!$E$5:$E$57,$B596),'Time Off Log'!$C$5:$C$504,"&lt;="&amp;INDEX(Periods!$F$5:$F$57,$B596)))</f>
        <v/>
      </c>
      <c r="M596" s="51">
        <f>IF($B596=1,N(INDEX(Employees!$N$5:$N$29,$A596)),P595)</f>
        <v/>
      </c>
      <c r="N596" s="51">
        <f>IF(INDEX(Employees!$L$5:$L$29,$A596)="",K596,MAX(0,MIN(K596,INDEX(Employees!$L$5:$L$29,$A596)-(M596-L596))))</f>
        <v/>
      </c>
      <c r="O596" s="51">
        <f>K596-N596</f>
        <v/>
      </c>
      <c r="P596" s="51">
        <f>M596-L596+N596</f>
        <v/>
      </c>
      <c r="Q596" s="51">
        <f>IF($G596=0,0,IF(INDEX(Employees!$P$5:$P$29,$A596)="Per pay period",(N(INDEX(Employees!$Q$5:$Q$29,$A596)))/Settings!$B$13,IF(INDEX(Employees!$P$5:$P$29,$A596)="Per hour worked",N(INDEX(Employees!$R$5:$R$29,$A596))*$I596,IF(INDEX(Employees!$P$5:$P$29,$A596)="Front-loaded",IF(OR($B596=1,N($G595)=0),N(INDEX(Employees!$Q$5:$Q$29,$A596)),0),0))))</f>
        <v/>
      </c>
      <c r="R596" s="51">
        <f>IF($F596=0,0,SUMIFS('Time Off Log'!$H$5:$H$504,'Time Off Log'!$A$5:$A$504,$C596,'Time Off Log'!$B$5:$B$504,"Sick",'Time Off Log'!$E$5:$E$504,"Approved",'Time Off Log'!$C$5:$C$504,"&gt;="&amp;INDEX(Periods!$E$5:$E$57,$B596),'Time Off Log'!$C$5:$C$504,"&lt;="&amp;INDEX(Periods!$F$5:$F$57,$B596)))</f>
        <v/>
      </c>
      <c r="S596" s="51">
        <f>IF($B596=1,N(INDEX(Employees!$T$5:$T$29,$A596)),V595)</f>
        <v/>
      </c>
      <c r="T596" s="51">
        <f>IF(INDEX(Employees!$S$5:$S$29,$A596)="",Q596,MAX(0,MIN(Q596,INDEX(Employees!$S$5:$S$29,$A596)-(S596-R596))))</f>
        <v/>
      </c>
      <c r="U596" s="51">
        <f>Q596-T596</f>
        <v/>
      </c>
      <c r="V596" s="51">
        <f>S596-R596+T596</f>
        <v/>
      </c>
    </row>
    <row r="597">
      <c r="A597" s="50" t="n">
        <v>12</v>
      </c>
      <c r="B597" s="50" t="n">
        <v>10</v>
      </c>
      <c r="C597" s="51">
        <f>INDEX(Employees!$B$5:$B$29,$A597)&amp;""</f>
        <v/>
      </c>
      <c r="D597" s="52">
        <f>INDEX(Periods!$B$5:$B$57,$B597)</f>
        <v/>
      </c>
      <c r="E597" s="52">
        <f>INDEX(Periods!$C$5:$C$57,$B597)</f>
        <v/>
      </c>
      <c r="F597" s="50">
        <f>IF(AND($C597&lt;&gt;"",INDEX(Periods!$D$5:$D$57,$B597)=1),1,0)</f>
        <v/>
      </c>
      <c r="G597" s="50">
        <f>IF($F597=0,0,IF(AND(OR(INDEX(Employees!$D$5:$D$29,$A597)="",$E597&gt;=INDEX(Employees!$D$5:$D$29,$A597)+N(INDEX(Employees!$U$5:$U$29,$A597))),OR(INDEX(Employees!$E$5:$E$29,$A597)="",$D597&lt;=INDEX(Employees!$E$5:$E$29,$A597))),1,0))</f>
        <v/>
      </c>
      <c r="H597" s="50">
        <f>IF($G597=0,0,IF(INDEX(Employees!$D$5:$D$29,$A597)="",0,DATEDIF(INDEX(Employees!$D$5:$D$29,$A597),$E597,"y")))</f>
        <v/>
      </c>
      <c r="I597" s="51">
        <f>IF($G597=0,0,IF(INDEX('Hours Worked'!$D$5:$BD$29,$A597,$B597)="",N(INDEX(Employees!$H$5:$H$29,$A597)),INDEX('Hours Worked'!$D$5:$BD$29,$A597,$B597)))</f>
        <v/>
      </c>
      <c r="J597" s="51">
        <f>IF(OR($G597=0,INDEX(Employees!$O$5:$O$29,$A597)&lt;&gt;"Yes"),0,IF(COUNTIF(Settings!$D$4:$D$9,"&lt;="&amp;$H597)=0,0,INDEX(Settings!$E$4:$E$9,COUNTIF(Settings!$D$4:$D$9,"&lt;="&amp;$H597))))</f>
        <v/>
      </c>
      <c r="K597" s="51">
        <f>IF($G597=0,0,IF(INDEX(Employees!$I$5:$I$29,$A597)="Per pay period",(N(INDEX(Employees!$J$5:$J$29,$A597))+$J597)/Settings!$B$13,IF(INDEX(Employees!$I$5:$I$29,$A597)="Per hour worked",N(INDEX(Employees!$K$5:$K$29,$A597))*$I597,IF(INDEX(Employees!$I$5:$I$29,$A597)="Front-loaded",IF(OR($B597=1,N($G596)=0),N(INDEX(Employees!$J$5:$J$29,$A597))+$J597,0),0))))</f>
        <v/>
      </c>
      <c r="L597" s="51">
        <f>IF($F597=0,0,SUMIFS('Time Off Log'!$H$5:$H$504,'Time Off Log'!$A$5:$A$504,$C597,'Time Off Log'!$B$5:$B$504,"PTO",'Time Off Log'!$E$5:$E$504,"Approved",'Time Off Log'!$C$5:$C$504,"&gt;="&amp;INDEX(Periods!$E$5:$E$57,$B597),'Time Off Log'!$C$5:$C$504,"&lt;="&amp;INDEX(Periods!$F$5:$F$57,$B597)))</f>
        <v/>
      </c>
      <c r="M597" s="51">
        <f>IF($B597=1,N(INDEX(Employees!$N$5:$N$29,$A597)),P596)</f>
        <v/>
      </c>
      <c r="N597" s="51">
        <f>IF(INDEX(Employees!$L$5:$L$29,$A597)="",K597,MAX(0,MIN(K597,INDEX(Employees!$L$5:$L$29,$A597)-(M597-L597))))</f>
        <v/>
      </c>
      <c r="O597" s="51">
        <f>K597-N597</f>
        <v/>
      </c>
      <c r="P597" s="51">
        <f>M597-L597+N597</f>
        <v/>
      </c>
      <c r="Q597" s="51">
        <f>IF($G597=0,0,IF(INDEX(Employees!$P$5:$P$29,$A597)="Per pay period",(N(INDEX(Employees!$Q$5:$Q$29,$A597)))/Settings!$B$13,IF(INDEX(Employees!$P$5:$P$29,$A597)="Per hour worked",N(INDEX(Employees!$R$5:$R$29,$A597))*$I597,IF(INDEX(Employees!$P$5:$P$29,$A597)="Front-loaded",IF(OR($B597=1,N($G596)=0),N(INDEX(Employees!$Q$5:$Q$29,$A597)),0),0))))</f>
        <v/>
      </c>
      <c r="R597" s="51">
        <f>IF($F597=0,0,SUMIFS('Time Off Log'!$H$5:$H$504,'Time Off Log'!$A$5:$A$504,$C597,'Time Off Log'!$B$5:$B$504,"Sick",'Time Off Log'!$E$5:$E$504,"Approved",'Time Off Log'!$C$5:$C$504,"&gt;="&amp;INDEX(Periods!$E$5:$E$57,$B597),'Time Off Log'!$C$5:$C$504,"&lt;="&amp;INDEX(Periods!$F$5:$F$57,$B597)))</f>
        <v/>
      </c>
      <c r="S597" s="51">
        <f>IF($B597=1,N(INDEX(Employees!$T$5:$T$29,$A597)),V596)</f>
        <v/>
      </c>
      <c r="T597" s="51">
        <f>IF(INDEX(Employees!$S$5:$S$29,$A597)="",Q597,MAX(0,MIN(Q597,INDEX(Employees!$S$5:$S$29,$A597)-(S597-R597))))</f>
        <v/>
      </c>
      <c r="U597" s="51">
        <f>Q597-T597</f>
        <v/>
      </c>
      <c r="V597" s="51">
        <f>S597-R597+T597</f>
        <v/>
      </c>
    </row>
    <row r="598">
      <c r="A598" s="50" t="n">
        <v>12</v>
      </c>
      <c r="B598" s="50" t="n">
        <v>11</v>
      </c>
      <c r="C598" s="51">
        <f>INDEX(Employees!$B$5:$B$29,$A598)&amp;""</f>
        <v/>
      </c>
      <c r="D598" s="52">
        <f>INDEX(Periods!$B$5:$B$57,$B598)</f>
        <v/>
      </c>
      <c r="E598" s="52">
        <f>INDEX(Periods!$C$5:$C$57,$B598)</f>
        <v/>
      </c>
      <c r="F598" s="50">
        <f>IF(AND($C598&lt;&gt;"",INDEX(Periods!$D$5:$D$57,$B598)=1),1,0)</f>
        <v/>
      </c>
      <c r="G598" s="50">
        <f>IF($F598=0,0,IF(AND(OR(INDEX(Employees!$D$5:$D$29,$A598)="",$E598&gt;=INDEX(Employees!$D$5:$D$29,$A598)+N(INDEX(Employees!$U$5:$U$29,$A598))),OR(INDEX(Employees!$E$5:$E$29,$A598)="",$D598&lt;=INDEX(Employees!$E$5:$E$29,$A598))),1,0))</f>
        <v/>
      </c>
      <c r="H598" s="50">
        <f>IF($G598=0,0,IF(INDEX(Employees!$D$5:$D$29,$A598)="",0,DATEDIF(INDEX(Employees!$D$5:$D$29,$A598),$E598,"y")))</f>
        <v/>
      </c>
      <c r="I598" s="51">
        <f>IF($G598=0,0,IF(INDEX('Hours Worked'!$D$5:$BD$29,$A598,$B598)="",N(INDEX(Employees!$H$5:$H$29,$A598)),INDEX('Hours Worked'!$D$5:$BD$29,$A598,$B598)))</f>
        <v/>
      </c>
      <c r="J598" s="51">
        <f>IF(OR($G598=0,INDEX(Employees!$O$5:$O$29,$A598)&lt;&gt;"Yes"),0,IF(COUNTIF(Settings!$D$4:$D$9,"&lt;="&amp;$H598)=0,0,INDEX(Settings!$E$4:$E$9,COUNTIF(Settings!$D$4:$D$9,"&lt;="&amp;$H598))))</f>
        <v/>
      </c>
      <c r="K598" s="51">
        <f>IF($G598=0,0,IF(INDEX(Employees!$I$5:$I$29,$A598)="Per pay period",(N(INDEX(Employees!$J$5:$J$29,$A598))+$J598)/Settings!$B$13,IF(INDEX(Employees!$I$5:$I$29,$A598)="Per hour worked",N(INDEX(Employees!$K$5:$K$29,$A598))*$I598,IF(INDEX(Employees!$I$5:$I$29,$A598)="Front-loaded",IF(OR($B598=1,N($G597)=0),N(INDEX(Employees!$J$5:$J$29,$A598))+$J598,0),0))))</f>
        <v/>
      </c>
      <c r="L598" s="51">
        <f>IF($F598=0,0,SUMIFS('Time Off Log'!$H$5:$H$504,'Time Off Log'!$A$5:$A$504,$C598,'Time Off Log'!$B$5:$B$504,"PTO",'Time Off Log'!$E$5:$E$504,"Approved",'Time Off Log'!$C$5:$C$504,"&gt;="&amp;INDEX(Periods!$E$5:$E$57,$B598),'Time Off Log'!$C$5:$C$504,"&lt;="&amp;INDEX(Periods!$F$5:$F$57,$B598)))</f>
        <v/>
      </c>
      <c r="M598" s="51">
        <f>IF($B598=1,N(INDEX(Employees!$N$5:$N$29,$A598)),P597)</f>
        <v/>
      </c>
      <c r="N598" s="51">
        <f>IF(INDEX(Employees!$L$5:$L$29,$A598)="",K598,MAX(0,MIN(K598,INDEX(Employees!$L$5:$L$29,$A598)-(M598-L598))))</f>
        <v/>
      </c>
      <c r="O598" s="51">
        <f>K598-N598</f>
        <v/>
      </c>
      <c r="P598" s="51">
        <f>M598-L598+N598</f>
        <v/>
      </c>
      <c r="Q598" s="51">
        <f>IF($G598=0,0,IF(INDEX(Employees!$P$5:$P$29,$A598)="Per pay period",(N(INDEX(Employees!$Q$5:$Q$29,$A598)))/Settings!$B$13,IF(INDEX(Employees!$P$5:$P$29,$A598)="Per hour worked",N(INDEX(Employees!$R$5:$R$29,$A598))*$I598,IF(INDEX(Employees!$P$5:$P$29,$A598)="Front-loaded",IF(OR($B598=1,N($G597)=0),N(INDEX(Employees!$Q$5:$Q$29,$A598)),0),0))))</f>
        <v/>
      </c>
      <c r="R598" s="51">
        <f>IF($F598=0,0,SUMIFS('Time Off Log'!$H$5:$H$504,'Time Off Log'!$A$5:$A$504,$C598,'Time Off Log'!$B$5:$B$504,"Sick",'Time Off Log'!$E$5:$E$504,"Approved",'Time Off Log'!$C$5:$C$504,"&gt;="&amp;INDEX(Periods!$E$5:$E$57,$B598),'Time Off Log'!$C$5:$C$504,"&lt;="&amp;INDEX(Periods!$F$5:$F$57,$B598)))</f>
        <v/>
      </c>
      <c r="S598" s="51">
        <f>IF($B598=1,N(INDEX(Employees!$T$5:$T$29,$A598)),V597)</f>
        <v/>
      </c>
      <c r="T598" s="51">
        <f>IF(INDEX(Employees!$S$5:$S$29,$A598)="",Q598,MAX(0,MIN(Q598,INDEX(Employees!$S$5:$S$29,$A598)-(S598-R598))))</f>
        <v/>
      </c>
      <c r="U598" s="51">
        <f>Q598-T598</f>
        <v/>
      </c>
      <c r="V598" s="51">
        <f>S598-R598+T598</f>
        <v/>
      </c>
    </row>
    <row r="599">
      <c r="A599" s="50" t="n">
        <v>12</v>
      </c>
      <c r="B599" s="50" t="n">
        <v>12</v>
      </c>
      <c r="C599" s="51">
        <f>INDEX(Employees!$B$5:$B$29,$A599)&amp;""</f>
        <v/>
      </c>
      <c r="D599" s="52">
        <f>INDEX(Periods!$B$5:$B$57,$B599)</f>
        <v/>
      </c>
      <c r="E599" s="52">
        <f>INDEX(Periods!$C$5:$C$57,$B599)</f>
        <v/>
      </c>
      <c r="F599" s="50">
        <f>IF(AND($C599&lt;&gt;"",INDEX(Periods!$D$5:$D$57,$B599)=1),1,0)</f>
        <v/>
      </c>
      <c r="G599" s="50">
        <f>IF($F599=0,0,IF(AND(OR(INDEX(Employees!$D$5:$D$29,$A599)="",$E599&gt;=INDEX(Employees!$D$5:$D$29,$A599)+N(INDEX(Employees!$U$5:$U$29,$A599))),OR(INDEX(Employees!$E$5:$E$29,$A599)="",$D599&lt;=INDEX(Employees!$E$5:$E$29,$A599))),1,0))</f>
        <v/>
      </c>
      <c r="H599" s="50">
        <f>IF($G599=0,0,IF(INDEX(Employees!$D$5:$D$29,$A599)="",0,DATEDIF(INDEX(Employees!$D$5:$D$29,$A599),$E599,"y")))</f>
        <v/>
      </c>
      <c r="I599" s="51">
        <f>IF($G599=0,0,IF(INDEX('Hours Worked'!$D$5:$BD$29,$A599,$B599)="",N(INDEX(Employees!$H$5:$H$29,$A599)),INDEX('Hours Worked'!$D$5:$BD$29,$A599,$B599)))</f>
        <v/>
      </c>
      <c r="J599" s="51">
        <f>IF(OR($G599=0,INDEX(Employees!$O$5:$O$29,$A599)&lt;&gt;"Yes"),0,IF(COUNTIF(Settings!$D$4:$D$9,"&lt;="&amp;$H599)=0,0,INDEX(Settings!$E$4:$E$9,COUNTIF(Settings!$D$4:$D$9,"&lt;="&amp;$H599))))</f>
        <v/>
      </c>
      <c r="K599" s="51">
        <f>IF($G599=0,0,IF(INDEX(Employees!$I$5:$I$29,$A599)="Per pay period",(N(INDEX(Employees!$J$5:$J$29,$A599))+$J599)/Settings!$B$13,IF(INDEX(Employees!$I$5:$I$29,$A599)="Per hour worked",N(INDEX(Employees!$K$5:$K$29,$A599))*$I599,IF(INDEX(Employees!$I$5:$I$29,$A599)="Front-loaded",IF(OR($B599=1,N($G598)=0),N(INDEX(Employees!$J$5:$J$29,$A599))+$J599,0),0))))</f>
        <v/>
      </c>
      <c r="L599" s="51">
        <f>IF($F599=0,0,SUMIFS('Time Off Log'!$H$5:$H$504,'Time Off Log'!$A$5:$A$504,$C599,'Time Off Log'!$B$5:$B$504,"PTO",'Time Off Log'!$E$5:$E$504,"Approved",'Time Off Log'!$C$5:$C$504,"&gt;="&amp;INDEX(Periods!$E$5:$E$57,$B599),'Time Off Log'!$C$5:$C$504,"&lt;="&amp;INDEX(Periods!$F$5:$F$57,$B599)))</f>
        <v/>
      </c>
      <c r="M599" s="51">
        <f>IF($B599=1,N(INDEX(Employees!$N$5:$N$29,$A599)),P598)</f>
        <v/>
      </c>
      <c r="N599" s="51">
        <f>IF(INDEX(Employees!$L$5:$L$29,$A599)="",K599,MAX(0,MIN(K599,INDEX(Employees!$L$5:$L$29,$A599)-(M599-L599))))</f>
        <v/>
      </c>
      <c r="O599" s="51">
        <f>K599-N599</f>
        <v/>
      </c>
      <c r="P599" s="51">
        <f>M599-L599+N599</f>
        <v/>
      </c>
      <c r="Q599" s="51">
        <f>IF($G599=0,0,IF(INDEX(Employees!$P$5:$P$29,$A599)="Per pay period",(N(INDEX(Employees!$Q$5:$Q$29,$A599)))/Settings!$B$13,IF(INDEX(Employees!$P$5:$P$29,$A599)="Per hour worked",N(INDEX(Employees!$R$5:$R$29,$A599))*$I599,IF(INDEX(Employees!$P$5:$P$29,$A599)="Front-loaded",IF(OR($B599=1,N($G598)=0),N(INDEX(Employees!$Q$5:$Q$29,$A599)),0),0))))</f>
        <v/>
      </c>
      <c r="R599" s="51">
        <f>IF($F599=0,0,SUMIFS('Time Off Log'!$H$5:$H$504,'Time Off Log'!$A$5:$A$504,$C599,'Time Off Log'!$B$5:$B$504,"Sick",'Time Off Log'!$E$5:$E$504,"Approved",'Time Off Log'!$C$5:$C$504,"&gt;="&amp;INDEX(Periods!$E$5:$E$57,$B599),'Time Off Log'!$C$5:$C$504,"&lt;="&amp;INDEX(Periods!$F$5:$F$57,$B599)))</f>
        <v/>
      </c>
      <c r="S599" s="51">
        <f>IF($B599=1,N(INDEX(Employees!$T$5:$T$29,$A599)),V598)</f>
        <v/>
      </c>
      <c r="T599" s="51">
        <f>IF(INDEX(Employees!$S$5:$S$29,$A599)="",Q599,MAX(0,MIN(Q599,INDEX(Employees!$S$5:$S$29,$A599)-(S599-R599))))</f>
        <v/>
      </c>
      <c r="U599" s="51">
        <f>Q599-T599</f>
        <v/>
      </c>
      <c r="V599" s="51">
        <f>S599-R599+T599</f>
        <v/>
      </c>
    </row>
    <row r="600">
      <c r="A600" s="50" t="n">
        <v>12</v>
      </c>
      <c r="B600" s="50" t="n">
        <v>13</v>
      </c>
      <c r="C600" s="51">
        <f>INDEX(Employees!$B$5:$B$29,$A600)&amp;""</f>
        <v/>
      </c>
      <c r="D600" s="52">
        <f>INDEX(Periods!$B$5:$B$57,$B600)</f>
        <v/>
      </c>
      <c r="E600" s="52">
        <f>INDEX(Periods!$C$5:$C$57,$B600)</f>
        <v/>
      </c>
      <c r="F600" s="50">
        <f>IF(AND($C600&lt;&gt;"",INDEX(Periods!$D$5:$D$57,$B600)=1),1,0)</f>
        <v/>
      </c>
      <c r="G600" s="50">
        <f>IF($F600=0,0,IF(AND(OR(INDEX(Employees!$D$5:$D$29,$A600)="",$E600&gt;=INDEX(Employees!$D$5:$D$29,$A600)+N(INDEX(Employees!$U$5:$U$29,$A600))),OR(INDEX(Employees!$E$5:$E$29,$A600)="",$D600&lt;=INDEX(Employees!$E$5:$E$29,$A600))),1,0))</f>
        <v/>
      </c>
      <c r="H600" s="50">
        <f>IF($G600=0,0,IF(INDEX(Employees!$D$5:$D$29,$A600)="",0,DATEDIF(INDEX(Employees!$D$5:$D$29,$A600),$E600,"y")))</f>
        <v/>
      </c>
      <c r="I600" s="51">
        <f>IF($G600=0,0,IF(INDEX('Hours Worked'!$D$5:$BD$29,$A600,$B600)="",N(INDEX(Employees!$H$5:$H$29,$A600)),INDEX('Hours Worked'!$D$5:$BD$29,$A600,$B600)))</f>
        <v/>
      </c>
      <c r="J600" s="51">
        <f>IF(OR($G600=0,INDEX(Employees!$O$5:$O$29,$A600)&lt;&gt;"Yes"),0,IF(COUNTIF(Settings!$D$4:$D$9,"&lt;="&amp;$H600)=0,0,INDEX(Settings!$E$4:$E$9,COUNTIF(Settings!$D$4:$D$9,"&lt;="&amp;$H600))))</f>
        <v/>
      </c>
      <c r="K600" s="51">
        <f>IF($G600=0,0,IF(INDEX(Employees!$I$5:$I$29,$A600)="Per pay period",(N(INDEX(Employees!$J$5:$J$29,$A600))+$J600)/Settings!$B$13,IF(INDEX(Employees!$I$5:$I$29,$A600)="Per hour worked",N(INDEX(Employees!$K$5:$K$29,$A600))*$I600,IF(INDEX(Employees!$I$5:$I$29,$A600)="Front-loaded",IF(OR($B600=1,N($G599)=0),N(INDEX(Employees!$J$5:$J$29,$A600))+$J600,0),0))))</f>
        <v/>
      </c>
      <c r="L600" s="51">
        <f>IF($F600=0,0,SUMIFS('Time Off Log'!$H$5:$H$504,'Time Off Log'!$A$5:$A$504,$C600,'Time Off Log'!$B$5:$B$504,"PTO",'Time Off Log'!$E$5:$E$504,"Approved",'Time Off Log'!$C$5:$C$504,"&gt;="&amp;INDEX(Periods!$E$5:$E$57,$B600),'Time Off Log'!$C$5:$C$504,"&lt;="&amp;INDEX(Periods!$F$5:$F$57,$B600)))</f>
        <v/>
      </c>
      <c r="M600" s="51">
        <f>IF($B600=1,N(INDEX(Employees!$N$5:$N$29,$A600)),P599)</f>
        <v/>
      </c>
      <c r="N600" s="51">
        <f>IF(INDEX(Employees!$L$5:$L$29,$A600)="",K600,MAX(0,MIN(K600,INDEX(Employees!$L$5:$L$29,$A600)-(M600-L600))))</f>
        <v/>
      </c>
      <c r="O600" s="51">
        <f>K600-N600</f>
        <v/>
      </c>
      <c r="P600" s="51">
        <f>M600-L600+N600</f>
        <v/>
      </c>
      <c r="Q600" s="51">
        <f>IF($G600=0,0,IF(INDEX(Employees!$P$5:$P$29,$A600)="Per pay period",(N(INDEX(Employees!$Q$5:$Q$29,$A600)))/Settings!$B$13,IF(INDEX(Employees!$P$5:$P$29,$A600)="Per hour worked",N(INDEX(Employees!$R$5:$R$29,$A600))*$I600,IF(INDEX(Employees!$P$5:$P$29,$A600)="Front-loaded",IF(OR($B600=1,N($G599)=0),N(INDEX(Employees!$Q$5:$Q$29,$A600)),0),0))))</f>
        <v/>
      </c>
      <c r="R600" s="51">
        <f>IF($F600=0,0,SUMIFS('Time Off Log'!$H$5:$H$504,'Time Off Log'!$A$5:$A$504,$C600,'Time Off Log'!$B$5:$B$504,"Sick",'Time Off Log'!$E$5:$E$504,"Approved",'Time Off Log'!$C$5:$C$504,"&gt;="&amp;INDEX(Periods!$E$5:$E$57,$B600),'Time Off Log'!$C$5:$C$504,"&lt;="&amp;INDEX(Periods!$F$5:$F$57,$B600)))</f>
        <v/>
      </c>
      <c r="S600" s="51">
        <f>IF($B600=1,N(INDEX(Employees!$T$5:$T$29,$A600)),V599)</f>
        <v/>
      </c>
      <c r="T600" s="51">
        <f>IF(INDEX(Employees!$S$5:$S$29,$A600)="",Q600,MAX(0,MIN(Q600,INDEX(Employees!$S$5:$S$29,$A600)-(S600-R600))))</f>
        <v/>
      </c>
      <c r="U600" s="51">
        <f>Q600-T600</f>
        <v/>
      </c>
      <c r="V600" s="51">
        <f>S600-R600+T600</f>
        <v/>
      </c>
    </row>
    <row r="601">
      <c r="A601" s="50" t="n">
        <v>12</v>
      </c>
      <c r="B601" s="50" t="n">
        <v>14</v>
      </c>
      <c r="C601" s="51">
        <f>INDEX(Employees!$B$5:$B$29,$A601)&amp;""</f>
        <v/>
      </c>
      <c r="D601" s="52">
        <f>INDEX(Periods!$B$5:$B$57,$B601)</f>
        <v/>
      </c>
      <c r="E601" s="52">
        <f>INDEX(Periods!$C$5:$C$57,$B601)</f>
        <v/>
      </c>
      <c r="F601" s="50">
        <f>IF(AND($C601&lt;&gt;"",INDEX(Periods!$D$5:$D$57,$B601)=1),1,0)</f>
        <v/>
      </c>
      <c r="G601" s="50">
        <f>IF($F601=0,0,IF(AND(OR(INDEX(Employees!$D$5:$D$29,$A601)="",$E601&gt;=INDEX(Employees!$D$5:$D$29,$A601)+N(INDEX(Employees!$U$5:$U$29,$A601))),OR(INDEX(Employees!$E$5:$E$29,$A601)="",$D601&lt;=INDEX(Employees!$E$5:$E$29,$A601))),1,0))</f>
        <v/>
      </c>
      <c r="H601" s="50">
        <f>IF($G601=0,0,IF(INDEX(Employees!$D$5:$D$29,$A601)="",0,DATEDIF(INDEX(Employees!$D$5:$D$29,$A601),$E601,"y")))</f>
        <v/>
      </c>
      <c r="I601" s="51">
        <f>IF($G601=0,0,IF(INDEX('Hours Worked'!$D$5:$BD$29,$A601,$B601)="",N(INDEX(Employees!$H$5:$H$29,$A601)),INDEX('Hours Worked'!$D$5:$BD$29,$A601,$B601)))</f>
        <v/>
      </c>
      <c r="J601" s="51">
        <f>IF(OR($G601=0,INDEX(Employees!$O$5:$O$29,$A601)&lt;&gt;"Yes"),0,IF(COUNTIF(Settings!$D$4:$D$9,"&lt;="&amp;$H601)=0,0,INDEX(Settings!$E$4:$E$9,COUNTIF(Settings!$D$4:$D$9,"&lt;="&amp;$H601))))</f>
        <v/>
      </c>
      <c r="K601" s="51">
        <f>IF($G601=0,0,IF(INDEX(Employees!$I$5:$I$29,$A601)="Per pay period",(N(INDEX(Employees!$J$5:$J$29,$A601))+$J601)/Settings!$B$13,IF(INDEX(Employees!$I$5:$I$29,$A601)="Per hour worked",N(INDEX(Employees!$K$5:$K$29,$A601))*$I601,IF(INDEX(Employees!$I$5:$I$29,$A601)="Front-loaded",IF(OR($B601=1,N($G600)=0),N(INDEX(Employees!$J$5:$J$29,$A601))+$J601,0),0))))</f>
        <v/>
      </c>
      <c r="L601" s="51">
        <f>IF($F601=0,0,SUMIFS('Time Off Log'!$H$5:$H$504,'Time Off Log'!$A$5:$A$504,$C601,'Time Off Log'!$B$5:$B$504,"PTO",'Time Off Log'!$E$5:$E$504,"Approved",'Time Off Log'!$C$5:$C$504,"&gt;="&amp;INDEX(Periods!$E$5:$E$57,$B601),'Time Off Log'!$C$5:$C$504,"&lt;="&amp;INDEX(Periods!$F$5:$F$57,$B601)))</f>
        <v/>
      </c>
      <c r="M601" s="51">
        <f>IF($B601=1,N(INDEX(Employees!$N$5:$N$29,$A601)),P600)</f>
        <v/>
      </c>
      <c r="N601" s="51">
        <f>IF(INDEX(Employees!$L$5:$L$29,$A601)="",K601,MAX(0,MIN(K601,INDEX(Employees!$L$5:$L$29,$A601)-(M601-L601))))</f>
        <v/>
      </c>
      <c r="O601" s="51">
        <f>K601-N601</f>
        <v/>
      </c>
      <c r="P601" s="51">
        <f>M601-L601+N601</f>
        <v/>
      </c>
      <c r="Q601" s="51">
        <f>IF($G601=0,0,IF(INDEX(Employees!$P$5:$P$29,$A601)="Per pay period",(N(INDEX(Employees!$Q$5:$Q$29,$A601)))/Settings!$B$13,IF(INDEX(Employees!$P$5:$P$29,$A601)="Per hour worked",N(INDEX(Employees!$R$5:$R$29,$A601))*$I601,IF(INDEX(Employees!$P$5:$P$29,$A601)="Front-loaded",IF(OR($B601=1,N($G600)=0),N(INDEX(Employees!$Q$5:$Q$29,$A601)),0),0))))</f>
        <v/>
      </c>
      <c r="R601" s="51">
        <f>IF($F601=0,0,SUMIFS('Time Off Log'!$H$5:$H$504,'Time Off Log'!$A$5:$A$504,$C601,'Time Off Log'!$B$5:$B$504,"Sick",'Time Off Log'!$E$5:$E$504,"Approved",'Time Off Log'!$C$5:$C$504,"&gt;="&amp;INDEX(Periods!$E$5:$E$57,$B601),'Time Off Log'!$C$5:$C$504,"&lt;="&amp;INDEX(Periods!$F$5:$F$57,$B601)))</f>
        <v/>
      </c>
      <c r="S601" s="51">
        <f>IF($B601=1,N(INDEX(Employees!$T$5:$T$29,$A601)),V600)</f>
        <v/>
      </c>
      <c r="T601" s="51">
        <f>IF(INDEX(Employees!$S$5:$S$29,$A601)="",Q601,MAX(0,MIN(Q601,INDEX(Employees!$S$5:$S$29,$A601)-(S601-R601))))</f>
        <v/>
      </c>
      <c r="U601" s="51">
        <f>Q601-T601</f>
        <v/>
      </c>
      <c r="V601" s="51">
        <f>S601-R601+T601</f>
        <v/>
      </c>
    </row>
    <row r="602">
      <c r="A602" s="50" t="n">
        <v>12</v>
      </c>
      <c r="B602" s="50" t="n">
        <v>15</v>
      </c>
      <c r="C602" s="51">
        <f>INDEX(Employees!$B$5:$B$29,$A602)&amp;""</f>
        <v/>
      </c>
      <c r="D602" s="52">
        <f>INDEX(Periods!$B$5:$B$57,$B602)</f>
        <v/>
      </c>
      <c r="E602" s="52">
        <f>INDEX(Periods!$C$5:$C$57,$B602)</f>
        <v/>
      </c>
      <c r="F602" s="50">
        <f>IF(AND($C602&lt;&gt;"",INDEX(Periods!$D$5:$D$57,$B602)=1),1,0)</f>
        <v/>
      </c>
      <c r="G602" s="50">
        <f>IF($F602=0,0,IF(AND(OR(INDEX(Employees!$D$5:$D$29,$A602)="",$E602&gt;=INDEX(Employees!$D$5:$D$29,$A602)+N(INDEX(Employees!$U$5:$U$29,$A602))),OR(INDEX(Employees!$E$5:$E$29,$A602)="",$D602&lt;=INDEX(Employees!$E$5:$E$29,$A602))),1,0))</f>
        <v/>
      </c>
      <c r="H602" s="50">
        <f>IF($G602=0,0,IF(INDEX(Employees!$D$5:$D$29,$A602)="",0,DATEDIF(INDEX(Employees!$D$5:$D$29,$A602),$E602,"y")))</f>
        <v/>
      </c>
      <c r="I602" s="51">
        <f>IF($G602=0,0,IF(INDEX('Hours Worked'!$D$5:$BD$29,$A602,$B602)="",N(INDEX(Employees!$H$5:$H$29,$A602)),INDEX('Hours Worked'!$D$5:$BD$29,$A602,$B602)))</f>
        <v/>
      </c>
      <c r="J602" s="51">
        <f>IF(OR($G602=0,INDEX(Employees!$O$5:$O$29,$A602)&lt;&gt;"Yes"),0,IF(COUNTIF(Settings!$D$4:$D$9,"&lt;="&amp;$H602)=0,0,INDEX(Settings!$E$4:$E$9,COUNTIF(Settings!$D$4:$D$9,"&lt;="&amp;$H602))))</f>
        <v/>
      </c>
      <c r="K602" s="51">
        <f>IF($G602=0,0,IF(INDEX(Employees!$I$5:$I$29,$A602)="Per pay period",(N(INDEX(Employees!$J$5:$J$29,$A602))+$J602)/Settings!$B$13,IF(INDEX(Employees!$I$5:$I$29,$A602)="Per hour worked",N(INDEX(Employees!$K$5:$K$29,$A602))*$I602,IF(INDEX(Employees!$I$5:$I$29,$A602)="Front-loaded",IF(OR($B602=1,N($G601)=0),N(INDEX(Employees!$J$5:$J$29,$A602))+$J602,0),0))))</f>
        <v/>
      </c>
      <c r="L602" s="51">
        <f>IF($F602=0,0,SUMIFS('Time Off Log'!$H$5:$H$504,'Time Off Log'!$A$5:$A$504,$C602,'Time Off Log'!$B$5:$B$504,"PTO",'Time Off Log'!$E$5:$E$504,"Approved",'Time Off Log'!$C$5:$C$504,"&gt;="&amp;INDEX(Periods!$E$5:$E$57,$B602),'Time Off Log'!$C$5:$C$504,"&lt;="&amp;INDEX(Periods!$F$5:$F$57,$B602)))</f>
        <v/>
      </c>
      <c r="M602" s="51">
        <f>IF($B602=1,N(INDEX(Employees!$N$5:$N$29,$A602)),P601)</f>
        <v/>
      </c>
      <c r="N602" s="51">
        <f>IF(INDEX(Employees!$L$5:$L$29,$A602)="",K602,MAX(0,MIN(K602,INDEX(Employees!$L$5:$L$29,$A602)-(M602-L602))))</f>
        <v/>
      </c>
      <c r="O602" s="51">
        <f>K602-N602</f>
        <v/>
      </c>
      <c r="P602" s="51">
        <f>M602-L602+N602</f>
        <v/>
      </c>
      <c r="Q602" s="51">
        <f>IF($G602=0,0,IF(INDEX(Employees!$P$5:$P$29,$A602)="Per pay period",(N(INDEX(Employees!$Q$5:$Q$29,$A602)))/Settings!$B$13,IF(INDEX(Employees!$P$5:$P$29,$A602)="Per hour worked",N(INDEX(Employees!$R$5:$R$29,$A602))*$I602,IF(INDEX(Employees!$P$5:$P$29,$A602)="Front-loaded",IF(OR($B602=1,N($G601)=0),N(INDEX(Employees!$Q$5:$Q$29,$A602)),0),0))))</f>
        <v/>
      </c>
      <c r="R602" s="51">
        <f>IF($F602=0,0,SUMIFS('Time Off Log'!$H$5:$H$504,'Time Off Log'!$A$5:$A$504,$C602,'Time Off Log'!$B$5:$B$504,"Sick",'Time Off Log'!$E$5:$E$504,"Approved",'Time Off Log'!$C$5:$C$504,"&gt;="&amp;INDEX(Periods!$E$5:$E$57,$B602),'Time Off Log'!$C$5:$C$504,"&lt;="&amp;INDEX(Periods!$F$5:$F$57,$B602)))</f>
        <v/>
      </c>
      <c r="S602" s="51">
        <f>IF($B602=1,N(INDEX(Employees!$T$5:$T$29,$A602)),V601)</f>
        <v/>
      </c>
      <c r="T602" s="51">
        <f>IF(INDEX(Employees!$S$5:$S$29,$A602)="",Q602,MAX(0,MIN(Q602,INDEX(Employees!$S$5:$S$29,$A602)-(S602-R602))))</f>
        <v/>
      </c>
      <c r="U602" s="51">
        <f>Q602-T602</f>
        <v/>
      </c>
      <c r="V602" s="51">
        <f>S602-R602+T602</f>
        <v/>
      </c>
    </row>
    <row r="603">
      <c r="A603" s="50" t="n">
        <v>12</v>
      </c>
      <c r="B603" s="50" t="n">
        <v>16</v>
      </c>
      <c r="C603" s="51">
        <f>INDEX(Employees!$B$5:$B$29,$A603)&amp;""</f>
        <v/>
      </c>
      <c r="D603" s="52">
        <f>INDEX(Periods!$B$5:$B$57,$B603)</f>
        <v/>
      </c>
      <c r="E603" s="52">
        <f>INDEX(Periods!$C$5:$C$57,$B603)</f>
        <v/>
      </c>
      <c r="F603" s="50">
        <f>IF(AND($C603&lt;&gt;"",INDEX(Periods!$D$5:$D$57,$B603)=1),1,0)</f>
        <v/>
      </c>
      <c r="G603" s="50">
        <f>IF($F603=0,0,IF(AND(OR(INDEX(Employees!$D$5:$D$29,$A603)="",$E603&gt;=INDEX(Employees!$D$5:$D$29,$A603)+N(INDEX(Employees!$U$5:$U$29,$A603))),OR(INDEX(Employees!$E$5:$E$29,$A603)="",$D603&lt;=INDEX(Employees!$E$5:$E$29,$A603))),1,0))</f>
        <v/>
      </c>
      <c r="H603" s="50">
        <f>IF($G603=0,0,IF(INDEX(Employees!$D$5:$D$29,$A603)="",0,DATEDIF(INDEX(Employees!$D$5:$D$29,$A603),$E603,"y")))</f>
        <v/>
      </c>
      <c r="I603" s="51">
        <f>IF($G603=0,0,IF(INDEX('Hours Worked'!$D$5:$BD$29,$A603,$B603)="",N(INDEX(Employees!$H$5:$H$29,$A603)),INDEX('Hours Worked'!$D$5:$BD$29,$A603,$B603)))</f>
        <v/>
      </c>
      <c r="J603" s="51">
        <f>IF(OR($G603=0,INDEX(Employees!$O$5:$O$29,$A603)&lt;&gt;"Yes"),0,IF(COUNTIF(Settings!$D$4:$D$9,"&lt;="&amp;$H603)=0,0,INDEX(Settings!$E$4:$E$9,COUNTIF(Settings!$D$4:$D$9,"&lt;="&amp;$H603))))</f>
        <v/>
      </c>
      <c r="K603" s="51">
        <f>IF($G603=0,0,IF(INDEX(Employees!$I$5:$I$29,$A603)="Per pay period",(N(INDEX(Employees!$J$5:$J$29,$A603))+$J603)/Settings!$B$13,IF(INDEX(Employees!$I$5:$I$29,$A603)="Per hour worked",N(INDEX(Employees!$K$5:$K$29,$A603))*$I603,IF(INDEX(Employees!$I$5:$I$29,$A603)="Front-loaded",IF(OR($B603=1,N($G602)=0),N(INDEX(Employees!$J$5:$J$29,$A603))+$J603,0),0))))</f>
        <v/>
      </c>
      <c r="L603" s="51">
        <f>IF($F603=0,0,SUMIFS('Time Off Log'!$H$5:$H$504,'Time Off Log'!$A$5:$A$504,$C603,'Time Off Log'!$B$5:$B$504,"PTO",'Time Off Log'!$E$5:$E$504,"Approved",'Time Off Log'!$C$5:$C$504,"&gt;="&amp;INDEX(Periods!$E$5:$E$57,$B603),'Time Off Log'!$C$5:$C$504,"&lt;="&amp;INDEX(Periods!$F$5:$F$57,$B603)))</f>
        <v/>
      </c>
      <c r="M603" s="51">
        <f>IF($B603=1,N(INDEX(Employees!$N$5:$N$29,$A603)),P602)</f>
        <v/>
      </c>
      <c r="N603" s="51">
        <f>IF(INDEX(Employees!$L$5:$L$29,$A603)="",K603,MAX(0,MIN(K603,INDEX(Employees!$L$5:$L$29,$A603)-(M603-L603))))</f>
        <v/>
      </c>
      <c r="O603" s="51">
        <f>K603-N603</f>
        <v/>
      </c>
      <c r="P603" s="51">
        <f>M603-L603+N603</f>
        <v/>
      </c>
      <c r="Q603" s="51">
        <f>IF($G603=0,0,IF(INDEX(Employees!$P$5:$P$29,$A603)="Per pay period",(N(INDEX(Employees!$Q$5:$Q$29,$A603)))/Settings!$B$13,IF(INDEX(Employees!$P$5:$P$29,$A603)="Per hour worked",N(INDEX(Employees!$R$5:$R$29,$A603))*$I603,IF(INDEX(Employees!$P$5:$P$29,$A603)="Front-loaded",IF(OR($B603=1,N($G602)=0),N(INDEX(Employees!$Q$5:$Q$29,$A603)),0),0))))</f>
        <v/>
      </c>
      <c r="R603" s="51">
        <f>IF($F603=0,0,SUMIFS('Time Off Log'!$H$5:$H$504,'Time Off Log'!$A$5:$A$504,$C603,'Time Off Log'!$B$5:$B$504,"Sick",'Time Off Log'!$E$5:$E$504,"Approved",'Time Off Log'!$C$5:$C$504,"&gt;="&amp;INDEX(Periods!$E$5:$E$57,$B603),'Time Off Log'!$C$5:$C$504,"&lt;="&amp;INDEX(Periods!$F$5:$F$57,$B603)))</f>
        <v/>
      </c>
      <c r="S603" s="51">
        <f>IF($B603=1,N(INDEX(Employees!$T$5:$T$29,$A603)),V602)</f>
        <v/>
      </c>
      <c r="T603" s="51">
        <f>IF(INDEX(Employees!$S$5:$S$29,$A603)="",Q603,MAX(0,MIN(Q603,INDEX(Employees!$S$5:$S$29,$A603)-(S603-R603))))</f>
        <v/>
      </c>
      <c r="U603" s="51">
        <f>Q603-T603</f>
        <v/>
      </c>
      <c r="V603" s="51">
        <f>S603-R603+T603</f>
        <v/>
      </c>
    </row>
    <row r="604">
      <c r="A604" s="50" t="n">
        <v>12</v>
      </c>
      <c r="B604" s="50" t="n">
        <v>17</v>
      </c>
      <c r="C604" s="51">
        <f>INDEX(Employees!$B$5:$B$29,$A604)&amp;""</f>
        <v/>
      </c>
      <c r="D604" s="52">
        <f>INDEX(Periods!$B$5:$B$57,$B604)</f>
        <v/>
      </c>
      <c r="E604" s="52">
        <f>INDEX(Periods!$C$5:$C$57,$B604)</f>
        <v/>
      </c>
      <c r="F604" s="50">
        <f>IF(AND($C604&lt;&gt;"",INDEX(Periods!$D$5:$D$57,$B604)=1),1,0)</f>
        <v/>
      </c>
      <c r="G604" s="50">
        <f>IF($F604=0,0,IF(AND(OR(INDEX(Employees!$D$5:$D$29,$A604)="",$E604&gt;=INDEX(Employees!$D$5:$D$29,$A604)+N(INDEX(Employees!$U$5:$U$29,$A604))),OR(INDEX(Employees!$E$5:$E$29,$A604)="",$D604&lt;=INDEX(Employees!$E$5:$E$29,$A604))),1,0))</f>
        <v/>
      </c>
      <c r="H604" s="50">
        <f>IF($G604=0,0,IF(INDEX(Employees!$D$5:$D$29,$A604)="",0,DATEDIF(INDEX(Employees!$D$5:$D$29,$A604),$E604,"y")))</f>
        <v/>
      </c>
      <c r="I604" s="51">
        <f>IF($G604=0,0,IF(INDEX('Hours Worked'!$D$5:$BD$29,$A604,$B604)="",N(INDEX(Employees!$H$5:$H$29,$A604)),INDEX('Hours Worked'!$D$5:$BD$29,$A604,$B604)))</f>
        <v/>
      </c>
      <c r="J604" s="51">
        <f>IF(OR($G604=0,INDEX(Employees!$O$5:$O$29,$A604)&lt;&gt;"Yes"),0,IF(COUNTIF(Settings!$D$4:$D$9,"&lt;="&amp;$H604)=0,0,INDEX(Settings!$E$4:$E$9,COUNTIF(Settings!$D$4:$D$9,"&lt;="&amp;$H604))))</f>
        <v/>
      </c>
      <c r="K604" s="51">
        <f>IF($G604=0,0,IF(INDEX(Employees!$I$5:$I$29,$A604)="Per pay period",(N(INDEX(Employees!$J$5:$J$29,$A604))+$J604)/Settings!$B$13,IF(INDEX(Employees!$I$5:$I$29,$A604)="Per hour worked",N(INDEX(Employees!$K$5:$K$29,$A604))*$I604,IF(INDEX(Employees!$I$5:$I$29,$A604)="Front-loaded",IF(OR($B604=1,N($G603)=0),N(INDEX(Employees!$J$5:$J$29,$A604))+$J604,0),0))))</f>
        <v/>
      </c>
      <c r="L604" s="51">
        <f>IF($F604=0,0,SUMIFS('Time Off Log'!$H$5:$H$504,'Time Off Log'!$A$5:$A$504,$C604,'Time Off Log'!$B$5:$B$504,"PTO",'Time Off Log'!$E$5:$E$504,"Approved",'Time Off Log'!$C$5:$C$504,"&gt;="&amp;INDEX(Periods!$E$5:$E$57,$B604),'Time Off Log'!$C$5:$C$504,"&lt;="&amp;INDEX(Periods!$F$5:$F$57,$B604)))</f>
        <v/>
      </c>
      <c r="M604" s="51">
        <f>IF($B604=1,N(INDEX(Employees!$N$5:$N$29,$A604)),P603)</f>
        <v/>
      </c>
      <c r="N604" s="51">
        <f>IF(INDEX(Employees!$L$5:$L$29,$A604)="",K604,MAX(0,MIN(K604,INDEX(Employees!$L$5:$L$29,$A604)-(M604-L604))))</f>
        <v/>
      </c>
      <c r="O604" s="51">
        <f>K604-N604</f>
        <v/>
      </c>
      <c r="P604" s="51">
        <f>M604-L604+N604</f>
        <v/>
      </c>
      <c r="Q604" s="51">
        <f>IF($G604=0,0,IF(INDEX(Employees!$P$5:$P$29,$A604)="Per pay period",(N(INDEX(Employees!$Q$5:$Q$29,$A604)))/Settings!$B$13,IF(INDEX(Employees!$P$5:$P$29,$A604)="Per hour worked",N(INDEX(Employees!$R$5:$R$29,$A604))*$I604,IF(INDEX(Employees!$P$5:$P$29,$A604)="Front-loaded",IF(OR($B604=1,N($G603)=0),N(INDEX(Employees!$Q$5:$Q$29,$A604)),0),0))))</f>
        <v/>
      </c>
      <c r="R604" s="51">
        <f>IF($F604=0,0,SUMIFS('Time Off Log'!$H$5:$H$504,'Time Off Log'!$A$5:$A$504,$C604,'Time Off Log'!$B$5:$B$504,"Sick",'Time Off Log'!$E$5:$E$504,"Approved",'Time Off Log'!$C$5:$C$504,"&gt;="&amp;INDEX(Periods!$E$5:$E$57,$B604),'Time Off Log'!$C$5:$C$504,"&lt;="&amp;INDEX(Periods!$F$5:$F$57,$B604)))</f>
        <v/>
      </c>
      <c r="S604" s="51">
        <f>IF($B604=1,N(INDEX(Employees!$T$5:$T$29,$A604)),V603)</f>
        <v/>
      </c>
      <c r="T604" s="51">
        <f>IF(INDEX(Employees!$S$5:$S$29,$A604)="",Q604,MAX(0,MIN(Q604,INDEX(Employees!$S$5:$S$29,$A604)-(S604-R604))))</f>
        <v/>
      </c>
      <c r="U604" s="51">
        <f>Q604-T604</f>
        <v/>
      </c>
      <c r="V604" s="51">
        <f>S604-R604+T604</f>
        <v/>
      </c>
    </row>
    <row r="605">
      <c r="A605" s="50" t="n">
        <v>12</v>
      </c>
      <c r="B605" s="50" t="n">
        <v>18</v>
      </c>
      <c r="C605" s="51">
        <f>INDEX(Employees!$B$5:$B$29,$A605)&amp;""</f>
        <v/>
      </c>
      <c r="D605" s="52">
        <f>INDEX(Periods!$B$5:$B$57,$B605)</f>
        <v/>
      </c>
      <c r="E605" s="52">
        <f>INDEX(Periods!$C$5:$C$57,$B605)</f>
        <v/>
      </c>
      <c r="F605" s="50">
        <f>IF(AND($C605&lt;&gt;"",INDEX(Periods!$D$5:$D$57,$B605)=1),1,0)</f>
        <v/>
      </c>
      <c r="G605" s="50">
        <f>IF($F605=0,0,IF(AND(OR(INDEX(Employees!$D$5:$D$29,$A605)="",$E605&gt;=INDEX(Employees!$D$5:$D$29,$A605)+N(INDEX(Employees!$U$5:$U$29,$A605))),OR(INDEX(Employees!$E$5:$E$29,$A605)="",$D605&lt;=INDEX(Employees!$E$5:$E$29,$A605))),1,0))</f>
        <v/>
      </c>
      <c r="H605" s="50">
        <f>IF($G605=0,0,IF(INDEX(Employees!$D$5:$D$29,$A605)="",0,DATEDIF(INDEX(Employees!$D$5:$D$29,$A605),$E605,"y")))</f>
        <v/>
      </c>
      <c r="I605" s="51">
        <f>IF($G605=0,0,IF(INDEX('Hours Worked'!$D$5:$BD$29,$A605,$B605)="",N(INDEX(Employees!$H$5:$H$29,$A605)),INDEX('Hours Worked'!$D$5:$BD$29,$A605,$B605)))</f>
        <v/>
      </c>
      <c r="J605" s="51">
        <f>IF(OR($G605=0,INDEX(Employees!$O$5:$O$29,$A605)&lt;&gt;"Yes"),0,IF(COUNTIF(Settings!$D$4:$D$9,"&lt;="&amp;$H605)=0,0,INDEX(Settings!$E$4:$E$9,COUNTIF(Settings!$D$4:$D$9,"&lt;="&amp;$H605))))</f>
        <v/>
      </c>
      <c r="K605" s="51">
        <f>IF($G605=0,0,IF(INDEX(Employees!$I$5:$I$29,$A605)="Per pay period",(N(INDEX(Employees!$J$5:$J$29,$A605))+$J605)/Settings!$B$13,IF(INDEX(Employees!$I$5:$I$29,$A605)="Per hour worked",N(INDEX(Employees!$K$5:$K$29,$A605))*$I605,IF(INDEX(Employees!$I$5:$I$29,$A605)="Front-loaded",IF(OR($B605=1,N($G604)=0),N(INDEX(Employees!$J$5:$J$29,$A605))+$J605,0),0))))</f>
        <v/>
      </c>
      <c r="L605" s="51">
        <f>IF($F605=0,0,SUMIFS('Time Off Log'!$H$5:$H$504,'Time Off Log'!$A$5:$A$504,$C605,'Time Off Log'!$B$5:$B$504,"PTO",'Time Off Log'!$E$5:$E$504,"Approved",'Time Off Log'!$C$5:$C$504,"&gt;="&amp;INDEX(Periods!$E$5:$E$57,$B605),'Time Off Log'!$C$5:$C$504,"&lt;="&amp;INDEX(Periods!$F$5:$F$57,$B605)))</f>
        <v/>
      </c>
      <c r="M605" s="51">
        <f>IF($B605=1,N(INDEX(Employees!$N$5:$N$29,$A605)),P604)</f>
        <v/>
      </c>
      <c r="N605" s="51">
        <f>IF(INDEX(Employees!$L$5:$L$29,$A605)="",K605,MAX(0,MIN(K605,INDEX(Employees!$L$5:$L$29,$A605)-(M605-L605))))</f>
        <v/>
      </c>
      <c r="O605" s="51">
        <f>K605-N605</f>
        <v/>
      </c>
      <c r="P605" s="51">
        <f>M605-L605+N605</f>
        <v/>
      </c>
      <c r="Q605" s="51">
        <f>IF($G605=0,0,IF(INDEX(Employees!$P$5:$P$29,$A605)="Per pay period",(N(INDEX(Employees!$Q$5:$Q$29,$A605)))/Settings!$B$13,IF(INDEX(Employees!$P$5:$P$29,$A605)="Per hour worked",N(INDEX(Employees!$R$5:$R$29,$A605))*$I605,IF(INDEX(Employees!$P$5:$P$29,$A605)="Front-loaded",IF(OR($B605=1,N($G604)=0),N(INDEX(Employees!$Q$5:$Q$29,$A605)),0),0))))</f>
        <v/>
      </c>
      <c r="R605" s="51">
        <f>IF($F605=0,0,SUMIFS('Time Off Log'!$H$5:$H$504,'Time Off Log'!$A$5:$A$504,$C605,'Time Off Log'!$B$5:$B$504,"Sick",'Time Off Log'!$E$5:$E$504,"Approved",'Time Off Log'!$C$5:$C$504,"&gt;="&amp;INDEX(Periods!$E$5:$E$57,$B605),'Time Off Log'!$C$5:$C$504,"&lt;="&amp;INDEX(Periods!$F$5:$F$57,$B605)))</f>
        <v/>
      </c>
      <c r="S605" s="51">
        <f>IF($B605=1,N(INDEX(Employees!$T$5:$T$29,$A605)),V604)</f>
        <v/>
      </c>
      <c r="T605" s="51">
        <f>IF(INDEX(Employees!$S$5:$S$29,$A605)="",Q605,MAX(0,MIN(Q605,INDEX(Employees!$S$5:$S$29,$A605)-(S605-R605))))</f>
        <v/>
      </c>
      <c r="U605" s="51">
        <f>Q605-T605</f>
        <v/>
      </c>
      <c r="V605" s="51">
        <f>S605-R605+T605</f>
        <v/>
      </c>
    </row>
    <row r="606">
      <c r="A606" s="50" t="n">
        <v>12</v>
      </c>
      <c r="B606" s="50" t="n">
        <v>19</v>
      </c>
      <c r="C606" s="51">
        <f>INDEX(Employees!$B$5:$B$29,$A606)&amp;""</f>
        <v/>
      </c>
      <c r="D606" s="52">
        <f>INDEX(Periods!$B$5:$B$57,$B606)</f>
        <v/>
      </c>
      <c r="E606" s="52">
        <f>INDEX(Periods!$C$5:$C$57,$B606)</f>
        <v/>
      </c>
      <c r="F606" s="50">
        <f>IF(AND($C606&lt;&gt;"",INDEX(Periods!$D$5:$D$57,$B606)=1),1,0)</f>
        <v/>
      </c>
      <c r="G606" s="50">
        <f>IF($F606=0,0,IF(AND(OR(INDEX(Employees!$D$5:$D$29,$A606)="",$E606&gt;=INDEX(Employees!$D$5:$D$29,$A606)+N(INDEX(Employees!$U$5:$U$29,$A606))),OR(INDEX(Employees!$E$5:$E$29,$A606)="",$D606&lt;=INDEX(Employees!$E$5:$E$29,$A606))),1,0))</f>
        <v/>
      </c>
      <c r="H606" s="50">
        <f>IF($G606=0,0,IF(INDEX(Employees!$D$5:$D$29,$A606)="",0,DATEDIF(INDEX(Employees!$D$5:$D$29,$A606),$E606,"y")))</f>
        <v/>
      </c>
      <c r="I606" s="51">
        <f>IF($G606=0,0,IF(INDEX('Hours Worked'!$D$5:$BD$29,$A606,$B606)="",N(INDEX(Employees!$H$5:$H$29,$A606)),INDEX('Hours Worked'!$D$5:$BD$29,$A606,$B606)))</f>
        <v/>
      </c>
      <c r="J606" s="51">
        <f>IF(OR($G606=0,INDEX(Employees!$O$5:$O$29,$A606)&lt;&gt;"Yes"),0,IF(COUNTIF(Settings!$D$4:$D$9,"&lt;="&amp;$H606)=0,0,INDEX(Settings!$E$4:$E$9,COUNTIF(Settings!$D$4:$D$9,"&lt;="&amp;$H606))))</f>
        <v/>
      </c>
      <c r="K606" s="51">
        <f>IF($G606=0,0,IF(INDEX(Employees!$I$5:$I$29,$A606)="Per pay period",(N(INDEX(Employees!$J$5:$J$29,$A606))+$J606)/Settings!$B$13,IF(INDEX(Employees!$I$5:$I$29,$A606)="Per hour worked",N(INDEX(Employees!$K$5:$K$29,$A606))*$I606,IF(INDEX(Employees!$I$5:$I$29,$A606)="Front-loaded",IF(OR($B606=1,N($G605)=0),N(INDEX(Employees!$J$5:$J$29,$A606))+$J606,0),0))))</f>
        <v/>
      </c>
      <c r="L606" s="51">
        <f>IF($F606=0,0,SUMIFS('Time Off Log'!$H$5:$H$504,'Time Off Log'!$A$5:$A$504,$C606,'Time Off Log'!$B$5:$B$504,"PTO",'Time Off Log'!$E$5:$E$504,"Approved",'Time Off Log'!$C$5:$C$504,"&gt;="&amp;INDEX(Periods!$E$5:$E$57,$B606),'Time Off Log'!$C$5:$C$504,"&lt;="&amp;INDEX(Periods!$F$5:$F$57,$B606)))</f>
        <v/>
      </c>
      <c r="M606" s="51">
        <f>IF($B606=1,N(INDEX(Employees!$N$5:$N$29,$A606)),P605)</f>
        <v/>
      </c>
      <c r="N606" s="51">
        <f>IF(INDEX(Employees!$L$5:$L$29,$A606)="",K606,MAX(0,MIN(K606,INDEX(Employees!$L$5:$L$29,$A606)-(M606-L606))))</f>
        <v/>
      </c>
      <c r="O606" s="51">
        <f>K606-N606</f>
        <v/>
      </c>
      <c r="P606" s="51">
        <f>M606-L606+N606</f>
        <v/>
      </c>
      <c r="Q606" s="51">
        <f>IF($G606=0,0,IF(INDEX(Employees!$P$5:$P$29,$A606)="Per pay period",(N(INDEX(Employees!$Q$5:$Q$29,$A606)))/Settings!$B$13,IF(INDEX(Employees!$P$5:$P$29,$A606)="Per hour worked",N(INDEX(Employees!$R$5:$R$29,$A606))*$I606,IF(INDEX(Employees!$P$5:$P$29,$A606)="Front-loaded",IF(OR($B606=1,N($G605)=0),N(INDEX(Employees!$Q$5:$Q$29,$A606)),0),0))))</f>
        <v/>
      </c>
      <c r="R606" s="51">
        <f>IF($F606=0,0,SUMIFS('Time Off Log'!$H$5:$H$504,'Time Off Log'!$A$5:$A$504,$C606,'Time Off Log'!$B$5:$B$504,"Sick",'Time Off Log'!$E$5:$E$504,"Approved",'Time Off Log'!$C$5:$C$504,"&gt;="&amp;INDEX(Periods!$E$5:$E$57,$B606),'Time Off Log'!$C$5:$C$504,"&lt;="&amp;INDEX(Periods!$F$5:$F$57,$B606)))</f>
        <v/>
      </c>
      <c r="S606" s="51">
        <f>IF($B606=1,N(INDEX(Employees!$T$5:$T$29,$A606)),V605)</f>
        <v/>
      </c>
      <c r="T606" s="51">
        <f>IF(INDEX(Employees!$S$5:$S$29,$A606)="",Q606,MAX(0,MIN(Q606,INDEX(Employees!$S$5:$S$29,$A606)-(S606-R606))))</f>
        <v/>
      </c>
      <c r="U606" s="51">
        <f>Q606-T606</f>
        <v/>
      </c>
      <c r="V606" s="51">
        <f>S606-R606+T606</f>
        <v/>
      </c>
    </row>
    <row r="607">
      <c r="A607" s="50" t="n">
        <v>12</v>
      </c>
      <c r="B607" s="50" t="n">
        <v>20</v>
      </c>
      <c r="C607" s="51">
        <f>INDEX(Employees!$B$5:$B$29,$A607)&amp;""</f>
        <v/>
      </c>
      <c r="D607" s="52">
        <f>INDEX(Periods!$B$5:$B$57,$B607)</f>
        <v/>
      </c>
      <c r="E607" s="52">
        <f>INDEX(Periods!$C$5:$C$57,$B607)</f>
        <v/>
      </c>
      <c r="F607" s="50">
        <f>IF(AND($C607&lt;&gt;"",INDEX(Periods!$D$5:$D$57,$B607)=1),1,0)</f>
        <v/>
      </c>
      <c r="G607" s="50">
        <f>IF($F607=0,0,IF(AND(OR(INDEX(Employees!$D$5:$D$29,$A607)="",$E607&gt;=INDEX(Employees!$D$5:$D$29,$A607)+N(INDEX(Employees!$U$5:$U$29,$A607))),OR(INDEX(Employees!$E$5:$E$29,$A607)="",$D607&lt;=INDEX(Employees!$E$5:$E$29,$A607))),1,0))</f>
        <v/>
      </c>
      <c r="H607" s="50">
        <f>IF($G607=0,0,IF(INDEX(Employees!$D$5:$D$29,$A607)="",0,DATEDIF(INDEX(Employees!$D$5:$D$29,$A607),$E607,"y")))</f>
        <v/>
      </c>
      <c r="I607" s="51">
        <f>IF($G607=0,0,IF(INDEX('Hours Worked'!$D$5:$BD$29,$A607,$B607)="",N(INDEX(Employees!$H$5:$H$29,$A607)),INDEX('Hours Worked'!$D$5:$BD$29,$A607,$B607)))</f>
        <v/>
      </c>
      <c r="J607" s="51">
        <f>IF(OR($G607=0,INDEX(Employees!$O$5:$O$29,$A607)&lt;&gt;"Yes"),0,IF(COUNTIF(Settings!$D$4:$D$9,"&lt;="&amp;$H607)=0,0,INDEX(Settings!$E$4:$E$9,COUNTIF(Settings!$D$4:$D$9,"&lt;="&amp;$H607))))</f>
        <v/>
      </c>
      <c r="K607" s="51">
        <f>IF($G607=0,0,IF(INDEX(Employees!$I$5:$I$29,$A607)="Per pay period",(N(INDEX(Employees!$J$5:$J$29,$A607))+$J607)/Settings!$B$13,IF(INDEX(Employees!$I$5:$I$29,$A607)="Per hour worked",N(INDEX(Employees!$K$5:$K$29,$A607))*$I607,IF(INDEX(Employees!$I$5:$I$29,$A607)="Front-loaded",IF(OR($B607=1,N($G606)=0),N(INDEX(Employees!$J$5:$J$29,$A607))+$J607,0),0))))</f>
        <v/>
      </c>
      <c r="L607" s="51">
        <f>IF($F607=0,0,SUMIFS('Time Off Log'!$H$5:$H$504,'Time Off Log'!$A$5:$A$504,$C607,'Time Off Log'!$B$5:$B$504,"PTO",'Time Off Log'!$E$5:$E$504,"Approved",'Time Off Log'!$C$5:$C$504,"&gt;="&amp;INDEX(Periods!$E$5:$E$57,$B607),'Time Off Log'!$C$5:$C$504,"&lt;="&amp;INDEX(Periods!$F$5:$F$57,$B607)))</f>
        <v/>
      </c>
      <c r="M607" s="51">
        <f>IF($B607=1,N(INDEX(Employees!$N$5:$N$29,$A607)),P606)</f>
        <v/>
      </c>
      <c r="N607" s="51">
        <f>IF(INDEX(Employees!$L$5:$L$29,$A607)="",K607,MAX(0,MIN(K607,INDEX(Employees!$L$5:$L$29,$A607)-(M607-L607))))</f>
        <v/>
      </c>
      <c r="O607" s="51">
        <f>K607-N607</f>
        <v/>
      </c>
      <c r="P607" s="51">
        <f>M607-L607+N607</f>
        <v/>
      </c>
      <c r="Q607" s="51">
        <f>IF($G607=0,0,IF(INDEX(Employees!$P$5:$P$29,$A607)="Per pay period",(N(INDEX(Employees!$Q$5:$Q$29,$A607)))/Settings!$B$13,IF(INDEX(Employees!$P$5:$P$29,$A607)="Per hour worked",N(INDEX(Employees!$R$5:$R$29,$A607))*$I607,IF(INDEX(Employees!$P$5:$P$29,$A607)="Front-loaded",IF(OR($B607=1,N($G606)=0),N(INDEX(Employees!$Q$5:$Q$29,$A607)),0),0))))</f>
        <v/>
      </c>
      <c r="R607" s="51">
        <f>IF($F607=0,0,SUMIFS('Time Off Log'!$H$5:$H$504,'Time Off Log'!$A$5:$A$504,$C607,'Time Off Log'!$B$5:$B$504,"Sick",'Time Off Log'!$E$5:$E$504,"Approved",'Time Off Log'!$C$5:$C$504,"&gt;="&amp;INDEX(Periods!$E$5:$E$57,$B607),'Time Off Log'!$C$5:$C$504,"&lt;="&amp;INDEX(Periods!$F$5:$F$57,$B607)))</f>
        <v/>
      </c>
      <c r="S607" s="51">
        <f>IF($B607=1,N(INDEX(Employees!$T$5:$T$29,$A607)),V606)</f>
        <v/>
      </c>
      <c r="T607" s="51">
        <f>IF(INDEX(Employees!$S$5:$S$29,$A607)="",Q607,MAX(0,MIN(Q607,INDEX(Employees!$S$5:$S$29,$A607)-(S607-R607))))</f>
        <v/>
      </c>
      <c r="U607" s="51">
        <f>Q607-T607</f>
        <v/>
      </c>
      <c r="V607" s="51">
        <f>S607-R607+T607</f>
        <v/>
      </c>
    </row>
    <row r="608">
      <c r="A608" s="50" t="n">
        <v>12</v>
      </c>
      <c r="B608" s="50" t="n">
        <v>21</v>
      </c>
      <c r="C608" s="51">
        <f>INDEX(Employees!$B$5:$B$29,$A608)&amp;""</f>
        <v/>
      </c>
      <c r="D608" s="52">
        <f>INDEX(Periods!$B$5:$B$57,$B608)</f>
        <v/>
      </c>
      <c r="E608" s="52">
        <f>INDEX(Periods!$C$5:$C$57,$B608)</f>
        <v/>
      </c>
      <c r="F608" s="50">
        <f>IF(AND($C608&lt;&gt;"",INDEX(Periods!$D$5:$D$57,$B608)=1),1,0)</f>
        <v/>
      </c>
      <c r="G608" s="50">
        <f>IF($F608=0,0,IF(AND(OR(INDEX(Employees!$D$5:$D$29,$A608)="",$E608&gt;=INDEX(Employees!$D$5:$D$29,$A608)+N(INDEX(Employees!$U$5:$U$29,$A608))),OR(INDEX(Employees!$E$5:$E$29,$A608)="",$D608&lt;=INDEX(Employees!$E$5:$E$29,$A608))),1,0))</f>
        <v/>
      </c>
      <c r="H608" s="50">
        <f>IF($G608=0,0,IF(INDEX(Employees!$D$5:$D$29,$A608)="",0,DATEDIF(INDEX(Employees!$D$5:$D$29,$A608),$E608,"y")))</f>
        <v/>
      </c>
      <c r="I608" s="51">
        <f>IF($G608=0,0,IF(INDEX('Hours Worked'!$D$5:$BD$29,$A608,$B608)="",N(INDEX(Employees!$H$5:$H$29,$A608)),INDEX('Hours Worked'!$D$5:$BD$29,$A608,$B608)))</f>
        <v/>
      </c>
      <c r="J608" s="51">
        <f>IF(OR($G608=0,INDEX(Employees!$O$5:$O$29,$A608)&lt;&gt;"Yes"),0,IF(COUNTIF(Settings!$D$4:$D$9,"&lt;="&amp;$H608)=0,0,INDEX(Settings!$E$4:$E$9,COUNTIF(Settings!$D$4:$D$9,"&lt;="&amp;$H608))))</f>
        <v/>
      </c>
      <c r="K608" s="51">
        <f>IF($G608=0,0,IF(INDEX(Employees!$I$5:$I$29,$A608)="Per pay period",(N(INDEX(Employees!$J$5:$J$29,$A608))+$J608)/Settings!$B$13,IF(INDEX(Employees!$I$5:$I$29,$A608)="Per hour worked",N(INDEX(Employees!$K$5:$K$29,$A608))*$I608,IF(INDEX(Employees!$I$5:$I$29,$A608)="Front-loaded",IF(OR($B608=1,N($G607)=0),N(INDEX(Employees!$J$5:$J$29,$A608))+$J608,0),0))))</f>
        <v/>
      </c>
      <c r="L608" s="51">
        <f>IF($F608=0,0,SUMIFS('Time Off Log'!$H$5:$H$504,'Time Off Log'!$A$5:$A$504,$C608,'Time Off Log'!$B$5:$B$504,"PTO",'Time Off Log'!$E$5:$E$504,"Approved",'Time Off Log'!$C$5:$C$504,"&gt;="&amp;INDEX(Periods!$E$5:$E$57,$B608),'Time Off Log'!$C$5:$C$504,"&lt;="&amp;INDEX(Periods!$F$5:$F$57,$B608)))</f>
        <v/>
      </c>
      <c r="M608" s="51">
        <f>IF($B608=1,N(INDEX(Employees!$N$5:$N$29,$A608)),P607)</f>
        <v/>
      </c>
      <c r="N608" s="51">
        <f>IF(INDEX(Employees!$L$5:$L$29,$A608)="",K608,MAX(0,MIN(K608,INDEX(Employees!$L$5:$L$29,$A608)-(M608-L608))))</f>
        <v/>
      </c>
      <c r="O608" s="51">
        <f>K608-N608</f>
        <v/>
      </c>
      <c r="P608" s="51">
        <f>M608-L608+N608</f>
        <v/>
      </c>
      <c r="Q608" s="51">
        <f>IF($G608=0,0,IF(INDEX(Employees!$P$5:$P$29,$A608)="Per pay period",(N(INDEX(Employees!$Q$5:$Q$29,$A608)))/Settings!$B$13,IF(INDEX(Employees!$P$5:$P$29,$A608)="Per hour worked",N(INDEX(Employees!$R$5:$R$29,$A608))*$I608,IF(INDEX(Employees!$P$5:$P$29,$A608)="Front-loaded",IF(OR($B608=1,N($G607)=0),N(INDEX(Employees!$Q$5:$Q$29,$A608)),0),0))))</f>
        <v/>
      </c>
      <c r="R608" s="51">
        <f>IF($F608=0,0,SUMIFS('Time Off Log'!$H$5:$H$504,'Time Off Log'!$A$5:$A$504,$C608,'Time Off Log'!$B$5:$B$504,"Sick",'Time Off Log'!$E$5:$E$504,"Approved",'Time Off Log'!$C$5:$C$504,"&gt;="&amp;INDEX(Periods!$E$5:$E$57,$B608),'Time Off Log'!$C$5:$C$504,"&lt;="&amp;INDEX(Periods!$F$5:$F$57,$B608)))</f>
        <v/>
      </c>
      <c r="S608" s="51">
        <f>IF($B608=1,N(INDEX(Employees!$T$5:$T$29,$A608)),V607)</f>
        <v/>
      </c>
      <c r="T608" s="51">
        <f>IF(INDEX(Employees!$S$5:$S$29,$A608)="",Q608,MAX(0,MIN(Q608,INDEX(Employees!$S$5:$S$29,$A608)-(S608-R608))))</f>
        <v/>
      </c>
      <c r="U608" s="51">
        <f>Q608-T608</f>
        <v/>
      </c>
      <c r="V608" s="51">
        <f>S608-R608+T608</f>
        <v/>
      </c>
    </row>
    <row r="609">
      <c r="A609" s="50" t="n">
        <v>12</v>
      </c>
      <c r="B609" s="50" t="n">
        <v>22</v>
      </c>
      <c r="C609" s="51">
        <f>INDEX(Employees!$B$5:$B$29,$A609)&amp;""</f>
        <v/>
      </c>
      <c r="D609" s="52">
        <f>INDEX(Periods!$B$5:$B$57,$B609)</f>
        <v/>
      </c>
      <c r="E609" s="52">
        <f>INDEX(Periods!$C$5:$C$57,$B609)</f>
        <v/>
      </c>
      <c r="F609" s="50">
        <f>IF(AND($C609&lt;&gt;"",INDEX(Periods!$D$5:$D$57,$B609)=1),1,0)</f>
        <v/>
      </c>
      <c r="G609" s="50">
        <f>IF($F609=0,0,IF(AND(OR(INDEX(Employees!$D$5:$D$29,$A609)="",$E609&gt;=INDEX(Employees!$D$5:$D$29,$A609)+N(INDEX(Employees!$U$5:$U$29,$A609))),OR(INDEX(Employees!$E$5:$E$29,$A609)="",$D609&lt;=INDEX(Employees!$E$5:$E$29,$A609))),1,0))</f>
        <v/>
      </c>
      <c r="H609" s="50">
        <f>IF($G609=0,0,IF(INDEX(Employees!$D$5:$D$29,$A609)="",0,DATEDIF(INDEX(Employees!$D$5:$D$29,$A609),$E609,"y")))</f>
        <v/>
      </c>
      <c r="I609" s="51">
        <f>IF($G609=0,0,IF(INDEX('Hours Worked'!$D$5:$BD$29,$A609,$B609)="",N(INDEX(Employees!$H$5:$H$29,$A609)),INDEX('Hours Worked'!$D$5:$BD$29,$A609,$B609)))</f>
        <v/>
      </c>
      <c r="J609" s="51">
        <f>IF(OR($G609=0,INDEX(Employees!$O$5:$O$29,$A609)&lt;&gt;"Yes"),0,IF(COUNTIF(Settings!$D$4:$D$9,"&lt;="&amp;$H609)=0,0,INDEX(Settings!$E$4:$E$9,COUNTIF(Settings!$D$4:$D$9,"&lt;="&amp;$H609))))</f>
        <v/>
      </c>
      <c r="K609" s="51">
        <f>IF($G609=0,0,IF(INDEX(Employees!$I$5:$I$29,$A609)="Per pay period",(N(INDEX(Employees!$J$5:$J$29,$A609))+$J609)/Settings!$B$13,IF(INDEX(Employees!$I$5:$I$29,$A609)="Per hour worked",N(INDEX(Employees!$K$5:$K$29,$A609))*$I609,IF(INDEX(Employees!$I$5:$I$29,$A609)="Front-loaded",IF(OR($B609=1,N($G608)=0),N(INDEX(Employees!$J$5:$J$29,$A609))+$J609,0),0))))</f>
        <v/>
      </c>
      <c r="L609" s="51">
        <f>IF($F609=0,0,SUMIFS('Time Off Log'!$H$5:$H$504,'Time Off Log'!$A$5:$A$504,$C609,'Time Off Log'!$B$5:$B$504,"PTO",'Time Off Log'!$E$5:$E$504,"Approved",'Time Off Log'!$C$5:$C$504,"&gt;="&amp;INDEX(Periods!$E$5:$E$57,$B609),'Time Off Log'!$C$5:$C$504,"&lt;="&amp;INDEX(Periods!$F$5:$F$57,$B609)))</f>
        <v/>
      </c>
      <c r="M609" s="51">
        <f>IF($B609=1,N(INDEX(Employees!$N$5:$N$29,$A609)),P608)</f>
        <v/>
      </c>
      <c r="N609" s="51">
        <f>IF(INDEX(Employees!$L$5:$L$29,$A609)="",K609,MAX(0,MIN(K609,INDEX(Employees!$L$5:$L$29,$A609)-(M609-L609))))</f>
        <v/>
      </c>
      <c r="O609" s="51">
        <f>K609-N609</f>
        <v/>
      </c>
      <c r="P609" s="51">
        <f>M609-L609+N609</f>
        <v/>
      </c>
      <c r="Q609" s="51">
        <f>IF($G609=0,0,IF(INDEX(Employees!$P$5:$P$29,$A609)="Per pay period",(N(INDEX(Employees!$Q$5:$Q$29,$A609)))/Settings!$B$13,IF(INDEX(Employees!$P$5:$P$29,$A609)="Per hour worked",N(INDEX(Employees!$R$5:$R$29,$A609))*$I609,IF(INDEX(Employees!$P$5:$P$29,$A609)="Front-loaded",IF(OR($B609=1,N($G608)=0),N(INDEX(Employees!$Q$5:$Q$29,$A609)),0),0))))</f>
        <v/>
      </c>
      <c r="R609" s="51">
        <f>IF($F609=0,0,SUMIFS('Time Off Log'!$H$5:$H$504,'Time Off Log'!$A$5:$A$504,$C609,'Time Off Log'!$B$5:$B$504,"Sick",'Time Off Log'!$E$5:$E$504,"Approved",'Time Off Log'!$C$5:$C$504,"&gt;="&amp;INDEX(Periods!$E$5:$E$57,$B609),'Time Off Log'!$C$5:$C$504,"&lt;="&amp;INDEX(Periods!$F$5:$F$57,$B609)))</f>
        <v/>
      </c>
      <c r="S609" s="51">
        <f>IF($B609=1,N(INDEX(Employees!$T$5:$T$29,$A609)),V608)</f>
        <v/>
      </c>
      <c r="T609" s="51">
        <f>IF(INDEX(Employees!$S$5:$S$29,$A609)="",Q609,MAX(0,MIN(Q609,INDEX(Employees!$S$5:$S$29,$A609)-(S609-R609))))</f>
        <v/>
      </c>
      <c r="U609" s="51">
        <f>Q609-T609</f>
        <v/>
      </c>
      <c r="V609" s="51">
        <f>S609-R609+T609</f>
        <v/>
      </c>
    </row>
    <row r="610">
      <c r="A610" s="50" t="n">
        <v>12</v>
      </c>
      <c r="B610" s="50" t="n">
        <v>23</v>
      </c>
      <c r="C610" s="51">
        <f>INDEX(Employees!$B$5:$B$29,$A610)&amp;""</f>
        <v/>
      </c>
      <c r="D610" s="52">
        <f>INDEX(Periods!$B$5:$B$57,$B610)</f>
        <v/>
      </c>
      <c r="E610" s="52">
        <f>INDEX(Periods!$C$5:$C$57,$B610)</f>
        <v/>
      </c>
      <c r="F610" s="50">
        <f>IF(AND($C610&lt;&gt;"",INDEX(Periods!$D$5:$D$57,$B610)=1),1,0)</f>
        <v/>
      </c>
      <c r="G610" s="50">
        <f>IF($F610=0,0,IF(AND(OR(INDEX(Employees!$D$5:$D$29,$A610)="",$E610&gt;=INDEX(Employees!$D$5:$D$29,$A610)+N(INDEX(Employees!$U$5:$U$29,$A610))),OR(INDEX(Employees!$E$5:$E$29,$A610)="",$D610&lt;=INDEX(Employees!$E$5:$E$29,$A610))),1,0))</f>
        <v/>
      </c>
      <c r="H610" s="50">
        <f>IF($G610=0,0,IF(INDEX(Employees!$D$5:$D$29,$A610)="",0,DATEDIF(INDEX(Employees!$D$5:$D$29,$A610),$E610,"y")))</f>
        <v/>
      </c>
      <c r="I610" s="51">
        <f>IF($G610=0,0,IF(INDEX('Hours Worked'!$D$5:$BD$29,$A610,$B610)="",N(INDEX(Employees!$H$5:$H$29,$A610)),INDEX('Hours Worked'!$D$5:$BD$29,$A610,$B610)))</f>
        <v/>
      </c>
      <c r="J610" s="51">
        <f>IF(OR($G610=0,INDEX(Employees!$O$5:$O$29,$A610)&lt;&gt;"Yes"),0,IF(COUNTIF(Settings!$D$4:$D$9,"&lt;="&amp;$H610)=0,0,INDEX(Settings!$E$4:$E$9,COUNTIF(Settings!$D$4:$D$9,"&lt;="&amp;$H610))))</f>
        <v/>
      </c>
      <c r="K610" s="51">
        <f>IF($G610=0,0,IF(INDEX(Employees!$I$5:$I$29,$A610)="Per pay period",(N(INDEX(Employees!$J$5:$J$29,$A610))+$J610)/Settings!$B$13,IF(INDEX(Employees!$I$5:$I$29,$A610)="Per hour worked",N(INDEX(Employees!$K$5:$K$29,$A610))*$I610,IF(INDEX(Employees!$I$5:$I$29,$A610)="Front-loaded",IF(OR($B610=1,N($G609)=0),N(INDEX(Employees!$J$5:$J$29,$A610))+$J610,0),0))))</f>
        <v/>
      </c>
      <c r="L610" s="51">
        <f>IF($F610=0,0,SUMIFS('Time Off Log'!$H$5:$H$504,'Time Off Log'!$A$5:$A$504,$C610,'Time Off Log'!$B$5:$B$504,"PTO",'Time Off Log'!$E$5:$E$504,"Approved",'Time Off Log'!$C$5:$C$504,"&gt;="&amp;INDEX(Periods!$E$5:$E$57,$B610),'Time Off Log'!$C$5:$C$504,"&lt;="&amp;INDEX(Periods!$F$5:$F$57,$B610)))</f>
        <v/>
      </c>
      <c r="M610" s="51">
        <f>IF($B610=1,N(INDEX(Employees!$N$5:$N$29,$A610)),P609)</f>
        <v/>
      </c>
      <c r="N610" s="51">
        <f>IF(INDEX(Employees!$L$5:$L$29,$A610)="",K610,MAX(0,MIN(K610,INDEX(Employees!$L$5:$L$29,$A610)-(M610-L610))))</f>
        <v/>
      </c>
      <c r="O610" s="51">
        <f>K610-N610</f>
        <v/>
      </c>
      <c r="P610" s="51">
        <f>M610-L610+N610</f>
        <v/>
      </c>
      <c r="Q610" s="51">
        <f>IF($G610=0,0,IF(INDEX(Employees!$P$5:$P$29,$A610)="Per pay period",(N(INDEX(Employees!$Q$5:$Q$29,$A610)))/Settings!$B$13,IF(INDEX(Employees!$P$5:$P$29,$A610)="Per hour worked",N(INDEX(Employees!$R$5:$R$29,$A610))*$I610,IF(INDEX(Employees!$P$5:$P$29,$A610)="Front-loaded",IF(OR($B610=1,N($G609)=0),N(INDEX(Employees!$Q$5:$Q$29,$A610)),0),0))))</f>
        <v/>
      </c>
      <c r="R610" s="51">
        <f>IF($F610=0,0,SUMIFS('Time Off Log'!$H$5:$H$504,'Time Off Log'!$A$5:$A$504,$C610,'Time Off Log'!$B$5:$B$504,"Sick",'Time Off Log'!$E$5:$E$504,"Approved",'Time Off Log'!$C$5:$C$504,"&gt;="&amp;INDEX(Periods!$E$5:$E$57,$B610),'Time Off Log'!$C$5:$C$504,"&lt;="&amp;INDEX(Periods!$F$5:$F$57,$B610)))</f>
        <v/>
      </c>
      <c r="S610" s="51">
        <f>IF($B610=1,N(INDEX(Employees!$T$5:$T$29,$A610)),V609)</f>
        <v/>
      </c>
      <c r="T610" s="51">
        <f>IF(INDEX(Employees!$S$5:$S$29,$A610)="",Q610,MAX(0,MIN(Q610,INDEX(Employees!$S$5:$S$29,$A610)-(S610-R610))))</f>
        <v/>
      </c>
      <c r="U610" s="51">
        <f>Q610-T610</f>
        <v/>
      </c>
      <c r="V610" s="51">
        <f>S610-R610+T610</f>
        <v/>
      </c>
    </row>
    <row r="611">
      <c r="A611" s="50" t="n">
        <v>12</v>
      </c>
      <c r="B611" s="50" t="n">
        <v>24</v>
      </c>
      <c r="C611" s="51">
        <f>INDEX(Employees!$B$5:$B$29,$A611)&amp;""</f>
        <v/>
      </c>
      <c r="D611" s="52">
        <f>INDEX(Periods!$B$5:$B$57,$B611)</f>
        <v/>
      </c>
      <c r="E611" s="52">
        <f>INDEX(Periods!$C$5:$C$57,$B611)</f>
        <v/>
      </c>
      <c r="F611" s="50">
        <f>IF(AND($C611&lt;&gt;"",INDEX(Periods!$D$5:$D$57,$B611)=1),1,0)</f>
        <v/>
      </c>
      <c r="G611" s="50">
        <f>IF($F611=0,0,IF(AND(OR(INDEX(Employees!$D$5:$D$29,$A611)="",$E611&gt;=INDEX(Employees!$D$5:$D$29,$A611)+N(INDEX(Employees!$U$5:$U$29,$A611))),OR(INDEX(Employees!$E$5:$E$29,$A611)="",$D611&lt;=INDEX(Employees!$E$5:$E$29,$A611))),1,0))</f>
        <v/>
      </c>
      <c r="H611" s="50">
        <f>IF($G611=0,0,IF(INDEX(Employees!$D$5:$D$29,$A611)="",0,DATEDIF(INDEX(Employees!$D$5:$D$29,$A611),$E611,"y")))</f>
        <v/>
      </c>
      <c r="I611" s="51">
        <f>IF($G611=0,0,IF(INDEX('Hours Worked'!$D$5:$BD$29,$A611,$B611)="",N(INDEX(Employees!$H$5:$H$29,$A611)),INDEX('Hours Worked'!$D$5:$BD$29,$A611,$B611)))</f>
        <v/>
      </c>
      <c r="J611" s="51">
        <f>IF(OR($G611=0,INDEX(Employees!$O$5:$O$29,$A611)&lt;&gt;"Yes"),0,IF(COUNTIF(Settings!$D$4:$D$9,"&lt;="&amp;$H611)=0,0,INDEX(Settings!$E$4:$E$9,COUNTIF(Settings!$D$4:$D$9,"&lt;="&amp;$H611))))</f>
        <v/>
      </c>
      <c r="K611" s="51">
        <f>IF($G611=0,0,IF(INDEX(Employees!$I$5:$I$29,$A611)="Per pay period",(N(INDEX(Employees!$J$5:$J$29,$A611))+$J611)/Settings!$B$13,IF(INDEX(Employees!$I$5:$I$29,$A611)="Per hour worked",N(INDEX(Employees!$K$5:$K$29,$A611))*$I611,IF(INDEX(Employees!$I$5:$I$29,$A611)="Front-loaded",IF(OR($B611=1,N($G610)=0),N(INDEX(Employees!$J$5:$J$29,$A611))+$J611,0),0))))</f>
        <v/>
      </c>
      <c r="L611" s="51">
        <f>IF($F611=0,0,SUMIFS('Time Off Log'!$H$5:$H$504,'Time Off Log'!$A$5:$A$504,$C611,'Time Off Log'!$B$5:$B$504,"PTO",'Time Off Log'!$E$5:$E$504,"Approved",'Time Off Log'!$C$5:$C$504,"&gt;="&amp;INDEX(Periods!$E$5:$E$57,$B611),'Time Off Log'!$C$5:$C$504,"&lt;="&amp;INDEX(Periods!$F$5:$F$57,$B611)))</f>
        <v/>
      </c>
      <c r="M611" s="51">
        <f>IF($B611=1,N(INDEX(Employees!$N$5:$N$29,$A611)),P610)</f>
        <v/>
      </c>
      <c r="N611" s="51">
        <f>IF(INDEX(Employees!$L$5:$L$29,$A611)="",K611,MAX(0,MIN(K611,INDEX(Employees!$L$5:$L$29,$A611)-(M611-L611))))</f>
        <v/>
      </c>
      <c r="O611" s="51">
        <f>K611-N611</f>
        <v/>
      </c>
      <c r="P611" s="51">
        <f>M611-L611+N611</f>
        <v/>
      </c>
      <c r="Q611" s="51">
        <f>IF($G611=0,0,IF(INDEX(Employees!$P$5:$P$29,$A611)="Per pay period",(N(INDEX(Employees!$Q$5:$Q$29,$A611)))/Settings!$B$13,IF(INDEX(Employees!$P$5:$P$29,$A611)="Per hour worked",N(INDEX(Employees!$R$5:$R$29,$A611))*$I611,IF(INDEX(Employees!$P$5:$P$29,$A611)="Front-loaded",IF(OR($B611=1,N($G610)=0),N(INDEX(Employees!$Q$5:$Q$29,$A611)),0),0))))</f>
        <v/>
      </c>
      <c r="R611" s="51">
        <f>IF($F611=0,0,SUMIFS('Time Off Log'!$H$5:$H$504,'Time Off Log'!$A$5:$A$504,$C611,'Time Off Log'!$B$5:$B$504,"Sick",'Time Off Log'!$E$5:$E$504,"Approved",'Time Off Log'!$C$5:$C$504,"&gt;="&amp;INDEX(Periods!$E$5:$E$57,$B611),'Time Off Log'!$C$5:$C$504,"&lt;="&amp;INDEX(Periods!$F$5:$F$57,$B611)))</f>
        <v/>
      </c>
      <c r="S611" s="51">
        <f>IF($B611=1,N(INDEX(Employees!$T$5:$T$29,$A611)),V610)</f>
        <v/>
      </c>
      <c r="T611" s="51">
        <f>IF(INDEX(Employees!$S$5:$S$29,$A611)="",Q611,MAX(0,MIN(Q611,INDEX(Employees!$S$5:$S$29,$A611)-(S611-R611))))</f>
        <v/>
      </c>
      <c r="U611" s="51">
        <f>Q611-T611</f>
        <v/>
      </c>
      <c r="V611" s="51">
        <f>S611-R611+T611</f>
        <v/>
      </c>
    </row>
    <row r="612">
      <c r="A612" s="50" t="n">
        <v>12</v>
      </c>
      <c r="B612" s="50" t="n">
        <v>25</v>
      </c>
      <c r="C612" s="51">
        <f>INDEX(Employees!$B$5:$B$29,$A612)&amp;""</f>
        <v/>
      </c>
      <c r="D612" s="52">
        <f>INDEX(Periods!$B$5:$B$57,$B612)</f>
        <v/>
      </c>
      <c r="E612" s="52">
        <f>INDEX(Periods!$C$5:$C$57,$B612)</f>
        <v/>
      </c>
      <c r="F612" s="50">
        <f>IF(AND($C612&lt;&gt;"",INDEX(Periods!$D$5:$D$57,$B612)=1),1,0)</f>
        <v/>
      </c>
      <c r="G612" s="50">
        <f>IF($F612=0,0,IF(AND(OR(INDEX(Employees!$D$5:$D$29,$A612)="",$E612&gt;=INDEX(Employees!$D$5:$D$29,$A612)+N(INDEX(Employees!$U$5:$U$29,$A612))),OR(INDEX(Employees!$E$5:$E$29,$A612)="",$D612&lt;=INDEX(Employees!$E$5:$E$29,$A612))),1,0))</f>
        <v/>
      </c>
      <c r="H612" s="50">
        <f>IF($G612=0,0,IF(INDEX(Employees!$D$5:$D$29,$A612)="",0,DATEDIF(INDEX(Employees!$D$5:$D$29,$A612),$E612,"y")))</f>
        <v/>
      </c>
      <c r="I612" s="51">
        <f>IF($G612=0,0,IF(INDEX('Hours Worked'!$D$5:$BD$29,$A612,$B612)="",N(INDEX(Employees!$H$5:$H$29,$A612)),INDEX('Hours Worked'!$D$5:$BD$29,$A612,$B612)))</f>
        <v/>
      </c>
      <c r="J612" s="51">
        <f>IF(OR($G612=0,INDEX(Employees!$O$5:$O$29,$A612)&lt;&gt;"Yes"),0,IF(COUNTIF(Settings!$D$4:$D$9,"&lt;="&amp;$H612)=0,0,INDEX(Settings!$E$4:$E$9,COUNTIF(Settings!$D$4:$D$9,"&lt;="&amp;$H612))))</f>
        <v/>
      </c>
      <c r="K612" s="51">
        <f>IF($G612=0,0,IF(INDEX(Employees!$I$5:$I$29,$A612)="Per pay period",(N(INDEX(Employees!$J$5:$J$29,$A612))+$J612)/Settings!$B$13,IF(INDEX(Employees!$I$5:$I$29,$A612)="Per hour worked",N(INDEX(Employees!$K$5:$K$29,$A612))*$I612,IF(INDEX(Employees!$I$5:$I$29,$A612)="Front-loaded",IF(OR($B612=1,N($G611)=0),N(INDEX(Employees!$J$5:$J$29,$A612))+$J612,0),0))))</f>
        <v/>
      </c>
      <c r="L612" s="51">
        <f>IF($F612=0,0,SUMIFS('Time Off Log'!$H$5:$H$504,'Time Off Log'!$A$5:$A$504,$C612,'Time Off Log'!$B$5:$B$504,"PTO",'Time Off Log'!$E$5:$E$504,"Approved",'Time Off Log'!$C$5:$C$504,"&gt;="&amp;INDEX(Periods!$E$5:$E$57,$B612),'Time Off Log'!$C$5:$C$504,"&lt;="&amp;INDEX(Periods!$F$5:$F$57,$B612)))</f>
        <v/>
      </c>
      <c r="M612" s="51">
        <f>IF($B612=1,N(INDEX(Employees!$N$5:$N$29,$A612)),P611)</f>
        <v/>
      </c>
      <c r="N612" s="51">
        <f>IF(INDEX(Employees!$L$5:$L$29,$A612)="",K612,MAX(0,MIN(K612,INDEX(Employees!$L$5:$L$29,$A612)-(M612-L612))))</f>
        <v/>
      </c>
      <c r="O612" s="51">
        <f>K612-N612</f>
        <v/>
      </c>
      <c r="P612" s="51">
        <f>M612-L612+N612</f>
        <v/>
      </c>
      <c r="Q612" s="51">
        <f>IF($G612=0,0,IF(INDEX(Employees!$P$5:$P$29,$A612)="Per pay period",(N(INDEX(Employees!$Q$5:$Q$29,$A612)))/Settings!$B$13,IF(INDEX(Employees!$P$5:$P$29,$A612)="Per hour worked",N(INDEX(Employees!$R$5:$R$29,$A612))*$I612,IF(INDEX(Employees!$P$5:$P$29,$A612)="Front-loaded",IF(OR($B612=1,N($G611)=0),N(INDEX(Employees!$Q$5:$Q$29,$A612)),0),0))))</f>
        <v/>
      </c>
      <c r="R612" s="51">
        <f>IF($F612=0,0,SUMIFS('Time Off Log'!$H$5:$H$504,'Time Off Log'!$A$5:$A$504,$C612,'Time Off Log'!$B$5:$B$504,"Sick",'Time Off Log'!$E$5:$E$504,"Approved",'Time Off Log'!$C$5:$C$504,"&gt;="&amp;INDEX(Periods!$E$5:$E$57,$B612),'Time Off Log'!$C$5:$C$504,"&lt;="&amp;INDEX(Periods!$F$5:$F$57,$B612)))</f>
        <v/>
      </c>
      <c r="S612" s="51">
        <f>IF($B612=1,N(INDEX(Employees!$T$5:$T$29,$A612)),V611)</f>
        <v/>
      </c>
      <c r="T612" s="51">
        <f>IF(INDEX(Employees!$S$5:$S$29,$A612)="",Q612,MAX(0,MIN(Q612,INDEX(Employees!$S$5:$S$29,$A612)-(S612-R612))))</f>
        <v/>
      </c>
      <c r="U612" s="51">
        <f>Q612-T612</f>
        <v/>
      </c>
      <c r="V612" s="51">
        <f>S612-R612+T612</f>
        <v/>
      </c>
    </row>
    <row r="613">
      <c r="A613" s="50" t="n">
        <v>12</v>
      </c>
      <c r="B613" s="50" t="n">
        <v>26</v>
      </c>
      <c r="C613" s="51">
        <f>INDEX(Employees!$B$5:$B$29,$A613)&amp;""</f>
        <v/>
      </c>
      <c r="D613" s="52">
        <f>INDEX(Periods!$B$5:$B$57,$B613)</f>
        <v/>
      </c>
      <c r="E613" s="52">
        <f>INDEX(Periods!$C$5:$C$57,$B613)</f>
        <v/>
      </c>
      <c r="F613" s="50">
        <f>IF(AND($C613&lt;&gt;"",INDEX(Periods!$D$5:$D$57,$B613)=1),1,0)</f>
        <v/>
      </c>
      <c r="G613" s="50">
        <f>IF($F613=0,0,IF(AND(OR(INDEX(Employees!$D$5:$D$29,$A613)="",$E613&gt;=INDEX(Employees!$D$5:$D$29,$A613)+N(INDEX(Employees!$U$5:$U$29,$A613))),OR(INDEX(Employees!$E$5:$E$29,$A613)="",$D613&lt;=INDEX(Employees!$E$5:$E$29,$A613))),1,0))</f>
        <v/>
      </c>
      <c r="H613" s="50">
        <f>IF($G613=0,0,IF(INDEX(Employees!$D$5:$D$29,$A613)="",0,DATEDIF(INDEX(Employees!$D$5:$D$29,$A613),$E613,"y")))</f>
        <v/>
      </c>
      <c r="I613" s="51">
        <f>IF($G613=0,0,IF(INDEX('Hours Worked'!$D$5:$BD$29,$A613,$B613)="",N(INDEX(Employees!$H$5:$H$29,$A613)),INDEX('Hours Worked'!$D$5:$BD$29,$A613,$B613)))</f>
        <v/>
      </c>
      <c r="J613" s="51">
        <f>IF(OR($G613=0,INDEX(Employees!$O$5:$O$29,$A613)&lt;&gt;"Yes"),0,IF(COUNTIF(Settings!$D$4:$D$9,"&lt;="&amp;$H613)=0,0,INDEX(Settings!$E$4:$E$9,COUNTIF(Settings!$D$4:$D$9,"&lt;="&amp;$H613))))</f>
        <v/>
      </c>
      <c r="K613" s="51">
        <f>IF($G613=0,0,IF(INDEX(Employees!$I$5:$I$29,$A613)="Per pay period",(N(INDEX(Employees!$J$5:$J$29,$A613))+$J613)/Settings!$B$13,IF(INDEX(Employees!$I$5:$I$29,$A613)="Per hour worked",N(INDEX(Employees!$K$5:$K$29,$A613))*$I613,IF(INDEX(Employees!$I$5:$I$29,$A613)="Front-loaded",IF(OR($B613=1,N($G612)=0),N(INDEX(Employees!$J$5:$J$29,$A613))+$J613,0),0))))</f>
        <v/>
      </c>
      <c r="L613" s="51">
        <f>IF($F613=0,0,SUMIFS('Time Off Log'!$H$5:$H$504,'Time Off Log'!$A$5:$A$504,$C613,'Time Off Log'!$B$5:$B$504,"PTO",'Time Off Log'!$E$5:$E$504,"Approved",'Time Off Log'!$C$5:$C$504,"&gt;="&amp;INDEX(Periods!$E$5:$E$57,$B613),'Time Off Log'!$C$5:$C$504,"&lt;="&amp;INDEX(Periods!$F$5:$F$57,$B613)))</f>
        <v/>
      </c>
      <c r="M613" s="51">
        <f>IF($B613=1,N(INDEX(Employees!$N$5:$N$29,$A613)),P612)</f>
        <v/>
      </c>
      <c r="N613" s="51">
        <f>IF(INDEX(Employees!$L$5:$L$29,$A613)="",K613,MAX(0,MIN(K613,INDEX(Employees!$L$5:$L$29,$A613)-(M613-L613))))</f>
        <v/>
      </c>
      <c r="O613" s="51">
        <f>K613-N613</f>
        <v/>
      </c>
      <c r="P613" s="51">
        <f>M613-L613+N613</f>
        <v/>
      </c>
      <c r="Q613" s="51">
        <f>IF($G613=0,0,IF(INDEX(Employees!$P$5:$P$29,$A613)="Per pay period",(N(INDEX(Employees!$Q$5:$Q$29,$A613)))/Settings!$B$13,IF(INDEX(Employees!$P$5:$P$29,$A613)="Per hour worked",N(INDEX(Employees!$R$5:$R$29,$A613))*$I613,IF(INDEX(Employees!$P$5:$P$29,$A613)="Front-loaded",IF(OR($B613=1,N($G612)=0),N(INDEX(Employees!$Q$5:$Q$29,$A613)),0),0))))</f>
        <v/>
      </c>
      <c r="R613" s="51">
        <f>IF($F613=0,0,SUMIFS('Time Off Log'!$H$5:$H$504,'Time Off Log'!$A$5:$A$504,$C613,'Time Off Log'!$B$5:$B$504,"Sick",'Time Off Log'!$E$5:$E$504,"Approved",'Time Off Log'!$C$5:$C$504,"&gt;="&amp;INDEX(Periods!$E$5:$E$57,$B613),'Time Off Log'!$C$5:$C$504,"&lt;="&amp;INDEX(Periods!$F$5:$F$57,$B613)))</f>
        <v/>
      </c>
      <c r="S613" s="51">
        <f>IF($B613=1,N(INDEX(Employees!$T$5:$T$29,$A613)),V612)</f>
        <v/>
      </c>
      <c r="T613" s="51">
        <f>IF(INDEX(Employees!$S$5:$S$29,$A613)="",Q613,MAX(0,MIN(Q613,INDEX(Employees!$S$5:$S$29,$A613)-(S613-R613))))</f>
        <v/>
      </c>
      <c r="U613" s="51">
        <f>Q613-T613</f>
        <v/>
      </c>
      <c r="V613" s="51">
        <f>S613-R613+T613</f>
        <v/>
      </c>
    </row>
    <row r="614">
      <c r="A614" s="50" t="n">
        <v>12</v>
      </c>
      <c r="B614" s="50" t="n">
        <v>27</v>
      </c>
      <c r="C614" s="51">
        <f>INDEX(Employees!$B$5:$B$29,$A614)&amp;""</f>
        <v/>
      </c>
      <c r="D614" s="52">
        <f>INDEX(Periods!$B$5:$B$57,$B614)</f>
        <v/>
      </c>
      <c r="E614" s="52">
        <f>INDEX(Periods!$C$5:$C$57,$B614)</f>
        <v/>
      </c>
      <c r="F614" s="50">
        <f>IF(AND($C614&lt;&gt;"",INDEX(Periods!$D$5:$D$57,$B614)=1),1,0)</f>
        <v/>
      </c>
      <c r="G614" s="50">
        <f>IF($F614=0,0,IF(AND(OR(INDEX(Employees!$D$5:$D$29,$A614)="",$E614&gt;=INDEX(Employees!$D$5:$D$29,$A614)+N(INDEX(Employees!$U$5:$U$29,$A614))),OR(INDEX(Employees!$E$5:$E$29,$A614)="",$D614&lt;=INDEX(Employees!$E$5:$E$29,$A614))),1,0))</f>
        <v/>
      </c>
      <c r="H614" s="50">
        <f>IF($G614=0,0,IF(INDEX(Employees!$D$5:$D$29,$A614)="",0,DATEDIF(INDEX(Employees!$D$5:$D$29,$A614),$E614,"y")))</f>
        <v/>
      </c>
      <c r="I614" s="51">
        <f>IF($G614=0,0,IF(INDEX('Hours Worked'!$D$5:$BD$29,$A614,$B614)="",N(INDEX(Employees!$H$5:$H$29,$A614)),INDEX('Hours Worked'!$D$5:$BD$29,$A614,$B614)))</f>
        <v/>
      </c>
      <c r="J614" s="51">
        <f>IF(OR($G614=0,INDEX(Employees!$O$5:$O$29,$A614)&lt;&gt;"Yes"),0,IF(COUNTIF(Settings!$D$4:$D$9,"&lt;="&amp;$H614)=0,0,INDEX(Settings!$E$4:$E$9,COUNTIF(Settings!$D$4:$D$9,"&lt;="&amp;$H614))))</f>
        <v/>
      </c>
      <c r="K614" s="51">
        <f>IF($G614=0,0,IF(INDEX(Employees!$I$5:$I$29,$A614)="Per pay period",(N(INDEX(Employees!$J$5:$J$29,$A614))+$J614)/Settings!$B$13,IF(INDEX(Employees!$I$5:$I$29,$A614)="Per hour worked",N(INDEX(Employees!$K$5:$K$29,$A614))*$I614,IF(INDEX(Employees!$I$5:$I$29,$A614)="Front-loaded",IF(OR($B614=1,N($G613)=0),N(INDEX(Employees!$J$5:$J$29,$A614))+$J614,0),0))))</f>
        <v/>
      </c>
      <c r="L614" s="51">
        <f>IF($F614=0,0,SUMIFS('Time Off Log'!$H$5:$H$504,'Time Off Log'!$A$5:$A$504,$C614,'Time Off Log'!$B$5:$B$504,"PTO",'Time Off Log'!$E$5:$E$504,"Approved",'Time Off Log'!$C$5:$C$504,"&gt;="&amp;INDEX(Periods!$E$5:$E$57,$B614),'Time Off Log'!$C$5:$C$504,"&lt;="&amp;INDEX(Periods!$F$5:$F$57,$B614)))</f>
        <v/>
      </c>
      <c r="M614" s="51">
        <f>IF($B614=1,N(INDEX(Employees!$N$5:$N$29,$A614)),P613)</f>
        <v/>
      </c>
      <c r="N614" s="51">
        <f>IF(INDEX(Employees!$L$5:$L$29,$A614)="",K614,MAX(0,MIN(K614,INDEX(Employees!$L$5:$L$29,$A614)-(M614-L614))))</f>
        <v/>
      </c>
      <c r="O614" s="51">
        <f>K614-N614</f>
        <v/>
      </c>
      <c r="P614" s="51">
        <f>M614-L614+N614</f>
        <v/>
      </c>
      <c r="Q614" s="51">
        <f>IF($G614=0,0,IF(INDEX(Employees!$P$5:$P$29,$A614)="Per pay period",(N(INDEX(Employees!$Q$5:$Q$29,$A614)))/Settings!$B$13,IF(INDEX(Employees!$P$5:$P$29,$A614)="Per hour worked",N(INDEX(Employees!$R$5:$R$29,$A614))*$I614,IF(INDEX(Employees!$P$5:$P$29,$A614)="Front-loaded",IF(OR($B614=1,N($G613)=0),N(INDEX(Employees!$Q$5:$Q$29,$A614)),0),0))))</f>
        <v/>
      </c>
      <c r="R614" s="51">
        <f>IF($F614=0,0,SUMIFS('Time Off Log'!$H$5:$H$504,'Time Off Log'!$A$5:$A$504,$C614,'Time Off Log'!$B$5:$B$504,"Sick",'Time Off Log'!$E$5:$E$504,"Approved",'Time Off Log'!$C$5:$C$504,"&gt;="&amp;INDEX(Periods!$E$5:$E$57,$B614),'Time Off Log'!$C$5:$C$504,"&lt;="&amp;INDEX(Periods!$F$5:$F$57,$B614)))</f>
        <v/>
      </c>
      <c r="S614" s="51">
        <f>IF($B614=1,N(INDEX(Employees!$T$5:$T$29,$A614)),V613)</f>
        <v/>
      </c>
      <c r="T614" s="51">
        <f>IF(INDEX(Employees!$S$5:$S$29,$A614)="",Q614,MAX(0,MIN(Q614,INDEX(Employees!$S$5:$S$29,$A614)-(S614-R614))))</f>
        <v/>
      </c>
      <c r="U614" s="51">
        <f>Q614-T614</f>
        <v/>
      </c>
      <c r="V614" s="51">
        <f>S614-R614+T614</f>
        <v/>
      </c>
    </row>
    <row r="615">
      <c r="A615" s="50" t="n">
        <v>12</v>
      </c>
      <c r="B615" s="50" t="n">
        <v>28</v>
      </c>
      <c r="C615" s="51">
        <f>INDEX(Employees!$B$5:$B$29,$A615)&amp;""</f>
        <v/>
      </c>
      <c r="D615" s="52">
        <f>INDEX(Periods!$B$5:$B$57,$B615)</f>
        <v/>
      </c>
      <c r="E615" s="52">
        <f>INDEX(Periods!$C$5:$C$57,$B615)</f>
        <v/>
      </c>
      <c r="F615" s="50">
        <f>IF(AND($C615&lt;&gt;"",INDEX(Periods!$D$5:$D$57,$B615)=1),1,0)</f>
        <v/>
      </c>
      <c r="G615" s="50">
        <f>IF($F615=0,0,IF(AND(OR(INDEX(Employees!$D$5:$D$29,$A615)="",$E615&gt;=INDEX(Employees!$D$5:$D$29,$A615)+N(INDEX(Employees!$U$5:$U$29,$A615))),OR(INDEX(Employees!$E$5:$E$29,$A615)="",$D615&lt;=INDEX(Employees!$E$5:$E$29,$A615))),1,0))</f>
        <v/>
      </c>
      <c r="H615" s="50">
        <f>IF($G615=0,0,IF(INDEX(Employees!$D$5:$D$29,$A615)="",0,DATEDIF(INDEX(Employees!$D$5:$D$29,$A615),$E615,"y")))</f>
        <v/>
      </c>
      <c r="I615" s="51">
        <f>IF($G615=0,0,IF(INDEX('Hours Worked'!$D$5:$BD$29,$A615,$B615)="",N(INDEX(Employees!$H$5:$H$29,$A615)),INDEX('Hours Worked'!$D$5:$BD$29,$A615,$B615)))</f>
        <v/>
      </c>
      <c r="J615" s="51">
        <f>IF(OR($G615=0,INDEX(Employees!$O$5:$O$29,$A615)&lt;&gt;"Yes"),0,IF(COUNTIF(Settings!$D$4:$D$9,"&lt;="&amp;$H615)=0,0,INDEX(Settings!$E$4:$E$9,COUNTIF(Settings!$D$4:$D$9,"&lt;="&amp;$H615))))</f>
        <v/>
      </c>
      <c r="K615" s="51">
        <f>IF($G615=0,0,IF(INDEX(Employees!$I$5:$I$29,$A615)="Per pay period",(N(INDEX(Employees!$J$5:$J$29,$A615))+$J615)/Settings!$B$13,IF(INDEX(Employees!$I$5:$I$29,$A615)="Per hour worked",N(INDEX(Employees!$K$5:$K$29,$A615))*$I615,IF(INDEX(Employees!$I$5:$I$29,$A615)="Front-loaded",IF(OR($B615=1,N($G614)=0),N(INDEX(Employees!$J$5:$J$29,$A615))+$J615,0),0))))</f>
        <v/>
      </c>
      <c r="L615" s="51">
        <f>IF($F615=0,0,SUMIFS('Time Off Log'!$H$5:$H$504,'Time Off Log'!$A$5:$A$504,$C615,'Time Off Log'!$B$5:$B$504,"PTO",'Time Off Log'!$E$5:$E$504,"Approved",'Time Off Log'!$C$5:$C$504,"&gt;="&amp;INDEX(Periods!$E$5:$E$57,$B615),'Time Off Log'!$C$5:$C$504,"&lt;="&amp;INDEX(Periods!$F$5:$F$57,$B615)))</f>
        <v/>
      </c>
      <c r="M615" s="51">
        <f>IF($B615=1,N(INDEX(Employees!$N$5:$N$29,$A615)),P614)</f>
        <v/>
      </c>
      <c r="N615" s="51">
        <f>IF(INDEX(Employees!$L$5:$L$29,$A615)="",K615,MAX(0,MIN(K615,INDEX(Employees!$L$5:$L$29,$A615)-(M615-L615))))</f>
        <v/>
      </c>
      <c r="O615" s="51">
        <f>K615-N615</f>
        <v/>
      </c>
      <c r="P615" s="51">
        <f>M615-L615+N615</f>
        <v/>
      </c>
      <c r="Q615" s="51">
        <f>IF($G615=0,0,IF(INDEX(Employees!$P$5:$P$29,$A615)="Per pay period",(N(INDEX(Employees!$Q$5:$Q$29,$A615)))/Settings!$B$13,IF(INDEX(Employees!$P$5:$P$29,$A615)="Per hour worked",N(INDEX(Employees!$R$5:$R$29,$A615))*$I615,IF(INDEX(Employees!$P$5:$P$29,$A615)="Front-loaded",IF(OR($B615=1,N($G614)=0),N(INDEX(Employees!$Q$5:$Q$29,$A615)),0),0))))</f>
        <v/>
      </c>
      <c r="R615" s="51">
        <f>IF($F615=0,0,SUMIFS('Time Off Log'!$H$5:$H$504,'Time Off Log'!$A$5:$A$504,$C615,'Time Off Log'!$B$5:$B$504,"Sick",'Time Off Log'!$E$5:$E$504,"Approved",'Time Off Log'!$C$5:$C$504,"&gt;="&amp;INDEX(Periods!$E$5:$E$57,$B615),'Time Off Log'!$C$5:$C$504,"&lt;="&amp;INDEX(Periods!$F$5:$F$57,$B615)))</f>
        <v/>
      </c>
      <c r="S615" s="51">
        <f>IF($B615=1,N(INDEX(Employees!$T$5:$T$29,$A615)),V614)</f>
        <v/>
      </c>
      <c r="T615" s="51">
        <f>IF(INDEX(Employees!$S$5:$S$29,$A615)="",Q615,MAX(0,MIN(Q615,INDEX(Employees!$S$5:$S$29,$A615)-(S615-R615))))</f>
        <v/>
      </c>
      <c r="U615" s="51">
        <f>Q615-T615</f>
        <v/>
      </c>
      <c r="V615" s="51">
        <f>S615-R615+T615</f>
        <v/>
      </c>
    </row>
    <row r="616">
      <c r="A616" s="50" t="n">
        <v>12</v>
      </c>
      <c r="B616" s="50" t="n">
        <v>29</v>
      </c>
      <c r="C616" s="51">
        <f>INDEX(Employees!$B$5:$B$29,$A616)&amp;""</f>
        <v/>
      </c>
      <c r="D616" s="52">
        <f>INDEX(Periods!$B$5:$B$57,$B616)</f>
        <v/>
      </c>
      <c r="E616" s="52">
        <f>INDEX(Periods!$C$5:$C$57,$B616)</f>
        <v/>
      </c>
      <c r="F616" s="50">
        <f>IF(AND($C616&lt;&gt;"",INDEX(Periods!$D$5:$D$57,$B616)=1),1,0)</f>
        <v/>
      </c>
      <c r="G616" s="50">
        <f>IF($F616=0,0,IF(AND(OR(INDEX(Employees!$D$5:$D$29,$A616)="",$E616&gt;=INDEX(Employees!$D$5:$D$29,$A616)+N(INDEX(Employees!$U$5:$U$29,$A616))),OR(INDEX(Employees!$E$5:$E$29,$A616)="",$D616&lt;=INDEX(Employees!$E$5:$E$29,$A616))),1,0))</f>
        <v/>
      </c>
      <c r="H616" s="50">
        <f>IF($G616=0,0,IF(INDEX(Employees!$D$5:$D$29,$A616)="",0,DATEDIF(INDEX(Employees!$D$5:$D$29,$A616),$E616,"y")))</f>
        <v/>
      </c>
      <c r="I616" s="51">
        <f>IF($G616=0,0,IF(INDEX('Hours Worked'!$D$5:$BD$29,$A616,$B616)="",N(INDEX(Employees!$H$5:$H$29,$A616)),INDEX('Hours Worked'!$D$5:$BD$29,$A616,$B616)))</f>
        <v/>
      </c>
      <c r="J616" s="51">
        <f>IF(OR($G616=0,INDEX(Employees!$O$5:$O$29,$A616)&lt;&gt;"Yes"),0,IF(COUNTIF(Settings!$D$4:$D$9,"&lt;="&amp;$H616)=0,0,INDEX(Settings!$E$4:$E$9,COUNTIF(Settings!$D$4:$D$9,"&lt;="&amp;$H616))))</f>
        <v/>
      </c>
      <c r="K616" s="51">
        <f>IF($G616=0,0,IF(INDEX(Employees!$I$5:$I$29,$A616)="Per pay period",(N(INDEX(Employees!$J$5:$J$29,$A616))+$J616)/Settings!$B$13,IF(INDEX(Employees!$I$5:$I$29,$A616)="Per hour worked",N(INDEX(Employees!$K$5:$K$29,$A616))*$I616,IF(INDEX(Employees!$I$5:$I$29,$A616)="Front-loaded",IF(OR($B616=1,N($G615)=0),N(INDEX(Employees!$J$5:$J$29,$A616))+$J616,0),0))))</f>
        <v/>
      </c>
      <c r="L616" s="51">
        <f>IF($F616=0,0,SUMIFS('Time Off Log'!$H$5:$H$504,'Time Off Log'!$A$5:$A$504,$C616,'Time Off Log'!$B$5:$B$504,"PTO",'Time Off Log'!$E$5:$E$504,"Approved",'Time Off Log'!$C$5:$C$504,"&gt;="&amp;INDEX(Periods!$E$5:$E$57,$B616),'Time Off Log'!$C$5:$C$504,"&lt;="&amp;INDEX(Periods!$F$5:$F$57,$B616)))</f>
        <v/>
      </c>
      <c r="M616" s="51">
        <f>IF($B616=1,N(INDEX(Employees!$N$5:$N$29,$A616)),P615)</f>
        <v/>
      </c>
      <c r="N616" s="51">
        <f>IF(INDEX(Employees!$L$5:$L$29,$A616)="",K616,MAX(0,MIN(K616,INDEX(Employees!$L$5:$L$29,$A616)-(M616-L616))))</f>
        <v/>
      </c>
      <c r="O616" s="51">
        <f>K616-N616</f>
        <v/>
      </c>
      <c r="P616" s="51">
        <f>M616-L616+N616</f>
        <v/>
      </c>
      <c r="Q616" s="51">
        <f>IF($G616=0,0,IF(INDEX(Employees!$P$5:$P$29,$A616)="Per pay period",(N(INDEX(Employees!$Q$5:$Q$29,$A616)))/Settings!$B$13,IF(INDEX(Employees!$P$5:$P$29,$A616)="Per hour worked",N(INDEX(Employees!$R$5:$R$29,$A616))*$I616,IF(INDEX(Employees!$P$5:$P$29,$A616)="Front-loaded",IF(OR($B616=1,N($G615)=0),N(INDEX(Employees!$Q$5:$Q$29,$A616)),0),0))))</f>
        <v/>
      </c>
      <c r="R616" s="51">
        <f>IF($F616=0,0,SUMIFS('Time Off Log'!$H$5:$H$504,'Time Off Log'!$A$5:$A$504,$C616,'Time Off Log'!$B$5:$B$504,"Sick",'Time Off Log'!$E$5:$E$504,"Approved",'Time Off Log'!$C$5:$C$504,"&gt;="&amp;INDEX(Periods!$E$5:$E$57,$B616),'Time Off Log'!$C$5:$C$504,"&lt;="&amp;INDEX(Periods!$F$5:$F$57,$B616)))</f>
        <v/>
      </c>
      <c r="S616" s="51">
        <f>IF($B616=1,N(INDEX(Employees!$T$5:$T$29,$A616)),V615)</f>
        <v/>
      </c>
      <c r="T616" s="51">
        <f>IF(INDEX(Employees!$S$5:$S$29,$A616)="",Q616,MAX(0,MIN(Q616,INDEX(Employees!$S$5:$S$29,$A616)-(S616-R616))))</f>
        <v/>
      </c>
      <c r="U616" s="51">
        <f>Q616-T616</f>
        <v/>
      </c>
      <c r="V616" s="51">
        <f>S616-R616+T616</f>
        <v/>
      </c>
    </row>
    <row r="617">
      <c r="A617" s="50" t="n">
        <v>12</v>
      </c>
      <c r="B617" s="50" t="n">
        <v>30</v>
      </c>
      <c r="C617" s="51">
        <f>INDEX(Employees!$B$5:$B$29,$A617)&amp;""</f>
        <v/>
      </c>
      <c r="D617" s="52">
        <f>INDEX(Periods!$B$5:$B$57,$B617)</f>
        <v/>
      </c>
      <c r="E617" s="52">
        <f>INDEX(Periods!$C$5:$C$57,$B617)</f>
        <v/>
      </c>
      <c r="F617" s="50">
        <f>IF(AND($C617&lt;&gt;"",INDEX(Periods!$D$5:$D$57,$B617)=1),1,0)</f>
        <v/>
      </c>
      <c r="G617" s="50">
        <f>IF($F617=0,0,IF(AND(OR(INDEX(Employees!$D$5:$D$29,$A617)="",$E617&gt;=INDEX(Employees!$D$5:$D$29,$A617)+N(INDEX(Employees!$U$5:$U$29,$A617))),OR(INDEX(Employees!$E$5:$E$29,$A617)="",$D617&lt;=INDEX(Employees!$E$5:$E$29,$A617))),1,0))</f>
        <v/>
      </c>
      <c r="H617" s="50">
        <f>IF($G617=0,0,IF(INDEX(Employees!$D$5:$D$29,$A617)="",0,DATEDIF(INDEX(Employees!$D$5:$D$29,$A617),$E617,"y")))</f>
        <v/>
      </c>
      <c r="I617" s="51">
        <f>IF($G617=0,0,IF(INDEX('Hours Worked'!$D$5:$BD$29,$A617,$B617)="",N(INDEX(Employees!$H$5:$H$29,$A617)),INDEX('Hours Worked'!$D$5:$BD$29,$A617,$B617)))</f>
        <v/>
      </c>
      <c r="J617" s="51">
        <f>IF(OR($G617=0,INDEX(Employees!$O$5:$O$29,$A617)&lt;&gt;"Yes"),0,IF(COUNTIF(Settings!$D$4:$D$9,"&lt;="&amp;$H617)=0,0,INDEX(Settings!$E$4:$E$9,COUNTIF(Settings!$D$4:$D$9,"&lt;="&amp;$H617))))</f>
        <v/>
      </c>
      <c r="K617" s="51">
        <f>IF($G617=0,0,IF(INDEX(Employees!$I$5:$I$29,$A617)="Per pay period",(N(INDEX(Employees!$J$5:$J$29,$A617))+$J617)/Settings!$B$13,IF(INDEX(Employees!$I$5:$I$29,$A617)="Per hour worked",N(INDEX(Employees!$K$5:$K$29,$A617))*$I617,IF(INDEX(Employees!$I$5:$I$29,$A617)="Front-loaded",IF(OR($B617=1,N($G616)=0),N(INDEX(Employees!$J$5:$J$29,$A617))+$J617,0),0))))</f>
        <v/>
      </c>
      <c r="L617" s="51">
        <f>IF($F617=0,0,SUMIFS('Time Off Log'!$H$5:$H$504,'Time Off Log'!$A$5:$A$504,$C617,'Time Off Log'!$B$5:$B$504,"PTO",'Time Off Log'!$E$5:$E$504,"Approved",'Time Off Log'!$C$5:$C$504,"&gt;="&amp;INDEX(Periods!$E$5:$E$57,$B617),'Time Off Log'!$C$5:$C$504,"&lt;="&amp;INDEX(Periods!$F$5:$F$57,$B617)))</f>
        <v/>
      </c>
      <c r="M617" s="51">
        <f>IF($B617=1,N(INDEX(Employees!$N$5:$N$29,$A617)),P616)</f>
        <v/>
      </c>
      <c r="N617" s="51">
        <f>IF(INDEX(Employees!$L$5:$L$29,$A617)="",K617,MAX(0,MIN(K617,INDEX(Employees!$L$5:$L$29,$A617)-(M617-L617))))</f>
        <v/>
      </c>
      <c r="O617" s="51">
        <f>K617-N617</f>
        <v/>
      </c>
      <c r="P617" s="51">
        <f>M617-L617+N617</f>
        <v/>
      </c>
      <c r="Q617" s="51">
        <f>IF($G617=0,0,IF(INDEX(Employees!$P$5:$P$29,$A617)="Per pay period",(N(INDEX(Employees!$Q$5:$Q$29,$A617)))/Settings!$B$13,IF(INDEX(Employees!$P$5:$P$29,$A617)="Per hour worked",N(INDEX(Employees!$R$5:$R$29,$A617))*$I617,IF(INDEX(Employees!$P$5:$P$29,$A617)="Front-loaded",IF(OR($B617=1,N($G616)=0),N(INDEX(Employees!$Q$5:$Q$29,$A617)),0),0))))</f>
        <v/>
      </c>
      <c r="R617" s="51">
        <f>IF($F617=0,0,SUMIFS('Time Off Log'!$H$5:$H$504,'Time Off Log'!$A$5:$A$504,$C617,'Time Off Log'!$B$5:$B$504,"Sick",'Time Off Log'!$E$5:$E$504,"Approved",'Time Off Log'!$C$5:$C$504,"&gt;="&amp;INDEX(Periods!$E$5:$E$57,$B617),'Time Off Log'!$C$5:$C$504,"&lt;="&amp;INDEX(Periods!$F$5:$F$57,$B617)))</f>
        <v/>
      </c>
      <c r="S617" s="51">
        <f>IF($B617=1,N(INDEX(Employees!$T$5:$T$29,$A617)),V616)</f>
        <v/>
      </c>
      <c r="T617" s="51">
        <f>IF(INDEX(Employees!$S$5:$S$29,$A617)="",Q617,MAX(0,MIN(Q617,INDEX(Employees!$S$5:$S$29,$A617)-(S617-R617))))</f>
        <v/>
      </c>
      <c r="U617" s="51">
        <f>Q617-T617</f>
        <v/>
      </c>
      <c r="V617" s="51">
        <f>S617-R617+T617</f>
        <v/>
      </c>
    </row>
    <row r="618">
      <c r="A618" s="50" t="n">
        <v>12</v>
      </c>
      <c r="B618" s="50" t="n">
        <v>31</v>
      </c>
      <c r="C618" s="51">
        <f>INDEX(Employees!$B$5:$B$29,$A618)&amp;""</f>
        <v/>
      </c>
      <c r="D618" s="52">
        <f>INDEX(Periods!$B$5:$B$57,$B618)</f>
        <v/>
      </c>
      <c r="E618" s="52">
        <f>INDEX(Periods!$C$5:$C$57,$B618)</f>
        <v/>
      </c>
      <c r="F618" s="50">
        <f>IF(AND($C618&lt;&gt;"",INDEX(Periods!$D$5:$D$57,$B618)=1),1,0)</f>
        <v/>
      </c>
      <c r="G618" s="50">
        <f>IF($F618=0,0,IF(AND(OR(INDEX(Employees!$D$5:$D$29,$A618)="",$E618&gt;=INDEX(Employees!$D$5:$D$29,$A618)+N(INDEX(Employees!$U$5:$U$29,$A618))),OR(INDEX(Employees!$E$5:$E$29,$A618)="",$D618&lt;=INDEX(Employees!$E$5:$E$29,$A618))),1,0))</f>
        <v/>
      </c>
      <c r="H618" s="50">
        <f>IF($G618=0,0,IF(INDEX(Employees!$D$5:$D$29,$A618)="",0,DATEDIF(INDEX(Employees!$D$5:$D$29,$A618),$E618,"y")))</f>
        <v/>
      </c>
      <c r="I618" s="51">
        <f>IF($G618=0,0,IF(INDEX('Hours Worked'!$D$5:$BD$29,$A618,$B618)="",N(INDEX(Employees!$H$5:$H$29,$A618)),INDEX('Hours Worked'!$D$5:$BD$29,$A618,$B618)))</f>
        <v/>
      </c>
      <c r="J618" s="51">
        <f>IF(OR($G618=0,INDEX(Employees!$O$5:$O$29,$A618)&lt;&gt;"Yes"),0,IF(COUNTIF(Settings!$D$4:$D$9,"&lt;="&amp;$H618)=0,0,INDEX(Settings!$E$4:$E$9,COUNTIF(Settings!$D$4:$D$9,"&lt;="&amp;$H618))))</f>
        <v/>
      </c>
      <c r="K618" s="51">
        <f>IF($G618=0,0,IF(INDEX(Employees!$I$5:$I$29,$A618)="Per pay period",(N(INDEX(Employees!$J$5:$J$29,$A618))+$J618)/Settings!$B$13,IF(INDEX(Employees!$I$5:$I$29,$A618)="Per hour worked",N(INDEX(Employees!$K$5:$K$29,$A618))*$I618,IF(INDEX(Employees!$I$5:$I$29,$A618)="Front-loaded",IF(OR($B618=1,N($G617)=0),N(INDEX(Employees!$J$5:$J$29,$A618))+$J618,0),0))))</f>
        <v/>
      </c>
      <c r="L618" s="51">
        <f>IF($F618=0,0,SUMIFS('Time Off Log'!$H$5:$H$504,'Time Off Log'!$A$5:$A$504,$C618,'Time Off Log'!$B$5:$B$504,"PTO",'Time Off Log'!$E$5:$E$504,"Approved",'Time Off Log'!$C$5:$C$504,"&gt;="&amp;INDEX(Periods!$E$5:$E$57,$B618),'Time Off Log'!$C$5:$C$504,"&lt;="&amp;INDEX(Periods!$F$5:$F$57,$B618)))</f>
        <v/>
      </c>
      <c r="M618" s="51">
        <f>IF($B618=1,N(INDEX(Employees!$N$5:$N$29,$A618)),P617)</f>
        <v/>
      </c>
      <c r="N618" s="51">
        <f>IF(INDEX(Employees!$L$5:$L$29,$A618)="",K618,MAX(0,MIN(K618,INDEX(Employees!$L$5:$L$29,$A618)-(M618-L618))))</f>
        <v/>
      </c>
      <c r="O618" s="51">
        <f>K618-N618</f>
        <v/>
      </c>
      <c r="P618" s="51">
        <f>M618-L618+N618</f>
        <v/>
      </c>
      <c r="Q618" s="51">
        <f>IF($G618=0,0,IF(INDEX(Employees!$P$5:$P$29,$A618)="Per pay period",(N(INDEX(Employees!$Q$5:$Q$29,$A618)))/Settings!$B$13,IF(INDEX(Employees!$P$5:$P$29,$A618)="Per hour worked",N(INDEX(Employees!$R$5:$R$29,$A618))*$I618,IF(INDEX(Employees!$P$5:$P$29,$A618)="Front-loaded",IF(OR($B618=1,N($G617)=0),N(INDEX(Employees!$Q$5:$Q$29,$A618)),0),0))))</f>
        <v/>
      </c>
      <c r="R618" s="51">
        <f>IF($F618=0,0,SUMIFS('Time Off Log'!$H$5:$H$504,'Time Off Log'!$A$5:$A$504,$C618,'Time Off Log'!$B$5:$B$504,"Sick",'Time Off Log'!$E$5:$E$504,"Approved",'Time Off Log'!$C$5:$C$504,"&gt;="&amp;INDEX(Periods!$E$5:$E$57,$B618),'Time Off Log'!$C$5:$C$504,"&lt;="&amp;INDEX(Periods!$F$5:$F$57,$B618)))</f>
        <v/>
      </c>
      <c r="S618" s="51">
        <f>IF($B618=1,N(INDEX(Employees!$T$5:$T$29,$A618)),V617)</f>
        <v/>
      </c>
      <c r="T618" s="51">
        <f>IF(INDEX(Employees!$S$5:$S$29,$A618)="",Q618,MAX(0,MIN(Q618,INDEX(Employees!$S$5:$S$29,$A618)-(S618-R618))))</f>
        <v/>
      </c>
      <c r="U618" s="51">
        <f>Q618-T618</f>
        <v/>
      </c>
      <c r="V618" s="51">
        <f>S618-R618+T618</f>
        <v/>
      </c>
    </row>
    <row r="619">
      <c r="A619" s="50" t="n">
        <v>12</v>
      </c>
      <c r="B619" s="50" t="n">
        <v>32</v>
      </c>
      <c r="C619" s="51">
        <f>INDEX(Employees!$B$5:$B$29,$A619)&amp;""</f>
        <v/>
      </c>
      <c r="D619" s="52">
        <f>INDEX(Periods!$B$5:$B$57,$B619)</f>
        <v/>
      </c>
      <c r="E619" s="52">
        <f>INDEX(Periods!$C$5:$C$57,$B619)</f>
        <v/>
      </c>
      <c r="F619" s="50">
        <f>IF(AND($C619&lt;&gt;"",INDEX(Periods!$D$5:$D$57,$B619)=1),1,0)</f>
        <v/>
      </c>
      <c r="G619" s="50">
        <f>IF($F619=0,0,IF(AND(OR(INDEX(Employees!$D$5:$D$29,$A619)="",$E619&gt;=INDEX(Employees!$D$5:$D$29,$A619)+N(INDEX(Employees!$U$5:$U$29,$A619))),OR(INDEX(Employees!$E$5:$E$29,$A619)="",$D619&lt;=INDEX(Employees!$E$5:$E$29,$A619))),1,0))</f>
        <v/>
      </c>
      <c r="H619" s="50">
        <f>IF($G619=0,0,IF(INDEX(Employees!$D$5:$D$29,$A619)="",0,DATEDIF(INDEX(Employees!$D$5:$D$29,$A619),$E619,"y")))</f>
        <v/>
      </c>
      <c r="I619" s="51">
        <f>IF($G619=0,0,IF(INDEX('Hours Worked'!$D$5:$BD$29,$A619,$B619)="",N(INDEX(Employees!$H$5:$H$29,$A619)),INDEX('Hours Worked'!$D$5:$BD$29,$A619,$B619)))</f>
        <v/>
      </c>
      <c r="J619" s="51">
        <f>IF(OR($G619=0,INDEX(Employees!$O$5:$O$29,$A619)&lt;&gt;"Yes"),0,IF(COUNTIF(Settings!$D$4:$D$9,"&lt;="&amp;$H619)=0,0,INDEX(Settings!$E$4:$E$9,COUNTIF(Settings!$D$4:$D$9,"&lt;="&amp;$H619))))</f>
        <v/>
      </c>
      <c r="K619" s="51">
        <f>IF($G619=0,0,IF(INDEX(Employees!$I$5:$I$29,$A619)="Per pay period",(N(INDEX(Employees!$J$5:$J$29,$A619))+$J619)/Settings!$B$13,IF(INDEX(Employees!$I$5:$I$29,$A619)="Per hour worked",N(INDEX(Employees!$K$5:$K$29,$A619))*$I619,IF(INDEX(Employees!$I$5:$I$29,$A619)="Front-loaded",IF(OR($B619=1,N($G618)=0),N(INDEX(Employees!$J$5:$J$29,$A619))+$J619,0),0))))</f>
        <v/>
      </c>
      <c r="L619" s="51">
        <f>IF($F619=0,0,SUMIFS('Time Off Log'!$H$5:$H$504,'Time Off Log'!$A$5:$A$504,$C619,'Time Off Log'!$B$5:$B$504,"PTO",'Time Off Log'!$E$5:$E$504,"Approved",'Time Off Log'!$C$5:$C$504,"&gt;="&amp;INDEX(Periods!$E$5:$E$57,$B619),'Time Off Log'!$C$5:$C$504,"&lt;="&amp;INDEX(Periods!$F$5:$F$57,$B619)))</f>
        <v/>
      </c>
      <c r="M619" s="51">
        <f>IF($B619=1,N(INDEX(Employees!$N$5:$N$29,$A619)),P618)</f>
        <v/>
      </c>
      <c r="N619" s="51">
        <f>IF(INDEX(Employees!$L$5:$L$29,$A619)="",K619,MAX(0,MIN(K619,INDEX(Employees!$L$5:$L$29,$A619)-(M619-L619))))</f>
        <v/>
      </c>
      <c r="O619" s="51">
        <f>K619-N619</f>
        <v/>
      </c>
      <c r="P619" s="51">
        <f>M619-L619+N619</f>
        <v/>
      </c>
      <c r="Q619" s="51">
        <f>IF($G619=0,0,IF(INDEX(Employees!$P$5:$P$29,$A619)="Per pay period",(N(INDEX(Employees!$Q$5:$Q$29,$A619)))/Settings!$B$13,IF(INDEX(Employees!$P$5:$P$29,$A619)="Per hour worked",N(INDEX(Employees!$R$5:$R$29,$A619))*$I619,IF(INDEX(Employees!$P$5:$P$29,$A619)="Front-loaded",IF(OR($B619=1,N($G618)=0),N(INDEX(Employees!$Q$5:$Q$29,$A619)),0),0))))</f>
        <v/>
      </c>
      <c r="R619" s="51">
        <f>IF($F619=0,0,SUMIFS('Time Off Log'!$H$5:$H$504,'Time Off Log'!$A$5:$A$504,$C619,'Time Off Log'!$B$5:$B$504,"Sick",'Time Off Log'!$E$5:$E$504,"Approved",'Time Off Log'!$C$5:$C$504,"&gt;="&amp;INDEX(Periods!$E$5:$E$57,$B619),'Time Off Log'!$C$5:$C$504,"&lt;="&amp;INDEX(Periods!$F$5:$F$57,$B619)))</f>
        <v/>
      </c>
      <c r="S619" s="51">
        <f>IF($B619=1,N(INDEX(Employees!$T$5:$T$29,$A619)),V618)</f>
        <v/>
      </c>
      <c r="T619" s="51">
        <f>IF(INDEX(Employees!$S$5:$S$29,$A619)="",Q619,MAX(0,MIN(Q619,INDEX(Employees!$S$5:$S$29,$A619)-(S619-R619))))</f>
        <v/>
      </c>
      <c r="U619" s="51">
        <f>Q619-T619</f>
        <v/>
      </c>
      <c r="V619" s="51">
        <f>S619-R619+T619</f>
        <v/>
      </c>
    </row>
    <row r="620">
      <c r="A620" s="50" t="n">
        <v>12</v>
      </c>
      <c r="B620" s="50" t="n">
        <v>33</v>
      </c>
      <c r="C620" s="51">
        <f>INDEX(Employees!$B$5:$B$29,$A620)&amp;""</f>
        <v/>
      </c>
      <c r="D620" s="52">
        <f>INDEX(Periods!$B$5:$B$57,$B620)</f>
        <v/>
      </c>
      <c r="E620" s="52">
        <f>INDEX(Periods!$C$5:$C$57,$B620)</f>
        <v/>
      </c>
      <c r="F620" s="50">
        <f>IF(AND($C620&lt;&gt;"",INDEX(Periods!$D$5:$D$57,$B620)=1),1,0)</f>
        <v/>
      </c>
      <c r="G620" s="50">
        <f>IF($F620=0,0,IF(AND(OR(INDEX(Employees!$D$5:$D$29,$A620)="",$E620&gt;=INDEX(Employees!$D$5:$D$29,$A620)+N(INDEX(Employees!$U$5:$U$29,$A620))),OR(INDEX(Employees!$E$5:$E$29,$A620)="",$D620&lt;=INDEX(Employees!$E$5:$E$29,$A620))),1,0))</f>
        <v/>
      </c>
      <c r="H620" s="50">
        <f>IF($G620=0,0,IF(INDEX(Employees!$D$5:$D$29,$A620)="",0,DATEDIF(INDEX(Employees!$D$5:$D$29,$A620),$E620,"y")))</f>
        <v/>
      </c>
      <c r="I620" s="51">
        <f>IF($G620=0,0,IF(INDEX('Hours Worked'!$D$5:$BD$29,$A620,$B620)="",N(INDEX(Employees!$H$5:$H$29,$A620)),INDEX('Hours Worked'!$D$5:$BD$29,$A620,$B620)))</f>
        <v/>
      </c>
      <c r="J620" s="51">
        <f>IF(OR($G620=0,INDEX(Employees!$O$5:$O$29,$A620)&lt;&gt;"Yes"),0,IF(COUNTIF(Settings!$D$4:$D$9,"&lt;="&amp;$H620)=0,0,INDEX(Settings!$E$4:$E$9,COUNTIF(Settings!$D$4:$D$9,"&lt;="&amp;$H620))))</f>
        <v/>
      </c>
      <c r="K620" s="51">
        <f>IF($G620=0,0,IF(INDEX(Employees!$I$5:$I$29,$A620)="Per pay period",(N(INDEX(Employees!$J$5:$J$29,$A620))+$J620)/Settings!$B$13,IF(INDEX(Employees!$I$5:$I$29,$A620)="Per hour worked",N(INDEX(Employees!$K$5:$K$29,$A620))*$I620,IF(INDEX(Employees!$I$5:$I$29,$A620)="Front-loaded",IF(OR($B620=1,N($G619)=0),N(INDEX(Employees!$J$5:$J$29,$A620))+$J620,0),0))))</f>
        <v/>
      </c>
      <c r="L620" s="51">
        <f>IF($F620=0,0,SUMIFS('Time Off Log'!$H$5:$H$504,'Time Off Log'!$A$5:$A$504,$C620,'Time Off Log'!$B$5:$B$504,"PTO",'Time Off Log'!$E$5:$E$504,"Approved",'Time Off Log'!$C$5:$C$504,"&gt;="&amp;INDEX(Periods!$E$5:$E$57,$B620),'Time Off Log'!$C$5:$C$504,"&lt;="&amp;INDEX(Periods!$F$5:$F$57,$B620)))</f>
        <v/>
      </c>
      <c r="M620" s="51">
        <f>IF($B620=1,N(INDEX(Employees!$N$5:$N$29,$A620)),P619)</f>
        <v/>
      </c>
      <c r="N620" s="51">
        <f>IF(INDEX(Employees!$L$5:$L$29,$A620)="",K620,MAX(0,MIN(K620,INDEX(Employees!$L$5:$L$29,$A620)-(M620-L620))))</f>
        <v/>
      </c>
      <c r="O620" s="51">
        <f>K620-N620</f>
        <v/>
      </c>
      <c r="P620" s="51">
        <f>M620-L620+N620</f>
        <v/>
      </c>
      <c r="Q620" s="51">
        <f>IF($G620=0,0,IF(INDEX(Employees!$P$5:$P$29,$A620)="Per pay period",(N(INDEX(Employees!$Q$5:$Q$29,$A620)))/Settings!$B$13,IF(INDEX(Employees!$P$5:$P$29,$A620)="Per hour worked",N(INDEX(Employees!$R$5:$R$29,$A620))*$I620,IF(INDEX(Employees!$P$5:$P$29,$A620)="Front-loaded",IF(OR($B620=1,N($G619)=0),N(INDEX(Employees!$Q$5:$Q$29,$A620)),0),0))))</f>
        <v/>
      </c>
      <c r="R620" s="51">
        <f>IF($F620=0,0,SUMIFS('Time Off Log'!$H$5:$H$504,'Time Off Log'!$A$5:$A$504,$C620,'Time Off Log'!$B$5:$B$504,"Sick",'Time Off Log'!$E$5:$E$504,"Approved",'Time Off Log'!$C$5:$C$504,"&gt;="&amp;INDEX(Periods!$E$5:$E$57,$B620),'Time Off Log'!$C$5:$C$504,"&lt;="&amp;INDEX(Periods!$F$5:$F$57,$B620)))</f>
        <v/>
      </c>
      <c r="S620" s="51">
        <f>IF($B620=1,N(INDEX(Employees!$T$5:$T$29,$A620)),V619)</f>
        <v/>
      </c>
      <c r="T620" s="51">
        <f>IF(INDEX(Employees!$S$5:$S$29,$A620)="",Q620,MAX(0,MIN(Q620,INDEX(Employees!$S$5:$S$29,$A620)-(S620-R620))))</f>
        <v/>
      </c>
      <c r="U620" s="51">
        <f>Q620-T620</f>
        <v/>
      </c>
      <c r="V620" s="51">
        <f>S620-R620+T620</f>
        <v/>
      </c>
    </row>
    <row r="621">
      <c r="A621" s="50" t="n">
        <v>12</v>
      </c>
      <c r="B621" s="50" t="n">
        <v>34</v>
      </c>
      <c r="C621" s="51">
        <f>INDEX(Employees!$B$5:$B$29,$A621)&amp;""</f>
        <v/>
      </c>
      <c r="D621" s="52">
        <f>INDEX(Periods!$B$5:$B$57,$B621)</f>
        <v/>
      </c>
      <c r="E621" s="52">
        <f>INDEX(Periods!$C$5:$C$57,$B621)</f>
        <v/>
      </c>
      <c r="F621" s="50">
        <f>IF(AND($C621&lt;&gt;"",INDEX(Periods!$D$5:$D$57,$B621)=1),1,0)</f>
        <v/>
      </c>
      <c r="G621" s="50">
        <f>IF($F621=0,0,IF(AND(OR(INDEX(Employees!$D$5:$D$29,$A621)="",$E621&gt;=INDEX(Employees!$D$5:$D$29,$A621)+N(INDEX(Employees!$U$5:$U$29,$A621))),OR(INDEX(Employees!$E$5:$E$29,$A621)="",$D621&lt;=INDEX(Employees!$E$5:$E$29,$A621))),1,0))</f>
        <v/>
      </c>
      <c r="H621" s="50">
        <f>IF($G621=0,0,IF(INDEX(Employees!$D$5:$D$29,$A621)="",0,DATEDIF(INDEX(Employees!$D$5:$D$29,$A621),$E621,"y")))</f>
        <v/>
      </c>
      <c r="I621" s="51">
        <f>IF($G621=0,0,IF(INDEX('Hours Worked'!$D$5:$BD$29,$A621,$B621)="",N(INDEX(Employees!$H$5:$H$29,$A621)),INDEX('Hours Worked'!$D$5:$BD$29,$A621,$B621)))</f>
        <v/>
      </c>
      <c r="J621" s="51">
        <f>IF(OR($G621=0,INDEX(Employees!$O$5:$O$29,$A621)&lt;&gt;"Yes"),0,IF(COUNTIF(Settings!$D$4:$D$9,"&lt;="&amp;$H621)=0,0,INDEX(Settings!$E$4:$E$9,COUNTIF(Settings!$D$4:$D$9,"&lt;="&amp;$H621))))</f>
        <v/>
      </c>
      <c r="K621" s="51">
        <f>IF($G621=0,0,IF(INDEX(Employees!$I$5:$I$29,$A621)="Per pay period",(N(INDEX(Employees!$J$5:$J$29,$A621))+$J621)/Settings!$B$13,IF(INDEX(Employees!$I$5:$I$29,$A621)="Per hour worked",N(INDEX(Employees!$K$5:$K$29,$A621))*$I621,IF(INDEX(Employees!$I$5:$I$29,$A621)="Front-loaded",IF(OR($B621=1,N($G620)=0),N(INDEX(Employees!$J$5:$J$29,$A621))+$J621,0),0))))</f>
        <v/>
      </c>
      <c r="L621" s="51">
        <f>IF($F621=0,0,SUMIFS('Time Off Log'!$H$5:$H$504,'Time Off Log'!$A$5:$A$504,$C621,'Time Off Log'!$B$5:$B$504,"PTO",'Time Off Log'!$E$5:$E$504,"Approved",'Time Off Log'!$C$5:$C$504,"&gt;="&amp;INDEX(Periods!$E$5:$E$57,$B621),'Time Off Log'!$C$5:$C$504,"&lt;="&amp;INDEX(Periods!$F$5:$F$57,$B621)))</f>
        <v/>
      </c>
      <c r="M621" s="51">
        <f>IF($B621=1,N(INDEX(Employees!$N$5:$N$29,$A621)),P620)</f>
        <v/>
      </c>
      <c r="N621" s="51">
        <f>IF(INDEX(Employees!$L$5:$L$29,$A621)="",K621,MAX(0,MIN(K621,INDEX(Employees!$L$5:$L$29,$A621)-(M621-L621))))</f>
        <v/>
      </c>
      <c r="O621" s="51">
        <f>K621-N621</f>
        <v/>
      </c>
      <c r="P621" s="51">
        <f>M621-L621+N621</f>
        <v/>
      </c>
      <c r="Q621" s="51">
        <f>IF($G621=0,0,IF(INDEX(Employees!$P$5:$P$29,$A621)="Per pay period",(N(INDEX(Employees!$Q$5:$Q$29,$A621)))/Settings!$B$13,IF(INDEX(Employees!$P$5:$P$29,$A621)="Per hour worked",N(INDEX(Employees!$R$5:$R$29,$A621))*$I621,IF(INDEX(Employees!$P$5:$P$29,$A621)="Front-loaded",IF(OR($B621=1,N($G620)=0),N(INDEX(Employees!$Q$5:$Q$29,$A621)),0),0))))</f>
        <v/>
      </c>
      <c r="R621" s="51">
        <f>IF($F621=0,0,SUMIFS('Time Off Log'!$H$5:$H$504,'Time Off Log'!$A$5:$A$504,$C621,'Time Off Log'!$B$5:$B$504,"Sick",'Time Off Log'!$E$5:$E$504,"Approved",'Time Off Log'!$C$5:$C$504,"&gt;="&amp;INDEX(Periods!$E$5:$E$57,$B621),'Time Off Log'!$C$5:$C$504,"&lt;="&amp;INDEX(Periods!$F$5:$F$57,$B621)))</f>
        <v/>
      </c>
      <c r="S621" s="51">
        <f>IF($B621=1,N(INDEX(Employees!$T$5:$T$29,$A621)),V620)</f>
        <v/>
      </c>
      <c r="T621" s="51">
        <f>IF(INDEX(Employees!$S$5:$S$29,$A621)="",Q621,MAX(0,MIN(Q621,INDEX(Employees!$S$5:$S$29,$A621)-(S621-R621))))</f>
        <v/>
      </c>
      <c r="U621" s="51">
        <f>Q621-T621</f>
        <v/>
      </c>
      <c r="V621" s="51">
        <f>S621-R621+T621</f>
        <v/>
      </c>
    </row>
    <row r="622">
      <c r="A622" s="50" t="n">
        <v>12</v>
      </c>
      <c r="B622" s="50" t="n">
        <v>35</v>
      </c>
      <c r="C622" s="51">
        <f>INDEX(Employees!$B$5:$B$29,$A622)&amp;""</f>
        <v/>
      </c>
      <c r="D622" s="52">
        <f>INDEX(Periods!$B$5:$B$57,$B622)</f>
        <v/>
      </c>
      <c r="E622" s="52">
        <f>INDEX(Periods!$C$5:$C$57,$B622)</f>
        <v/>
      </c>
      <c r="F622" s="50">
        <f>IF(AND($C622&lt;&gt;"",INDEX(Periods!$D$5:$D$57,$B622)=1),1,0)</f>
        <v/>
      </c>
      <c r="G622" s="50">
        <f>IF($F622=0,0,IF(AND(OR(INDEX(Employees!$D$5:$D$29,$A622)="",$E622&gt;=INDEX(Employees!$D$5:$D$29,$A622)+N(INDEX(Employees!$U$5:$U$29,$A622))),OR(INDEX(Employees!$E$5:$E$29,$A622)="",$D622&lt;=INDEX(Employees!$E$5:$E$29,$A622))),1,0))</f>
        <v/>
      </c>
      <c r="H622" s="50">
        <f>IF($G622=0,0,IF(INDEX(Employees!$D$5:$D$29,$A622)="",0,DATEDIF(INDEX(Employees!$D$5:$D$29,$A622),$E622,"y")))</f>
        <v/>
      </c>
      <c r="I622" s="51">
        <f>IF($G622=0,0,IF(INDEX('Hours Worked'!$D$5:$BD$29,$A622,$B622)="",N(INDEX(Employees!$H$5:$H$29,$A622)),INDEX('Hours Worked'!$D$5:$BD$29,$A622,$B622)))</f>
        <v/>
      </c>
      <c r="J622" s="51">
        <f>IF(OR($G622=0,INDEX(Employees!$O$5:$O$29,$A622)&lt;&gt;"Yes"),0,IF(COUNTIF(Settings!$D$4:$D$9,"&lt;="&amp;$H622)=0,0,INDEX(Settings!$E$4:$E$9,COUNTIF(Settings!$D$4:$D$9,"&lt;="&amp;$H622))))</f>
        <v/>
      </c>
      <c r="K622" s="51">
        <f>IF($G622=0,0,IF(INDEX(Employees!$I$5:$I$29,$A622)="Per pay period",(N(INDEX(Employees!$J$5:$J$29,$A622))+$J622)/Settings!$B$13,IF(INDEX(Employees!$I$5:$I$29,$A622)="Per hour worked",N(INDEX(Employees!$K$5:$K$29,$A622))*$I622,IF(INDEX(Employees!$I$5:$I$29,$A622)="Front-loaded",IF(OR($B622=1,N($G621)=0),N(INDEX(Employees!$J$5:$J$29,$A622))+$J622,0),0))))</f>
        <v/>
      </c>
      <c r="L622" s="51">
        <f>IF($F622=0,0,SUMIFS('Time Off Log'!$H$5:$H$504,'Time Off Log'!$A$5:$A$504,$C622,'Time Off Log'!$B$5:$B$504,"PTO",'Time Off Log'!$E$5:$E$504,"Approved",'Time Off Log'!$C$5:$C$504,"&gt;="&amp;INDEX(Periods!$E$5:$E$57,$B622),'Time Off Log'!$C$5:$C$504,"&lt;="&amp;INDEX(Periods!$F$5:$F$57,$B622)))</f>
        <v/>
      </c>
      <c r="M622" s="51">
        <f>IF($B622=1,N(INDEX(Employees!$N$5:$N$29,$A622)),P621)</f>
        <v/>
      </c>
      <c r="N622" s="51">
        <f>IF(INDEX(Employees!$L$5:$L$29,$A622)="",K622,MAX(0,MIN(K622,INDEX(Employees!$L$5:$L$29,$A622)-(M622-L622))))</f>
        <v/>
      </c>
      <c r="O622" s="51">
        <f>K622-N622</f>
        <v/>
      </c>
      <c r="P622" s="51">
        <f>M622-L622+N622</f>
        <v/>
      </c>
      <c r="Q622" s="51">
        <f>IF($G622=0,0,IF(INDEX(Employees!$P$5:$P$29,$A622)="Per pay period",(N(INDEX(Employees!$Q$5:$Q$29,$A622)))/Settings!$B$13,IF(INDEX(Employees!$P$5:$P$29,$A622)="Per hour worked",N(INDEX(Employees!$R$5:$R$29,$A622))*$I622,IF(INDEX(Employees!$P$5:$P$29,$A622)="Front-loaded",IF(OR($B622=1,N($G621)=0),N(INDEX(Employees!$Q$5:$Q$29,$A622)),0),0))))</f>
        <v/>
      </c>
      <c r="R622" s="51">
        <f>IF($F622=0,0,SUMIFS('Time Off Log'!$H$5:$H$504,'Time Off Log'!$A$5:$A$504,$C622,'Time Off Log'!$B$5:$B$504,"Sick",'Time Off Log'!$E$5:$E$504,"Approved",'Time Off Log'!$C$5:$C$504,"&gt;="&amp;INDEX(Periods!$E$5:$E$57,$B622),'Time Off Log'!$C$5:$C$504,"&lt;="&amp;INDEX(Periods!$F$5:$F$57,$B622)))</f>
        <v/>
      </c>
      <c r="S622" s="51">
        <f>IF($B622=1,N(INDEX(Employees!$T$5:$T$29,$A622)),V621)</f>
        <v/>
      </c>
      <c r="T622" s="51">
        <f>IF(INDEX(Employees!$S$5:$S$29,$A622)="",Q622,MAX(0,MIN(Q622,INDEX(Employees!$S$5:$S$29,$A622)-(S622-R622))))</f>
        <v/>
      </c>
      <c r="U622" s="51">
        <f>Q622-T622</f>
        <v/>
      </c>
      <c r="V622" s="51">
        <f>S622-R622+T622</f>
        <v/>
      </c>
    </row>
    <row r="623">
      <c r="A623" s="50" t="n">
        <v>12</v>
      </c>
      <c r="B623" s="50" t="n">
        <v>36</v>
      </c>
      <c r="C623" s="51">
        <f>INDEX(Employees!$B$5:$B$29,$A623)&amp;""</f>
        <v/>
      </c>
      <c r="D623" s="52">
        <f>INDEX(Periods!$B$5:$B$57,$B623)</f>
        <v/>
      </c>
      <c r="E623" s="52">
        <f>INDEX(Periods!$C$5:$C$57,$B623)</f>
        <v/>
      </c>
      <c r="F623" s="50">
        <f>IF(AND($C623&lt;&gt;"",INDEX(Periods!$D$5:$D$57,$B623)=1),1,0)</f>
        <v/>
      </c>
      <c r="G623" s="50">
        <f>IF($F623=0,0,IF(AND(OR(INDEX(Employees!$D$5:$D$29,$A623)="",$E623&gt;=INDEX(Employees!$D$5:$D$29,$A623)+N(INDEX(Employees!$U$5:$U$29,$A623))),OR(INDEX(Employees!$E$5:$E$29,$A623)="",$D623&lt;=INDEX(Employees!$E$5:$E$29,$A623))),1,0))</f>
        <v/>
      </c>
      <c r="H623" s="50">
        <f>IF($G623=0,0,IF(INDEX(Employees!$D$5:$D$29,$A623)="",0,DATEDIF(INDEX(Employees!$D$5:$D$29,$A623),$E623,"y")))</f>
        <v/>
      </c>
      <c r="I623" s="51">
        <f>IF($G623=0,0,IF(INDEX('Hours Worked'!$D$5:$BD$29,$A623,$B623)="",N(INDEX(Employees!$H$5:$H$29,$A623)),INDEX('Hours Worked'!$D$5:$BD$29,$A623,$B623)))</f>
        <v/>
      </c>
      <c r="J623" s="51">
        <f>IF(OR($G623=0,INDEX(Employees!$O$5:$O$29,$A623)&lt;&gt;"Yes"),0,IF(COUNTIF(Settings!$D$4:$D$9,"&lt;="&amp;$H623)=0,0,INDEX(Settings!$E$4:$E$9,COUNTIF(Settings!$D$4:$D$9,"&lt;="&amp;$H623))))</f>
        <v/>
      </c>
      <c r="K623" s="51">
        <f>IF($G623=0,0,IF(INDEX(Employees!$I$5:$I$29,$A623)="Per pay period",(N(INDEX(Employees!$J$5:$J$29,$A623))+$J623)/Settings!$B$13,IF(INDEX(Employees!$I$5:$I$29,$A623)="Per hour worked",N(INDEX(Employees!$K$5:$K$29,$A623))*$I623,IF(INDEX(Employees!$I$5:$I$29,$A623)="Front-loaded",IF(OR($B623=1,N($G622)=0),N(INDEX(Employees!$J$5:$J$29,$A623))+$J623,0),0))))</f>
        <v/>
      </c>
      <c r="L623" s="51">
        <f>IF($F623=0,0,SUMIFS('Time Off Log'!$H$5:$H$504,'Time Off Log'!$A$5:$A$504,$C623,'Time Off Log'!$B$5:$B$504,"PTO",'Time Off Log'!$E$5:$E$504,"Approved",'Time Off Log'!$C$5:$C$504,"&gt;="&amp;INDEX(Periods!$E$5:$E$57,$B623),'Time Off Log'!$C$5:$C$504,"&lt;="&amp;INDEX(Periods!$F$5:$F$57,$B623)))</f>
        <v/>
      </c>
      <c r="M623" s="51">
        <f>IF($B623=1,N(INDEX(Employees!$N$5:$N$29,$A623)),P622)</f>
        <v/>
      </c>
      <c r="N623" s="51">
        <f>IF(INDEX(Employees!$L$5:$L$29,$A623)="",K623,MAX(0,MIN(K623,INDEX(Employees!$L$5:$L$29,$A623)-(M623-L623))))</f>
        <v/>
      </c>
      <c r="O623" s="51">
        <f>K623-N623</f>
        <v/>
      </c>
      <c r="P623" s="51">
        <f>M623-L623+N623</f>
        <v/>
      </c>
      <c r="Q623" s="51">
        <f>IF($G623=0,0,IF(INDEX(Employees!$P$5:$P$29,$A623)="Per pay period",(N(INDEX(Employees!$Q$5:$Q$29,$A623)))/Settings!$B$13,IF(INDEX(Employees!$P$5:$P$29,$A623)="Per hour worked",N(INDEX(Employees!$R$5:$R$29,$A623))*$I623,IF(INDEX(Employees!$P$5:$P$29,$A623)="Front-loaded",IF(OR($B623=1,N($G622)=0),N(INDEX(Employees!$Q$5:$Q$29,$A623)),0),0))))</f>
        <v/>
      </c>
      <c r="R623" s="51">
        <f>IF($F623=0,0,SUMIFS('Time Off Log'!$H$5:$H$504,'Time Off Log'!$A$5:$A$504,$C623,'Time Off Log'!$B$5:$B$504,"Sick",'Time Off Log'!$E$5:$E$504,"Approved",'Time Off Log'!$C$5:$C$504,"&gt;="&amp;INDEX(Periods!$E$5:$E$57,$B623),'Time Off Log'!$C$5:$C$504,"&lt;="&amp;INDEX(Periods!$F$5:$F$57,$B623)))</f>
        <v/>
      </c>
      <c r="S623" s="51">
        <f>IF($B623=1,N(INDEX(Employees!$T$5:$T$29,$A623)),V622)</f>
        <v/>
      </c>
      <c r="T623" s="51">
        <f>IF(INDEX(Employees!$S$5:$S$29,$A623)="",Q623,MAX(0,MIN(Q623,INDEX(Employees!$S$5:$S$29,$A623)-(S623-R623))))</f>
        <v/>
      </c>
      <c r="U623" s="51">
        <f>Q623-T623</f>
        <v/>
      </c>
      <c r="V623" s="51">
        <f>S623-R623+T623</f>
        <v/>
      </c>
    </row>
    <row r="624">
      <c r="A624" s="50" t="n">
        <v>12</v>
      </c>
      <c r="B624" s="50" t="n">
        <v>37</v>
      </c>
      <c r="C624" s="51">
        <f>INDEX(Employees!$B$5:$B$29,$A624)&amp;""</f>
        <v/>
      </c>
      <c r="D624" s="52">
        <f>INDEX(Periods!$B$5:$B$57,$B624)</f>
        <v/>
      </c>
      <c r="E624" s="52">
        <f>INDEX(Periods!$C$5:$C$57,$B624)</f>
        <v/>
      </c>
      <c r="F624" s="50">
        <f>IF(AND($C624&lt;&gt;"",INDEX(Periods!$D$5:$D$57,$B624)=1),1,0)</f>
        <v/>
      </c>
      <c r="G624" s="50">
        <f>IF($F624=0,0,IF(AND(OR(INDEX(Employees!$D$5:$D$29,$A624)="",$E624&gt;=INDEX(Employees!$D$5:$D$29,$A624)+N(INDEX(Employees!$U$5:$U$29,$A624))),OR(INDEX(Employees!$E$5:$E$29,$A624)="",$D624&lt;=INDEX(Employees!$E$5:$E$29,$A624))),1,0))</f>
        <v/>
      </c>
      <c r="H624" s="50">
        <f>IF($G624=0,0,IF(INDEX(Employees!$D$5:$D$29,$A624)="",0,DATEDIF(INDEX(Employees!$D$5:$D$29,$A624),$E624,"y")))</f>
        <v/>
      </c>
      <c r="I624" s="51">
        <f>IF($G624=0,0,IF(INDEX('Hours Worked'!$D$5:$BD$29,$A624,$B624)="",N(INDEX(Employees!$H$5:$H$29,$A624)),INDEX('Hours Worked'!$D$5:$BD$29,$A624,$B624)))</f>
        <v/>
      </c>
      <c r="J624" s="51">
        <f>IF(OR($G624=0,INDEX(Employees!$O$5:$O$29,$A624)&lt;&gt;"Yes"),0,IF(COUNTIF(Settings!$D$4:$D$9,"&lt;="&amp;$H624)=0,0,INDEX(Settings!$E$4:$E$9,COUNTIF(Settings!$D$4:$D$9,"&lt;="&amp;$H624))))</f>
        <v/>
      </c>
      <c r="K624" s="51">
        <f>IF($G624=0,0,IF(INDEX(Employees!$I$5:$I$29,$A624)="Per pay period",(N(INDEX(Employees!$J$5:$J$29,$A624))+$J624)/Settings!$B$13,IF(INDEX(Employees!$I$5:$I$29,$A624)="Per hour worked",N(INDEX(Employees!$K$5:$K$29,$A624))*$I624,IF(INDEX(Employees!$I$5:$I$29,$A624)="Front-loaded",IF(OR($B624=1,N($G623)=0),N(INDEX(Employees!$J$5:$J$29,$A624))+$J624,0),0))))</f>
        <v/>
      </c>
      <c r="L624" s="51">
        <f>IF($F624=0,0,SUMIFS('Time Off Log'!$H$5:$H$504,'Time Off Log'!$A$5:$A$504,$C624,'Time Off Log'!$B$5:$B$504,"PTO",'Time Off Log'!$E$5:$E$504,"Approved",'Time Off Log'!$C$5:$C$504,"&gt;="&amp;INDEX(Periods!$E$5:$E$57,$B624),'Time Off Log'!$C$5:$C$504,"&lt;="&amp;INDEX(Periods!$F$5:$F$57,$B624)))</f>
        <v/>
      </c>
      <c r="M624" s="51">
        <f>IF($B624=1,N(INDEX(Employees!$N$5:$N$29,$A624)),P623)</f>
        <v/>
      </c>
      <c r="N624" s="51">
        <f>IF(INDEX(Employees!$L$5:$L$29,$A624)="",K624,MAX(0,MIN(K624,INDEX(Employees!$L$5:$L$29,$A624)-(M624-L624))))</f>
        <v/>
      </c>
      <c r="O624" s="51">
        <f>K624-N624</f>
        <v/>
      </c>
      <c r="P624" s="51">
        <f>M624-L624+N624</f>
        <v/>
      </c>
      <c r="Q624" s="51">
        <f>IF($G624=0,0,IF(INDEX(Employees!$P$5:$P$29,$A624)="Per pay period",(N(INDEX(Employees!$Q$5:$Q$29,$A624)))/Settings!$B$13,IF(INDEX(Employees!$P$5:$P$29,$A624)="Per hour worked",N(INDEX(Employees!$R$5:$R$29,$A624))*$I624,IF(INDEX(Employees!$P$5:$P$29,$A624)="Front-loaded",IF(OR($B624=1,N($G623)=0),N(INDEX(Employees!$Q$5:$Q$29,$A624)),0),0))))</f>
        <v/>
      </c>
      <c r="R624" s="51">
        <f>IF($F624=0,0,SUMIFS('Time Off Log'!$H$5:$H$504,'Time Off Log'!$A$5:$A$504,$C624,'Time Off Log'!$B$5:$B$504,"Sick",'Time Off Log'!$E$5:$E$504,"Approved",'Time Off Log'!$C$5:$C$504,"&gt;="&amp;INDEX(Periods!$E$5:$E$57,$B624),'Time Off Log'!$C$5:$C$504,"&lt;="&amp;INDEX(Periods!$F$5:$F$57,$B624)))</f>
        <v/>
      </c>
      <c r="S624" s="51">
        <f>IF($B624=1,N(INDEX(Employees!$T$5:$T$29,$A624)),V623)</f>
        <v/>
      </c>
      <c r="T624" s="51">
        <f>IF(INDEX(Employees!$S$5:$S$29,$A624)="",Q624,MAX(0,MIN(Q624,INDEX(Employees!$S$5:$S$29,$A624)-(S624-R624))))</f>
        <v/>
      </c>
      <c r="U624" s="51">
        <f>Q624-T624</f>
        <v/>
      </c>
      <c r="V624" s="51">
        <f>S624-R624+T624</f>
        <v/>
      </c>
    </row>
    <row r="625">
      <c r="A625" s="50" t="n">
        <v>12</v>
      </c>
      <c r="B625" s="50" t="n">
        <v>38</v>
      </c>
      <c r="C625" s="51">
        <f>INDEX(Employees!$B$5:$B$29,$A625)&amp;""</f>
        <v/>
      </c>
      <c r="D625" s="52">
        <f>INDEX(Periods!$B$5:$B$57,$B625)</f>
        <v/>
      </c>
      <c r="E625" s="52">
        <f>INDEX(Periods!$C$5:$C$57,$B625)</f>
        <v/>
      </c>
      <c r="F625" s="50">
        <f>IF(AND($C625&lt;&gt;"",INDEX(Periods!$D$5:$D$57,$B625)=1),1,0)</f>
        <v/>
      </c>
      <c r="G625" s="50">
        <f>IF($F625=0,0,IF(AND(OR(INDEX(Employees!$D$5:$D$29,$A625)="",$E625&gt;=INDEX(Employees!$D$5:$D$29,$A625)+N(INDEX(Employees!$U$5:$U$29,$A625))),OR(INDEX(Employees!$E$5:$E$29,$A625)="",$D625&lt;=INDEX(Employees!$E$5:$E$29,$A625))),1,0))</f>
        <v/>
      </c>
      <c r="H625" s="50">
        <f>IF($G625=0,0,IF(INDEX(Employees!$D$5:$D$29,$A625)="",0,DATEDIF(INDEX(Employees!$D$5:$D$29,$A625),$E625,"y")))</f>
        <v/>
      </c>
      <c r="I625" s="51">
        <f>IF($G625=0,0,IF(INDEX('Hours Worked'!$D$5:$BD$29,$A625,$B625)="",N(INDEX(Employees!$H$5:$H$29,$A625)),INDEX('Hours Worked'!$D$5:$BD$29,$A625,$B625)))</f>
        <v/>
      </c>
      <c r="J625" s="51">
        <f>IF(OR($G625=0,INDEX(Employees!$O$5:$O$29,$A625)&lt;&gt;"Yes"),0,IF(COUNTIF(Settings!$D$4:$D$9,"&lt;="&amp;$H625)=0,0,INDEX(Settings!$E$4:$E$9,COUNTIF(Settings!$D$4:$D$9,"&lt;="&amp;$H625))))</f>
        <v/>
      </c>
      <c r="K625" s="51">
        <f>IF($G625=0,0,IF(INDEX(Employees!$I$5:$I$29,$A625)="Per pay period",(N(INDEX(Employees!$J$5:$J$29,$A625))+$J625)/Settings!$B$13,IF(INDEX(Employees!$I$5:$I$29,$A625)="Per hour worked",N(INDEX(Employees!$K$5:$K$29,$A625))*$I625,IF(INDEX(Employees!$I$5:$I$29,$A625)="Front-loaded",IF(OR($B625=1,N($G624)=0),N(INDEX(Employees!$J$5:$J$29,$A625))+$J625,0),0))))</f>
        <v/>
      </c>
      <c r="L625" s="51">
        <f>IF($F625=0,0,SUMIFS('Time Off Log'!$H$5:$H$504,'Time Off Log'!$A$5:$A$504,$C625,'Time Off Log'!$B$5:$B$504,"PTO",'Time Off Log'!$E$5:$E$504,"Approved",'Time Off Log'!$C$5:$C$504,"&gt;="&amp;INDEX(Periods!$E$5:$E$57,$B625),'Time Off Log'!$C$5:$C$504,"&lt;="&amp;INDEX(Periods!$F$5:$F$57,$B625)))</f>
        <v/>
      </c>
      <c r="M625" s="51">
        <f>IF($B625=1,N(INDEX(Employees!$N$5:$N$29,$A625)),P624)</f>
        <v/>
      </c>
      <c r="N625" s="51">
        <f>IF(INDEX(Employees!$L$5:$L$29,$A625)="",K625,MAX(0,MIN(K625,INDEX(Employees!$L$5:$L$29,$A625)-(M625-L625))))</f>
        <v/>
      </c>
      <c r="O625" s="51">
        <f>K625-N625</f>
        <v/>
      </c>
      <c r="P625" s="51">
        <f>M625-L625+N625</f>
        <v/>
      </c>
      <c r="Q625" s="51">
        <f>IF($G625=0,0,IF(INDEX(Employees!$P$5:$P$29,$A625)="Per pay period",(N(INDEX(Employees!$Q$5:$Q$29,$A625)))/Settings!$B$13,IF(INDEX(Employees!$P$5:$P$29,$A625)="Per hour worked",N(INDEX(Employees!$R$5:$R$29,$A625))*$I625,IF(INDEX(Employees!$P$5:$P$29,$A625)="Front-loaded",IF(OR($B625=1,N($G624)=0),N(INDEX(Employees!$Q$5:$Q$29,$A625)),0),0))))</f>
        <v/>
      </c>
      <c r="R625" s="51">
        <f>IF($F625=0,0,SUMIFS('Time Off Log'!$H$5:$H$504,'Time Off Log'!$A$5:$A$504,$C625,'Time Off Log'!$B$5:$B$504,"Sick",'Time Off Log'!$E$5:$E$504,"Approved",'Time Off Log'!$C$5:$C$504,"&gt;="&amp;INDEX(Periods!$E$5:$E$57,$B625),'Time Off Log'!$C$5:$C$504,"&lt;="&amp;INDEX(Periods!$F$5:$F$57,$B625)))</f>
        <v/>
      </c>
      <c r="S625" s="51">
        <f>IF($B625=1,N(INDEX(Employees!$T$5:$T$29,$A625)),V624)</f>
        <v/>
      </c>
      <c r="T625" s="51">
        <f>IF(INDEX(Employees!$S$5:$S$29,$A625)="",Q625,MAX(0,MIN(Q625,INDEX(Employees!$S$5:$S$29,$A625)-(S625-R625))))</f>
        <v/>
      </c>
      <c r="U625" s="51">
        <f>Q625-T625</f>
        <v/>
      </c>
      <c r="V625" s="51">
        <f>S625-R625+T625</f>
        <v/>
      </c>
    </row>
    <row r="626">
      <c r="A626" s="50" t="n">
        <v>12</v>
      </c>
      <c r="B626" s="50" t="n">
        <v>39</v>
      </c>
      <c r="C626" s="51">
        <f>INDEX(Employees!$B$5:$B$29,$A626)&amp;""</f>
        <v/>
      </c>
      <c r="D626" s="52">
        <f>INDEX(Periods!$B$5:$B$57,$B626)</f>
        <v/>
      </c>
      <c r="E626" s="52">
        <f>INDEX(Periods!$C$5:$C$57,$B626)</f>
        <v/>
      </c>
      <c r="F626" s="50">
        <f>IF(AND($C626&lt;&gt;"",INDEX(Periods!$D$5:$D$57,$B626)=1),1,0)</f>
        <v/>
      </c>
      <c r="G626" s="50">
        <f>IF($F626=0,0,IF(AND(OR(INDEX(Employees!$D$5:$D$29,$A626)="",$E626&gt;=INDEX(Employees!$D$5:$D$29,$A626)+N(INDEX(Employees!$U$5:$U$29,$A626))),OR(INDEX(Employees!$E$5:$E$29,$A626)="",$D626&lt;=INDEX(Employees!$E$5:$E$29,$A626))),1,0))</f>
        <v/>
      </c>
      <c r="H626" s="50">
        <f>IF($G626=0,0,IF(INDEX(Employees!$D$5:$D$29,$A626)="",0,DATEDIF(INDEX(Employees!$D$5:$D$29,$A626),$E626,"y")))</f>
        <v/>
      </c>
      <c r="I626" s="51">
        <f>IF($G626=0,0,IF(INDEX('Hours Worked'!$D$5:$BD$29,$A626,$B626)="",N(INDEX(Employees!$H$5:$H$29,$A626)),INDEX('Hours Worked'!$D$5:$BD$29,$A626,$B626)))</f>
        <v/>
      </c>
      <c r="J626" s="51">
        <f>IF(OR($G626=0,INDEX(Employees!$O$5:$O$29,$A626)&lt;&gt;"Yes"),0,IF(COUNTIF(Settings!$D$4:$D$9,"&lt;="&amp;$H626)=0,0,INDEX(Settings!$E$4:$E$9,COUNTIF(Settings!$D$4:$D$9,"&lt;="&amp;$H626))))</f>
        <v/>
      </c>
      <c r="K626" s="51">
        <f>IF($G626=0,0,IF(INDEX(Employees!$I$5:$I$29,$A626)="Per pay period",(N(INDEX(Employees!$J$5:$J$29,$A626))+$J626)/Settings!$B$13,IF(INDEX(Employees!$I$5:$I$29,$A626)="Per hour worked",N(INDEX(Employees!$K$5:$K$29,$A626))*$I626,IF(INDEX(Employees!$I$5:$I$29,$A626)="Front-loaded",IF(OR($B626=1,N($G625)=0),N(INDEX(Employees!$J$5:$J$29,$A626))+$J626,0),0))))</f>
        <v/>
      </c>
      <c r="L626" s="51">
        <f>IF($F626=0,0,SUMIFS('Time Off Log'!$H$5:$H$504,'Time Off Log'!$A$5:$A$504,$C626,'Time Off Log'!$B$5:$B$504,"PTO",'Time Off Log'!$E$5:$E$504,"Approved",'Time Off Log'!$C$5:$C$504,"&gt;="&amp;INDEX(Periods!$E$5:$E$57,$B626),'Time Off Log'!$C$5:$C$504,"&lt;="&amp;INDEX(Periods!$F$5:$F$57,$B626)))</f>
        <v/>
      </c>
      <c r="M626" s="51">
        <f>IF($B626=1,N(INDEX(Employees!$N$5:$N$29,$A626)),P625)</f>
        <v/>
      </c>
      <c r="N626" s="51">
        <f>IF(INDEX(Employees!$L$5:$L$29,$A626)="",K626,MAX(0,MIN(K626,INDEX(Employees!$L$5:$L$29,$A626)-(M626-L626))))</f>
        <v/>
      </c>
      <c r="O626" s="51">
        <f>K626-N626</f>
        <v/>
      </c>
      <c r="P626" s="51">
        <f>M626-L626+N626</f>
        <v/>
      </c>
      <c r="Q626" s="51">
        <f>IF($G626=0,0,IF(INDEX(Employees!$P$5:$P$29,$A626)="Per pay period",(N(INDEX(Employees!$Q$5:$Q$29,$A626)))/Settings!$B$13,IF(INDEX(Employees!$P$5:$P$29,$A626)="Per hour worked",N(INDEX(Employees!$R$5:$R$29,$A626))*$I626,IF(INDEX(Employees!$P$5:$P$29,$A626)="Front-loaded",IF(OR($B626=1,N($G625)=0),N(INDEX(Employees!$Q$5:$Q$29,$A626)),0),0))))</f>
        <v/>
      </c>
      <c r="R626" s="51">
        <f>IF($F626=0,0,SUMIFS('Time Off Log'!$H$5:$H$504,'Time Off Log'!$A$5:$A$504,$C626,'Time Off Log'!$B$5:$B$504,"Sick",'Time Off Log'!$E$5:$E$504,"Approved",'Time Off Log'!$C$5:$C$504,"&gt;="&amp;INDEX(Periods!$E$5:$E$57,$B626),'Time Off Log'!$C$5:$C$504,"&lt;="&amp;INDEX(Periods!$F$5:$F$57,$B626)))</f>
        <v/>
      </c>
      <c r="S626" s="51">
        <f>IF($B626=1,N(INDEX(Employees!$T$5:$T$29,$A626)),V625)</f>
        <v/>
      </c>
      <c r="T626" s="51">
        <f>IF(INDEX(Employees!$S$5:$S$29,$A626)="",Q626,MAX(0,MIN(Q626,INDEX(Employees!$S$5:$S$29,$A626)-(S626-R626))))</f>
        <v/>
      </c>
      <c r="U626" s="51">
        <f>Q626-T626</f>
        <v/>
      </c>
      <c r="V626" s="51">
        <f>S626-R626+T626</f>
        <v/>
      </c>
    </row>
    <row r="627">
      <c r="A627" s="50" t="n">
        <v>12</v>
      </c>
      <c r="B627" s="50" t="n">
        <v>40</v>
      </c>
      <c r="C627" s="51">
        <f>INDEX(Employees!$B$5:$B$29,$A627)&amp;""</f>
        <v/>
      </c>
      <c r="D627" s="52">
        <f>INDEX(Periods!$B$5:$B$57,$B627)</f>
        <v/>
      </c>
      <c r="E627" s="52">
        <f>INDEX(Periods!$C$5:$C$57,$B627)</f>
        <v/>
      </c>
      <c r="F627" s="50">
        <f>IF(AND($C627&lt;&gt;"",INDEX(Periods!$D$5:$D$57,$B627)=1),1,0)</f>
        <v/>
      </c>
      <c r="G627" s="50">
        <f>IF($F627=0,0,IF(AND(OR(INDEX(Employees!$D$5:$D$29,$A627)="",$E627&gt;=INDEX(Employees!$D$5:$D$29,$A627)+N(INDEX(Employees!$U$5:$U$29,$A627))),OR(INDEX(Employees!$E$5:$E$29,$A627)="",$D627&lt;=INDEX(Employees!$E$5:$E$29,$A627))),1,0))</f>
        <v/>
      </c>
      <c r="H627" s="50">
        <f>IF($G627=0,0,IF(INDEX(Employees!$D$5:$D$29,$A627)="",0,DATEDIF(INDEX(Employees!$D$5:$D$29,$A627),$E627,"y")))</f>
        <v/>
      </c>
      <c r="I627" s="51">
        <f>IF($G627=0,0,IF(INDEX('Hours Worked'!$D$5:$BD$29,$A627,$B627)="",N(INDEX(Employees!$H$5:$H$29,$A627)),INDEX('Hours Worked'!$D$5:$BD$29,$A627,$B627)))</f>
        <v/>
      </c>
      <c r="J627" s="51">
        <f>IF(OR($G627=0,INDEX(Employees!$O$5:$O$29,$A627)&lt;&gt;"Yes"),0,IF(COUNTIF(Settings!$D$4:$D$9,"&lt;="&amp;$H627)=0,0,INDEX(Settings!$E$4:$E$9,COUNTIF(Settings!$D$4:$D$9,"&lt;="&amp;$H627))))</f>
        <v/>
      </c>
      <c r="K627" s="51">
        <f>IF($G627=0,0,IF(INDEX(Employees!$I$5:$I$29,$A627)="Per pay period",(N(INDEX(Employees!$J$5:$J$29,$A627))+$J627)/Settings!$B$13,IF(INDEX(Employees!$I$5:$I$29,$A627)="Per hour worked",N(INDEX(Employees!$K$5:$K$29,$A627))*$I627,IF(INDEX(Employees!$I$5:$I$29,$A627)="Front-loaded",IF(OR($B627=1,N($G626)=0),N(INDEX(Employees!$J$5:$J$29,$A627))+$J627,0),0))))</f>
        <v/>
      </c>
      <c r="L627" s="51">
        <f>IF($F627=0,0,SUMIFS('Time Off Log'!$H$5:$H$504,'Time Off Log'!$A$5:$A$504,$C627,'Time Off Log'!$B$5:$B$504,"PTO",'Time Off Log'!$E$5:$E$504,"Approved",'Time Off Log'!$C$5:$C$504,"&gt;="&amp;INDEX(Periods!$E$5:$E$57,$B627),'Time Off Log'!$C$5:$C$504,"&lt;="&amp;INDEX(Periods!$F$5:$F$57,$B627)))</f>
        <v/>
      </c>
      <c r="M627" s="51">
        <f>IF($B627=1,N(INDEX(Employees!$N$5:$N$29,$A627)),P626)</f>
        <v/>
      </c>
      <c r="N627" s="51">
        <f>IF(INDEX(Employees!$L$5:$L$29,$A627)="",K627,MAX(0,MIN(K627,INDEX(Employees!$L$5:$L$29,$A627)-(M627-L627))))</f>
        <v/>
      </c>
      <c r="O627" s="51">
        <f>K627-N627</f>
        <v/>
      </c>
      <c r="P627" s="51">
        <f>M627-L627+N627</f>
        <v/>
      </c>
      <c r="Q627" s="51">
        <f>IF($G627=0,0,IF(INDEX(Employees!$P$5:$P$29,$A627)="Per pay period",(N(INDEX(Employees!$Q$5:$Q$29,$A627)))/Settings!$B$13,IF(INDEX(Employees!$P$5:$P$29,$A627)="Per hour worked",N(INDEX(Employees!$R$5:$R$29,$A627))*$I627,IF(INDEX(Employees!$P$5:$P$29,$A627)="Front-loaded",IF(OR($B627=1,N($G626)=0),N(INDEX(Employees!$Q$5:$Q$29,$A627)),0),0))))</f>
        <v/>
      </c>
      <c r="R627" s="51">
        <f>IF($F627=0,0,SUMIFS('Time Off Log'!$H$5:$H$504,'Time Off Log'!$A$5:$A$504,$C627,'Time Off Log'!$B$5:$B$504,"Sick",'Time Off Log'!$E$5:$E$504,"Approved",'Time Off Log'!$C$5:$C$504,"&gt;="&amp;INDEX(Periods!$E$5:$E$57,$B627),'Time Off Log'!$C$5:$C$504,"&lt;="&amp;INDEX(Periods!$F$5:$F$57,$B627)))</f>
        <v/>
      </c>
      <c r="S627" s="51">
        <f>IF($B627=1,N(INDEX(Employees!$T$5:$T$29,$A627)),V626)</f>
        <v/>
      </c>
      <c r="T627" s="51">
        <f>IF(INDEX(Employees!$S$5:$S$29,$A627)="",Q627,MAX(0,MIN(Q627,INDEX(Employees!$S$5:$S$29,$A627)-(S627-R627))))</f>
        <v/>
      </c>
      <c r="U627" s="51">
        <f>Q627-T627</f>
        <v/>
      </c>
      <c r="V627" s="51">
        <f>S627-R627+T627</f>
        <v/>
      </c>
    </row>
    <row r="628">
      <c r="A628" s="50" t="n">
        <v>12</v>
      </c>
      <c r="B628" s="50" t="n">
        <v>41</v>
      </c>
      <c r="C628" s="51">
        <f>INDEX(Employees!$B$5:$B$29,$A628)&amp;""</f>
        <v/>
      </c>
      <c r="D628" s="52">
        <f>INDEX(Periods!$B$5:$B$57,$B628)</f>
        <v/>
      </c>
      <c r="E628" s="52">
        <f>INDEX(Periods!$C$5:$C$57,$B628)</f>
        <v/>
      </c>
      <c r="F628" s="50">
        <f>IF(AND($C628&lt;&gt;"",INDEX(Periods!$D$5:$D$57,$B628)=1),1,0)</f>
        <v/>
      </c>
      <c r="G628" s="50">
        <f>IF($F628=0,0,IF(AND(OR(INDEX(Employees!$D$5:$D$29,$A628)="",$E628&gt;=INDEX(Employees!$D$5:$D$29,$A628)+N(INDEX(Employees!$U$5:$U$29,$A628))),OR(INDEX(Employees!$E$5:$E$29,$A628)="",$D628&lt;=INDEX(Employees!$E$5:$E$29,$A628))),1,0))</f>
        <v/>
      </c>
      <c r="H628" s="50">
        <f>IF($G628=0,0,IF(INDEX(Employees!$D$5:$D$29,$A628)="",0,DATEDIF(INDEX(Employees!$D$5:$D$29,$A628),$E628,"y")))</f>
        <v/>
      </c>
      <c r="I628" s="51">
        <f>IF($G628=0,0,IF(INDEX('Hours Worked'!$D$5:$BD$29,$A628,$B628)="",N(INDEX(Employees!$H$5:$H$29,$A628)),INDEX('Hours Worked'!$D$5:$BD$29,$A628,$B628)))</f>
        <v/>
      </c>
      <c r="J628" s="51">
        <f>IF(OR($G628=0,INDEX(Employees!$O$5:$O$29,$A628)&lt;&gt;"Yes"),0,IF(COUNTIF(Settings!$D$4:$D$9,"&lt;="&amp;$H628)=0,0,INDEX(Settings!$E$4:$E$9,COUNTIF(Settings!$D$4:$D$9,"&lt;="&amp;$H628))))</f>
        <v/>
      </c>
      <c r="K628" s="51">
        <f>IF($G628=0,0,IF(INDEX(Employees!$I$5:$I$29,$A628)="Per pay period",(N(INDEX(Employees!$J$5:$J$29,$A628))+$J628)/Settings!$B$13,IF(INDEX(Employees!$I$5:$I$29,$A628)="Per hour worked",N(INDEX(Employees!$K$5:$K$29,$A628))*$I628,IF(INDEX(Employees!$I$5:$I$29,$A628)="Front-loaded",IF(OR($B628=1,N($G627)=0),N(INDEX(Employees!$J$5:$J$29,$A628))+$J628,0),0))))</f>
        <v/>
      </c>
      <c r="L628" s="51">
        <f>IF($F628=0,0,SUMIFS('Time Off Log'!$H$5:$H$504,'Time Off Log'!$A$5:$A$504,$C628,'Time Off Log'!$B$5:$B$504,"PTO",'Time Off Log'!$E$5:$E$504,"Approved",'Time Off Log'!$C$5:$C$504,"&gt;="&amp;INDEX(Periods!$E$5:$E$57,$B628),'Time Off Log'!$C$5:$C$504,"&lt;="&amp;INDEX(Periods!$F$5:$F$57,$B628)))</f>
        <v/>
      </c>
      <c r="M628" s="51">
        <f>IF($B628=1,N(INDEX(Employees!$N$5:$N$29,$A628)),P627)</f>
        <v/>
      </c>
      <c r="N628" s="51">
        <f>IF(INDEX(Employees!$L$5:$L$29,$A628)="",K628,MAX(0,MIN(K628,INDEX(Employees!$L$5:$L$29,$A628)-(M628-L628))))</f>
        <v/>
      </c>
      <c r="O628" s="51">
        <f>K628-N628</f>
        <v/>
      </c>
      <c r="P628" s="51">
        <f>M628-L628+N628</f>
        <v/>
      </c>
      <c r="Q628" s="51">
        <f>IF($G628=0,0,IF(INDEX(Employees!$P$5:$P$29,$A628)="Per pay period",(N(INDEX(Employees!$Q$5:$Q$29,$A628)))/Settings!$B$13,IF(INDEX(Employees!$P$5:$P$29,$A628)="Per hour worked",N(INDEX(Employees!$R$5:$R$29,$A628))*$I628,IF(INDEX(Employees!$P$5:$P$29,$A628)="Front-loaded",IF(OR($B628=1,N($G627)=0),N(INDEX(Employees!$Q$5:$Q$29,$A628)),0),0))))</f>
        <v/>
      </c>
      <c r="R628" s="51">
        <f>IF($F628=0,0,SUMIFS('Time Off Log'!$H$5:$H$504,'Time Off Log'!$A$5:$A$504,$C628,'Time Off Log'!$B$5:$B$504,"Sick",'Time Off Log'!$E$5:$E$504,"Approved",'Time Off Log'!$C$5:$C$504,"&gt;="&amp;INDEX(Periods!$E$5:$E$57,$B628),'Time Off Log'!$C$5:$C$504,"&lt;="&amp;INDEX(Periods!$F$5:$F$57,$B628)))</f>
        <v/>
      </c>
      <c r="S628" s="51">
        <f>IF($B628=1,N(INDEX(Employees!$T$5:$T$29,$A628)),V627)</f>
        <v/>
      </c>
      <c r="T628" s="51">
        <f>IF(INDEX(Employees!$S$5:$S$29,$A628)="",Q628,MAX(0,MIN(Q628,INDEX(Employees!$S$5:$S$29,$A628)-(S628-R628))))</f>
        <v/>
      </c>
      <c r="U628" s="51">
        <f>Q628-T628</f>
        <v/>
      </c>
      <c r="V628" s="51">
        <f>S628-R628+T628</f>
        <v/>
      </c>
    </row>
    <row r="629">
      <c r="A629" s="50" t="n">
        <v>12</v>
      </c>
      <c r="B629" s="50" t="n">
        <v>42</v>
      </c>
      <c r="C629" s="51">
        <f>INDEX(Employees!$B$5:$B$29,$A629)&amp;""</f>
        <v/>
      </c>
      <c r="D629" s="52">
        <f>INDEX(Periods!$B$5:$B$57,$B629)</f>
        <v/>
      </c>
      <c r="E629" s="52">
        <f>INDEX(Periods!$C$5:$C$57,$B629)</f>
        <v/>
      </c>
      <c r="F629" s="50">
        <f>IF(AND($C629&lt;&gt;"",INDEX(Periods!$D$5:$D$57,$B629)=1),1,0)</f>
        <v/>
      </c>
      <c r="G629" s="50">
        <f>IF($F629=0,0,IF(AND(OR(INDEX(Employees!$D$5:$D$29,$A629)="",$E629&gt;=INDEX(Employees!$D$5:$D$29,$A629)+N(INDEX(Employees!$U$5:$U$29,$A629))),OR(INDEX(Employees!$E$5:$E$29,$A629)="",$D629&lt;=INDEX(Employees!$E$5:$E$29,$A629))),1,0))</f>
        <v/>
      </c>
      <c r="H629" s="50">
        <f>IF($G629=0,0,IF(INDEX(Employees!$D$5:$D$29,$A629)="",0,DATEDIF(INDEX(Employees!$D$5:$D$29,$A629),$E629,"y")))</f>
        <v/>
      </c>
      <c r="I629" s="51">
        <f>IF($G629=0,0,IF(INDEX('Hours Worked'!$D$5:$BD$29,$A629,$B629)="",N(INDEX(Employees!$H$5:$H$29,$A629)),INDEX('Hours Worked'!$D$5:$BD$29,$A629,$B629)))</f>
        <v/>
      </c>
      <c r="J629" s="51">
        <f>IF(OR($G629=0,INDEX(Employees!$O$5:$O$29,$A629)&lt;&gt;"Yes"),0,IF(COUNTIF(Settings!$D$4:$D$9,"&lt;="&amp;$H629)=0,0,INDEX(Settings!$E$4:$E$9,COUNTIF(Settings!$D$4:$D$9,"&lt;="&amp;$H629))))</f>
        <v/>
      </c>
      <c r="K629" s="51">
        <f>IF($G629=0,0,IF(INDEX(Employees!$I$5:$I$29,$A629)="Per pay period",(N(INDEX(Employees!$J$5:$J$29,$A629))+$J629)/Settings!$B$13,IF(INDEX(Employees!$I$5:$I$29,$A629)="Per hour worked",N(INDEX(Employees!$K$5:$K$29,$A629))*$I629,IF(INDEX(Employees!$I$5:$I$29,$A629)="Front-loaded",IF(OR($B629=1,N($G628)=0),N(INDEX(Employees!$J$5:$J$29,$A629))+$J629,0),0))))</f>
        <v/>
      </c>
      <c r="L629" s="51">
        <f>IF($F629=0,0,SUMIFS('Time Off Log'!$H$5:$H$504,'Time Off Log'!$A$5:$A$504,$C629,'Time Off Log'!$B$5:$B$504,"PTO",'Time Off Log'!$E$5:$E$504,"Approved",'Time Off Log'!$C$5:$C$504,"&gt;="&amp;INDEX(Periods!$E$5:$E$57,$B629),'Time Off Log'!$C$5:$C$504,"&lt;="&amp;INDEX(Periods!$F$5:$F$57,$B629)))</f>
        <v/>
      </c>
      <c r="M629" s="51">
        <f>IF($B629=1,N(INDEX(Employees!$N$5:$N$29,$A629)),P628)</f>
        <v/>
      </c>
      <c r="N629" s="51">
        <f>IF(INDEX(Employees!$L$5:$L$29,$A629)="",K629,MAX(0,MIN(K629,INDEX(Employees!$L$5:$L$29,$A629)-(M629-L629))))</f>
        <v/>
      </c>
      <c r="O629" s="51">
        <f>K629-N629</f>
        <v/>
      </c>
      <c r="P629" s="51">
        <f>M629-L629+N629</f>
        <v/>
      </c>
      <c r="Q629" s="51">
        <f>IF($G629=0,0,IF(INDEX(Employees!$P$5:$P$29,$A629)="Per pay period",(N(INDEX(Employees!$Q$5:$Q$29,$A629)))/Settings!$B$13,IF(INDEX(Employees!$P$5:$P$29,$A629)="Per hour worked",N(INDEX(Employees!$R$5:$R$29,$A629))*$I629,IF(INDEX(Employees!$P$5:$P$29,$A629)="Front-loaded",IF(OR($B629=1,N($G628)=0),N(INDEX(Employees!$Q$5:$Q$29,$A629)),0),0))))</f>
        <v/>
      </c>
      <c r="R629" s="51">
        <f>IF($F629=0,0,SUMIFS('Time Off Log'!$H$5:$H$504,'Time Off Log'!$A$5:$A$504,$C629,'Time Off Log'!$B$5:$B$504,"Sick",'Time Off Log'!$E$5:$E$504,"Approved",'Time Off Log'!$C$5:$C$504,"&gt;="&amp;INDEX(Periods!$E$5:$E$57,$B629),'Time Off Log'!$C$5:$C$504,"&lt;="&amp;INDEX(Periods!$F$5:$F$57,$B629)))</f>
        <v/>
      </c>
      <c r="S629" s="51">
        <f>IF($B629=1,N(INDEX(Employees!$T$5:$T$29,$A629)),V628)</f>
        <v/>
      </c>
      <c r="T629" s="51">
        <f>IF(INDEX(Employees!$S$5:$S$29,$A629)="",Q629,MAX(0,MIN(Q629,INDEX(Employees!$S$5:$S$29,$A629)-(S629-R629))))</f>
        <v/>
      </c>
      <c r="U629" s="51">
        <f>Q629-T629</f>
        <v/>
      </c>
      <c r="V629" s="51">
        <f>S629-R629+T629</f>
        <v/>
      </c>
    </row>
    <row r="630">
      <c r="A630" s="50" t="n">
        <v>12</v>
      </c>
      <c r="B630" s="50" t="n">
        <v>43</v>
      </c>
      <c r="C630" s="51">
        <f>INDEX(Employees!$B$5:$B$29,$A630)&amp;""</f>
        <v/>
      </c>
      <c r="D630" s="52">
        <f>INDEX(Periods!$B$5:$B$57,$B630)</f>
        <v/>
      </c>
      <c r="E630" s="52">
        <f>INDEX(Periods!$C$5:$C$57,$B630)</f>
        <v/>
      </c>
      <c r="F630" s="50">
        <f>IF(AND($C630&lt;&gt;"",INDEX(Periods!$D$5:$D$57,$B630)=1),1,0)</f>
        <v/>
      </c>
      <c r="G630" s="50">
        <f>IF($F630=0,0,IF(AND(OR(INDEX(Employees!$D$5:$D$29,$A630)="",$E630&gt;=INDEX(Employees!$D$5:$D$29,$A630)+N(INDEX(Employees!$U$5:$U$29,$A630))),OR(INDEX(Employees!$E$5:$E$29,$A630)="",$D630&lt;=INDEX(Employees!$E$5:$E$29,$A630))),1,0))</f>
        <v/>
      </c>
      <c r="H630" s="50">
        <f>IF($G630=0,0,IF(INDEX(Employees!$D$5:$D$29,$A630)="",0,DATEDIF(INDEX(Employees!$D$5:$D$29,$A630),$E630,"y")))</f>
        <v/>
      </c>
      <c r="I630" s="51">
        <f>IF($G630=0,0,IF(INDEX('Hours Worked'!$D$5:$BD$29,$A630,$B630)="",N(INDEX(Employees!$H$5:$H$29,$A630)),INDEX('Hours Worked'!$D$5:$BD$29,$A630,$B630)))</f>
        <v/>
      </c>
      <c r="J630" s="51">
        <f>IF(OR($G630=0,INDEX(Employees!$O$5:$O$29,$A630)&lt;&gt;"Yes"),0,IF(COUNTIF(Settings!$D$4:$D$9,"&lt;="&amp;$H630)=0,0,INDEX(Settings!$E$4:$E$9,COUNTIF(Settings!$D$4:$D$9,"&lt;="&amp;$H630))))</f>
        <v/>
      </c>
      <c r="K630" s="51">
        <f>IF($G630=0,0,IF(INDEX(Employees!$I$5:$I$29,$A630)="Per pay period",(N(INDEX(Employees!$J$5:$J$29,$A630))+$J630)/Settings!$B$13,IF(INDEX(Employees!$I$5:$I$29,$A630)="Per hour worked",N(INDEX(Employees!$K$5:$K$29,$A630))*$I630,IF(INDEX(Employees!$I$5:$I$29,$A630)="Front-loaded",IF(OR($B630=1,N($G629)=0),N(INDEX(Employees!$J$5:$J$29,$A630))+$J630,0),0))))</f>
        <v/>
      </c>
      <c r="L630" s="51">
        <f>IF($F630=0,0,SUMIFS('Time Off Log'!$H$5:$H$504,'Time Off Log'!$A$5:$A$504,$C630,'Time Off Log'!$B$5:$B$504,"PTO",'Time Off Log'!$E$5:$E$504,"Approved",'Time Off Log'!$C$5:$C$504,"&gt;="&amp;INDEX(Periods!$E$5:$E$57,$B630),'Time Off Log'!$C$5:$C$504,"&lt;="&amp;INDEX(Periods!$F$5:$F$57,$B630)))</f>
        <v/>
      </c>
      <c r="M630" s="51">
        <f>IF($B630=1,N(INDEX(Employees!$N$5:$N$29,$A630)),P629)</f>
        <v/>
      </c>
      <c r="N630" s="51">
        <f>IF(INDEX(Employees!$L$5:$L$29,$A630)="",K630,MAX(0,MIN(K630,INDEX(Employees!$L$5:$L$29,$A630)-(M630-L630))))</f>
        <v/>
      </c>
      <c r="O630" s="51">
        <f>K630-N630</f>
        <v/>
      </c>
      <c r="P630" s="51">
        <f>M630-L630+N630</f>
        <v/>
      </c>
      <c r="Q630" s="51">
        <f>IF($G630=0,0,IF(INDEX(Employees!$P$5:$P$29,$A630)="Per pay period",(N(INDEX(Employees!$Q$5:$Q$29,$A630)))/Settings!$B$13,IF(INDEX(Employees!$P$5:$P$29,$A630)="Per hour worked",N(INDEX(Employees!$R$5:$R$29,$A630))*$I630,IF(INDEX(Employees!$P$5:$P$29,$A630)="Front-loaded",IF(OR($B630=1,N($G629)=0),N(INDEX(Employees!$Q$5:$Q$29,$A630)),0),0))))</f>
        <v/>
      </c>
      <c r="R630" s="51">
        <f>IF($F630=0,0,SUMIFS('Time Off Log'!$H$5:$H$504,'Time Off Log'!$A$5:$A$504,$C630,'Time Off Log'!$B$5:$B$504,"Sick",'Time Off Log'!$E$5:$E$504,"Approved",'Time Off Log'!$C$5:$C$504,"&gt;="&amp;INDEX(Periods!$E$5:$E$57,$B630),'Time Off Log'!$C$5:$C$504,"&lt;="&amp;INDEX(Periods!$F$5:$F$57,$B630)))</f>
        <v/>
      </c>
      <c r="S630" s="51">
        <f>IF($B630=1,N(INDEX(Employees!$T$5:$T$29,$A630)),V629)</f>
        <v/>
      </c>
      <c r="T630" s="51">
        <f>IF(INDEX(Employees!$S$5:$S$29,$A630)="",Q630,MAX(0,MIN(Q630,INDEX(Employees!$S$5:$S$29,$A630)-(S630-R630))))</f>
        <v/>
      </c>
      <c r="U630" s="51">
        <f>Q630-T630</f>
        <v/>
      </c>
      <c r="V630" s="51">
        <f>S630-R630+T630</f>
        <v/>
      </c>
    </row>
    <row r="631">
      <c r="A631" s="50" t="n">
        <v>12</v>
      </c>
      <c r="B631" s="50" t="n">
        <v>44</v>
      </c>
      <c r="C631" s="51">
        <f>INDEX(Employees!$B$5:$B$29,$A631)&amp;""</f>
        <v/>
      </c>
      <c r="D631" s="52">
        <f>INDEX(Periods!$B$5:$B$57,$B631)</f>
        <v/>
      </c>
      <c r="E631" s="52">
        <f>INDEX(Periods!$C$5:$C$57,$B631)</f>
        <v/>
      </c>
      <c r="F631" s="50">
        <f>IF(AND($C631&lt;&gt;"",INDEX(Periods!$D$5:$D$57,$B631)=1),1,0)</f>
        <v/>
      </c>
      <c r="G631" s="50">
        <f>IF($F631=0,0,IF(AND(OR(INDEX(Employees!$D$5:$D$29,$A631)="",$E631&gt;=INDEX(Employees!$D$5:$D$29,$A631)+N(INDEX(Employees!$U$5:$U$29,$A631))),OR(INDEX(Employees!$E$5:$E$29,$A631)="",$D631&lt;=INDEX(Employees!$E$5:$E$29,$A631))),1,0))</f>
        <v/>
      </c>
      <c r="H631" s="50">
        <f>IF($G631=0,0,IF(INDEX(Employees!$D$5:$D$29,$A631)="",0,DATEDIF(INDEX(Employees!$D$5:$D$29,$A631),$E631,"y")))</f>
        <v/>
      </c>
      <c r="I631" s="51">
        <f>IF($G631=0,0,IF(INDEX('Hours Worked'!$D$5:$BD$29,$A631,$B631)="",N(INDEX(Employees!$H$5:$H$29,$A631)),INDEX('Hours Worked'!$D$5:$BD$29,$A631,$B631)))</f>
        <v/>
      </c>
      <c r="J631" s="51">
        <f>IF(OR($G631=0,INDEX(Employees!$O$5:$O$29,$A631)&lt;&gt;"Yes"),0,IF(COUNTIF(Settings!$D$4:$D$9,"&lt;="&amp;$H631)=0,0,INDEX(Settings!$E$4:$E$9,COUNTIF(Settings!$D$4:$D$9,"&lt;="&amp;$H631))))</f>
        <v/>
      </c>
      <c r="K631" s="51">
        <f>IF($G631=0,0,IF(INDEX(Employees!$I$5:$I$29,$A631)="Per pay period",(N(INDEX(Employees!$J$5:$J$29,$A631))+$J631)/Settings!$B$13,IF(INDEX(Employees!$I$5:$I$29,$A631)="Per hour worked",N(INDEX(Employees!$K$5:$K$29,$A631))*$I631,IF(INDEX(Employees!$I$5:$I$29,$A631)="Front-loaded",IF(OR($B631=1,N($G630)=0),N(INDEX(Employees!$J$5:$J$29,$A631))+$J631,0),0))))</f>
        <v/>
      </c>
      <c r="L631" s="51">
        <f>IF($F631=0,0,SUMIFS('Time Off Log'!$H$5:$H$504,'Time Off Log'!$A$5:$A$504,$C631,'Time Off Log'!$B$5:$B$504,"PTO",'Time Off Log'!$E$5:$E$504,"Approved",'Time Off Log'!$C$5:$C$504,"&gt;="&amp;INDEX(Periods!$E$5:$E$57,$B631),'Time Off Log'!$C$5:$C$504,"&lt;="&amp;INDEX(Periods!$F$5:$F$57,$B631)))</f>
        <v/>
      </c>
      <c r="M631" s="51">
        <f>IF($B631=1,N(INDEX(Employees!$N$5:$N$29,$A631)),P630)</f>
        <v/>
      </c>
      <c r="N631" s="51">
        <f>IF(INDEX(Employees!$L$5:$L$29,$A631)="",K631,MAX(0,MIN(K631,INDEX(Employees!$L$5:$L$29,$A631)-(M631-L631))))</f>
        <v/>
      </c>
      <c r="O631" s="51">
        <f>K631-N631</f>
        <v/>
      </c>
      <c r="P631" s="51">
        <f>M631-L631+N631</f>
        <v/>
      </c>
      <c r="Q631" s="51">
        <f>IF($G631=0,0,IF(INDEX(Employees!$P$5:$P$29,$A631)="Per pay period",(N(INDEX(Employees!$Q$5:$Q$29,$A631)))/Settings!$B$13,IF(INDEX(Employees!$P$5:$P$29,$A631)="Per hour worked",N(INDEX(Employees!$R$5:$R$29,$A631))*$I631,IF(INDEX(Employees!$P$5:$P$29,$A631)="Front-loaded",IF(OR($B631=1,N($G630)=0),N(INDEX(Employees!$Q$5:$Q$29,$A631)),0),0))))</f>
        <v/>
      </c>
      <c r="R631" s="51">
        <f>IF($F631=0,0,SUMIFS('Time Off Log'!$H$5:$H$504,'Time Off Log'!$A$5:$A$504,$C631,'Time Off Log'!$B$5:$B$504,"Sick",'Time Off Log'!$E$5:$E$504,"Approved",'Time Off Log'!$C$5:$C$504,"&gt;="&amp;INDEX(Periods!$E$5:$E$57,$B631),'Time Off Log'!$C$5:$C$504,"&lt;="&amp;INDEX(Periods!$F$5:$F$57,$B631)))</f>
        <v/>
      </c>
      <c r="S631" s="51">
        <f>IF($B631=1,N(INDEX(Employees!$T$5:$T$29,$A631)),V630)</f>
        <v/>
      </c>
      <c r="T631" s="51">
        <f>IF(INDEX(Employees!$S$5:$S$29,$A631)="",Q631,MAX(0,MIN(Q631,INDEX(Employees!$S$5:$S$29,$A631)-(S631-R631))))</f>
        <v/>
      </c>
      <c r="U631" s="51">
        <f>Q631-T631</f>
        <v/>
      </c>
      <c r="V631" s="51">
        <f>S631-R631+T631</f>
        <v/>
      </c>
    </row>
    <row r="632">
      <c r="A632" s="50" t="n">
        <v>12</v>
      </c>
      <c r="B632" s="50" t="n">
        <v>45</v>
      </c>
      <c r="C632" s="51">
        <f>INDEX(Employees!$B$5:$B$29,$A632)&amp;""</f>
        <v/>
      </c>
      <c r="D632" s="52">
        <f>INDEX(Periods!$B$5:$B$57,$B632)</f>
        <v/>
      </c>
      <c r="E632" s="52">
        <f>INDEX(Periods!$C$5:$C$57,$B632)</f>
        <v/>
      </c>
      <c r="F632" s="50">
        <f>IF(AND($C632&lt;&gt;"",INDEX(Periods!$D$5:$D$57,$B632)=1),1,0)</f>
        <v/>
      </c>
      <c r="G632" s="50">
        <f>IF($F632=0,0,IF(AND(OR(INDEX(Employees!$D$5:$D$29,$A632)="",$E632&gt;=INDEX(Employees!$D$5:$D$29,$A632)+N(INDEX(Employees!$U$5:$U$29,$A632))),OR(INDEX(Employees!$E$5:$E$29,$A632)="",$D632&lt;=INDEX(Employees!$E$5:$E$29,$A632))),1,0))</f>
        <v/>
      </c>
      <c r="H632" s="50">
        <f>IF($G632=0,0,IF(INDEX(Employees!$D$5:$D$29,$A632)="",0,DATEDIF(INDEX(Employees!$D$5:$D$29,$A632),$E632,"y")))</f>
        <v/>
      </c>
      <c r="I632" s="51">
        <f>IF($G632=0,0,IF(INDEX('Hours Worked'!$D$5:$BD$29,$A632,$B632)="",N(INDEX(Employees!$H$5:$H$29,$A632)),INDEX('Hours Worked'!$D$5:$BD$29,$A632,$B632)))</f>
        <v/>
      </c>
      <c r="J632" s="51">
        <f>IF(OR($G632=0,INDEX(Employees!$O$5:$O$29,$A632)&lt;&gt;"Yes"),0,IF(COUNTIF(Settings!$D$4:$D$9,"&lt;="&amp;$H632)=0,0,INDEX(Settings!$E$4:$E$9,COUNTIF(Settings!$D$4:$D$9,"&lt;="&amp;$H632))))</f>
        <v/>
      </c>
      <c r="K632" s="51">
        <f>IF($G632=0,0,IF(INDEX(Employees!$I$5:$I$29,$A632)="Per pay period",(N(INDEX(Employees!$J$5:$J$29,$A632))+$J632)/Settings!$B$13,IF(INDEX(Employees!$I$5:$I$29,$A632)="Per hour worked",N(INDEX(Employees!$K$5:$K$29,$A632))*$I632,IF(INDEX(Employees!$I$5:$I$29,$A632)="Front-loaded",IF(OR($B632=1,N($G631)=0),N(INDEX(Employees!$J$5:$J$29,$A632))+$J632,0),0))))</f>
        <v/>
      </c>
      <c r="L632" s="51">
        <f>IF($F632=0,0,SUMIFS('Time Off Log'!$H$5:$H$504,'Time Off Log'!$A$5:$A$504,$C632,'Time Off Log'!$B$5:$B$504,"PTO",'Time Off Log'!$E$5:$E$504,"Approved",'Time Off Log'!$C$5:$C$504,"&gt;="&amp;INDEX(Periods!$E$5:$E$57,$B632),'Time Off Log'!$C$5:$C$504,"&lt;="&amp;INDEX(Periods!$F$5:$F$57,$B632)))</f>
        <v/>
      </c>
      <c r="M632" s="51">
        <f>IF($B632=1,N(INDEX(Employees!$N$5:$N$29,$A632)),P631)</f>
        <v/>
      </c>
      <c r="N632" s="51">
        <f>IF(INDEX(Employees!$L$5:$L$29,$A632)="",K632,MAX(0,MIN(K632,INDEX(Employees!$L$5:$L$29,$A632)-(M632-L632))))</f>
        <v/>
      </c>
      <c r="O632" s="51">
        <f>K632-N632</f>
        <v/>
      </c>
      <c r="P632" s="51">
        <f>M632-L632+N632</f>
        <v/>
      </c>
      <c r="Q632" s="51">
        <f>IF($G632=0,0,IF(INDEX(Employees!$P$5:$P$29,$A632)="Per pay period",(N(INDEX(Employees!$Q$5:$Q$29,$A632)))/Settings!$B$13,IF(INDEX(Employees!$P$5:$P$29,$A632)="Per hour worked",N(INDEX(Employees!$R$5:$R$29,$A632))*$I632,IF(INDEX(Employees!$P$5:$P$29,$A632)="Front-loaded",IF(OR($B632=1,N($G631)=0),N(INDEX(Employees!$Q$5:$Q$29,$A632)),0),0))))</f>
        <v/>
      </c>
      <c r="R632" s="51">
        <f>IF($F632=0,0,SUMIFS('Time Off Log'!$H$5:$H$504,'Time Off Log'!$A$5:$A$504,$C632,'Time Off Log'!$B$5:$B$504,"Sick",'Time Off Log'!$E$5:$E$504,"Approved",'Time Off Log'!$C$5:$C$504,"&gt;="&amp;INDEX(Periods!$E$5:$E$57,$B632),'Time Off Log'!$C$5:$C$504,"&lt;="&amp;INDEX(Periods!$F$5:$F$57,$B632)))</f>
        <v/>
      </c>
      <c r="S632" s="51">
        <f>IF($B632=1,N(INDEX(Employees!$T$5:$T$29,$A632)),V631)</f>
        <v/>
      </c>
      <c r="T632" s="51">
        <f>IF(INDEX(Employees!$S$5:$S$29,$A632)="",Q632,MAX(0,MIN(Q632,INDEX(Employees!$S$5:$S$29,$A632)-(S632-R632))))</f>
        <v/>
      </c>
      <c r="U632" s="51">
        <f>Q632-T632</f>
        <v/>
      </c>
      <c r="V632" s="51">
        <f>S632-R632+T632</f>
        <v/>
      </c>
    </row>
    <row r="633">
      <c r="A633" s="50" t="n">
        <v>12</v>
      </c>
      <c r="B633" s="50" t="n">
        <v>46</v>
      </c>
      <c r="C633" s="51">
        <f>INDEX(Employees!$B$5:$B$29,$A633)&amp;""</f>
        <v/>
      </c>
      <c r="D633" s="52">
        <f>INDEX(Periods!$B$5:$B$57,$B633)</f>
        <v/>
      </c>
      <c r="E633" s="52">
        <f>INDEX(Periods!$C$5:$C$57,$B633)</f>
        <v/>
      </c>
      <c r="F633" s="50">
        <f>IF(AND($C633&lt;&gt;"",INDEX(Periods!$D$5:$D$57,$B633)=1),1,0)</f>
        <v/>
      </c>
      <c r="G633" s="50">
        <f>IF($F633=0,0,IF(AND(OR(INDEX(Employees!$D$5:$D$29,$A633)="",$E633&gt;=INDEX(Employees!$D$5:$D$29,$A633)+N(INDEX(Employees!$U$5:$U$29,$A633))),OR(INDEX(Employees!$E$5:$E$29,$A633)="",$D633&lt;=INDEX(Employees!$E$5:$E$29,$A633))),1,0))</f>
        <v/>
      </c>
      <c r="H633" s="50">
        <f>IF($G633=0,0,IF(INDEX(Employees!$D$5:$D$29,$A633)="",0,DATEDIF(INDEX(Employees!$D$5:$D$29,$A633),$E633,"y")))</f>
        <v/>
      </c>
      <c r="I633" s="51">
        <f>IF($G633=0,0,IF(INDEX('Hours Worked'!$D$5:$BD$29,$A633,$B633)="",N(INDEX(Employees!$H$5:$H$29,$A633)),INDEX('Hours Worked'!$D$5:$BD$29,$A633,$B633)))</f>
        <v/>
      </c>
      <c r="J633" s="51">
        <f>IF(OR($G633=0,INDEX(Employees!$O$5:$O$29,$A633)&lt;&gt;"Yes"),0,IF(COUNTIF(Settings!$D$4:$D$9,"&lt;="&amp;$H633)=0,0,INDEX(Settings!$E$4:$E$9,COUNTIF(Settings!$D$4:$D$9,"&lt;="&amp;$H633))))</f>
        <v/>
      </c>
      <c r="K633" s="51">
        <f>IF($G633=0,0,IF(INDEX(Employees!$I$5:$I$29,$A633)="Per pay period",(N(INDEX(Employees!$J$5:$J$29,$A633))+$J633)/Settings!$B$13,IF(INDEX(Employees!$I$5:$I$29,$A633)="Per hour worked",N(INDEX(Employees!$K$5:$K$29,$A633))*$I633,IF(INDEX(Employees!$I$5:$I$29,$A633)="Front-loaded",IF(OR($B633=1,N($G632)=0),N(INDEX(Employees!$J$5:$J$29,$A633))+$J633,0),0))))</f>
        <v/>
      </c>
      <c r="L633" s="51">
        <f>IF($F633=0,0,SUMIFS('Time Off Log'!$H$5:$H$504,'Time Off Log'!$A$5:$A$504,$C633,'Time Off Log'!$B$5:$B$504,"PTO",'Time Off Log'!$E$5:$E$504,"Approved",'Time Off Log'!$C$5:$C$504,"&gt;="&amp;INDEX(Periods!$E$5:$E$57,$B633),'Time Off Log'!$C$5:$C$504,"&lt;="&amp;INDEX(Periods!$F$5:$F$57,$B633)))</f>
        <v/>
      </c>
      <c r="M633" s="51">
        <f>IF($B633=1,N(INDEX(Employees!$N$5:$N$29,$A633)),P632)</f>
        <v/>
      </c>
      <c r="N633" s="51">
        <f>IF(INDEX(Employees!$L$5:$L$29,$A633)="",K633,MAX(0,MIN(K633,INDEX(Employees!$L$5:$L$29,$A633)-(M633-L633))))</f>
        <v/>
      </c>
      <c r="O633" s="51">
        <f>K633-N633</f>
        <v/>
      </c>
      <c r="P633" s="51">
        <f>M633-L633+N633</f>
        <v/>
      </c>
      <c r="Q633" s="51">
        <f>IF($G633=0,0,IF(INDEX(Employees!$P$5:$P$29,$A633)="Per pay period",(N(INDEX(Employees!$Q$5:$Q$29,$A633)))/Settings!$B$13,IF(INDEX(Employees!$P$5:$P$29,$A633)="Per hour worked",N(INDEX(Employees!$R$5:$R$29,$A633))*$I633,IF(INDEX(Employees!$P$5:$P$29,$A633)="Front-loaded",IF(OR($B633=1,N($G632)=0),N(INDEX(Employees!$Q$5:$Q$29,$A633)),0),0))))</f>
        <v/>
      </c>
      <c r="R633" s="51">
        <f>IF($F633=0,0,SUMIFS('Time Off Log'!$H$5:$H$504,'Time Off Log'!$A$5:$A$504,$C633,'Time Off Log'!$B$5:$B$504,"Sick",'Time Off Log'!$E$5:$E$504,"Approved",'Time Off Log'!$C$5:$C$504,"&gt;="&amp;INDEX(Periods!$E$5:$E$57,$B633),'Time Off Log'!$C$5:$C$504,"&lt;="&amp;INDEX(Periods!$F$5:$F$57,$B633)))</f>
        <v/>
      </c>
      <c r="S633" s="51">
        <f>IF($B633=1,N(INDEX(Employees!$T$5:$T$29,$A633)),V632)</f>
        <v/>
      </c>
      <c r="T633" s="51">
        <f>IF(INDEX(Employees!$S$5:$S$29,$A633)="",Q633,MAX(0,MIN(Q633,INDEX(Employees!$S$5:$S$29,$A633)-(S633-R633))))</f>
        <v/>
      </c>
      <c r="U633" s="51">
        <f>Q633-T633</f>
        <v/>
      </c>
      <c r="V633" s="51">
        <f>S633-R633+T633</f>
        <v/>
      </c>
    </row>
    <row r="634">
      <c r="A634" s="50" t="n">
        <v>12</v>
      </c>
      <c r="B634" s="50" t="n">
        <v>47</v>
      </c>
      <c r="C634" s="51">
        <f>INDEX(Employees!$B$5:$B$29,$A634)&amp;""</f>
        <v/>
      </c>
      <c r="D634" s="52">
        <f>INDEX(Periods!$B$5:$B$57,$B634)</f>
        <v/>
      </c>
      <c r="E634" s="52">
        <f>INDEX(Periods!$C$5:$C$57,$B634)</f>
        <v/>
      </c>
      <c r="F634" s="50">
        <f>IF(AND($C634&lt;&gt;"",INDEX(Periods!$D$5:$D$57,$B634)=1),1,0)</f>
        <v/>
      </c>
      <c r="G634" s="50">
        <f>IF($F634=0,0,IF(AND(OR(INDEX(Employees!$D$5:$D$29,$A634)="",$E634&gt;=INDEX(Employees!$D$5:$D$29,$A634)+N(INDEX(Employees!$U$5:$U$29,$A634))),OR(INDEX(Employees!$E$5:$E$29,$A634)="",$D634&lt;=INDEX(Employees!$E$5:$E$29,$A634))),1,0))</f>
        <v/>
      </c>
      <c r="H634" s="50">
        <f>IF($G634=0,0,IF(INDEX(Employees!$D$5:$D$29,$A634)="",0,DATEDIF(INDEX(Employees!$D$5:$D$29,$A634),$E634,"y")))</f>
        <v/>
      </c>
      <c r="I634" s="51">
        <f>IF($G634=0,0,IF(INDEX('Hours Worked'!$D$5:$BD$29,$A634,$B634)="",N(INDEX(Employees!$H$5:$H$29,$A634)),INDEX('Hours Worked'!$D$5:$BD$29,$A634,$B634)))</f>
        <v/>
      </c>
      <c r="J634" s="51">
        <f>IF(OR($G634=0,INDEX(Employees!$O$5:$O$29,$A634)&lt;&gt;"Yes"),0,IF(COUNTIF(Settings!$D$4:$D$9,"&lt;="&amp;$H634)=0,0,INDEX(Settings!$E$4:$E$9,COUNTIF(Settings!$D$4:$D$9,"&lt;="&amp;$H634))))</f>
        <v/>
      </c>
      <c r="K634" s="51">
        <f>IF($G634=0,0,IF(INDEX(Employees!$I$5:$I$29,$A634)="Per pay period",(N(INDEX(Employees!$J$5:$J$29,$A634))+$J634)/Settings!$B$13,IF(INDEX(Employees!$I$5:$I$29,$A634)="Per hour worked",N(INDEX(Employees!$K$5:$K$29,$A634))*$I634,IF(INDEX(Employees!$I$5:$I$29,$A634)="Front-loaded",IF(OR($B634=1,N($G633)=0),N(INDEX(Employees!$J$5:$J$29,$A634))+$J634,0),0))))</f>
        <v/>
      </c>
      <c r="L634" s="51">
        <f>IF($F634=0,0,SUMIFS('Time Off Log'!$H$5:$H$504,'Time Off Log'!$A$5:$A$504,$C634,'Time Off Log'!$B$5:$B$504,"PTO",'Time Off Log'!$E$5:$E$504,"Approved",'Time Off Log'!$C$5:$C$504,"&gt;="&amp;INDEX(Periods!$E$5:$E$57,$B634),'Time Off Log'!$C$5:$C$504,"&lt;="&amp;INDEX(Periods!$F$5:$F$57,$B634)))</f>
        <v/>
      </c>
      <c r="M634" s="51">
        <f>IF($B634=1,N(INDEX(Employees!$N$5:$N$29,$A634)),P633)</f>
        <v/>
      </c>
      <c r="N634" s="51">
        <f>IF(INDEX(Employees!$L$5:$L$29,$A634)="",K634,MAX(0,MIN(K634,INDEX(Employees!$L$5:$L$29,$A634)-(M634-L634))))</f>
        <v/>
      </c>
      <c r="O634" s="51">
        <f>K634-N634</f>
        <v/>
      </c>
      <c r="P634" s="51">
        <f>M634-L634+N634</f>
        <v/>
      </c>
      <c r="Q634" s="51">
        <f>IF($G634=0,0,IF(INDEX(Employees!$P$5:$P$29,$A634)="Per pay period",(N(INDEX(Employees!$Q$5:$Q$29,$A634)))/Settings!$B$13,IF(INDEX(Employees!$P$5:$P$29,$A634)="Per hour worked",N(INDEX(Employees!$R$5:$R$29,$A634))*$I634,IF(INDEX(Employees!$P$5:$P$29,$A634)="Front-loaded",IF(OR($B634=1,N($G633)=0),N(INDEX(Employees!$Q$5:$Q$29,$A634)),0),0))))</f>
        <v/>
      </c>
      <c r="R634" s="51">
        <f>IF($F634=0,0,SUMIFS('Time Off Log'!$H$5:$H$504,'Time Off Log'!$A$5:$A$504,$C634,'Time Off Log'!$B$5:$B$504,"Sick",'Time Off Log'!$E$5:$E$504,"Approved",'Time Off Log'!$C$5:$C$504,"&gt;="&amp;INDEX(Periods!$E$5:$E$57,$B634),'Time Off Log'!$C$5:$C$504,"&lt;="&amp;INDEX(Periods!$F$5:$F$57,$B634)))</f>
        <v/>
      </c>
      <c r="S634" s="51">
        <f>IF($B634=1,N(INDEX(Employees!$T$5:$T$29,$A634)),V633)</f>
        <v/>
      </c>
      <c r="T634" s="51">
        <f>IF(INDEX(Employees!$S$5:$S$29,$A634)="",Q634,MAX(0,MIN(Q634,INDEX(Employees!$S$5:$S$29,$A634)-(S634-R634))))</f>
        <v/>
      </c>
      <c r="U634" s="51">
        <f>Q634-T634</f>
        <v/>
      </c>
      <c r="V634" s="51">
        <f>S634-R634+T634</f>
        <v/>
      </c>
    </row>
    <row r="635">
      <c r="A635" s="50" t="n">
        <v>12</v>
      </c>
      <c r="B635" s="50" t="n">
        <v>48</v>
      </c>
      <c r="C635" s="51">
        <f>INDEX(Employees!$B$5:$B$29,$A635)&amp;""</f>
        <v/>
      </c>
      <c r="D635" s="52">
        <f>INDEX(Periods!$B$5:$B$57,$B635)</f>
        <v/>
      </c>
      <c r="E635" s="52">
        <f>INDEX(Periods!$C$5:$C$57,$B635)</f>
        <v/>
      </c>
      <c r="F635" s="50">
        <f>IF(AND($C635&lt;&gt;"",INDEX(Periods!$D$5:$D$57,$B635)=1),1,0)</f>
        <v/>
      </c>
      <c r="G635" s="50">
        <f>IF($F635=0,0,IF(AND(OR(INDEX(Employees!$D$5:$D$29,$A635)="",$E635&gt;=INDEX(Employees!$D$5:$D$29,$A635)+N(INDEX(Employees!$U$5:$U$29,$A635))),OR(INDEX(Employees!$E$5:$E$29,$A635)="",$D635&lt;=INDEX(Employees!$E$5:$E$29,$A635))),1,0))</f>
        <v/>
      </c>
      <c r="H635" s="50">
        <f>IF($G635=0,0,IF(INDEX(Employees!$D$5:$D$29,$A635)="",0,DATEDIF(INDEX(Employees!$D$5:$D$29,$A635),$E635,"y")))</f>
        <v/>
      </c>
      <c r="I635" s="51">
        <f>IF($G635=0,0,IF(INDEX('Hours Worked'!$D$5:$BD$29,$A635,$B635)="",N(INDEX(Employees!$H$5:$H$29,$A635)),INDEX('Hours Worked'!$D$5:$BD$29,$A635,$B635)))</f>
        <v/>
      </c>
      <c r="J635" s="51">
        <f>IF(OR($G635=0,INDEX(Employees!$O$5:$O$29,$A635)&lt;&gt;"Yes"),0,IF(COUNTIF(Settings!$D$4:$D$9,"&lt;="&amp;$H635)=0,0,INDEX(Settings!$E$4:$E$9,COUNTIF(Settings!$D$4:$D$9,"&lt;="&amp;$H635))))</f>
        <v/>
      </c>
      <c r="K635" s="51">
        <f>IF($G635=0,0,IF(INDEX(Employees!$I$5:$I$29,$A635)="Per pay period",(N(INDEX(Employees!$J$5:$J$29,$A635))+$J635)/Settings!$B$13,IF(INDEX(Employees!$I$5:$I$29,$A635)="Per hour worked",N(INDEX(Employees!$K$5:$K$29,$A635))*$I635,IF(INDEX(Employees!$I$5:$I$29,$A635)="Front-loaded",IF(OR($B635=1,N($G634)=0),N(INDEX(Employees!$J$5:$J$29,$A635))+$J635,0),0))))</f>
        <v/>
      </c>
      <c r="L635" s="51">
        <f>IF($F635=0,0,SUMIFS('Time Off Log'!$H$5:$H$504,'Time Off Log'!$A$5:$A$504,$C635,'Time Off Log'!$B$5:$B$504,"PTO",'Time Off Log'!$E$5:$E$504,"Approved",'Time Off Log'!$C$5:$C$504,"&gt;="&amp;INDEX(Periods!$E$5:$E$57,$B635),'Time Off Log'!$C$5:$C$504,"&lt;="&amp;INDEX(Periods!$F$5:$F$57,$B635)))</f>
        <v/>
      </c>
      <c r="M635" s="51">
        <f>IF($B635=1,N(INDEX(Employees!$N$5:$N$29,$A635)),P634)</f>
        <v/>
      </c>
      <c r="N635" s="51">
        <f>IF(INDEX(Employees!$L$5:$L$29,$A635)="",K635,MAX(0,MIN(K635,INDEX(Employees!$L$5:$L$29,$A635)-(M635-L635))))</f>
        <v/>
      </c>
      <c r="O635" s="51">
        <f>K635-N635</f>
        <v/>
      </c>
      <c r="P635" s="51">
        <f>M635-L635+N635</f>
        <v/>
      </c>
      <c r="Q635" s="51">
        <f>IF($G635=0,0,IF(INDEX(Employees!$P$5:$P$29,$A635)="Per pay period",(N(INDEX(Employees!$Q$5:$Q$29,$A635)))/Settings!$B$13,IF(INDEX(Employees!$P$5:$P$29,$A635)="Per hour worked",N(INDEX(Employees!$R$5:$R$29,$A635))*$I635,IF(INDEX(Employees!$P$5:$P$29,$A635)="Front-loaded",IF(OR($B635=1,N($G634)=0),N(INDEX(Employees!$Q$5:$Q$29,$A635)),0),0))))</f>
        <v/>
      </c>
      <c r="R635" s="51">
        <f>IF($F635=0,0,SUMIFS('Time Off Log'!$H$5:$H$504,'Time Off Log'!$A$5:$A$504,$C635,'Time Off Log'!$B$5:$B$504,"Sick",'Time Off Log'!$E$5:$E$504,"Approved",'Time Off Log'!$C$5:$C$504,"&gt;="&amp;INDEX(Periods!$E$5:$E$57,$B635),'Time Off Log'!$C$5:$C$504,"&lt;="&amp;INDEX(Periods!$F$5:$F$57,$B635)))</f>
        <v/>
      </c>
      <c r="S635" s="51">
        <f>IF($B635=1,N(INDEX(Employees!$T$5:$T$29,$A635)),V634)</f>
        <v/>
      </c>
      <c r="T635" s="51">
        <f>IF(INDEX(Employees!$S$5:$S$29,$A635)="",Q635,MAX(0,MIN(Q635,INDEX(Employees!$S$5:$S$29,$A635)-(S635-R635))))</f>
        <v/>
      </c>
      <c r="U635" s="51">
        <f>Q635-T635</f>
        <v/>
      </c>
      <c r="V635" s="51">
        <f>S635-R635+T635</f>
        <v/>
      </c>
    </row>
    <row r="636">
      <c r="A636" s="50" t="n">
        <v>12</v>
      </c>
      <c r="B636" s="50" t="n">
        <v>49</v>
      </c>
      <c r="C636" s="51">
        <f>INDEX(Employees!$B$5:$B$29,$A636)&amp;""</f>
        <v/>
      </c>
      <c r="D636" s="52">
        <f>INDEX(Periods!$B$5:$B$57,$B636)</f>
        <v/>
      </c>
      <c r="E636" s="52">
        <f>INDEX(Periods!$C$5:$C$57,$B636)</f>
        <v/>
      </c>
      <c r="F636" s="50">
        <f>IF(AND($C636&lt;&gt;"",INDEX(Periods!$D$5:$D$57,$B636)=1),1,0)</f>
        <v/>
      </c>
      <c r="G636" s="50">
        <f>IF($F636=0,0,IF(AND(OR(INDEX(Employees!$D$5:$D$29,$A636)="",$E636&gt;=INDEX(Employees!$D$5:$D$29,$A636)+N(INDEX(Employees!$U$5:$U$29,$A636))),OR(INDEX(Employees!$E$5:$E$29,$A636)="",$D636&lt;=INDEX(Employees!$E$5:$E$29,$A636))),1,0))</f>
        <v/>
      </c>
      <c r="H636" s="50">
        <f>IF($G636=0,0,IF(INDEX(Employees!$D$5:$D$29,$A636)="",0,DATEDIF(INDEX(Employees!$D$5:$D$29,$A636),$E636,"y")))</f>
        <v/>
      </c>
      <c r="I636" s="51">
        <f>IF($G636=0,0,IF(INDEX('Hours Worked'!$D$5:$BD$29,$A636,$B636)="",N(INDEX(Employees!$H$5:$H$29,$A636)),INDEX('Hours Worked'!$D$5:$BD$29,$A636,$B636)))</f>
        <v/>
      </c>
      <c r="J636" s="51">
        <f>IF(OR($G636=0,INDEX(Employees!$O$5:$O$29,$A636)&lt;&gt;"Yes"),0,IF(COUNTIF(Settings!$D$4:$D$9,"&lt;="&amp;$H636)=0,0,INDEX(Settings!$E$4:$E$9,COUNTIF(Settings!$D$4:$D$9,"&lt;="&amp;$H636))))</f>
        <v/>
      </c>
      <c r="K636" s="51">
        <f>IF($G636=0,0,IF(INDEX(Employees!$I$5:$I$29,$A636)="Per pay period",(N(INDEX(Employees!$J$5:$J$29,$A636))+$J636)/Settings!$B$13,IF(INDEX(Employees!$I$5:$I$29,$A636)="Per hour worked",N(INDEX(Employees!$K$5:$K$29,$A636))*$I636,IF(INDEX(Employees!$I$5:$I$29,$A636)="Front-loaded",IF(OR($B636=1,N($G635)=0),N(INDEX(Employees!$J$5:$J$29,$A636))+$J636,0),0))))</f>
        <v/>
      </c>
      <c r="L636" s="51">
        <f>IF($F636=0,0,SUMIFS('Time Off Log'!$H$5:$H$504,'Time Off Log'!$A$5:$A$504,$C636,'Time Off Log'!$B$5:$B$504,"PTO",'Time Off Log'!$E$5:$E$504,"Approved",'Time Off Log'!$C$5:$C$504,"&gt;="&amp;INDEX(Periods!$E$5:$E$57,$B636),'Time Off Log'!$C$5:$C$504,"&lt;="&amp;INDEX(Periods!$F$5:$F$57,$B636)))</f>
        <v/>
      </c>
      <c r="M636" s="51">
        <f>IF($B636=1,N(INDEX(Employees!$N$5:$N$29,$A636)),P635)</f>
        <v/>
      </c>
      <c r="N636" s="51">
        <f>IF(INDEX(Employees!$L$5:$L$29,$A636)="",K636,MAX(0,MIN(K636,INDEX(Employees!$L$5:$L$29,$A636)-(M636-L636))))</f>
        <v/>
      </c>
      <c r="O636" s="51">
        <f>K636-N636</f>
        <v/>
      </c>
      <c r="P636" s="51">
        <f>M636-L636+N636</f>
        <v/>
      </c>
      <c r="Q636" s="51">
        <f>IF($G636=0,0,IF(INDEX(Employees!$P$5:$P$29,$A636)="Per pay period",(N(INDEX(Employees!$Q$5:$Q$29,$A636)))/Settings!$B$13,IF(INDEX(Employees!$P$5:$P$29,$A636)="Per hour worked",N(INDEX(Employees!$R$5:$R$29,$A636))*$I636,IF(INDEX(Employees!$P$5:$P$29,$A636)="Front-loaded",IF(OR($B636=1,N($G635)=0),N(INDEX(Employees!$Q$5:$Q$29,$A636)),0),0))))</f>
        <v/>
      </c>
      <c r="R636" s="51">
        <f>IF($F636=0,0,SUMIFS('Time Off Log'!$H$5:$H$504,'Time Off Log'!$A$5:$A$504,$C636,'Time Off Log'!$B$5:$B$504,"Sick",'Time Off Log'!$E$5:$E$504,"Approved",'Time Off Log'!$C$5:$C$504,"&gt;="&amp;INDEX(Periods!$E$5:$E$57,$B636),'Time Off Log'!$C$5:$C$504,"&lt;="&amp;INDEX(Periods!$F$5:$F$57,$B636)))</f>
        <v/>
      </c>
      <c r="S636" s="51">
        <f>IF($B636=1,N(INDEX(Employees!$T$5:$T$29,$A636)),V635)</f>
        <v/>
      </c>
      <c r="T636" s="51">
        <f>IF(INDEX(Employees!$S$5:$S$29,$A636)="",Q636,MAX(0,MIN(Q636,INDEX(Employees!$S$5:$S$29,$A636)-(S636-R636))))</f>
        <v/>
      </c>
      <c r="U636" s="51">
        <f>Q636-T636</f>
        <v/>
      </c>
      <c r="V636" s="51">
        <f>S636-R636+T636</f>
        <v/>
      </c>
    </row>
    <row r="637">
      <c r="A637" s="50" t="n">
        <v>12</v>
      </c>
      <c r="B637" s="50" t="n">
        <v>50</v>
      </c>
      <c r="C637" s="51">
        <f>INDEX(Employees!$B$5:$B$29,$A637)&amp;""</f>
        <v/>
      </c>
      <c r="D637" s="52">
        <f>INDEX(Periods!$B$5:$B$57,$B637)</f>
        <v/>
      </c>
      <c r="E637" s="52">
        <f>INDEX(Periods!$C$5:$C$57,$B637)</f>
        <v/>
      </c>
      <c r="F637" s="50">
        <f>IF(AND($C637&lt;&gt;"",INDEX(Periods!$D$5:$D$57,$B637)=1),1,0)</f>
        <v/>
      </c>
      <c r="G637" s="50">
        <f>IF($F637=0,0,IF(AND(OR(INDEX(Employees!$D$5:$D$29,$A637)="",$E637&gt;=INDEX(Employees!$D$5:$D$29,$A637)+N(INDEX(Employees!$U$5:$U$29,$A637))),OR(INDEX(Employees!$E$5:$E$29,$A637)="",$D637&lt;=INDEX(Employees!$E$5:$E$29,$A637))),1,0))</f>
        <v/>
      </c>
      <c r="H637" s="50">
        <f>IF($G637=0,0,IF(INDEX(Employees!$D$5:$D$29,$A637)="",0,DATEDIF(INDEX(Employees!$D$5:$D$29,$A637),$E637,"y")))</f>
        <v/>
      </c>
      <c r="I637" s="51">
        <f>IF($G637=0,0,IF(INDEX('Hours Worked'!$D$5:$BD$29,$A637,$B637)="",N(INDEX(Employees!$H$5:$H$29,$A637)),INDEX('Hours Worked'!$D$5:$BD$29,$A637,$B637)))</f>
        <v/>
      </c>
      <c r="J637" s="51">
        <f>IF(OR($G637=0,INDEX(Employees!$O$5:$O$29,$A637)&lt;&gt;"Yes"),0,IF(COUNTIF(Settings!$D$4:$D$9,"&lt;="&amp;$H637)=0,0,INDEX(Settings!$E$4:$E$9,COUNTIF(Settings!$D$4:$D$9,"&lt;="&amp;$H637))))</f>
        <v/>
      </c>
      <c r="K637" s="51">
        <f>IF($G637=0,0,IF(INDEX(Employees!$I$5:$I$29,$A637)="Per pay period",(N(INDEX(Employees!$J$5:$J$29,$A637))+$J637)/Settings!$B$13,IF(INDEX(Employees!$I$5:$I$29,$A637)="Per hour worked",N(INDEX(Employees!$K$5:$K$29,$A637))*$I637,IF(INDEX(Employees!$I$5:$I$29,$A637)="Front-loaded",IF(OR($B637=1,N($G636)=0),N(INDEX(Employees!$J$5:$J$29,$A637))+$J637,0),0))))</f>
        <v/>
      </c>
      <c r="L637" s="51">
        <f>IF($F637=0,0,SUMIFS('Time Off Log'!$H$5:$H$504,'Time Off Log'!$A$5:$A$504,$C637,'Time Off Log'!$B$5:$B$504,"PTO",'Time Off Log'!$E$5:$E$504,"Approved",'Time Off Log'!$C$5:$C$504,"&gt;="&amp;INDEX(Periods!$E$5:$E$57,$B637),'Time Off Log'!$C$5:$C$504,"&lt;="&amp;INDEX(Periods!$F$5:$F$57,$B637)))</f>
        <v/>
      </c>
      <c r="M637" s="51">
        <f>IF($B637=1,N(INDEX(Employees!$N$5:$N$29,$A637)),P636)</f>
        <v/>
      </c>
      <c r="N637" s="51">
        <f>IF(INDEX(Employees!$L$5:$L$29,$A637)="",K637,MAX(0,MIN(K637,INDEX(Employees!$L$5:$L$29,$A637)-(M637-L637))))</f>
        <v/>
      </c>
      <c r="O637" s="51">
        <f>K637-N637</f>
        <v/>
      </c>
      <c r="P637" s="51">
        <f>M637-L637+N637</f>
        <v/>
      </c>
      <c r="Q637" s="51">
        <f>IF($G637=0,0,IF(INDEX(Employees!$P$5:$P$29,$A637)="Per pay period",(N(INDEX(Employees!$Q$5:$Q$29,$A637)))/Settings!$B$13,IF(INDEX(Employees!$P$5:$P$29,$A637)="Per hour worked",N(INDEX(Employees!$R$5:$R$29,$A637))*$I637,IF(INDEX(Employees!$P$5:$P$29,$A637)="Front-loaded",IF(OR($B637=1,N($G636)=0),N(INDEX(Employees!$Q$5:$Q$29,$A637)),0),0))))</f>
        <v/>
      </c>
      <c r="R637" s="51">
        <f>IF($F637=0,0,SUMIFS('Time Off Log'!$H$5:$H$504,'Time Off Log'!$A$5:$A$504,$C637,'Time Off Log'!$B$5:$B$504,"Sick",'Time Off Log'!$E$5:$E$504,"Approved",'Time Off Log'!$C$5:$C$504,"&gt;="&amp;INDEX(Periods!$E$5:$E$57,$B637),'Time Off Log'!$C$5:$C$504,"&lt;="&amp;INDEX(Periods!$F$5:$F$57,$B637)))</f>
        <v/>
      </c>
      <c r="S637" s="51">
        <f>IF($B637=1,N(INDEX(Employees!$T$5:$T$29,$A637)),V636)</f>
        <v/>
      </c>
      <c r="T637" s="51">
        <f>IF(INDEX(Employees!$S$5:$S$29,$A637)="",Q637,MAX(0,MIN(Q637,INDEX(Employees!$S$5:$S$29,$A637)-(S637-R637))))</f>
        <v/>
      </c>
      <c r="U637" s="51">
        <f>Q637-T637</f>
        <v/>
      </c>
      <c r="V637" s="51">
        <f>S637-R637+T637</f>
        <v/>
      </c>
    </row>
    <row r="638">
      <c r="A638" s="50" t="n">
        <v>12</v>
      </c>
      <c r="B638" s="50" t="n">
        <v>51</v>
      </c>
      <c r="C638" s="51">
        <f>INDEX(Employees!$B$5:$B$29,$A638)&amp;""</f>
        <v/>
      </c>
      <c r="D638" s="52">
        <f>INDEX(Periods!$B$5:$B$57,$B638)</f>
        <v/>
      </c>
      <c r="E638" s="52">
        <f>INDEX(Periods!$C$5:$C$57,$B638)</f>
        <v/>
      </c>
      <c r="F638" s="50">
        <f>IF(AND($C638&lt;&gt;"",INDEX(Periods!$D$5:$D$57,$B638)=1),1,0)</f>
        <v/>
      </c>
      <c r="G638" s="50">
        <f>IF($F638=0,0,IF(AND(OR(INDEX(Employees!$D$5:$D$29,$A638)="",$E638&gt;=INDEX(Employees!$D$5:$D$29,$A638)+N(INDEX(Employees!$U$5:$U$29,$A638))),OR(INDEX(Employees!$E$5:$E$29,$A638)="",$D638&lt;=INDEX(Employees!$E$5:$E$29,$A638))),1,0))</f>
        <v/>
      </c>
      <c r="H638" s="50">
        <f>IF($G638=0,0,IF(INDEX(Employees!$D$5:$D$29,$A638)="",0,DATEDIF(INDEX(Employees!$D$5:$D$29,$A638),$E638,"y")))</f>
        <v/>
      </c>
      <c r="I638" s="51">
        <f>IF($G638=0,0,IF(INDEX('Hours Worked'!$D$5:$BD$29,$A638,$B638)="",N(INDEX(Employees!$H$5:$H$29,$A638)),INDEX('Hours Worked'!$D$5:$BD$29,$A638,$B638)))</f>
        <v/>
      </c>
      <c r="J638" s="51">
        <f>IF(OR($G638=0,INDEX(Employees!$O$5:$O$29,$A638)&lt;&gt;"Yes"),0,IF(COUNTIF(Settings!$D$4:$D$9,"&lt;="&amp;$H638)=0,0,INDEX(Settings!$E$4:$E$9,COUNTIF(Settings!$D$4:$D$9,"&lt;="&amp;$H638))))</f>
        <v/>
      </c>
      <c r="K638" s="51">
        <f>IF($G638=0,0,IF(INDEX(Employees!$I$5:$I$29,$A638)="Per pay period",(N(INDEX(Employees!$J$5:$J$29,$A638))+$J638)/Settings!$B$13,IF(INDEX(Employees!$I$5:$I$29,$A638)="Per hour worked",N(INDEX(Employees!$K$5:$K$29,$A638))*$I638,IF(INDEX(Employees!$I$5:$I$29,$A638)="Front-loaded",IF(OR($B638=1,N($G637)=0),N(INDEX(Employees!$J$5:$J$29,$A638))+$J638,0),0))))</f>
        <v/>
      </c>
      <c r="L638" s="51">
        <f>IF($F638=0,0,SUMIFS('Time Off Log'!$H$5:$H$504,'Time Off Log'!$A$5:$A$504,$C638,'Time Off Log'!$B$5:$B$504,"PTO",'Time Off Log'!$E$5:$E$504,"Approved",'Time Off Log'!$C$5:$C$504,"&gt;="&amp;INDEX(Periods!$E$5:$E$57,$B638),'Time Off Log'!$C$5:$C$504,"&lt;="&amp;INDEX(Periods!$F$5:$F$57,$B638)))</f>
        <v/>
      </c>
      <c r="M638" s="51">
        <f>IF($B638=1,N(INDEX(Employees!$N$5:$N$29,$A638)),P637)</f>
        <v/>
      </c>
      <c r="N638" s="51">
        <f>IF(INDEX(Employees!$L$5:$L$29,$A638)="",K638,MAX(0,MIN(K638,INDEX(Employees!$L$5:$L$29,$A638)-(M638-L638))))</f>
        <v/>
      </c>
      <c r="O638" s="51">
        <f>K638-N638</f>
        <v/>
      </c>
      <c r="P638" s="51">
        <f>M638-L638+N638</f>
        <v/>
      </c>
      <c r="Q638" s="51">
        <f>IF($G638=0,0,IF(INDEX(Employees!$P$5:$P$29,$A638)="Per pay period",(N(INDEX(Employees!$Q$5:$Q$29,$A638)))/Settings!$B$13,IF(INDEX(Employees!$P$5:$P$29,$A638)="Per hour worked",N(INDEX(Employees!$R$5:$R$29,$A638))*$I638,IF(INDEX(Employees!$P$5:$P$29,$A638)="Front-loaded",IF(OR($B638=1,N($G637)=0),N(INDEX(Employees!$Q$5:$Q$29,$A638)),0),0))))</f>
        <v/>
      </c>
      <c r="R638" s="51">
        <f>IF($F638=0,0,SUMIFS('Time Off Log'!$H$5:$H$504,'Time Off Log'!$A$5:$A$504,$C638,'Time Off Log'!$B$5:$B$504,"Sick",'Time Off Log'!$E$5:$E$504,"Approved",'Time Off Log'!$C$5:$C$504,"&gt;="&amp;INDEX(Periods!$E$5:$E$57,$B638),'Time Off Log'!$C$5:$C$504,"&lt;="&amp;INDEX(Periods!$F$5:$F$57,$B638)))</f>
        <v/>
      </c>
      <c r="S638" s="51">
        <f>IF($B638=1,N(INDEX(Employees!$T$5:$T$29,$A638)),V637)</f>
        <v/>
      </c>
      <c r="T638" s="51">
        <f>IF(INDEX(Employees!$S$5:$S$29,$A638)="",Q638,MAX(0,MIN(Q638,INDEX(Employees!$S$5:$S$29,$A638)-(S638-R638))))</f>
        <v/>
      </c>
      <c r="U638" s="51">
        <f>Q638-T638</f>
        <v/>
      </c>
      <c r="V638" s="51">
        <f>S638-R638+T638</f>
        <v/>
      </c>
    </row>
    <row r="639">
      <c r="A639" s="50" t="n">
        <v>12</v>
      </c>
      <c r="B639" s="50" t="n">
        <v>52</v>
      </c>
      <c r="C639" s="51">
        <f>INDEX(Employees!$B$5:$B$29,$A639)&amp;""</f>
        <v/>
      </c>
      <c r="D639" s="52">
        <f>INDEX(Periods!$B$5:$B$57,$B639)</f>
        <v/>
      </c>
      <c r="E639" s="52">
        <f>INDEX(Periods!$C$5:$C$57,$B639)</f>
        <v/>
      </c>
      <c r="F639" s="50">
        <f>IF(AND($C639&lt;&gt;"",INDEX(Periods!$D$5:$D$57,$B639)=1),1,0)</f>
        <v/>
      </c>
      <c r="G639" s="50">
        <f>IF($F639=0,0,IF(AND(OR(INDEX(Employees!$D$5:$D$29,$A639)="",$E639&gt;=INDEX(Employees!$D$5:$D$29,$A639)+N(INDEX(Employees!$U$5:$U$29,$A639))),OR(INDEX(Employees!$E$5:$E$29,$A639)="",$D639&lt;=INDEX(Employees!$E$5:$E$29,$A639))),1,0))</f>
        <v/>
      </c>
      <c r="H639" s="50">
        <f>IF($G639=0,0,IF(INDEX(Employees!$D$5:$D$29,$A639)="",0,DATEDIF(INDEX(Employees!$D$5:$D$29,$A639),$E639,"y")))</f>
        <v/>
      </c>
      <c r="I639" s="51">
        <f>IF($G639=0,0,IF(INDEX('Hours Worked'!$D$5:$BD$29,$A639,$B639)="",N(INDEX(Employees!$H$5:$H$29,$A639)),INDEX('Hours Worked'!$D$5:$BD$29,$A639,$B639)))</f>
        <v/>
      </c>
      <c r="J639" s="51">
        <f>IF(OR($G639=0,INDEX(Employees!$O$5:$O$29,$A639)&lt;&gt;"Yes"),0,IF(COUNTIF(Settings!$D$4:$D$9,"&lt;="&amp;$H639)=0,0,INDEX(Settings!$E$4:$E$9,COUNTIF(Settings!$D$4:$D$9,"&lt;="&amp;$H639))))</f>
        <v/>
      </c>
      <c r="K639" s="51">
        <f>IF($G639=0,0,IF(INDEX(Employees!$I$5:$I$29,$A639)="Per pay period",(N(INDEX(Employees!$J$5:$J$29,$A639))+$J639)/Settings!$B$13,IF(INDEX(Employees!$I$5:$I$29,$A639)="Per hour worked",N(INDEX(Employees!$K$5:$K$29,$A639))*$I639,IF(INDEX(Employees!$I$5:$I$29,$A639)="Front-loaded",IF(OR($B639=1,N($G638)=0),N(INDEX(Employees!$J$5:$J$29,$A639))+$J639,0),0))))</f>
        <v/>
      </c>
      <c r="L639" s="51">
        <f>IF($F639=0,0,SUMIFS('Time Off Log'!$H$5:$H$504,'Time Off Log'!$A$5:$A$504,$C639,'Time Off Log'!$B$5:$B$504,"PTO",'Time Off Log'!$E$5:$E$504,"Approved",'Time Off Log'!$C$5:$C$504,"&gt;="&amp;INDEX(Periods!$E$5:$E$57,$B639),'Time Off Log'!$C$5:$C$504,"&lt;="&amp;INDEX(Periods!$F$5:$F$57,$B639)))</f>
        <v/>
      </c>
      <c r="M639" s="51">
        <f>IF($B639=1,N(INDEX(Employees!$N$5:$N$29,$A639)),P638)</f>
        <v/>
      </c>
      <c r="N639" s="51">
        <f>IF(INDEX(Employees!$L$5:$L$29,$A639)="",K639,MAX(0,MIN(K639,INDEX(Employees!$L$5:$L$29,$A639)-(M639-L639))))</f>
        <v/>
      </c>
      <c r="O639" s="51">
        <f>K639-N639</f>
        <v/>
      </c>
      <c r="P639" s="51">
        <f>M639-L639+N639</f>
        <v/>
      </c>
      <c r="Q639" s="51">
        <f>IF($G639=0,0,IF(INDEX(Employees!$P$5:$P$29,$A639)="Per pay period",(N(INDEX(Employees!$Q$5:$Q$29,$A639)))/Settings!$B$13,IF(INDEX(Employees!$P$5:$P$29,$A639)="Per hour worked",N(INDEX(Employees!$R$5:$R$29,$A639))*$I639,IF(INDEX(Employees!$P$5:$P$29,$A639)="Front-loaded",IF(OR($B639=1,N($G638)=0),N(INDEX(Employees!$Q$5:$Q$29,$A639)),0),0))))</f>
        <v/>
      </c>
      <c r="R639" s="51">
        <f>IF($F639=0,0,SUMIFS('Time Off Log'!$H$5:$H$504,'Time Off Log'!$A$5:$A$504,$C639,'Time Off Log'!$B$5:$B$504,"Sick",'Time Off Log'!$E$5:$E$504,"Approved",'Time Off Log'!$C$5:$C$504,"&gt;="&amp;INDEX(Periods!$E$5:$E$57,$B639),'Time Off Log'!$C$5:$C$504,"&lt;="&amp;INDEX(Periods!$F$5:$F$57,$B639)))</f>
        <v/>
      </c>
      <c r="S639" s="51">
        <f>IF($B639=1,N(INDEX(Employees!$T$5:$T$29,$A639)),V638)</f>
        <v/>
      </c>
      <c r="T639" s="51">
        <f>IF(INDEX(Employees!$S$5:$S$29,$A639)="",Q639,MAX(0,MIN(Q639,INDEX(Employees!$S$5:$S$29,$A639)-(S639-R639))))</f>
        <v/>
      </c>
      <c r="U639" s="51">
        <f>Q639-T639</f>
        <v/>
      </c>
      <c r="V639" s="51">
        <f>S639-R639+T639</f>
        <v/>
      </c>
    </row>
    <row r="640">
      <c r="A640" s="50" t="n">
        <v>12</v>
      </c>
      <c r="B640" s="50" t="n">
        <v>53</v>
      </c>
      <c r="C640" s="51">
        <f>INDEX(Employees!$B$5:$B$29,$A640)&amp;""</f>
        <v/>
      </c>
      <c r="D640" s="52">
        <f>INDEX(Periods!$B$5:$B$57,$B640)</f>
        <v/>
      </c>
      <c r="E640" s="52">
        <f>INDEX(Periods!$C$5:$C$57,$B640)</f>
        <v/>
      </c>
      <c r="F640" s="50">
        <f>IF(AND($C640&lt;&gt;"",INDEX(Periods!$D$5:$D$57,$B640)=1),1,0)</f>
        <v/>
      </c>
      <c r="G640" s="50">
        <f>IF($F640=0,0,IF(AND(OR(INDEX(Employees!$D$5:$D$29,$A640)="",$E640&gt;=INDEX(Employees!$D$5:$D$29,$A640)+N(INDEX(Employees!$U$5:$U$29,$A640))),OR(INDEX(Employees!$E$5:$E$29,$A640)="",$D640&lt;=INDEX(Employees!$E$5:$E$29,$A640))),1,0))</f>
        <v/>
      </c>
      <c r="H640" s="50">
        <f>IF($G640=0,0,IF(INDEX(Employees!$D$5:$D$29,$A640)="",0,DATEDIF(INDEX(Employees!$D$5:$D$29,$A640),$E640,"y")))</f>
        <v/>
      </c>
      <c r="I640" s="51">
        <f>IF($G640=0,0,IF(INDEX('Hours Worked'!$D$5:$BD$29,$A640,$B640)="",N(INDEX(Employees!$H$5:$H$29,$A640)),INDEX('Hours Worked'!$D$5:$BD$29,$A640,$B640)))</f>
        <v/>
      </c>
      <c r="J640" s="51">
        <f>IF(OR($G640=0,INDEX(Employees!$O$5:$O$29,$A640)&lt;&gt;"Yes"),0,IF(COUNTIF(Settings!$D$4:$D$9,"&lt;="&amp;$H640)=0,0,INDEX(Settings!$E$4:$E$9,COUNTIF(Settings!$D$4:$D$9,"&lt;="&amp;$H640))))</f>
        <v/>
      </c>
      <c r="K640" s="51">
        <f>IF($G640=0,0,IF(INDEX(Employees!$I$5:$I$29,$A640)="Per pay period",(N(INDEX(Employees!$J$5:$J$29,$A640))+$J640)/Settings!$B$13,IF(INDEX(Employees!$I$5:$I$29,$A640)="Per hour worked",N(INDEX(Employees!$K$5:$K$29,$A640))*$I640,IF(INDEX(Employees!$I$5:$I$29,$A640)="Front-loaded",IF(OR($B640=1,N($G639)=0),N(INDEX(Employees!$J$5:$J$29,$A640))+$J640,0),0))))</f>
        <v/>
      </c>
      <c r="L640" s="51">
        <f>IF($F640=0,0,SUMIFS('Time Off Log'!$H$5:$H$504,'Time Off Log'!$A$5:$A$504,$C640,'Time Off Log'!$B$5:$B$504,"PTO",'Time Off Log'!$E$5:$E$504,"Approved",'Time Off Log'!$C$5:$C$504,"&gt;="&amp;INDEX(Periods!$E$5:$E$57,$B640),'Time Off Log'!$C$5:$C$504,"&lt;="&amp;INDEX(Periods!$F$5:$F$57,$B640)))</f>
        <v/>
      </c>
      <c r="M640" s="51">
        <f>IF($B640=1,N(INDEX(Employees!$N$5:$N$29,$A640)),P639)</f>
        <v/>
      </c>
      <c r="N640" s="51">
        <f>IF(INDEX(Employees!$L$5:$L$29,$A640)="",K640,MAX(0,MIN(K640,INDEX(Employees!$L$5:$L$29,$A640)-(M640-L640))))</f>
        <v/>
      </c>
      <c r="O640" s="51">
        <f>K640-N640</f>
        <v/>
      </c>
      <c r="P640" s="51">
        <f>M640-L640+N640</f>
        <v/>
      </c>
      <c r="Q640" s="51">
        <f>IF($G640=0,0,IF(INDEX(Employees!$P$5:$P$29,$A640)="Per pay period",(N(INDEX(Employees!$Q$5:$Q$29,$A640)))/Settings!$B$13,IF(INDEX(Employees!$P$5:$P$29,$A640)="Per hour worked",N(INDEX(Employees!$R$5:$R$29,$A640))*$I640,IF(INDEX(Employees!$P$5:$P$29,$A640)="Front-loaded",IF(OR($B640=1,N($G639)=0),N(INDEX(Employees!$Q$5:$Q$29,$A640)),0),0))))</f>
        <v/>
      </c>
      <c r="R640" s="51">
        <f>IF($F640=0,0,SUMIFS('Time Off Log'!$H$5:$H$504,'Time Off Log'!$A$5:$A$504,$C640,'Time Off Log'!$B$5:$B$504,"Sick",'Time Off Log'!$E$5:$E$504,"Approved",'Time Off Log'!$C$5:$C$504,"&gt;="&amp;INDEX(Periods!$E$5:$E$57,$B640),'Time Off Log'!$C$5:$C$504,"&lt;="&amp;INDEX(Periods!$F$5:$F$57,$B640)))</f>
        <v/>
      </c>
      <c r="S640" s="51">
        <f>IF($B640=1,N(INDEX(Employees!$T$5:$T$29,$A640)),V639)</f>
        <v/>
      </c>
      <c r="T640" s="51">
        <f>IF(INDEX(Employees!$S$5:$S$29,$A640)="",Q640,MAX(0,MIN(Q640,INDEX(Employees!$S$5:$S$29,$A640)-(S640-R640))))</f>
        <v/>
      </c>
      <c r="U640" s="51">
        <f>Q640-T640</f>
        <v/>
      </c>
      <c r="V640" s="51">
        <f>S640-R640+T640</f>
        <v/>
      </c>
    </row>
    <row r="641">
      <c r="A641" s="47" t="n">
        <v>13</v>
      </c>
      <c r="B641" s="47" t="n">
        <v>1</v>
      </c>
      <c r="C641" s="48">
        <f>INDEX(Employees!$B$5:$B$29,$A641)&amp;""</f>
        <v/>
      </c>
      <c r="D641" s="49">
        <f>INDEX(Periods!$B$5:$B$57,$B641)</f>
        <v/>
      </c>
      <c r="E641" s="49">
        <f>INDEX(Periods!$C$5:$C$57,$B641)</f>
        <v/>
      </c>
      <c r="F641" s="47">
        <f>IF(AND($C641&lt;&gt;"",INDEX(Periods!$D$5:$D$57,$B641)=1),1,0)</f>
        <v/>
      </c>
      <c r="G641" s="47">
        <f>IF($F641=0,0,IF(AND(OR(INDEX(Employees!$D$5:$D$29,$A641)="",$E641&gt;=INDEX(Employees!$D$5:$D$29,$A641)+N(INDEX(Employees!$U$5:$U$29,$A641))),OR(INDEX(Employees!$E$5:$E$29,$A641)="",$D641&lt;=INDEX(Employees!$E$5:$E$29,$A641))),1,0))</f>
        <v/>
      </c>
      <c r="H641" s="47">
        <f>IF($G641=0,0,IF(INDEX(Employees!$D$5:$D$29,$A641)="",0,DATEDIF(INDEX(Employees!$D$5:$D$29,$A641),$E641,"y")))</f>
        <v/>
      </c>
      <c r="I641" s="48">
        <f>IF($G641=0,0,IF(INDEX('Hours Worked'!$D$5:$BD$29,$A641,$B641)="",N(INDEX(Employees!$H$5:$H$29,$A641)),INDEX('Hours Worked'!$D$5:$BD$29,$A641,$B641)))</f>
        <v/>
      </c>
      <c r="J641" s="48">
        <f>IF(OR($G641=0,INDEX(Employees!$O$5:$O$29,$A641)&lt;&gt;"Yes"),0,IF(COUNTIF(Settings!$D$4:$D$9,"&lt;="&amp;$H641)=0,0,INDEX(Settings!$E$4:$E$9,COUNTIF(Settings!$D$4:$D$9,"&lt;="&amp;$H641))))</f>
        <v/>
      </c>
      <c r="K641" s="48">
        <f>IF($G641=0,0,IF(INDEX(Employees!$I$5:$I$29,$A641)="Per pay period",(N(INDEX(Employees!$J$5:$J$29,$A641))+$J641)/Settings!$B$13,IF(INDEX(Employees!$I$5:$I$29,$A641)="Per hour worked",N(INDEX(Employees!$K$5:$K$29,$A641))*$I641,IF(INDEX(Employees!$I$5:$I$29,$A641)="Front-loaded",IF(OR($B641=1,N($G640)=0),N(INDEX(Employees!$J$5:$J$29,$A641))+$J641,0),0))))</f>
        <v/>
      </c>
      <c r="L641" s="48">
        <f>IF($F641=0,0,SUMIFS('Time Off Log'!$H$5:$H$504,'Time Off Log'!$A$5:$A$504,$C641,'Time Off Log'!$B$5:$B$504,"PTO",'Time Off Log'!$E$5:$E$504,"Approved",'Time Off Log'!$C$5:$C$504,"&gt;="&amp;INDEX(Periods!$E$5:$E$57,$B641),'Time Off Log'!$C$5:$C$504,"&lt;="&amp;INDEX(Periods!$F$5:$F$57,$B641)))</f>
        <v/>
      </c>
      <c r="M641" s="48">
        <f>N(INDEX(Employees!$N$5:$N$29,$A641))</f>
        <v/>
      </c>
      <c r="N641" s="48">
        <f>IF(INDEX(Employees!$L$5:$L$29,$A641)="",K641,MAX(0,MIN(K641,INDEX(Employees!$L$5:$L$29,$A641)-(M641-L641))))</f>
        <v/>
      </c>
      <c r="O641" s="48">
        <f>K641-N641</f>
        <v/>
      </c>
      <c r="P641" s="48">
        <f>M641-L641+N641</f>
        <v/>
      </c>
      <c r="Q641" s="48">
        <f>IF($G641=0,0,IF(INDEX(Employees!$P$5:$P$29,$A641)="Per pay period",(N(INDEX(Employees!$Q$5:$Q$29,$A641)))/Settings!$B$13,IF(INDEX(Employees!$P$5:$P$29,$A641)="Per hour worked",N(INDEX(Employees!$R$5:$R$29,$A641))*$I641,IF(INDEX(Employees!$P$5:$P$29,$A641)="Front-loaded",IF(OR($B641=1,N($G640)=0),N(INDEX(Employees!$Q$5:$Q$29,$A641)),0),0))))</f>
        <v/>
      </c>
      <c r="R641" s="48">
        <f>IF($F641=0,0,SUMIFS('Time Off Log'!$H$5:$H$504,'Time Off Log'!$A$5:$A$504,$C641,'Time Off Log'!$B$5:$B$504,"Sick",'Time Off Log'!$E$5:$E$504,"Approved",'Time Off Log'!$C$5:$C$504,"&gt;="&amp;INDEX(Periods!$E$5:$E$57,$B641),'Time Off Log'!$C$5:$C$504,"&lt;="&amp;INDEX(Periods!$F$5:$F$57,$B641)))</f>
        <v/>
      </c>
      <c r="S641" s="48">
        <f>N(INDEX(Employees!$T$5:$T$29,$A641))</f>
        <v/>
      </c>
      <c r="T641" s="48">
        <f>IF(INDEX(Employees!$S$5:$S$29,$A641)="",Q641,MAX(0,MIN(Q641,INDEX(Employees!$S$5:$S$29,$A641)-(S641-R641))))</f>
        <v/>
      </c>
      <c r="U641" s="48">
        <f>Q641-T641</f>
        <v/>
      </c>
      <c r="V641" s="48">
        <f>S641-R641+T641</f>
        <v/>
      </c>
    </row>
    <row r="642">
      <c r="A642" s="47" t="n">
        <v>13</v>
      </c>
      <c r="B642" s="47" t="n">
        <v>2</v>
      </c>
      <c r="C642" s="48">
        <f>INDEX(Employees!$B$5:$B$29,$A642)&amp;""</f>
        <v/>
      </c>
      <c r="D642" s="49">
        <f>INDEX(Periods!$B$5:$B$57,$B642)</f>
        <v/>
      </c>
      <c r="E642" s="49">
        <f>INDEX(Periods!$C$5:$C$57,$B642)</f>
        <v/>
      </c>
      <c r="F642" s="47">
        <f>IF(AND($C642&lt;&gt;"",INDEX(Periods!$D$5:$D$57,$B642)=1),1,0)</f>
        <v/>
      </c>
      <c r="G642" s="47">
        <f>IF($F642=0,0,IF(AND(OR(INDEX(Employees!$D$5:$D$29,$A642)="",$E642&gt;=INDEX(Employees!$D$5:$D$29,$A642)+N(INDEX(Employees!$U$5:$U$29,$A642))),OR(INDEX(Employees!$E$5:$E$29,$A642)="",$D642&lt;=INDEX(Employees!$E$5:$E$29,$A642))),1,0))</f>
        <v/>
      </c>
      <c r="H642" s="47">
        <f>IF($G642=0,0,IF(INDEX(Employees!$D$5:$D$29,$A642)="",0,DATEDIF(INDEX(Employees!$D$5:$D$29,$A642),$E642,"y")))</f>
        <v/>
      </c>
      <c r="I642" s="48">
        <f>IF($G642=0,0,IF(INDEX('Hours Worked'!$D$5:$BD$29,$A642,$B642)="",N(INDEX(Employees!$H$5:$H$29,$A642)),INDEX('Hours Worked'!$D$5:$BD$29,$A642,$B642)))</f>
        <v/>
      </c>
      <c r="J642" s="48">
        <f>IF(OR($G642=0,INDEX(Employees!$O$5:$O$29,$A642)&lt;&gt;"Yes"),0,IF(COUNTIF(Settings!$D$4:$D$9,"&lt;="&amp;$H642)=0,0,INDEX(Settings!$E$4:$E$9,COUNTIF(Settings!$D$4:$D$9,"&lt;="&amp;$H642))))</f>
        <v/>
      </c>
      <c r="K642" s="48">
        <f>IF($G642=0,0,IF(INDEX(Employees!$I$5:$I$29,$A642)="Per pay period",(N(INDEX(Employees!$J$5:$J$29,$A642))+$J642)/Settings!$B$13,IF(INDEX(Employees!$I$5:$I$29,$A642)="Per hour worked",N(INDEX(Employees!$K$5:$K$29,$A642))*$I642,IF(INDEX(Employees!$I$5:$I$29,$A642)="Front-loaded",IF(OR($B642=1,N($G641)=0),N(INDEX(Employees!$J$5:$J$29,$A642))+$J642,0),0))))</f>
        <v/>
      </c>
      <c r="L642" s="48">
        <f>IF($F642=0,0,SUMIFS('Time Off Log'!$H$5:$H$504,'Time Off Log'!$A$5:$A$504,$C642,'Time Off Log'!$B$5:$B$504,"PTO",'Time Off Log'!$E$5:$E$504,"Approved",'Time Off Log'!$C$5:$C$504,"&gt;="&amp;INDEX(Periods!$E$5:$E$57,$B642),'Time Off Log'!$C$5:$C$504,"&lt;="&amp;INDEX(Periods!$F$5:$F$57,$B642)))</f>
        <v/>
      </c>
      <c r="M642" s="48">
        <f>IF($B642=1,N(INDEX(Employees!$N$5:$N$29,$A642)),P641)</f>
        <v/>
      </c>
      <c r="N642" s="48">
        <f>IF(INDEX(Employees!$L$5:$L$29,$A642)="",K642,MAX(0,MIN(K642,INDEX(Employees!$L$5:$L$29,$A642)-(M642-L642))))</f>
        <v/>
      </c>
      <c r="O642" s="48">
        <f>K642-N642</f>
        <v/>
      </c>
      <c r="P642" s="48">
        <f>M642-L642+N642</f>
        <v/>
      </c>
      <c r="Q642" s="48">
        <f>IF($G642=0,0,IF(INDEX(Employees!$P$5:$P$29,$A642)="Per pay period",(N(INDEX(Employees!$Q$5:$Q$29,$A642)))/Settings!$B$13,IF(INDEX(Employees!$P$5:$P$29,$A642)="Per hour worked",N(INDEX(Employees!$R$5:$R$29,$A642))*$I642,IF(INDEX(Employees!$P$5:$P$29,$A642)="Front-loaded",IF(OR($B642=1,N($G641)=0),N(INDEX(Employees!$Q$5:$Q$29,$A642)),0),0))))</f>
        <v/>
      </c>
      <c r="R642" s="48">
        <f>IF($F642=0,0,SUMIFS('Time Off Log'!$H$5:$H$504,'Time Off Log'!$A$5:$A$504,$C642,'Time Off Log'!$B$5:$B$504,"Sick",'Time Off Log'!$E$5:$E$504,"Approved",'Time Off Log'!$C$5:$C$504,"&gt;="&amp;INDEX(Periods!$E$5:$E$57,$B642),'Time Off Log'!$C$5:$C$504,"&lt;="&amp;INDEX(Periods!$F$5:$F$57,$B642)))</f>
        <v/>
      </c>
      <c r="S642" s="48">
        <f>IF($B642=1,N(INDEX(Employees!$T$5:$T$29,$A642)),V641)</f>
        <v/>
      </c>
      <c r="T642" s="48">
        <f>IF(INDEX(Employees!$S$5:$S$29,$A642)="",Q642,MAX(0,MIN(Q642,INDEX(Employees!$S$5:$S$29,$A642)-(S642-R642))))</f>
        <v/>
      </c>
      <c r="U642" s="48">
        <f>Q642-T642</f>
        <v/>
      </c>
      <c r="V642" s="48">
        <f>S642-R642+T642</f>
        <v/>
      </c>
    </row>
    <row r="643">
      <c r="A643" s="47" t="n">
        <v>13</v>
      </c>
      <c r="B643" s="47" t="n">
        <v>3</v>
      </c>
      <c r="C643" s="48">
        <f>INDEX(Employees!$B$5:$B$29,$A643)&amp;""</f>
        <v/>
      </c>
      <c r="D643" s="49">
        <f>INDEX(Periods!$B$5:$B$57,$B643)</f>
        <v/>
      </c>
      <c r="E643" s="49">
        <f>INDEX(Periods!$C$5:$C$57,$B643)</f>
        <v/>
      </c>
      <c r="F643" s="47">
        <f>IF(AND($C643&lt;&gt;"",INDEX(Periods!$D$5:$D$57,$B643)=1),1,0)</f>
        <v/>
      </c>
      <c r="G643" s="47">
        <f>IF($F643=0,0,IF(AND(OR(INDEX(Employees!$D$5:$D$29,$A643)="",$E643&gt;=INDEX(Employees!$D$5:$D$29,$A643)+N(INDEX(Employees!$U$5:$U$29,$A643))),OR(INDEX(Employees!$E$5:$E$29,$A643)="",$D643&lt;=INDEX(Employees!$E$5:$E$29,$A643))),1,0))</f>
        <v/>
      </c>
      <c r="H643" s="47">
        <f>IF($G643=0,0,IF(INDEX(Employees!$D$5:$D$29,$A643)="",0,DATEDIF(INDEX(Employees!$D$5:$D$29,$A643),$E643,"y")))</f>
        <v/>
      </c>
      <c r="I643" s="48">
        <f>IF($G643=0,0,IF(INDEX('Hours Worked'!$D$5:$BD$29,$A643,$B643)="",N(INDEX(Employees!$H$5:$H$29,$A643)),INDEX('Hours Worked'!$D$5:$BD$29,$A643,$B643)))</f>
        <v/>
      </c>
      <c r="J643" s="48">
        <f>IF(OR($G643=0,INDEX(Employees!$O$5:$O$29,$A643)&lt;&gt;"Yes"),0,IF(COUNTIF(Settings!$D$4:$D$9,"&lt;="&amp;$H643)=0,0,INDEX(Settings!$E$4:$E$9,COUNTIF(Settings!$D$4:$D$9,"&lt;="&amp;$H643))))</f>
        <v/>
      </c>
      <c r="K643" s="48">
        <f>IF($G643=0,0,IF(INDEX(Employees!$I$5:$I$29,$A643)="Per pay period",(N(INDEX(Employees!$J$5:$J$29,$A643))+$J643)/Settings!$B$13,IF(INDEX(Employees!$I$5:$I$29,$A643)="Per hour worked",N(INDEX(Employees!$K$5:$K$29,$A643))*$I643,IF(INDEX(Employees!$I$5:$I$29,$A643)="Front-loaded",IF(OR($B643=1,N($G642)=0),N(INDEX(Employees!$J$5:$J$29,$A643))+$J643,0),0))))</f>
        <v/>
      </c>
      <c r="L643" s="48">
        <f>IF($F643=0,0,SUMIFS('Time Off Log'!$H$5:$H$504,'Time Off Log'!$A$5:$A$504,$C643,'Time Off Log'!$B$5:$B$504,"PTO",'Time Off Log'!$E$5:$E$504,"Approved",'Time Off Log'!$C$5:$C$504,"&gt;="&amp;INDEX(Periods!$E$5:$E$57,$B643),'Time Off Log'!$C$5:$C$504,"&lt;="&amp;INDEX(Periods!$F$5:$F$57,$B643)))</f>
        <v/>
      </c>
      <c r="M643" s="48">
        <f>IF($B643=1,N(INDEX(Employees!$N$5:$N$29,$A643)),P642)</f>
        <v/>
      </c>
      <c r="N643" s="48">
        <f>IF(INDEX(Employees!$L$5:$L$29,$A643)="",K643,MAX(0,MIN(K643,INDEX(Employees!$L$5:$L$29,$A643)-(M643-L643))))</f>
        <v/>
      </c>
      <c r="O643" s="48">
        <f>K643-N643</f>
        <v/>
      </c>
      <c r="P643" s="48">
        <f>M643-L643+N643</f>
        <v/>
      </c>
      <c r="Q643" s="48">
        <f>IF($G643=0,0,IF(INDEX(Employees!$P$5:$P$29,$A643)="Per pay period",(N(INDEX(Employees!$Q$5:$Q$29,$A643)))/Settings!$B$13,IF(INDEX(Employees!$P$5:$P$29,$A643)="Per hour worked",N(INDEX(Employees!$R$5:$R$29,$A643))*$I643,IF(INDEX(Employees!$P$5:$P$29,$A643)="Front-loaded",IF(OR($B643=1,N($G642)=0),N(INDEX(Employees!$Q$5:$Q$29,$A643)),0),0))))</f>
        <v/>
      </c>
      <c r="R643" s="48">
        <f>IF($F643=0,0,SUMIFS('Time Off Log'!$H$5:$H$504,'Time Off Log'!$A$5:$A$504,$C643,'Time Off Log'!$B$5:$B$504,"Sick",'Time Off Log'!$E$5:$E$504,"Approved",'Time Off Log'!$C$5:$C$504,"&gt;="&amp;INDEX(Periods!$E$5:$E$57,$B643),'Time Off Log'!$C$5:$C$504,"&lt;="&amp;INDEX(Periods!$F$5:$F$57,$B643)))</f>
        <v/>
      </c>
      <c r="S643" s="48">
        <f>IF($B643=1,N(INDEX(Employees!$T$5:$T$29,$A643)),V642)</f>
        <v/>
      </c>
      <c r="T643" s="48">
        <f>IF(INDEX(Employees!$S$5:$S$29,$A643)="",Q643,MAX(0,MIN(Q643,INDEX(Employees!$S$5:$S$29,$A643)-(S643-R643))))</f>
        <v/>
      </c>
      <c r="U643" s="48">
        <f>Q643-T643</f>
        <v/>
      </c>
      <c r="V643" s="48">
        <f>S643-R643+T643</f>
        <v/>
      </c>
    </row>
    <row r="644">
      <c r="A644" s="47" t="n">
        <v>13</v>
      </c>
      <c r="B644" s="47" t="n">
        <v>4</v>
      </c>
      <c r="C644" s="48">
        <f>INDEX(Employees!$B$5:$B$29,$A644)&amp;""</f>
        <v/>
      </c>
      <c r="D644" s="49">
        <f>INDEX(Periods!$B$5:$B$57,$B644)</f>
        <v/>
      </c>
      <c r="E644" s="49">
        <f>INDEX(Periods!$C$5:$C$57,$B644)</f>
        <v/>
      </c>
      <c r="F644" s="47">
        <f>IF(AND($C644&lt;&gt;"",INDEX(Periods!$D$5:$D$57,$B644)=1),1,0)</f>
        <v/>
      </c>
      <c r="G644" s="47">
        <f>IF($F644=0,0,IF(AND(OR(INDEX(Employees!$D$5:$D$29,$A644)="",$E644&gt;=INDEX(Employees!$D$5:$D$29,$A644)+N(INDEX(Employees!$U$5:$U$29,$A644))),OR(INDEX(Employees!$E$5:$E$29,$A644)="",$D644&lt;=INDEX(Employees!$E$5:$E$29,$A644))),1,0))</f>
        <v/>
      </c>
      <c r="H644" s="47">
        <f>IF($G644=0,0,IF(INDEX(Employees!$D$5:$D$29,$A644)="",0,DATEDIF(INDEX(Employees!$D$5:$D$29,$A644),$E644,"y")))</f>
        <v/>
      </c>
      <c r="I644" s="48">
        <f>IF($G644=0,0,IF(INDEX('Hours Worked'!$D$5:$BD$29,$A644,$B644)="",N(INDEX(Employees!$H$5:$H$29,$A644)),INDEX('Hours Worked'!$D$5:$BD$29,$A644,$B644)))</f>
        <v/>
      </c>
      <c r="J644" s="48">
        <f>IF(OR($G644=0,INDEX(Employees!$O$5:$O$29,$A644)&lt;&gt;"Yes"),0,IF(COUNTIF(Settings!$D$4:$D$9,"&lt;="&amp;$H644)=0,0,INDEX(Settings!$E$4:$E$9,COUNTIF(Settings!$D$4:$D$9,"&lt;="&amp;$H644))))</f>
        <v/>
      </c>
      <c r="K644" s="48">
        <f>IF($G644=0,0,IF(INDEX(Employees!$I$5:$I$29,$A644)="Per pay period",(N(INDEX(Employees!$J$5:$J$29,$A644))+$J644)/Settings!$B$13,IF(INDEX(Employees!$I$5:$I$29,$A644)="Per hour worked",N(INDEX(Employees!$K$5:$K$29,$A644))*$I644,IF(INDEX(Employees!$I$5:$I$29,$A644)="Front-loaded",IF(OR($B644=1,N($G643)=0),N(INDEX(Employees!$J$5:$J$29,$A644))+$J644,0),0))))</f>
        <v/>
      </c>
      <c r="L644" s="48">
        <f>IF($F644=0,0,SUMIFS('Time Off Log'!$H$5:$H$504,'Time Off Log'!$A$5:$A$504,$C644,'Time Off Log'!$B$5:$B$504,"PTO",'Time Off Log'!$E$5:$E$504,"Approved",'Time Off Log'!$C$5:$C$504,"&gt;="&amp;INDEX(Periods!$E$5:$E$57,$B644),'Time Off Log'!$C$5:$C$504,"&lt;="&amp;INDEX(Periods!$F$5:$F$57,$B644)))</f>
        <v/>
      </c>
      <c r="M644" s="48">
        <f>IF($B644=1,N(INDEX(Employees!$N$5:$N$29,$A644)),P643)</f>
        <v/>
      </c>
      <c r="N644" s="48">
        <f>IF(INDEX(Employees!$L$5:$L$29,$A644)="",K644,MAX(0,MIN(K644,INDEX(Employees!$L$5:$L$29,$A644)-(M644-L644))))</f>
        <v/>
      </c>
      <c r="O644" s="48">
        <f>K644-N644</f>
        <v/>
      </c>
      <c r="P644" s="48">
        <f>M644-L644+N644</f>
        <v/>
      </c>
      <c r="Q644" s="48">
        <f>IF($G644=0,0,IF(INDEX(Employees!$P$5:$P$29,$A644)="Per pay period",(N(INDEX(Employees!$Q$5:$Q$29,$A644)))/Settings!$B$13,IF(INDEX(Employees!$P$5:$P$29,$A644)="Per hour worked",N(INDEX(Employees!$R$5:$R$29,$A644))*$I644,IF(INDEX(Employees!$P$5:$P$29,$A644)="Front-loaded",IF(OR($B644=1,N($G643)=0),N(INDEX(Employees!$Q$5:$Q$29,$A644)),0),0))))</f>
        <v/>
      </c>
      <c r="R644" s="48">
        <f>IF($F644=0,0,SUMIFS('Time Off Log'!$H$5:$H$504,'Time Off Log'!$A$5:$A$504,$C644,'Time Off Log'!$B$5:$B$504,"Sick",'Time Off Log'!$E$5:$E$504,"Approved",'Time Off Log'!$C$5:$C$504,"&gt;="&amp;INDEX(Periods!$E$5:$E$57,$B644),'Time Off Log'!$C$5:$C$504,"&lt;="&amp;INDEX(Periods!$F$5:$F$57,$B644)))</f>
        <v/>
      </c>
      <c r="S644" s="48">
        <f>IF($B644=1,N(INDEX(Employees!$T$5:$T$29,$A644)),V643)</f>
        <v/>
      </c>
      <c r="T644" s="48">
        <f>IF(INDEX(Employees!$S$5:$S$29,$A644)="",Q644,MAX(0,MIN(Q644,INDEX(Employees!$S$5:$S$29,$A644)-(S644-R644))))</f>
        <v/>
      </c>
      <c r="U644" s="48">
        <f>Q644-T644</f>
        <v/>
      </c>
      <c r="V644" s="48">
        <f>S644-R644+T644</f>
        <v/>
      </c>
    </row>
    <row r="645">
      <c r="A645" s="47" t="n">
        <v>13</v>
      </c>
      <c r="B645" s="47" t="n">
        <v>5</v>
      </c>
      <c r="C645" s="48">
        <f>INDEX(Employees!$B$5:$B$29,$A645)&amp;""</f>
        <v/>
      </c>
      <c r="D645" s="49">
        <f>INDEX(Periods!$B$5:$B$57,$B645)</f>
        <v/>
      </c>
      <c r="E645" s="49">
        <f>INDEX(Periods!$C$5:$C$57,$B645)</f>
        <v/>
      </c>
      <c r="F645" s="47">
        <f>IF(AND($C645&lt;&gt;"",INDEX(Periods!$D$5:$D$57,$B645)=1),1,0)</f>
        <v/>
      </c>
      <c r="G645" s="47">
        <f>IF($F645=0,0,IF(AND(OR(INDEX(Employees!$D$5:$D$29,$A645)="",$E645&gt;=INDEX(Employees!$D$5:$D$29,$A645)+N(INDEX(Employees!$U$5:$U$29,$A645))),OR(INDEX(Employees!$E$5:$E$29,$A645)="",$D645&lt;=INDEX(Employees!$E$5:$E$29,$A645))),1,0))</f>
        <v/>
      </c>
      <c r="H645" s="47">
        <f>IF($G645=0,0,IF(INDEX(Employees!$D$5:$D$29,$A645)="",0,DATEDIF(INDEX(Employees!$D$5:$D$29,$A645),$E645,"y")))</f>
        <v/>
      </c>
      <c r="I645" s="48">
        <f>IF($G645=0,0,IF(INDEX('Hours Worked'!$D$5:$BD$29,$A645,$B645)="",N(INDEX(Employees!$H$5:$H$29,$A645)),INDEX('Hours Worked'!$D$5:$BD$29,$A645,$B645)))</f>
        <v/>
      </c>
      <c r="J645" s="48">
        <f>IF(OR($G645=0,INDEX(Employees!$O$5:$O$29,$A645)&lt;&gt;"Yes"),0,IF(COUNTIF(Settings!$D$4:$D$9,"&lt;="&amp;$H645)=0,0,INDEX(Settings!$E$4:$E$9,COUNTIF(Settings!$D$4:$D$9,"&lt;="&amp;$H645))))</f>
        <v/>
      </c>
      <c r="K645" s="48">
        <f>IF($G645=0,0,IF(INDEX(Employees!$I$5:$I$29,$A645)="Per pay period",(N(INDEX(Employees!$J$5:$J$29,$A645))+$J645)/Settings!$B$13,IF(INDEX(Employees!$I$5:$I$29,$A645)="Per hour worked",N(INDEX(Employees!$K$5:$K$29,$A645))*$I645,IF(INDEX(Employees!$I$5:$I$29,$A645)="Front-loaded",IF(OR($B645=1,N($G644)=0),N(INDEX(Employees!$J$5:$J$29,$A645))+$J645,0),0))))</f>
        <v/>
      </c>
      <c r="L645" s="48">
        <f>IF($F645=0,0,SUMIFS('Time Off Log'!$H$5:$H$504,'Time Off Log'!$A$5:$A$504,$C645,'Time Off Log'!$B$5:$B$504,"PTO",'Time Off Log'!$E$5:$E$504,"Approved",'Time Off Log'!$C$5:$C$504,"&gt;="&amp;INDEX(Periods!$E$5:$E$57,$B645),'Time Off Log'!$C$5:$C$504,"&lt;="&amp;INDEX(Periods!$F$5:$F$57,$B645)))</f>
        <v/>
      </c>
      <c r="M645" s="48">
        <f>IF($B645=1,N(INDEX(Employees!$N$5:$N$29,$A645)),P644)</f>
        <v/>
      </c>
      <c r="N645" s="48">
        <f>IF(INDEX(Employees!$L$5:$L$29,$A645)="",K645,MAX(0,MIN(K645,INDEX(Employees!$L$5:$L$29,$A645)-(M645-L645))))</f>
        <v/>
      </c>
      <c r="O645" s="48">
        <f>K645-N645</f>
        <v/>
      </c>
      <c r="P645" s="48">
        <f>M645-L645+N645</f>
        <v/>
      </c>
      <c r="Q645" s="48">
        <f>IF($G645=0,0,IF(INDEX(Employees!$P$5:$P$29,$A645)="Per pay period",(N(INDEX(Employees!$Q$5:$Q$29,$A645)))/Settings!$B$13,IF(INDEX(Employees!$P$5:$P$29,$A645)="Per hour worked",N(INDEX(Employees!$R$5:$R$29,$A645))*$I645,IF(INDEX(Employees!$P$5:$P$29,$A645)="Front-loaded",IF(OR($B645=1,N($G644)=0),N(INDEX(Employees!$Q$5:$Q$29,$A645)),0),0))))</f>
        <v/>
      </c>
      <c r="R645" s="48">
        <f>IF($F645=0,0,SUMIFS('Time Off Log'!$H$5:$H$504,'Time Off Log'!$A$5:$A$504,$C645,'Time Off Log'!$B$5:$B$504,"Sick",'Time Off Log'!$E$5:$E$504,"Approved",'Time Off Log'!$C$5:$C$504,"&gt;="&amp;INDEX(Periods!$E$5:$E$57,$B645),'Time Off Log'!$C$5:$C$504,"&lt;="&amp;INDEX(Periods!$F$5:$F$57,$B645)))</f>
        <v/>
      </c>
      <c r="S645" s="48">
        <f>IF($B645=1,N(INDEX(Employees!$T$5:$T$29,$A645)),V644)</f>
        <v/>
      </c>
      <c r="T645" s="48">
        <f>IF(INDEX(Employees!$S$5:$S$29,$A645)="",Q645,MAX(0,MIN(Q645,INDEX(Employees!$S$5:$S$29,$A645)-(S645-R645))))</f>
        <v/>
      </c>
      <c r="U645" s="48">
        <f>Q645-T645</f>
        <v/>
      </c>
      <c r="V645" s="48">
        <f>S645-R645+T645</f>
        <v/>
      </c>
    </row>
    <row r="646">
      <c r="A646" s="47" t="n">
        <v>13</v>
      </c>
      <c r="B646" s="47" t="n">
        <v>6</v>
      </c>
      <c r="C646" s="48">
        <f>INDEX(Employees!$B$5:$B$29,$A646)&amp;""</f>
        <v/>
      </c>
      <c r="D646" s="49">
        <f>INDEX(Periods!$B$5:$B$57,$B646)</f>
        <v/>
      </c>
      <c r="E646" s="49">
        <f>INDEX(Periods!$C$5:$C$57,$B646)</f>
        <v/>
      </c>
      <c r="F646" s="47">
        <f>IF(AND($C646&lt;&gt;"",INDEX(Periods!$D$5:$D$57,$B646)=1),1,0)</f>
        <v/>
      </c>
      <c r="G646" s="47">
        <f>IF($F646=0,0,IF(AND(OR(INDEX(Employees!$D$5:$D$29,$A646)="",$E646&gt;=INDEX(Employees!$D$5:$D$29,$A646)+N(INDEX(Employees!$U$5:$U$29,$A646))),OR(INDEX(Employees!$E$5:$E$29,$A646)="",$D646&lt;=INDEX(Employees!$E$5:$E$29,$A646))),1,0))</f>
        <v/>
      </c>
      <c r="H646" s="47">
        <f>IF($G646=0,0,IF(INDEX(Employees!$D$5:$D$29,$A646)="",0,DATEDIF(INDEX(Employees!$D$5:$D$29,$A646),$E646,"y")))</f>
        <v/>
      </c>
      <c r="I646" s="48">
        <f>IF($G646=0,0,IF(INDEX('Hours Worked'!$D$5:$BD$29,$A646,$B646)="",N(INDEX(Employees!$H$5:$H$29,$A646)),INDEX('Hours Worked'!$D$5:$BD$29,$A646,$B646)))</f>
        <v/>
      </c>
      <c r="J646" s="48">
        <f>IF(OR($G646=0,INDEX(Employees!$O$5:$O$29,$A646)&lt;&gt;"Yes"),0,IF(COUNTIF(Settings!$D$4:$D$9,"&lt;="&amp;$H646)=0,0,INDEX(Settings!$E$4:$E$9,COUNTIF(Settings!$D$4:$D$9,"&lt;="&amp;$H646))))</f>
        <v/>
      </c>
      <c r="K646" s="48">
        <f>IF($G646=0,0,IF(INDEX(Employees!$I$5:$I$29,$A646)="Per pay period",(N(INDEX(Employees!$J$5:$J$29,$A646))+$J646)/Settings!$B$13,IF(INDEX(Employees!$I$5:$I$29,$A646)="Per hour worked",N(INDEX(Employees!$K$5:$K$29,$A646))*$I646,IF(INDEX(Employees!$I$5:$I$29,$A646)="Front-loaded",IF(OR($B646=1,N($G645)=0),N(INDEX(Employees!$J$5:$J$29,$A646))+$J646,0),0))))</f>
        <v/>
      </c>
      <c r="L646" s="48">
        <f>IF($F646=0,0,SUMIFS('Time Off Log'!$H$5:$H$504,'Time Off Log'!$A$5:$A$504,$C646,'Time Off Log'!$B$5:$B$504,"PTO",'Time Off Log'!$E$5:$E$504,"Approved",'Time Off Log'!$C$5:$C$504,"&gt;="&amp;INDEX(Periods!$E$5:$E$57,$B646),'Time Off Log'!$C$5:$C$504,"&lt;="&amp;INDEX(Periods!$F$5:$F$57,$B646)))</f>
        <v/>
      </c>
      <c r="M646" s="48">
        <f>IF($B646=1,N(INDEX(Employees!$N$5:$N$29,$A646)),P645)</f>
        <v/>
      </c>
      <c r="N646" s="48">
        <f>IF(INDEX(Employees!$L$5:$L$29,$A646)="",K646,MAX(0,MIN(K646,INDEX(Employees!$L$5:$L$29,$A646)-(M646-L646))))</f>
        <v/>
      </c>
      <c r="O646" s="48">
        <f>K646-N646</f>
        <v/>
      </c>
      <c r="P646" s="48">
        <f>M646-L646+N646</f>
        <v/>
      </c>
      <c r="Q646" s="48">
        <f>IF($G646=0,0,IF(INDEX(Employees!$P$5:$P$29,$A646)="Per pay period",(N(INDEX(Employees!$Q$5:$Q$29,$A646)))/Settings!$B$13,IF(INDEX(Employees!$P$5:$P$29,$A646)="Per hour worked",N(INDEX(Employees!$R$5:$R$29,$A646))*$I646,IF(INDEX(Employees!$P$5:$P$29,$A646)="Front-loaded",IF(OR($B646=1,N($G645)=0),N(INDEX(Employees!$Q$5:$Q$29,$A646)),0),0))))</f>
        <v/>
      </c>
      <c r="R646" s="48">
        <f>IF($F646=0,0,SUMIFS('Time Off Log'!$H$5:$H$504,'Time Off Log'!$A$5:$A$504,$C646,'Time Off Log'!$B$5:$B$504,"Sick",'Time Off Log'!$E$5:$E$504,"Approved",'Time Off Log'!$C$5:$C$504,"&gt;="&amp;INDEX(Periods!$E$5:$E$57,$B646),'Time Off Log'!$C$5:$C$504,"&lt;="&amp;INDEX(Periods!$F$5:$F$57,$B646)))</f>
        <v/>
      </c>
      <c r="S646" s="48">
        <f>IF($B646=1,N(INDEX(Employees!$T$5:$T$29,$A646)),V645)</f>
        <v/>
      </c>
      <c r="T646" s="48">
        <f>IF(INDEX(Employees!$S$5:$S$29,$A646)="",Q646,MAX(0,MIN(Q646,INDEX(Employees!$S$5:$S$29,$A646)-(S646-R646))))</f>
        <v/>
      </c>
      <c r="U646" s="48">
        <f>Q646-T646</f>
        <v/>
      </c>
      <c r="V646" s="48">
        <f>S646-R646+T646</f>
        <v/>
      </c>
    </row>
    <row r="647">
      <c r="A647" s="47" t="n">
        <v>13</v>
      </c>
      <c r="B647" s="47" t="n">
        <v>7</v>
      </c>
      <c r="C647" s="48">
        <f>INDEX(Employees!$B$5:$B$29,$A647)&amp;""</f>
        <v/>
      </c>
      <c r="D647" s="49">
        <f>INDEX(Periods!$B$5:$B$57,$B647)</f>
        <v/>
      </c>
      <c r="E647" s="49">
        <f>INDEX(Periods!$C$5:$C$57,$B647)</f>
        <v/>
      </c>
      <c r="F647" s="47">
        <f>IF(AND($C647&lt;&gt;"",INDEX(Periods!$D$5:$D$57,$B647)=1),1,0)</f>
        <v/>
      </c>
      <c r="G647" s="47">
        <f>IF($F647=0,0,IF(AND(OR(INDEX(Employees!$D$5:$D$29,$A647)="",$E647&gt;=INDEX(Employees!$D$5:$D$29,$A647)+N(INDEX(Employees!$U$5:$U$29,$A647))),OR(INDEX(Employees!$E$5:$E$29,$A647)="",$D647&lt;=INDEX(Employees!$E$5:$E$29,$A647))),1,0))</f>
        <v/>
      </c>
      <c r="H647" s="47">
        <f>IF($G647=0,0,IF(INDEX(Employees!$D$5:$D$29,$A647)="",0,DATEDIF(INDEX(Employees!$D$5:$D$29,$A647),$E647,"y")))</f>
        <v/>
      </c>
      <c r="I647" s="48">
        <f>IF($G647=0,0,IF(INDEX('Hours Worked'!$D$5:$BD$29,$A647,$B647)="",N(INDEX(Employees!$H$5:$H$29,$A647)),INDEX('Hours Worked'!$D$5:$BD$29,$A647,$B647)))</f>
        <v/>
      </c>
      <c r="J647" s="48">
        <f>IF(OR($G647=0,INDEX(Employees!$O$5:$O$29,$A647)&lt;&gt;"Yes"),0,IF(COUNTIF(Settings!$D$4:$D$9,"&lt;="&amp;$H647)=0,0,INDEX(Settings!$E$4:$E$9,COUNTIF(Settings!$D$4:$D$9,"&lt;="&amp;$H647))))</f>
        <v/>
      </c>
      <c r="K647" s="48">
        <f>IF($G647=0,0,IF(INDEX(Employees!$I$5:$I$29,$A647)="Per pay period",(N(INDEX(Employees!$J$5:$J$29,$A647))+$J647)/Settings!$B$13,IF(INDEX(Employees!$I$5:$I$29,$A647)="Per hour worked",N(INDEX(Employees!$K$5:$K$29,$A647))*$I647,IF(INDEX(Employees!$I$5:$I$29,$A647)="Front-loaded",IF(OR($B647=1,N($G646)=0),N(INDEX(Employees!$J$5:$J$29,$A647))+$J647,0),0))))</f>
        <v/>
      </c>
      <c r="L647" s="48">
        <f>IF($F647=0,0,SUMIFS('Time Off Log'!$H$5:$H$504,'Time Off Log'!$A$5:$A$504,$C647,'Time Off Log'!$B$5:$B$504,"PTO",'Time Off Log'!$E$5:$E$504,"Approved",'Time Off Log'!$C$5:$C$504,"&gt;="&amp;INDEX(Periods!$E$5:$E$57,$B647),'Time Off Log'!$C$5:$C$504,"&lt;="&amp;INDEX(Periods!$F$5:$F$57,$B647)))</f>
        <v/>
      </c>
      <c r="M647" s="48">
        <f>IF($B647=1,N(INDEX(Employees!$N$5:$N$29,$A647)),P646)</f>
        <v/>
      </c>
      <c r="N647" s="48">
        <f>IF(INDEX(Employees!$L$5:$L$29,$A647)="",K647,MAX(0,MIN(K647,INDEX(Employees!$L$5:$L$29,$A647)-(M647-L647))))</f>
        <v/>
      </c>
      <c r="O647" s="48">
        <f>K647-N647</f>
        <v/>
      </c>
      <c r="P647" s="48">
        <f>M647-L647+N647</f>
        <v/>
      </c>
      <c r="Q647" s="48">
        <f>IF($G647=0,0,IF(INDEX(Employees!$P$5:$P$29,$A647)="Per pay period",(N(INDEX(Employees!$Q$5:$Q$29,$A647)))/Settings!$B$13,IF(INDEX(Employees!$P$5:$P$29,$A647)="Per hour worked",N(INDEX(Employees!$R$5:$R$29,$A647))*$I647,IF(INDEX(Employees!$P$5:$P$29,$A647)="Front-loaded",IF(OR($B647=1,N($G646)=0),N(INDEX(Employees!$Q$5:$Q$29,$A647)),0),0))))</f>
        <v/>
      </c>
      <c r="R647" s="48">
        <f>IF($F647=0,0,SUMIFS('Time Off Log'!$H$5:$H$504,'Time Off Log'!$A$5:$A$504,$C647,'Time Off Log'!$B$5:$B$504,"Sick",'Time Off Log'!$E$5:$E$504,"Approved",'Time Off Log'!$C$5:$C$504,"&gt;="&amp;INDEX(Periods!$E$5:$E$57,$B647),'Time Off Log'!$C$5:$C$504,"&lt;="&amp;INDEX(Periods!$F$5:$F$57,$B647)))</f>
        <v/>
      </c>
      <c r="S647" s="48">
        <f>IF($B647=1,N(INDEX(Employees!$T$5:$T$29,$A647)),V646)</f>
        <v/>
      </c>
      <c r="T647" s="48">
        <f>IF(INDEX(Employees!$S$5:$S$29,$A647)="",Q647,MAX(0,MIN(Q647,INDEX(Employees!$S$5:$S$29,$A647)-(S647-R647))))</f>
        <v/>
      </c>
      <c r="U647" s="48">
        <f>Q647-T647</f>
        <v/>
      </c>
      <c r="V647" s="48">
        <f>S647-R647+T647</f>
        <v/>
      </c>
    </row>
    <row r="648">
      <c r="A648" s="47" t="n">
        <v>13</v>
      </c>
      <c r="B648" s="47" t="n">
        <v>8</v>
      </c>
      <c r="C648" s="48">
        <f>INDEX(Employees!$B$5:$B$29,$A648)&amp;""</f>
        <v/>
      </c>
      <c r="D648" s="49">
        <f>INDEX(Periods!$B$5:$B$57,$B648)</f>
        <v/>
      </c>
      <c r="E648" s="49">
        <f>INDEX(Periods!$C$5:$C$57,$B648)</f>
        <v/>
      </c>
      <c r="F648" s="47">
        <f>IF(AND($C648&lt;&gt;"",INDEX(Periods!$D$5:$D$57,$B648)=1),1,0)</f>
        <v/>
      </c>
      <c r="G648" s="47">
        <f>IF($F648=0,0,IF(AND(OR(INDEX(Employees!$D$5:$D$29,$A648)="",$E648&gt;=INDEX(Employees!$D$5:$D$29,$A648)+N(INDEX(Employees!$U$5:$U$29,$A648))),OR(INDEX(Employees!$E$5:$E$29,$A648)="",$D648&lt;=INDEX(Employees!$E$5:$E$29,$A648))),1,0))</f>
        <v/>
      </c>
      <c r="H648" s="47">
        <f>IF($G648=0,0,IF(INDEX(Employees!$D$5:$D$29,$A648)="",0,DATEDIF(INDEX(Employees!$D$5:$D$29,$A648),$E648,"y")))</f>
        <v/>
      </c>
      <c r="I648" s="48">
        <f>IF($G648=0,0,IF(INDEX('Hours Worked'!$D$5:$BD$29,$A648,$B648)="",N(INDEX(Employees!$H$5:$H$29,$A648)),INDEX('Hours Worked'!$D$5:$BD$29,$A648,$B648)))</f>
        <v/>
      </c>
      <c r="J648" s="48">
        <f>IF(OR($G648=0,INDEX(Employees!$O$5:$O$29,$A648)&lt;&gt;"Yes"),0,IF(COUNTIF(Settings!$D$4:$D$9,"&lt;="&amp;$H648)=0,0,INDEX(Settings!$E$4:$E$9,COUNTIF(Settings!$D$4:$D$9,"&lt;="&amp;$H648))))</f>
        <v/>
      </c>
      <c r="K648" s="48">
        <f>IF($G648=0,0,IF(INDEX(Employees!$I$5:$I$29,$A648)="Per pay period",(N(INDEX(Employees!$J$5:$J$29,$A648))+$J648)/Settings!$B$13,IF(INDEX(Employees!$I$5:$I$29,$A648)="Per hour worked",N(INDEX(Employees!$K$5:$K$29,$A648))*$I648,IF(INDEX(Employees!$I$5:$I$29,$A648)="Front-loaded",IF(OR($B648=1,N($G647)=0),N(INDEX(Employees!$J$5:$J$29,$A648))+$J648,0),0))))</f>
        <v/>
      </c>
      <c r="L648" s="48">
        <f>IF($F648=0,0,SUMIFS('Time Off Log'!$H$5:$H$504,'Time Off Log'!$A$5:$A$504,$C648,'Time Off Log'!$B$5:$B$504,"PTO",'Time Off Log'!$E$5:$E$504,"Approved",'Time Off Log'!$C$5:$C$504,"&gt;="&amp;INDEX(Periods!$E$5:$E$57,$B648),'Time Off Log'!$C$5:$C$504,"&lt;="&amp;INDEX(Periods!$F$5:$F$57,$B648)))</f>
        <v/>
      </c>
      <c r="M648" s="48">
        <f>IF($B648=1,N(INDEX(Employees!$N$5:$N$29,$A648)),P647)</f>
        <v/>
      </c>
      <c r="N648" s="48">
        <f>IF(INDEX(Employees!$L$5:$L$29,$A648)="",K648,MAX(0,MIN(K648,INDEX(Employees!$L$5:$L$29,$A648)-(M648-L648))))</f>
        <v/>
      </c>
      <c r="O648" s="48">
        <f>K648-N648</f>
        <v/>
      </c>
      <c r="P648" s="48">
        <f>M648-L648+N648</f>
        <v/>
      </c>
      <c r="Q648" s="48">
        <f>IF($G648=0,0,IF(INDEX(Employees!$P$5:$P$29,$A648)="Per pay period",(N(INDEX(Employees!$Q$5:$Q$29,$A648)))/Settings!$B$13,IF(INDEX(Employees!$P$5:$P$29,$A648)="Per hour worked",N(INDEX(Employees!$R$5:$R$29,$A648))*$I648,IF(INDEX(Employees!$P$5:$P$29,$A648)="Front-loaded",IF(OR($B648=1,N($G647)=0),N(INDEX(Employees!$Q$5:$Q$29,$A648)),0),0))))</f>
        <v/>
      </c>
      <c r="R648" s="48">
        <f>IF($F648=0,0,SUMIFS('Time Off Log'!$H$5:$H$504,'Time Off Log'!$A$5:$A$504,$C648,'Time Off Log'!$B$5:$B$504,"Sick",'Time Off Log'!$E$5:$E$504,"Approved",'Time Off Log'!$C$5:$C$504,"&gt;="&amp;INDEX(Periods!$E$5:$E$57,$B648),'Time Off Log'!$C$5:$C$504,"&lt;="&amp;INDEX(Periods!$F$5:$F$57,$B648)))</f>
        <v/>
      </c>
      <c r="S648" s="48">
        <f>IF($B648=1,N(INDEX(Employees!$T$5:$T$29,$A648)),V647)</f>
        <v/>
      </c>
      <c r="T648" s="48">
        <f>IF(INDEX(Employees!$S$5:$S$29,$A648)="",Q648,MAX(0,MIN(Q648,INDEX(Employees!$S$5:$S$29,$A648)-(S648-R648))))</f>
        <v/>
      </c>
      <c r="U648" s="48">
        <f>Q648-T648</f>
        <v/>
      </c>
      <c r="V648" s="48">
        <f>S648-R648+T648</f>
        <v/>
      </c>
    </row>
    <row r="649">
      <c r="A649" s="47" t="n">
        <v>13</v>
      </c>
      <c r="B649" s="47" t="n">
        <v>9</v>
      </c>
      <c r="C649" s="48">
        <f>INDEX(Employees!$B$5:$B$29,$A649)&amp;""</f>
        <v/>
      </c>
      <c r="D649" s="49">
        <f>INDEX(Periods!$B$5:$B$57,$B649)</f>
        <v/>
      </c>
      <c r="E649" s="49">
        <f>INDEX(Periods!$C$5:$C$57,$B649)</f>
        <v/>
      </c>
      <c r="F649" s="47">
        <f>IF(AND($C649&lt;&gt;"",INDEX(Periods!$D$5:$D$57,$B649)=1),1,0)</f>
        <v/>
      </c>
      <c r="G649" s="47">
        <f>IF($F649=0,0,IF(AND(OR(INDEX(Employees!$D$5:$D$29,$A649)="",$E649&gt;=INDEX(Employees!$D$5:$D$29,$A649)+N(INDEX(Employees!$U$5:$U$29,$A649))),OR(INDEX(Employees!$E$5:$E$29,$A649)="",$D649&lt;=INDEX(Employees!$E$5:$E$29,$A649))),1,0))</f>
        <v/>
      </c>
      <c r="H649" s="47">
        <f>IF($G649=0,0,IF(INDEX(Employees!$D$5:$D$29,$A649)="",0,DATEDIF(INDEX(Employees!$D$5:$D$29,$A649),$E649,"y")))</f>
        <v/>
      </c>
      <c r="I649" s="48">
        <f>IF($G649=0,0,IF(INDEX('Hours Worked'!$D$5:$BD$29,$A649,$B649)="",N(INDEX(Employees!$H$5:$H$29,$A649)),INDEX('Hours Worked'!$D$5:$BD$29,$A649,$B649)))</f>
        <v/>
      </c>
      <c r="J649" s="48">
        <f>IF(OR($G649=0,INDEX(Employees!$O$5:$O$29,$A649)&lt;&gt;"Yes"),0,IF(COUNTIF(Settings!$D$4:$D$9,"&lt;="&amp;$H649)=0,0,INDEX(Settings!$E$4:$E$9,COUNTIF(Settings!$D$4:$D$9,"&lt;="&amp;$H649))))</f>
        <v/>
      </c>
      <c r="K649" s="48">
        <f>IF($G649=0,0,IF(INDEX(Employees!$I$5:$I$29,$A649)="Per pay period",(N(INDEX(Employees!$J$5:$J$29,$A649))+$J649)/Settings!$B$13,IF(INDEX(Employees!$I$5:$I$29,$A649)="Per hour worked",N(INDEX(Employees!$K$5:$K$29,$A649))*$I649,IF(INDEX(Employees!$I$5:$I$29,$A649)="Front-loaded",IF(OR($B649=1,N($G648)=0),N(INDEX(Employees!$J$5:$J$29,$A649))+$J649,0),0))))</f>
        <v/>
      </c>
      <c r="L649" s="48">
        <f>IF($F649=0,0,SUMIFS('Time Off Log'!$H$5:$H$504,'Time Off Log'!$A$5:$A$504,$C649,'Time Off Log'!$B$5:$B$504,"PTO",'Time Off Log'!$E$5:$E$504,"Approved",'Time Off Log'!$C$5:$C$504,"&gt;="&amp;INDEX(Periods!$E$5:$E$57,$B649),'Time Off Log'!$C$5:$C$504,"&lt;="&amp;INDEX(Periods!$F$5:$F$57,$B649)))</f>
        <v/>
      </c>
      <c r="M649" s="48">
        <f>IF($B649=1,N(INDEX(Employees!$N$5:$N$29,$A649)),P648)</f>
        <v/>
      </c>
      <c r="N649" s="48">
        <f>IF(INDEX(Employees!$L$5:$L$29,$A649)="",K649,MAX(0,MIN(K649,INDEX(Employees!$L$5:$L$29,$A649)-(M649-L649))))</f>
        <v/>
      </c>
      <c r="O649" s="48">
        <f>K649-N649</f>
        <v/>
      </c>
      <c r="P649" s="48">
        <f>M649-L649+N649</f>
        <v/>
      </c>
      <c r="Q649" s="48">
        <f>IF($G649=0,0,IF(INDEX(Employees!$P$5:$P$29,$A649)="Per pay period",(N(INDEX(Employees!$Q$5:$Q$29,$A649)))/Settings!$B$13,IF(INDEX(Employees!$P$5:$P$29,$A649)="Per hour worked",N(INDEX(Employees!$R$5:$R$29,$A649))*$I649,IF(INDEX(Employees!$P$5:$P$29,$A649)="Front-loaded",IF(OR($B649=1,N($G648)=0),N(INDEX(Employees!$Q$5:$Q$29,$A649)),0),0))))</f>
        <v/>
      </c>
      <c r="R649" s="48">
        <f>IF($F649=0,0,SUMIFS('Time Off Log'!$H$5:$H$504,'Time Off Log'!$A$5:$A$504,$C649,'Time Off Log'!$B$5:$B$504,"Sick",'Time Off Log'!$E$5:$E$504,"Approved",'Time Off Log'!$C$5:$C$504,"&gt;="&amp;INDEX(Periods!$E$5:$E$57,$B649),'Time Off Log'!$C$5:$C$504,"&lt;="&amp;INDEX(Periods!$F$5:$F$57,$B649)))</f>
        <v/>
      </c>
      <c r="S649" s="48">
        <f>IF($B649=1,N(INDEX(Employees!$T$5:$T$29,$A649)),V648)</f>
        <v/>
      </c>
      <c r="T649" s="48">
        <f>IF(INDEX(Employees!$S$5:$S$29,$A649)="",Q649,MAX(0,MIN(Q649,INDEX(Employees!$S$5:$S$29,$A649)-(S649-R649))))</f>
        <v/>
      </c>
      <c r="U649" s="48">
        <f>Q649-T649</f>
        <v/>
      </c>
      <c r="V649" s="48">
        <f>S649-R649+T649</f>
        <v/>
      </c>
    </row>
    <row r="650">
      <c r="A650" s="47" t="n">
        <v>13</v>
      </c>
      <c r="B650" s="47" t="n">
        <v>10</v>
      </c>
      <c r="C650" s="48">
        <f>INDEX(Employees!$B$5:$B$29,$A650)&amp;""</f>
        <v/>
      </c>
      <c r="D650" s="49">
        <f>INDEX(Periods!$B$5:$B$57,$B650)</f>
        <v/>
      </c>
      <c r="E650" s="49">
        <f>INDEX(Periods!$C$5:$C$57,$B650)</f>
        <v/>
      </c>
      <c r="F650" s="47">
        <f>IF(AND($C650&lt;&gt;"",INDEX(Periods!$D$5:$D$57,$B650)=1),1,0)</f>
        <v/>
      </c>
      <c r="G650" s="47">
        <f>IF($F650=0,0,IF(AND(OR(INDEX(Employees!$D$5:$D$29,$A650)="",$E650&gt;=INDEX(Employees!$D$5:$D$29,$A650)+N(INDEX(Employees!$U$5:$U$29,$A650))),OR(INDEX(Employees!$E$5:$E$29,$A650)="",$D650&lt;=INDEX(Employees!$E$5:$E$29,$A650))),1,0))</f>
        <v/>
      </c>
      <c r="H650" s="47">
        <f>IF($G650=0,0,IF(INDEX(Employees!$D$5:$D$29,$A650)="",0,DATEDIF(INDEX(Employees!$D$5:$D$29,$A650),$E650,"y")))</f>
        <v/>
      </c>
      <c r="I650" s="48">
        <f>IF($G650=0,0,IF(INDEX('Hours Worked'!$D$5:$BD$29,$A650,$B650)="",N(INDEX(Employees!$H$5:$H$29,$A650)),INDEX('Hours Worked'!$D$5:$BD$29,$A650,$B650)))</f>
        <v/>
      </c>
      <c r="J650" s="48">
        <f>IF(OR($G650=0,INDEX(Employees!$O$5:$O$29,$A650)&lt;&gt;"Yes"),0,IF(COUNTIF(Settings!$D$4:$D$9,"&lt;="&amp;$H650)=0,0,INDEX(Settings!$E$4:$E$9,COUNTIF(Settings!$D$4:$D$9,"&lt;="&amp;$H650))))</f>
        <v/>
      </c>
      <c r="K650" s="48">
        <f>IF($G650=0,0,IF(INDEX(Employees!$I$5:$I$29,$A650)="Per pay period",(N(INDEX(Employees!$J$5:$J$29,$A650))+$J650)/Settings!$B$13,IF(INDEX(Employees!$I$5:$I$29,$A650)="Per hour worked",N(INDEX(Employees!$K$5:$K$29,$A650))*$I650,IF(INDEX(Employees!$I$5:$I$29,$A650)="Front-loaded",IF(OR($B650=1,N($G649)=0),N(INDEX(Employees!$J$5:$J$29,$A650))+$J650,0),0))))</f>
        <v/>
      </c>
      <c r="L650" s="48">
        <f>IF($F650=0,0,SUMIFS('Time Off Log'!$H$5:$H$504,'Time Off Log'!$A$5:$A$504,$C650,'Time Off Log'!$B$5:$B$504,"PTO",'Time Off Log'!$E$5:$E$504,"Approved",'Time Off Log'!$C$5:$C$504,"&gt;="&amp;INDEX(Periods!$E$5:$E$57,$B650),'Time Off Log'!$C$5:$C$504,"&lt;="&amp;INDEX(Periods!$F$5:$F$57,$B650)))</f>
        <v/>
      </c>
      <c r="M650" s="48">
        <f>IF($B650=1,N(INDEX(Employees!$N$5:$N$29,$A650)),P649)</f>
        <v/>
      </c>
      <c r="N650" s="48">
        <f>IF(INDEX(Employees!$L$5:$L$29,$A650)="",K650,MAX(0,MIN(K650,INDEX(Employees!$L$5:$L$29,$A650)-(M650-L650))))</f>
        <v/>
      </c>
      <c r="O650" s="48">
        <f>K650-N650</f>
        <v/>
      </c>
      <c r="P650" s="48">
        <f>M650-L650+N650</f>
        <v/>
      </c>
      <c r="Q650" s="48">
        <f>IF($G650=0,0,IF(INDEX(Employees!$P$5:$P$29,$A650)="Per pay period",(N(INDEX(Employees!$Q$5:$Q$29,$A650)))/Settings!$B$13,IF(INDEX(Employees!$P$5:$P$29,$A650)="Per hour worked",N(INDEX(Employees!$R$5:$R$29,$A650))*$I650,IF(INDEX(Employees!$P$5:$P$29,$A650)="Front-loaded",IF(OR($B650=1,N($G649)=0),N(INDEX(Employees!$Q$5:$Q$29,$A650)),0),0))))</f>
        <v/>
      </c>
      <c r="R650" s="48">
        <f>IF($F650=0,0,SUMIFS('Time Off Log'!$H$5:$H$504,'Time Off Log'!$A$5:$A$504,$C650,'Time Off Log'!$B$5:$B$504,"Sick",'Time Off Log'!$E$5:$E$504,"Approved",'Time Off Log'!$C$5:$C$504,"&gt;="&amp;INDEX(Periods!$E$5:$E$57,$B650),'Time Off Log'!$C$5:$C$504,"&lt;="&amp;INDEX(Periods!$F$5:$F$57,$B650)))</f>
        <v/>
      </c>
      <c r="S650" s="48">
        <f>IF($B650=1,N(INDEX(Employees!$T$5:$T$29,$A650)),V649)</f>
        <v/>
      </c>
      <c r="T650" s="48">
        <f>IF(INDEX(Employees!$S$5:$S$29,$A650)="",Q650,MAX(0,MIN(Q650,INDEX(Employees!$S$5:$S$29,$A650)-(S650-R650))))</f>
        <v/>
      </c>
      <c r="U650" s="48">
        <f>Q650-T650</f>
        <v/>
      </c>
      <c r="V650" s="48">
        <f>S650-R650+T650</f>
        <v/>
      </c>
    </row>
    <row r="651">
      <c r="A651" s="47" t="n">
        <v>13</v>
      </c>
      <c r="B651" s="47" t="n">
        <v>11</v>
      </c>
      <c r="C651" s="48">
        <f>INDEX(Employees!$B$5:$B$29,$A651)&amp;""</f>
        <v/>
      </c>
      <c r="D651" s="49">
        <f>INDEX(Periods!$B$5:$B$57,$B651)</f>
        <v/>
      </c>
      <c r="E651" s="49">
        <f>INDEX(Periods!$C$5:$C$57,$B651)</f>
        <v/>
      </c>
      <c r="F651" s="47">
        <f>IF(AND($C651&lt;&gt;"",INDEX(Periods!$D$5:$D$57,$B651)=1),1,0)</f>
        <v/>
      </c>
      <c r="G651" s="47">
        <f>IF($F651=0,0,IF(AND(OR(INDEX(Employees!$D$5:$D$29,$A651)="",$E651&gt;=INDEX(Employees!$D$5:$D$29,$A651)+N(INDEX(Employees!$U$5:$U$29,$A651))),OR(INDEX(Employees!$E$5:$E$29,$A651)="",$D651&lt;=INDEX(Employees!$E$5:$E$29,$A651))),1,0))</f>
        <v/>
      </c>
      <c r="H651" s="47">
        <f>IF($G651=0,0,IF(INDEX(Employees!$D$5:$D$29,$A651)="",0,DATEDIF(INDEX(Employees!$D$5:$D$29,$A651),$E651,"y")))</f>
        <v/>
      </c>
      <c r="I651" s="48">
        <f>IF($G651=0,0,IF(INDEX('Hours Worked'!$D$5:$BD$29,$A651,$B651)="",N(INDEX(Employees!$H$5:$H$29,$A651)),INDEX('Hours Worked'!$D$5:$BD$29,$A651,$B651)))</f>
        <v/>
      </c>
      <c r="J651" s="48">
        <f>IF(OR($G651=0,INDEX(Employees!$O$5:$O$29,$A651)&lt;&gt;"Yes"),0,IF(COUNTIF(Settings!$D$4:$D$9,"&lt;="&amp;$H651)=0,0,INDEX(Settings!$E$4:$E$9,COUNTIF(Settings!$D$4:$D$9,"&lt;="&amp;$H651))))</f>
        <v/>
      </c>
      <c r="K651" s="48">
        <f>IF($G651=0,0,IF(INDEX(Employees!$I$5:$I$29,$A651)="Per pay period",(N(INDEX(Employees!$J$5:$J$29,$A651))+$J651)/Settings!$B$13,IF(INDEX(Employees!$I$5:$I$29,$A651)="Per hour worked",N(INDEX(Employees!$K$5:$K$29,$A651))*$I651,IF(INDEX(Employees!$I$5:$I$29,$A651)="Front-loaded",IF(OR($B651=1,N($G650)=0),N(INDEX(Employees!$J$5:$J$29,$A651))+$J651,0),0))))</f>
        <v/>
      </c>
      <c r="L651" s="48">
        <f>IF($F651=0,0,SUMIFS('Time Off Log'!$H$5:$H$504,'Time Off Log'!$A$5:$A$504,$C651,'Time Off Log'!$B$5:$B$504,"PTO",'Time Off Log'!$E$5:$E$504,"Approved",'Time Off Log'!$C$5:$C$504,"&gt;="&amp;INDEX(Periods!$E$5:$E$57,$B651),'Time Off Log'!$C$5:$C$504,"&lt;="&amp;INDEX(Periods!$F$5:$F$57,$B651)))</f>
        <v/>
      </c>
      <c r="M651" s="48">
        <f>IF($B651=1,N(INDEX(Employees!$N$5:$N$29,$A651)),P650)</f>
        <v/>
      </c>
      <c r="N651" s="48">
        <f>IF(INDEX(Employees!$L$5:$L$29,$A651)="",K651,MAX(0,MIN(K651,INDEX(Employees!$L$5:$L$29,$A651)-(M651-L651))))</f>
        <v/>
      </c>
      <c r="O651" s="48">
        <f>K651-N651</f>
        <v/>
      </c>
      <c r="P651" s="48">
        <f>M651-L651+N651</f>
        <v/>
      </c>
      <c r="Q651" s="48">
        <f>IF($G651=0,0,IF(INDEX(Employees!$P$5:$P$29,$A651)="Per pay period",(N(INDEX(Employees!$Q$5:$Q$29,$A651)))/Settings!$B$13,IF(INDEX(Employees!$P$5:$P$29,$A651)="Per hour worked",N(INDEX(Employees!$R$5:$R$29,$A651))*$I651,IF(INDEX(Employees!$P$5:$P$29,$A651)="Front-loaded",IF(OR($B651=1,N($G650)=0),N(INDEX(Employees!$Q$5:$Q$29,$A651)),0),0))))</f>
        <v/>
      </c>
      <c r="R651" s="48">
        <f>IF($F651=0,0,SUMIFS('Time Off Log'!$H$5:$H$504,'Time Off Log'!$A$5:$A$504,$C651,'Time Off Log'!$B$5:$B$504,"Sick",'Time Off Log'!$E$5:$E$504,"Approved",'Time Off Log'!$C$5:$C$504,"&gt;="&amp;INDEX(Periods!$E$5:$E$57,$B651),'Time Off Log'!$C$5:$C$504,"&lt;="&amp;INDEX(Periods!$F$5:$F$57,$B651)))</f>
        <v/>
      </c>
      <c r="S651" s="48">
        <f>IF($B651=1,N(INDEX(Employees!$T$5:$T$29,$A651)),V650)</f>
        <v/>
      </c>
      <c r="T651" s="48">
        <f>IF(INDEX(Employees!$S$5:$S$29,$A651)="",Q651,MAX(0,MIN(Q651,INDEX(Employees!$S$5:$S$29,$A651)-(S651-R651))))</f>
        <v/>
      </c>
      <c r="U651" s="48">
        <f>Q651-T651</f>
        <v/>
      </c>
      <c r="V651" s="48">
        <f>S651-R651+T651</f>
        <v/>
      </c>
    </row>
    <row r="652">
      <c r="A652" s="47" t="n">
        <v>13</v>
      </c>
      <c r="B652" s="47" t="n">
        <v>12</v>
      </c>
      <c r="C652" s="48">
        <f>INDEX(Employees!$B$5:$B$29,$A652)&amp;""</f>
        <v/>
      </c>
      <c r="D652" s="49">
        <f>INDEX(Periods!$B$5:$B$57,$B652)</f>
        <v/>
      </c>
      <c r="E652" s="49">
        <f>INDEX(Periods!$C$5:$C$57,$B652)</f>
        <v/>
      </c>
      <c r="F652" s="47">
        <f>IF(AND($C652&lt;&gt;"",INDEX(Periods!$D$5:$D$57,$B652)=1),1,0)</f>
        <v/>
      </c>
      <c r="G652" s="47">
        <f>IF($F652=0,0,IF(AND(OR(INDEX(Employees!$D$5:$D$29,$A652)="",$E652&gt;=INDEX(Employees!$D$5:$D$29,$A652)+N(INDEX(Employees!$U$5:$U$29,$A652))),OR(INDEX(Employees!$E$5:$E$29,$A652)="",$D652&lt;=INDEX(Employees!$E$5:$E$29,$A652))),1,0))</f>
        <v/>
      </c>
      <c r="H652" s="47">
        <f>IF($G652=0,0,IF(INDEX(Employees!$D$5:$D$29,$A652)="",0,DATEDIF(INDEX(Employees!$D$5:$D$29,$A652),$E652,"y")))</f>
        <v/>
      </c>
      <c r="I652" s="48">
        <f>IF($G652=0,0,IF(INDEX('Hours Worked'!$D$5:$BD$29,$A652,$B652)="",N(INDEX(Employees!$H$5:$H$29,$A652)),INDEX('Hours Worked'!$D$5:$BD$29,$A652,$B652)))</f>
        <v/>
      </c>
      <c r="J652" s="48">
        <f>IF(OR($G652=0,INDEX(Employees!$O$5:$O$29,$A652)&lt;&gt;"Yes"),0,IF(COUNTIF(Settings!$D$4:$D$9,"&lt;="&amp;$H652)=0,0,INDEX(Settings!$E$4:$E$9,COUNTIF(Settings!$D$4:$D$9,"&lt;="&amp;$H652))))</f>
        <v/>
      </c>
      <c r="K652" s="48">
        <f>IF($G652=0,0,IF(INDEX(Employees!$I$5:$I$29,$A652)="Per pay period",(N(INDEX(Employees!$J$5:$J$29,$A652))+$J652)/Settings!$B$13,IF(INDEX(Employees!$I$5:$I$29,$A652)="Per hour worked",N(INDEX(Employees!$K$5:$K$29,$A652))*$I652,IF(INDEX(Employees!$I$5:$I$29,$A652)="Front-loaded",IF(OR($B652=1,N($G651)=0),N(INDEX(Employees!$J$5:$J$29,$A652))+$J652,0),0))))</f>
        <v/>
      </c>
      <c r="L652" s="48">
        <f>IF($F652=0,0,SUMIFS('Time Off Log'!$H$5:$H$504,'Time Off Log'!$A$5:$A$504,$C652,'Time Off Log'!$B$5:$B$504,"PTO",'Time Off Log'!$E$5:$E$504,"Approved",'Time Off Log'!$C$5:$C$504,"&gt;="&amp;INDEX(Periods!$E$5:$E$57,$B652),'Time Off Log'!$C$5:$C$504,"&lt;="&amp;INDEX(Periods!$F$5:$F$57,$B652)))</f>
        <v/>
      </c>
      <c r="M652" s="48">
        <f>IF($B652=1,N(INDEX(Employees!$N$5:$N$29,$A652)),P651)</f>
        <v/>
      </c>
      <c r="N652" s="48">
        <f>IF(INDEX(Employees!$L$5:$L$29,$A652)="",K652,MAX(0,MIN(K652,INDEX(Employees!$L$5:$L$29,$A652)-(M652-L652))))</f>
        <v/>
      </c>
      <c r="O652" s="48">
        <f>K652-N652</f>
        <v/>
      </c>
      <c r="P652" s="48">
        <f>M652-L652+N652</f>
        <v/>
      </c>
      <c r="Q652" s="48">
        <f>IF($G652=0,0,IF(INDEX(Employees!$P$5:$P$29,$A652)="Per pay period",(N(INDEX(Employees!$Q$5:$Q$29,$A652)))/Settings!$B$13,IF(INDEX(Employees!$P$5:$P$29,$A652)="Per hour worked",N(INDEX(Employees!$R$5:$R$29,$A652))*$I652,IF(INDEX(Employees!$P$5:$P$29,$A652)="Front-loaded",IF(OR($B652=1,N($G651)=0),N(INDEX(Employees!$Q$5:$Q$29,$A652)),0),0))))</f>
        <v/>
      </c>
      <c r="R652" s="48">
        <f>IF($F652=0,0,SUMIFS('Time Off Log'!$H$5:$H$504,'Time Off Log'!$A$5:$A$504,$C652,'Time Off Log'!$B$5:$B$504,"Sick",'Time Off Log'!$E$5:$E$504,"Approved",'Time Off Log'!$C$5:$C$504,"&gt;="&amp;INDEX(Periods!$E$5:$E$57,$B652),'Time Off Log'!$C$5:$C$504,"&lt;="&amp;INDEX(Periods!$F$5:$F$57,$B652)))</f>
        <v/>
      </c>
      <c r="S652" s="48">
        <f>IF($B652=1,N(INDEX(Employees!$T$5:$T$29,$A652)),V651)</f>
        <v/>
      </c>
      <c r="T652" s="48">
        <f>IF(INDEX(Employees!$S$5:$S$29,$A652)="",Q652,MAX(0,MIN(Q652,INDEX(Employees!$S$5:$S$29,$A652)-(S652-R652))))</f>
        <v/>
      </c>
      <c r="U652" s="48">
        <f>Q652-T652</f>
        <v/>
      </c>
      <c r="V652" s="48">
        <f>S652-R652+T652</f>
        <v/>
      </c>
    </row>
    <row r="653">
      <c r="A653" s="47" t="n">
        <v>13</v>
      </c>
      <c r="B653" s="47" t="n">
        <v>13</v>
      </c>
      <c r="C653" s="48">
        <f>INDEX(Employees!$B$5:$B$29,$A653)&amp;""</f>
        <v/>
      </c>
      <c r="D653" s="49">
        <f>INDEX(Periods!$B$5:$B$57,$B653)</f>
        <v/>
      </c>
      <c r="E653" s="49">
        <f>INDEX(Periods!$C$5:$C$57,$B653)</f>
        <v/>
      </c>
      <c r="F653" s="47">
        <f>IF(AND($C653&lt;&gt;"",INDEX(Periods!$D$5:$D$57,$B653)=1),1,0)</f>
        <v/>
      </c>
      <c r="G653" s="47">
        <f>IF($F653=0,0,IF(AND(OR(INDEX(Employees!$D$5:$D$29,$A653)="",$E653&gt;=INDEX(Employees!$D$5:$D$29,$A653)+N(INDEX(Employees!$U$5:$U$29,$A653))),OR(INDEX(Employees!$E$5:$E$29,$A653)="",$D653&lt;=INDEX(Employees!$E$5:$E$29,$A653))),1,0))</f>
        <v/>
      </c>
      <c r="H653" s="47">
        <f>IF($G653=0,0,IF(INDEX(Employees!$D$5:$D$29,$A653)="",0,DATEDIF(INDEX(Employees!$D$5:$D$29,$A653),$E653,"y")))</f>
        <v/>
      </c>
      <c r="I653" s="48">
        <f>IF($G653=0,0,IF(INDEX('Hours Worked'!$D$5:$BD$29,$A653,$B653)="",N(INDEX(Employees!$H$5:$H$29,$A653)),INDEX('Hours Worked'!$D$5:$BD$29,$A653,$B653)))</f>
        <v/>
      </c>
      <c r="J653" s="48">
        <f>IF(OR($G653=0,INDEX(Employees!$O$5:$O$29,$A653)&lt;&gt;"Yes"),0,IF(COUNTIF(Settings!$D$4:$D$9,"&lt;="&amp;$H653)=0,0,INDEX(Settings!$E$4:$E$9,COUNTIF(Settings!$D$4:$D$9,"&lt;="&amp;$H653))))</f>
        <v/>
      </c>
      <c r="K653" s="48">
        <f>IF($G653=0,0,IF(INDEX(Employees!$I$5:$I$29,$A653)="Per pay period",(N(INDEX(Employees!$J$5:$J$29,$A653))+$J653)/Settings!$B$13,IF(INDEX(Employees!$I$5:$I$29,$A653)="Per hour worked",N(INDEX(Employees!$K$5:$K$29,$A653))*$I653,IF(INDEX(Employees!$I$5:$I$29,$A653)="Front-loaded",IF(OR($B653=1,N($G652)=0),N(INDEX(Employees!$J$5:$J$29,$A653))+$J653,0),0))))</f>
        <v/>
      </c>
      <c r="L653" s="48">
        <f>IF($F653=0,0,SUMIFS('Time Off Log'!$H$5:$H$504,'Time Off Log'!$A$5:$A$504,$C653,'Time Off Log'!$B$5:$B$504,"PTO",'Time Off Log'!$E$5:$E$504,"Approved",'Time Off Log'!$C$5:$C$504,"&gt;="&amp;INDEX(Periods!$E$5:$E$57,$B653),'Time Off Log'!$C$5:$C$504,"&lt;="&amp;INDEX(Periods!$F$5:$F$57,$B653)))</f>
        <v/>
      </c>
      <c r="M653" s="48">
        <f>IF($B653=1,N(INDEX(Employees!$N$5:$N$29,$A653)),P652)</f>
        <v/>
      </c>
      <c r="N653" s="48">
        <f>IF(INDEX(Employees!$L$5:$L$29,$A653)="",K653,MAX(0,MIN(K653,INDEX(Employees!$L$5:$L$29,$A653)-(M653-L653))))</f>
        <v/>
      </c>
      <c r="O653" s="48">
        <f>K653-N653</f>
        <v/>
      </c>
      <c r="P653" s="48">
        <f>M653-L653+N653</f>
        <v/>
      </c>
      <c r="Q653" s="48">
        <f>IF($G653=0,0,IF(INDEX(Employees!$P$5:$P$29,$A653)="Per pay period",(N(INDEX(Employees!$Q$5:$Q$29,$A653)))/Settings!$B$13,IF(INDEX(Employees!$P$5:$P$29,$A653)="Per hour worked",N(INDEX(Employees!$R$5:$R$29,$A653))*$I653,IF(INDEX(Employees!$P$5:$P$29,$A653)="Front-loaded",IF(OR($B653=1,N($G652)=0),N(INDEX(Employees!$Q$5:$Q$29,$A653)),0),0))))</f>
        <v/>
      </c>
      <c r="R653" s="48">
        <f>IF($F653=0,0,SUMIFS('Time Off Log'!$H$5:$H$504,'Time Off Log'!$A$5:$A$504,$C653,'Time Off Log'!$B$5:$B$504,"Sick",'Time Off Log'!$E$5:$E$504,"Approved",'Time Off Log'!$C$5:$C$504,"&gt;="&amp;INDEX(Periods!$E$5:$E$57,$B653),'Time Off Log'!$C$5:$C$504,"&lt;="&amp;INDEX(Periods!$F$5:$F$57,$B653)))</f>
        <v/>
      </c>
      <c r="S653" s="48">
        <f>IF($B653=1,N(INDEX(Employees!$T$5:$T$29,$A653)),V652)</f>
        <v/>
      </c>
      <c r="T653" s="48">
        <f>IF(INDEX(Employees!$S$5:$S$29,$A653)="",Q653,MAX(0,MIN(Q653,INDEX(Employees!$S$5:$S$29,$A653)-(S653-R653))))</f>
        <v/>
      </c>
      <c r="U653" s="48">
        <f>Q653-T653</f>
        <v/>
      </c>
      <c r="V653" s="48">
        <f>S653-R653+T653</f>
        <v/>
      </c>
    </row>
    <row r="654">
      <c r="A654" s="47" t="n">
        <v>13</v>
      </c>
      <c r="B654" s="47" t="n">
        <v>14</v>
      </c>
      <c r="C654" s="48">
        <f>INDEX(Employees!$B$5:$B$29,$A654)&amp;""</f>
        <v/>
      </c>
      <c r="D654" s="49">
        <f>INDEX(Periods!$B$5:$B$57,$B654)</f>
        <v/>
      </c>
      <c r="E654" s="49">
        <f>INDEX(Periods!$C$5:$C$57,$B654)</f>
        <v/>
      </c>
      <c r="F654" s="47">
        <f>IF(AND($C654&lt;&gt;"",INDEX(Periods!$D$5:$D$57,$B654)=1),1,0)</f>
        <v/>
      </c>
      <c r="G654" s="47">
        <f>IF($F654=0,0,IF(AND(OR(INDEX(Employees!$D$5:$D$29,$A654)="",$E654&gt;=INDEX(Employees!$D$5:$D$29,$A654)+N(INDEX(Employees!$U$5:$U$29,$A654))),OR(INDEX(Employees!$E$5:$E$29,$A654)="",$D654&lt;=INDEX(Employees!$E$5:$E$29,$A654))),1,0))</f>
        <v/>
      </c>
      <c r="H654" s="47">
        <f>IF($G654=0,0,IF(INDEX(Employees!$D$5:$D$29,$A654)="",0,DATEDIF(INDEX(Employees!$D$5:$D$29,$A654),$E654,"y")))</f>
        <v/>
      </c>
      <c r="I654" s="48">
        <f>IF($G654=0,0,IF(INDEX('Hours Worked'!$D$5:$BD$29,$A654,$B654)="",N(INDEX(Employees!$H$5:$H$29,$A654)),INDEX('Hours Worked'!$D$5:$BD$29,$A654,$B654)))</f>
        <v/>
      </c>
      <c r="J654" s="48">
        <f>IF(OR($G654=0,INDEX(Employees!$O$5:$O$29,$A654)&lt;&gt;"Yes"),0,IF(COUNTIF(Settings!$D$4:$D$9,"&lt;="&amp;$H654)=0,0,INDEX(Settings!$E$4:$E$9,COUNTIF(Settings!$D$4:$D$9,"&lt;="&amp;$H654))))</f>
        <v/>
      </c>
      <c r="K654" s="48">
        <f>IF($G654=0,0,IF(INDEX(Employees!$I$5:$I$29,$A654)="Per pay period",(N(INDEX(Employees!$J$5:$J$29,$A654))+$J654)/Settings!$B$13,IF(INDEX(Employees!$I$5:$I$29,$A654)="Per hour worked",N(INDEX(Employees!$K$5:$K$29,$A654))*$I654,IF(INDEX(Employees!$I$5:$I$29,$A654)="Front-loaded",IF(OR($B654=1,N($G653)=0),N(INDEX(Employees!$J$5:$J$29,$A654))+$J654,0),0))))</f>
        <v/>
      </c>
      <c r="L654" s="48">
        <f>IF($F654=0,0,SUMIFS('Time Off Log'!$H$5:$H$504,'Time Off Log'!$A$5:$A$504,$C654,'Time Off Log'!$B$5:$B$504,"PTO",'Time Off Log'!$E$5:$E$504,"Approved",'Time Off Log'!$C$5:$C$504,"&gt;="&amp;INDEX(Periods!$E$5:$E$57,$B654),'Time Off Log'!$C$5:$C$504,"&lt;="&amp;INDEX(Periods!$F$5:$F$57,$B654)))</f>
        <v/>
      </c>
      <c r="M654" s="48">
        <f>IF($B654=1,N(INDEX(Employees!$N$5:$N$29,$A654)),P653)</f>
        <v/>
      </c>
      <c r="N654" s="48">
        <f>IF(INDEX(Employees!$L$5:$L$29,$A654)="",K654,MAX(0,MIN(K654,INDEX(Employees!$L$5:$L$29,$A654)-(M654-L654))))</f>
        <v/>
      </c>
      <c r="O654" s="48">
        <f>K654-N654</f>
        <v/>
      </c>
      <c r="P654" s="48">
        <f>M654-L654+N654</f>
        <v/>
      </c>
      <c r="Q654" s="48">
        <f>IF($G654=0,0,IF(INDEX(Employees!$P$5:$P$29,$A654)="Per pay period",(N(INDEX(Employees!$Q$5:$Q$29,$A654)))/Settings!$B$13,IF(INDEX(Employees!$P$5:$P$29,$A654)="Per hour worked",N(INDEX(Employees!$R$5:$R$29,$A654))*$I654,IF(INDEX(Employees!$P$5:$P$29,$A654)="Front-loaded",IF(OR($B654=1,N($G653)=0),N(INDEX(Employees!$Q$5:$Q$29,$A654)),0),0))))</f>
        <v/>
      </c>
      <c r="R654" s="48">
        <f>IF($F654=0,0,SUMIFS('Time Off Log'!$H$5:$H$504,'Time Off Log'!$A$5:$A$504,$C654,'Time Off Log'!$B$5:$B$504,"Sick",'Time Off Log'!$E$5:$E$504,"Approved",'Time Off Log'!$C$5:$C$504,"&gt;="&amp;INDEX(Periods!$E$5:$E$57,$B654),'Time Off Log'!$C$5:$C$504,"&lt;="&amp;INDEX(Periods!$F$5:$F$57,$B654)))</f>
        <v/>
      </c>
      <c r="S654" s="48">
        <f>IF($B654=1,N(INDEX(Employees!$T$5:$T$29,$A654)),V653)</f>
        <v/>
      </c>
      <c r="T654" s="48">
        <f>IF(INDEX(Employees!$S$5:$S$29,$A654)="",Q654,MAX(0,MIN(Q654,INDEX(Employees!$S$5:$S$29,$A654)-(S654-R654))))</f>
        <v/>
      </c>
      <c r="U654" s="48">
        <f>Q654-T654</f>
        <v/>
      </c>
      <c r="V654" s="48">
        <f>S654-R654+T654</f>
        <v/>
      </c>
    </row>
    <row r="655">
      <c r="A655" s="47" t="n">
        <v>13</v>
      </c>
      <c r="B655" s="47" t="n">
        <v>15</v>
      </c>
      <c r="C655" s="48">
        <f>INDEX(Employees!$B$5:$B$29,$A655)&amp;""</f>
        <v/>
      </c>
      <c r="D655" s="49">
        <f>INDEX(Periods!$B$5:$B$57,$B655)</f>
        <v/>
      </c>
      <c r="E655" s="49">
        <f>INDEX(Periods!$C$5:$C$57,$B655)</f>
        <v/>
      </c>
      <c r="F655" s="47">
        <f>IF(AND($C655&lt;&gt;"",INDEX(Periods!$D$5:$D$57,$B655)=1),1,0)</f>
        <v/>
      </c>
      <c r="G655" s="47">
        <f>IF($F655=0,0,IF(AND(OR(INDEX(Employees!$D$5:$D$29,$A655)="",$E655&gt;=INDEX(Employees!$D$5:$D$29,$A655)+N(INDEX(Employees!$U$5:$U$29,$A655))),OR(INDEX(Employees!$E$5:$E$29,$A655)="",$D655&lt;=INDEX(Employees!$E$5:$E$29,$A655))),1,0))</f>
        <v/>
      </c>
      <c r="H655" s="47">
        <f>IF($G655=0,0,IF(INDEX(Employees!$D$5:$D$29,$A655)="",0,DATEDIF(INDEX(Employees!$D$5:$D$29,$A655),$E655,"y")))</f>
        <v/>
      </c>
      <c r="I655" s="48">
        <f>IF($G655=0,0,IF(INDEX('Hours Worked'!$D$5:$BD$29,$A655,$B655)="",N(INDEX(Employees!$H$5:$H$29,$A655)),INDEX('Hours Worked'!$D$5:$BD$29,$A655,$B655)))</f>
        <v/>
      </c>
      <c r="J655" s="48">
        <f>IF(OR($G655=0,INDEX(Employees!$O$5:$O$29,$A655)&lt;&gt;"Yes"),0,IF(COUNTIF(Settings!$D$4:$D$9,"&lt;="&amp;$H655)=0,0,INDEX(Settings!$E$4:$E$9,COUNTIF(Settings!$D$4:$D$9,"&lt;="&amp;$H655))))</f>
        <v/>
      </c>
      <c r="K655" s="48">
        <f>IF($G655=0,0,IF(INDEX(Employees!$I$5:$I$29,$A655)="Per pay period",(N(INDEX(Employees!$J$5:$J$29,$A655))+$J655)/Settings!$B$13,IF(INDEX(Employees!$I$5:$I$29,$A655)="Per hour worked",N(INDEX(Employees!$K$5:$K$29,$A655))*$I655,IF(INDEX(Employees!$I$5:$I$29,$A655)="Front-loaded",IF(OR($B655=1,N($G654)=0),N(INDEX(Employees!$J$5:$J$29,$A655))+$J655,0),0))))</f>
        <v/>
      </c>
      <c r="L655" s="48">
        <f>IF($F655=0,0,SUMIFS('Time Off Log'!$H$5:$H$504,'Time Off Log'!$A$5:$A$504,$C655,'Time Off Log'!$B$5:$B$504,"PTO",'Time Off Log'!$E$5:$E$504,"Approved",'Time Off Log'!$C$5:$C$504,"&gt;="&amp;INDEX(Periods!$E$5:$E$57,$B655),'Time Off Log'!$C$5:$C$504,"&lt;="&amp;INDEX(Periods!$F$5:$F$57,$B655)))</f>
        <v/>
      </c>
      <c r="M655" s="48">
        <f>IF($B655=1,N(INDEX(Employees!$N$5:$N$29,$A655)),P654)</f>
        <v/>
      </c>
      <c r="N655" s="48">
        <f>IF(INDEX(Employees!$L$5:$L$29,$A655)="",K655,MAX(0,MIN(K655,INDEX(Employees!$L$5:$L$29,$A655)-(M655-L655))))</f>
        <v/>
      </c>
      <c r="O655" s="48">
        <f>K655-N655</f>
        <v/>
      </c>
      <c r="P655" s="48">
        <f>M655-L655+N655</f>
        <v/>
      </c>
      <c r="Q655" s="48">
        <f>IF($G655=0,0,IF(INDEX(Employees!$P$5:$P$29,$A655)="Per pay period",(N(INDEX(Employees!$Q$5:$Q$29,$A655)))/Settings!$B$13,IF(INDEX(Employees!$P$5:$P$29,$A655)="Per hour worked",N(INDEX(Employees!$R$5:$R$29,$A655))*$I655,IF(INDEX(Employees!$P$5:$P$29,$A655)="Front-loaded",IF(OR($B655=1,N($G654)=0),N(INDEX(Employees!$Q$5:$Q$29,$A655)),0),0))))</f>
        <v/>
      </c>
      <c r="R655" s="48">
        <f>IF($F655=0,0,SUMIFS('Time Off Log'!$H$5:$H$504,'Time Off Log'!$A$5:$A$504,$C655,'Time Off Log'!$B$5:$B$504,"Sick",'Time Off Log'!$E$5:$E$504,"Approved",'Time Off Log'!$C$5:$C$504,"&gt;="&amp;INDEX(Periods!$E$5:$E$57,$B655),'Time Off Log'!$C$5:$C$504,"&lt;="&amp;INDEX(Periods!$F$5:$F$57,$B655)))</f>
        <v/>
      </c>
      <c r="S655" s="48">
        <f>IF($B655=1,N(INDEX(Employees!$T$5:$T$29,$A655)),V654)</f>
        <v/>
      </c>
      <c r="T655" s="48">
        <f>IF(INDEX(Employees!$S$5:$S$29,$A655)="",Q655,MAX(0,MIN(Q655,INDEX(Employees!$S$5:$S$29,$A655)-(S655-R655))))</f>
        <v/>
      </c>
      <c r="U655" s="48">
        <f>Q655-T655</f>
        <v/>
      </c>
      <c r="V655" s="48">
        <f>S655-R655+T655</f>
        <v/>
      </c>
    </row>
    <row r="656">
      <c r="A656" s="47" t="n">
        <v>13</v>
      </c>
      <c r="B656" s="47" t="n">
        <v>16</v>
      </c>
      <c r="C656" s="48">
        <f>INDEX(Employees!$B$5:$B$29,$A656)&amp;""</f>
        <v/>
      </c>
      <c r="D656" s="49">
        <f>INDEX(Periods!$B$5:$B$57,$B656)</f>
        <v/>
      </c>
      <c r="E656" s="49">
        <f>INDEX(Periods!$C$5:$C$57,$B656)</f>
        <v/>
      </c>
      <c r="F656" s="47">
        <f>IF(AND($C656&lt;&gt;"",INDEX(Periods!$D$5:$D$57,$B656)=1),1,0)</f>
        <v/>
      </c>
      <c r="G656" s="47">
        <f>IF($F656=0,0,IF(AND(OR(INDEX(Employees!$D$5:$D$29,$A656)="",$E656&gt;=INDEX(Employees!$D$5:$D$29,$A656)+N(INDEX(Employees!$U$5:$U$29,$A656))),OR(INDEX(Employees!$E$5:$E$29,$A656)="",$D656&lt;=INDEX(Employees!$E$5:$E$29,$A656))),1,0))</f>
        <v/>
      </c>
      <c r="H656" s="47">
        <f>IF($G656=0,0,IF(INDEX(Employees!$D$5:$D$29,$A656)="",0,DATEDIF(INDEX(Employees!$D$5:$D$29,$A656),$E656,"y")))</f>
        <v/>
      </c>
      <c r="I656" s="48">
        <f>IF($G656=0,0,IF(INDEX('Hours Worked'!$D$5:$BD$29,$A656,$B656)="",N(INDEX(Employees!$H$5:$H$29,$A656)),INDEX('Hours Worked'!$D$5:$BD$29,$A656,$B656)))</f>
        <v/>
      </c>
      <c r="J656" s="48">
        <f>IF(OR($G656=0,INDEX(Employees!$O$5:$O$29,$A656)&lt;&gt;"Yes"),0,IF(COUNTIF(Settings!$D$4:$D$9,"&lt;="&amp;$H656)=0,0,INDEX(Settings!$E$4:$E$9,COUNTIF(Settings!$D$4:$D$9,"&lt;="&amp;$H656))))</f>
        <v/>
      </c>
      <c r="K656" s="48">
        <f>IF($G656=0,0,IF(INDEX(Employees!$I$5:$I$29,$A656)="Per pay period",(N(INDEX(Employees!$J$5:$J$29,$A656))+$J656)/Settings!$B$13,IF(INDEX(Employees!$I$5:$I$29,$A656)="Per hour worked",N(INDEX(Employees!$K$5:$K$29,$A656))*$I656,IF(INDEX(Employees!$I$5:$I$29,$A656)="Front-loaded",IF(OR($B656=1,N($G655)=0),N(INDEX(Employees!$J$5:$J$29,$A656))+$J656,0),0))))</f>
        <v/>
      </c>
      <c r="L656" s="48">
        <f>IF($F656=0,0,SUMIFS('Time Off Log'!$H$5:$H$504,'Time Off Log'!$A$5:$A$504,$C656,'Time Off Log'!$B$5:$B$504,"PTO",'Time Off Log'!$E$5:$E$504,"Approved",'Time Off Log'!$C$5:$C$504,"&gt;="&amp;INDEX(Periods!$E$5:$E$57,$B656),'Time Off Log'!$C$5:$C$504,"&lt;="&amp;INDEX(Periods!$F$5:$F$57,$B656)))</f>
        <v/>
      </c>
      <c r="M656" s="48">
        <f>IF($B656=1,N(INDEX(Employees!$N$5:$N$29,$A656)),P655)</f>
        <v/>
      </c>
      <c r="N656" s="48">
        <f>IF(INDEX(Employees!$L$5:$L$29,$A656)="",K656,MAX(0,MIN(K656,INDEX(Employees!$L$5:$L$29,$A656)-(M656-L656))))</f>
        <v/>
      </c>
      <c r="O656" s="48">
        <f>K656-N656</f>
        <v/>
      </c>
      <c r="P656" s="48">
        <f>M656-L656+N656</f>
        <v/>
      </c>
      <c r="Q656" s="48">
        <f>IF($G656=0,0,IF(INDEX(Employees!$P$5:$P$29,$A656)="Per pay period",(N(INDEX(Employees!$Q$5:$Q$29,$A656)))/Settings!$B$13,IF(INDEX(Employees!$P$5:$P$29,$A656)="Per hour worked",N(INDEX(Employees!$R$5:$R$29,$A656))*$I656,IF(INDEX(Employees!$P$5:$P$29,$A656)="Front-loaded",IF(OR($B656=1,N($G655)=0),N(INDEX(Employees!$Q$5:$Q$29,$A656)),0),0))))</f>
        <v/>
      </c>
      <c r="R656" s="48">
        <f>IF($F656=0,0,SUMIFS('Time Off Log'!$H$5:$H$504,'Time Off Log'!$A$5:$A$504,$C656,'Time Off Log'!$B$5:$B$504,"Sick",'Time Off Log'!$E$5:$E$504,"Approved",'Time Off Log'!$C$5:$C$504,"&gt;="&amp;INDEX(Periods!$E$5:$E$57,$B656),'Time Off Log'!$C$5:$C$504,"&lt;="&amp;INDEX(Periods!$F$5:$F$57,$B656)))</f>
        <v/>
      </c>
      <c r="S656" s="48">
        <f>IF($B656=1,N(INDEX(Employees!$T$5:$T$29,$A656)),V655)</f>
        <v/>
      </c>
      <c r="T656" s="48">
        <f>IF(INDEX(Employees!$S$5:$S$29,$A656)="",Q656,MAX(0,MIN(Q656,INDEX(Employees!$S$5:$S$29,$A656)-(S656-R656))))</f>
        <v/>
      </c>
      <c r="U656" s="48">
        <f>Q656-T656</f>
        <v/>
      </c>
      <c r="V656" s="48">
        <f>S656-R656+T656</f>
        <v/>
      </c>
    </row>
    <row r="657">
      <c r="A657" s="47" t="n">
        <v>13</v>
      </c>
      <c r="B657" s="47" t="n">
        <v>17</v>
      </c>
      <c r="C657" s="48">
        <f>INDEX(Employees!$B$5:$B$29,$A657)&amp;""</f>
        <v/>
      </c>
      <c r="D657" s="49">
        <f>INDEX(Periods!$B$5:$B$57,$B657)</f>
        <v/>
      </c>
      <c r="E657" s="49">
        <f>INDEX(Periods!$C$5:$C$57,$B657)</f>
        <v/>
      </c>
      <c r="F657" s="47">
        <f>IF(AND($C657&lt;&gt;"",INDEX(Periods!$D$5:$D$57,$B657)=1),1,0)</f>
        <v/>
      </c>
      <c r="G657" s="47">
        <f>IF($F657=0,0,IF(AND(OR(INDEX(Employees!$D$5:$D$29,$A657)="",$E657&gt;=INDEX(Employees!$D$5:$D$29,$A657)+N(INDEX(Employees!$U$5:$U$29,$A657))),OR(INDEX(Employees!$E$5:$E$29,$A657)="",$D657&lt;=INDEX(Employees!$E$5:$E$29,$A657))),1,0))</f>
        <v/>
      </c>
      <c r="H657" s="47">
        <f>IF($G657=0,0,IF(INDEX(Employees!$D$5:$D$29,$A657)="",0,DATEDIF(INDEX(Employees!$D$5:$D$29,$A657),$E657,"y")))</f>
        <v/>
      </c>
      <c r="I657" s="48">
        <f>IF($G657=0,0,IF(INDEX('Hours Worked'!$D$5:$BD$29,$A657,$B657)="",N(INDEX(Employees!$H$5:$H$29,$A657)),INDEX('Hours Worked'!$D$5:$BD$29,$A657,$B657)))</f>
        <v/>
      </c>
      <c r="J657" s="48">
        <f>IF(OR($G657=0,INDEX(Employees!$O$5:$O$29,$A657)&lt;&gt;"Yes"),0,IF(COUNTIF(Settings!$D$4:$D$9,"&lt;="&amp;$H657)=0,0,INDEX(Settings!$E$4:$E$9,COUNTIF(Settings!$D$4:$D$9,"&lt;="&amp;$H657))))</f>
        <v/>
      </c>
      <c r="K657" s="48">
        <f>IF($G657=0,0,IF(INDEX(Employees!$I$5:$I$29,$A657)="Per pay period",(N(INDEX(Employees!$J$5:$J$29,$A657))+$J657)/Settings!$B$13,IF(INDEX(Employees!$I$5:$I$29,$A657)="Per hour worked",N(INDEX(Employees!$K$5:$K$29,$A657))*$I657,IF(INDEX(Employees!$I$5:$I$29,$A657)="Front-loaded",IF(OR($B657=1,N($G656)=0),N(INDEX(Employees!$J$5:$J$29,$A657))+$J657,0),0))))</f>
        <v/>
      </c>
      <c r="L657" s="48">
        <f>IF($F657=0,0,SUMIFS('Time Off Log'!$H$5:$H$504,'Time Off Log'!$A$5:$A$504,$C657,'Time Off Log'!$B$5:$B$504,"PTO",'Time Off Log'!$E$5:$E$504,"Approved",'Time Off Log'!$C$5:$C$504,"&gt;="&amp;INDEX(Periods!$E$5:$E$57,$B657),'Time Off Log'!$C$5:$C$504,"&lt;="&amp;INDEX(Periods!$F$5:$F$57,$B657)))</f>
        <v/>
      </c>
      <c r="M657" s="48">
        <f>IF($B657=1,N(INDEX(Employees!$N$5:$N$29,$A657)),P656)</f>
        <v/>
      </c>
      <c r="N657" s="48">
        <f>IF(INDEX(Employees!$L$5:$L$29,$A657)="",K657,MAX(0,MIN(K657,INDEX(Employees!$L$5:$L$29,$A657)-(M657-L657))))</f>
        <v/>
      </c>
      <c r="O657" s="48">
        <f>K657-N657</f>
        <v/>
      </c>
      <c r="P657" s="48">
        <f>M657-L657+N657</f>
        <v/>
      </c>
      <c r="Q657" s="48">
        <f>IF($G657=0,0,IF(INDEX(Employees!$P$5:$P$29,$A657)="Per pay period",(N(INDEX(Employees!$Q$5:$Q$29,$A657)))/Settings!$B$13,IF(INDEX(Employees!$P$5:$P$29,$A657)="Per hour worked",N(INDEX(Employees!$R$5:$R$29,$A657))*$I657,IF(INDEX(Employees!$P$5:$P$29,$A657)="Front-loaded",IF(OR($B657=1,N($G656)=0),N(INDEX(Employees!$Q$5:$Q$29,$A657)),0),0))))</f>
        <v/>
      </c>
      <c r="R657" s="48">
        <f>IF($F657=0,0,SUMIFS('Time Off Log'!$H$5:$H$504,'Time Off Log'!$A$5:$A$504,$C657,'Time Off Log'!$B$5:$B$504,"Sick",'Time Off Log'!$E$5:$E$504,"Approved",'Time Off Log'!$C$5:$C$504,"&gt;="&amp;INDEX(Periods!$E$5:$E$57,$B657),'Time Off Log'!$C$5:$C$504,"&lt;="&amp;INDEX(Periods!$F$5:$F$57,$B657)))</f>
        <v/>
      </c>
      <c r="S657" s="48">
        <f>IF($B657=1,N(INDEX(Employees!$T$5:$T$29,$A657)),V656)</f>
        <v/>
      </c>
      <c r="T657" s="48">
        <f>IF(INDEX(Employees!$S$5:$S$29,$A657)="",Q657,MAX(0,MIN(Q657,INDEX(Employees!$S$5:$S$29,$A657)-(S657-R657))))</f>
        <v/>
      </c>
      <c r="U657" s="48">
        <f>Q657-T657</f>
        <v/>
      </c>
      <c r="V657" s="48">
        <f>S657-R657+T657</f>
        <v/>
      </c>
    </row>
    <row r="658">
      <c r="A658" s="47" t="n">
        <v>13</v>
      </c>
      <c r="B658" s="47" t="n">
        <v>18</v>
      </c>
      <c r="C658" s="48">
        <f>INDEX(Employees!$B$5:$B$29,$A658)&amp;""</f>
        <v/>
      </c>
      <c r="D658" s="49">
        <f>INDEX(Periods!$B$5:$B$57,$B658)</f>
        <v/>
      </c>
      <c r="E658" s="49">
        <f>INDEX(Periods!$C$5:$C$57,$B658)</f>
        <v/>
      </c>
      <c r="F658" s="47">
        <f>IF(AND($C658&lt;&gt;"",INDEX(Periods!$D$5:$D$57,$B658)=1),1,0)</f>
        <v/>
      </c>
      <c r="G658" s="47">
        <f>IF($F658=0,0,IF(AND(OR(INDEX(Employees!$D$5:$D$29,$A658)="",$E658&gt;=INDEX(Employees!$D$5:$D$29,$A658)+N(INDEX(Employees!$U$5:$U$29,$A658))),OR(INDEX(Employees!$E$5:$E$29,$A658)="",$D658&lt;=INDEX(Employees!$E$5:$E$29,$A658))),1,0))</f>
        <v/>
      </c>
      <c r="H658" s="47">
        <f>IF($G658=0,0,IF(INDEX(Employees!$D$5:$D$29,$A658)="",0,DATEDIF(INDEX(Employees!$D$5:$D$29,$A658),$E658,"y")))</f>
        <v/>
      </c>
      <c r="I658" s="48">
        <f>IF($G658=0,0,IF(INDEX('Hours Worked'!$D$5:$BD$29,$A658,$B658)="",N(INDEX(Employees!$H$5:$H$29,$A658)),INDEX('Hours Worked'!$D$5:$BD$29,$A658,$B658)))</f>
        <v/>
      </c>
      <c r="J658" s="48">
        <f>IF(OR($G658=0,INDEX(Employees!$O$5:$O$29,$A658)&lt;&gt;"Yes"),0,IF(COUNTIF(Settings!$D$4:$D$9,"&lt;="&amp;$H658)=0,0,INDEX(Settings!$E$4:$E$9,COUNTIF(Settings!$D$4:$D$9,"&lt;="&amp;$H658))))</f>
        <v/>
      </c>
      <c r="K658" s="48">
        <f>IF($G658=0,0,IF(INDEX(Employees!$I$5:$I$29,$A658)="Per pay period",(N(INDEX(Employees!$J$5:$J$29,$A658))+$J658)/Settings!$B$13,IF(INDEX(Employees!$I$5:$I$29,$A658)="Per hour worked",N(INDEX(Employees!$K$5:$K$29,$A658))*$I658,IF(INDEX(Employees!$I$5:$I$29,$A658)="Front-loaded",IF(OR($B658=1,N($G657)=0),N(INDEX(Employees!$J$5:$J$29,$A658))+$J658,0),0))))</f>
        <v/>
      </c>
      <c r="L658" s="48">
        <f>IF($F658=0,0,SUMIFS('Time Off Log'!$H$5:$H$504,'Time Off Log'!$A$5:$A$504,$C658,'Time Off Log'!$B$5:$B$504,"PTO",'Time Off Log'!$E$5:$E$504,"Approved",'Time Off Log'!$C$5:$C$504,"&gt;="&amp;INDEX(Periods!$E$5:$E$57,$B658),'Time Off Log'!$C$5:$C$504,"&lt;="&amp;INDEX(Periods!$F$5:$F$57,$B658)))</f>
        <v/>
      </c>
      <c r="M658" s="48">
        <f>IF($B658=1,N(INDEX(Employees!$N$5:$N$29,$A658)),P657)</f>
        <v/>
      </c>
      <c r="N658" s="48">
        <f>IF(INDEX(Employees!$L$5:$L$29,$A658)="",K658,MAX(0,MIN(K658,INDEX(Employees!$L$5:$L$29,$A658)-(M658-L658))))</f>
        <v/>
      </c>
      <c r="O658" s="48">
        <f>K658-N658</f>
        <v/>
      </c>
      <c r="P658" s="48">
        <f>M658-L658+N658</f>
        <v/>
      </c>
      <c r="Q658" s="48">
        <f>IF($G658=0,0,IF(INDEX(Employees!$P$5:$P$29,$A658)="Per pay period",(N(INDEX(Employees!$Q$5:$Q$29,$A658)))/Settings!$B$13,IF(INDEX(Employees!$P$5:$P$29,$A658)="Per hour worked",N(INDEX(Employees!$R$5:$R$29,$A658))*$I658,IF(INDEX(Employees!$P$5:$P$29,$A658)="Front-loaded",IF(OR($B658=1,N($G657)=0),N(INDEX(Employees!$Q$5:$Q$29,$A658)),0),0))))</f>
        <v/>
      </c>
      <c r="R658" s="48">
        <f>IF($F658=0,0,SUMIFS('Time Off Log'!$H$5:$H$504,'Time Off Log'!$A$5:$A$504,$C658,'Time Off Log'!$B$5:$B$504,"Sick",'Time Off Log'!$E$5:$E$504,"Approved",'Time Off Log'!$C$5:$C$504,"&gt;="&amp;INDEX(Periods!$E$5:$E$57,$B658),'Time Off Log'!$C$5:$C$504,"&lt;="&amp;INDEX(Periods!$F$5:$F$57,$B658)))</f>
        <v/>
      </c>
      <c r="S658" s="48">
        <f>IF($B658=1,N(INDEX(Employees!$T$5:$T$29,$A658)),V657)</f>
        <v/>
      </c>
      <c r="T658" s="48">
        <f>IF(INDEX(Employees!$S$5:$S$29,$A658)="",Q658,MAX(0,MIN(Q658,INDEX(Employees!$S$5:$S$29,$A658)-(S658-R658))))</f>
        <v/>
      </c>
      <c r="U658" s="48">
        <f>Q658-T658</f>
        <v/>
      </c>
      <c r="V658" s="48">
        <f>S658-R658+T658</f>
        <v/>
      </c>
    </row>
    <row r="659">
      <c r="A659" s="47" t="n">
        <v>13</v>
      </c>
      <c r="B659" s="47" t="n">
        <v>19</v>
      </c>
      <c r="C659" s="48">
        <f>INDEX(Employees!$B$5:$B$29,$A659)&amp;""</f>
        <v/>
      </c>
      <c r="D659" s="49">
        <f>INDEX(Periods!$B$5:$B$57,$B659)</f>
        <v/>
      </c>
      <c r="E659" s="49">
        <f>INDEX(Periods!$C$5:$C$57,$B659)</f>
        <v/>
      </c>
      <c r="F659" s="47">
        <f>IF(AND($C659&lt;&gt;"",INDEX(Periods!$D$5:$D$57,$B659)=1),1,0)</f>
        <v/>
      </c>
      <c r="G659" s="47">
        <f>IF($F659=0,0,IF(AND(OR(INDEX(Employees!$D$5:$D$29,$A659)="",$E659&gt;=INDEX(Employees!$D$5:$D$29,$A659)+N(INDEX(Employees!$U$5:$U$29,$A659))),OR(INDEX(Employees!$E$5:$E$29,$A659)="",$D659&lt;=INDEX(Employees!$E$5:$E$29,$A659))),1,0))</f>
        <v/>
      </c>
      <c r="H659" s="47">
        <f>IF($G659=0,0,IF(INDEX(Employees!$D$5:$D$29,$A659)="",0,DATEDIF(INDEX(Employees!$D$5:$D$29,$A659),$E659,"y")))</f>
        <v/>
      </c>
      <c r="I659" s="48">
        <f>IF($G659=0,0,IF(INDEX('Hours Worked'!$D$5:$BD$29,$A659,$B659)="",N(INDEX(Employees!$H$5:$H$29,$A659)),INDEX('Hours Worked'!$D$5:$BD$29,$A659,$B659)))</f>
        <v/>
      </c>
      <c r="J659" s="48">
        <f>IF(OR($G659=0,INDEX(Employees!$O$5:$O$29,$A659)&lt;&gt;"Yes"),0,IF(COUNTIF(Settings!$D$4:$D$9,"&lt;="&amp;$H659)=0,0,INDEX(Settings!$E$4:$E$9,COUNTIF(Settings!$D$4:$D$9,"&lt;="&amp;$H659))))</f>
        <v/>
      </c>
      <c r="K659" s="48">
        <f>IF($G659=0,0,IF(INDEX(Employees!$I$5:$I$29,$A659)="Per pay period",(N(INDEX(Employees!$J$5:$J$29,$A659))+$J659)/Settings!$B$13,IF(INDEX(Employees!$I$5:$I$29,$A659)="Per hour worked",N(INDEX(Employees!$K$5:$K$29,$A659))*$I659,IF(INDEX(Employees!$I$5:$I$29,$A659)="Front-loaded",IF(OR($B659=1,N($G658)=0),N(INDEX(Employees!$J$5:$J$29,$A659))+$J659,0),0))))</f>
        <v/>
      </c>
      <c r="L659" s="48">
        <f>IF($F659=0,0,SUMIFS('Time Off Log'!$H$5:$H$504,'Time Off Log'!$A$5:$A$504,$C659,'Time Off Log'!$B$5:$B$504,"PTO",'Time Off Log'!$E$5:$E$504,"Approved",'Time Off Log'!$C$5:$C$504,"&gt;="&amp;INDEX(Periods!$E$5:$E$57,$B659),'Time Off Log'!$C$5:$C$504,"&lt;="&amp;INDEX(Periods!$F$5:$F$57,$B659)))</f>
        <v/>
      </c>
      <c r="M659" s="48">
        <f>IF($B659=1,N(INDEX(Employees!$N$5:$N$29,$A659)),P658)</f>
        <v/>
      </c>
      <c r="N659" s="48">
        <f>IF(INDEX(Employees!$L$5:$L$29,$A659)="",K659,MAX(0,MIN(K659,INDEX(Employees!$L$5:$L$29,$A659)-(M659-L659))))</f>
        <v/>
      </c>
      <c r="O659" s="48">
        <f>K659-N659</f>
        <v/>
      </c>
      <c r="P659" s="48">
        <f>M659-L659+N659</f>
        <v/>
      </c>
      <c r="Q659" s="48">
        <f>IF($G659=0,0,IF(INDEX(Employees!$P$5:$P$29,$A659)="Per pay period",(N(INDEX(Employees!$Q$5:$Q$29,$A659)))/Settings!$B$13,IF(INDEX(Employees!$P$5:$P$29,$A659)="Per hour worked",N(INDEX(Employees!$R$5:$R$29,$A659))*$I659,IF(INDEX(Employees!$P$5:$P$29,$A659)="Front-loaded",IF(OR($B659=1,N($G658)=0),N(INDEX(Employees!$Q$5:$Q$29,$A659)),0),0))))</f>
        <v/>
      </c>
      <c r="R659" s="48">
        <f>IF($F659=0,0,SUMIFS('Time Off Log'!$H$5:$H$504,'Time Off Log'!$A$5:$A$504,$C659,'Time Off Log'!$B$5:$B$504,"Sick",'Time Off Log'!$E$5:$E$504,"Approved",'Time Off Log'!$C$5:$C$504,"&gt;="&amp;INDEX(Periods!$E$5:$E$57,$B659),'Time Off Log'!$C$5:$C$504,"&lt;="&amp;INDEX(Periods!$F$5:$F$57,$B659)))</f>
        <v/>
      </c>
      <c r="S659" s="48">
        <f>IF($B659=1,N(INDEX(Employees!$T$5:$T$29,$A659)),V658)</f>
        <v/>
      </c>
      <c r="T659" s="48">
        <f>IF(INDEX(Employees!$S$5:$S$29,$A659)="",Q659,MAX(0,MIN(Q659,INDEX(Employees!$S$5:$S$29,$A659)-(S659-R659))))</f>
        <v/>
      </c>
      <c r="U659" s="48">
        <f>Q659-T659</f>
        <v/>
      </c>
      <c r="V659" s="48">
        <f>S659-R659+T659</f>
        <v/>
      </c>
    </row>
    <row r="660">
      <c r="A660" s="47" t="n">
        <v>13</v>
      </c>
      <c r="B660" s="47" t="n">
        <v>20</v>
      </c>
      <c r="C660" s="48">
        <f>INDEX(Employees!$B$5:$B$29,$A660)&amp;""</f>
        <v/>
      </c>
      <c r="D660" s="49">
        <f>INDEX(Periods!$B$5:$B$57,$B660)</f>
        <v/>
      </c>
      <c r="E660" s="49">
        <f>INDEX(Periods!$C$5:$C$57,$B660)</f>
        <v/>
      </c>
      <c r="F660" s="47">
        <f>IF(AND($C660&lt;&gt;"",INDEX(Periods!$D$5:$D$57,$B660)=1),1,0)</f>
        <v/>
      </c>
      <c r="G660" s="47">
        <f>IF($F660=0,0,IF(AND(OR(INDEX(Employees!$D$5:$D$29,$A660)="",$E660&gt;=INDEX(Employees!$D$5:$D$29,$A660)+N(INDEX(Employees!$U$5:$U$29,$A660))),OR(INDEX(Employees!$E$5:$E$29,$A660)="",$D660&lt;=INDEX(Employees!$E$5:$E$29,$A660))),1,0))</f>
        <v/>
      </c>
      <c r="H660" s="47">
        <f>IF($G660=0,0,IF(INDEX(Employees!$D$5:$D$29,$A660)="",0,DATEDIF(INDEX(Employees!$D$5:$D$29,$A660),$E660,"y")))</f>
        <v/>
      </c>
      <c r="I660" s="48">
        <f>IF($G660=0,0,IF(INDEX('Hours Worked'!$D$5:$BD$29,$A660,$B660)="",N(INDEX(Employees!$H$5:$H$29,$A660)),INDEX('Hours Worked'!$D$5:$BD$29,$A660,$B660)))</f>
        <v/>
      </c>
      <c r="J660" s="48">
        <f>IF(OR($G660=0,INDEX(Employees!$O$5:$O$29,$A660)&lt;&gt;"Yes"),0,IF(COUNTIF(Settings!$D$4:$D$9,"&lt;="&amp;$H660)=0,0,INDEX(Settings!$E$4:$E$9,COUNTIF(Settings!$D$4:$D$9,"&lt;="&amp;$H660))))</f>
        <v/>
      </c>
      <c r="K660" s="48">
        <f>IF($G660=0,0,IF(INDEX(Employees!$I$5:$I$29,$A660)="Per pay period",(N(INDEX(Employees!$J$5:$J$29,$A660))+$J660)/Settings!$B$13,IF(INDEX(Employees!$I$5:$I$29,$A660)="Per hour worked",N(INDEX(Employees!$K$5:$K$29,$A660))*$I660,IF(INDEX(Employees!$I$5:$I$29,$A660)="Front-loaded",IF(OR($B660=1,N($G659)=0),N(INDEX(Employees!$J$5:$J$29,$A660))+$J660,0),0))))</f>
        <v/>
      </c>
      <c r="L660" s="48">
        <f>IF($F660=0,0,SUMIFS('Time Off Log'!$H$5:$H$504,'Time Off Log'!$A$5:$A$504,$C660,'Time Off Log'!$B$5:$B$504,"PTO",'Time Off Log'!$E$5:$E$504,"Approved",'Time Off Log'!$C$5:$C$504,"&gt;="&amp;INDEX(Periods!$E$5:$E$57,$B660),'Time Off Log'!$C$5:$C$504,"&lt;="&amp;INDEX(Periods!$F$5:$F$57,$B660)))</f>
        <v/>
      </c>
      <c r="M660" s="48">
        <f>IF($B660=1,N(INDEX(Employees!$N$5:$N$29,$A660)),P659)</f>
        <v/>
      </c>
      <c r="N660" s="48">
        <f>IF(INDEX(Employees!$L$5:$L$29,$A660)="",K660,MAX(0,MIN(K660,INDEX(Employees!$L$5:$L$29,$A660)-(M660-L660))))</f>
        <v/>
      </c>
      <c r="O660" s="48">
        <f>K660-N660</f>
        <v/>
      </c>
      <c r="P660" s="48">
        <f>M660-L660+N660</f>
        <v/>
      </c>
      <c r="Q660" s="48">
        <f>IF($G660=0,0,IF(INDEX(Employees!$P$5:$P$29,$A660)="Per pay period",(N(INDEX(Employees!$Q$5:$Q$29,$A660)))/Settings!$B$13,IF(INDEX(Employees!$P$5:$P$29,$A660)="Per hour worked",N(INDEX(Employees!$R$5:$R$29,$A660))*$I660,IF(INDEX(Employees!$P$5:$P$29,$A660)="Front-loaded",IF(OR($B660=1,N($G659)=0),N(INDEX(Employees!$Q$5:$Q$29,$A660)),0),0))))</f>
        <v/>
      </c>
      <c r="R660" s="48">
        <f>IF($F660=0,0,SUMIFS('Time Off Log'!$H$5:$H$504,'Time Off Log'!$A$5:$A$504,$C660,'Time Off Log'!$B$5:$B$504,"Sick",'Time Off Log'!$E$5:$E$504,"Approved",'Time Off Log'!$C$5:$C$504,"&gt;="&amp;INDEX(Periods!$E$5:$E$57,$B660),'Time Off Log'!$C$5:$C$504,"&lt;="&amp;INDEX(Periods!$F$5:$F$57,$B660)))</f>
        <v/>
      </c>
      <c r="S660" s="48">
        <f>IF($B660=1,N(INDEX(Employees!$T$5:$T$29,$A660)),V659)</f>
        <v/>
      </c>
      <c r="T660" s="48">
        <f>IF(INDEX(Employees!$S$5:$S$29,$A660)="",Q660,MAX(0,MIN(Q660,INDEX(Employees!$S$5:$S$29,$A660)-(S660-R660))))</f>
        <v/>
      </c>
      <c r="U660" s="48">
        <f>Q660-T660</f>
        <v/>
      </c>
      <c r="V660" s="48">
        <f>S660-R660+T660</f>
        <v/>
      </c>
    </row>
    <row r="661">
      <c r="A661" s="47" t="n">
        <v>13</v>
      </c>
      <c r="B661" s="47" t="n">
        <v>21</v>
      </c>
      <c r="C661" s="48">
        <f>INDEX(Employees!$B$5:$B$29,$A661)&amp;""</f>
        <v/>
      </c>
      <c r="D661" s="49">
        <f>INDEX(Periods!$B$5:$B$57,$B661)</f>
        <v/>
      </c>
      <c r="E661" s="49">
        <f>INDEX(Periods!$C$5:$C$57,$B661)</f>
        <v/>
      </c>
      <c r="F661" s="47">
        <f>IF(AND($C661&lt;&gt;"",INDEX(Periods!$D$5:$D$57,$B661)=1),1,0)</f>
        <v/>
      </c>
      <c r="G661" s="47">
        <f>IF($F661=0,0,IF(AND(OR(INDEX(Employees!$D$5:$D$29,$A661)="",$E661&gt;=INDEX(Employees!$D$5:$D$29,$A661)+N(INDEX(Employees!$U$5:$U$29,$A661))),OR(INDEX(Employees!$E$5:$E$29,$A661)="",$D661&lt;=INDEX(Employees!$E$5:$E$29,$A661))),1,0))</f>
        <v/>
      </c>
      <c r="H661" s="47">
        <f>IF($G661=0,0,IF(INDEX(Employees!$D$5:$D$29,$A661)="",0,DATEDIF(INDEX(Employees!$D$5:$D$29,$A661),$E661,"y")))</f>
        <v/>
      </c>
      <c r="I661" s="48">
        <f>IF($G661=0,0,IF(INDEX('Hours Worked'!$D$5:$BD$29,$A661,$B661)="",N(INDEX(Employees!$H$5:$H$29,$A661)),INDEX('Hours Worked'!$D$5:$BD$29,$A661,$B661)))</f>
        <v/>
      </c>
      <c r="J661" s="48">
        <f>IF(OR($G661=0,INDEX(Employees!$O$5:$O$29,$A661)&lt;&gt;"Yes"),0,IF(COUNTIF(Settings!$D$4:$D$9,"&lt;="&amp;$H661)=0,0,INDEX(Settings!$E$4:$E$9,COUNTIF(Settings!$D$4:$D$9,"&lt;="&amp;$H661))))</f>
        <v/>
      </c>
      <c r="K661" s="48">
        <f>IF($G661=0,0,IF(INDEX(Employees!$I$5:$I$29,$A661)="Per pay period",(N(INDEX(Employees!$J$5:$J$29,$A661))+$J661)/Settings!$B$13,IF(INDEX(Employees!$I$5:$I$29,$A661)="Per hour worked",N(INDEX(Employees!$K$5:$K$29,$A661))*$I661,IF(INDEX(Employees!$I$5:$I$29,$A661)="Front-loaded",IF(OR($B661=1,N($G660)=0),N(INDEX(Employees!$J$5:$J$29,$A661))+$J661,0),0))))</f>
        <v/>
      </c>
      <c r="L661" s="48">
        <f>IF($F661=0,0,SUMIFS('Time Off Log'!$H$5:$H$504,'Time Off Log'!$A$5:$A$504,$C661,'Time Off Log'!$B$5:$B$504,"PTO",'Time Off Log'!$E$5:$E$504,"Approved",'Time Off Log'!$C$5:$C$504,"&gt;="&amp;INDEX(Periods!$E$5:$E$57,$B661),'Time Off Log'!$C$5:$C$504,"&lt;="&amp;INDEX(Periods!$F$5:$F$57,$B661)))</f>
        <v/>
      </c>
      <c r="M661" s="48">
        <f>IF($B661=1,N(INDEX(Employees!$N$5:$N$29,$A661)),P660)</f>
        <v/>
      </c>
      <c r="N661" s="48">
        <f>IF(INDEX(Employees!$L$5:$L$29,$A661)="",K661,MAX(0,MIN(K661,INDEX(Employees!$L$5:$L$29,$A661)-(M661-L661))))</f>
        <v/>
      </c>
      <c r="O661" s="48">
        <f>K661-N661</f>
        <v/>
      </c>
      <c r="P661" s="48">
        <f>M661-L661+N661</f>
        <v/>
      </c>
      <c r="Q661" s="48">
        <f>IF($G661=0,0,IF(INDEX(Employees!$P$5:$P$29,$A661)="Per pay period",(N(INDEX(Employees!$Q$5:$Q$29,$A661)))/Settings!$B$13,IF(INDEX(Employees!$P$5:$P$29,$A661)="Per hour worked",N(INDEX(Employees!$R$5:$R$29,$A661))*$I661,IF(INDEX(Employees!$P$5:$P$29,$A661)="Front-loaded",IF(OR($B661=1,N($G660)=0),N(INDEX(Employees!$Q$5:$Q$29,$A661)),0),0))))</f>
        <v/>
      </c>
      <c r="R661" s="48">
        <f>IF($F661=0,0,SUMIFS('Time Off Log'!$H$5:$H$504,'Time Off Log'!$A$5:$A$504,$C661,'Time Off Log'!$B$5:$B$504,"Sick",'Time Off Log'!$E$5:$E$504,"Approved",'Time Off Log'!$C$5:$C$504,"&gt;="&amp;INDEX(Periods!$E$5:$E$57,$B661),'Time Off Log'!$C$5:$C$504,"&lt;="&amp;INDEX(Periods!$F$5:$F$57,$B661)))</f>
        <v/>
      </c>
      <c r="S661" s="48">
        <f>IF($B661=1,N(INDEX(Employees!$T$5:$T$29,$A661)),V660)</f>
        <v/>
      </c>
      <c r="T661" s="48">
        <f>IF(INDEX(Employees!$S$5:$S$29,$A661)="",Q661,MAX(0,MIN(Q661,INDEX(Employees!$S$5:$S$29,$A661)-(S661-R661))))</f>
        <v/>
      </c>
      <c r="U661" s="48">
        <f>Q661-T661</f>
        <v/>
      </c>
      <c r="V661" s="48">
        <f>S661-R661+T661</f>
        <v/>
      </c>
    </row>
    <row r="662">
      <c r="A662" s="47" t="n">
        <v>13</v>
      </c>
      <c r="B662" s="47" t="n">
        <v>22</v>
      </c>
      <c r="C662" s="48">
        <f>INDEX(Employees!$B$5:$B$29,$A662)&amp;""</f>
        <v/>
      </c>
      <c r="D662" s="49">
        <f>INDEX(Periods!$B$5:$B$57,$B662)</f>
        <v/>
      </c>
      <c r="E662" s="49">
        <f>INDEX(Periods!$C$5:$C$57,$B662)</f>
        <v/>
      </c>
      <c r="F662" s="47">
        <f>IF(AND($C662&lt;&gt;"",INDEX(Periods!$D$5:$D$57,$B662)=1),1,0)</f>
        <v/>
      </c>
      <c r="G662" s="47">
        <f>IF($F662=0,0,IF(AND(OR(INDEX(Employees!$D$5:$D$29,$A662)="",$E662&gt;=INDEX(Employees!$D$5:$D$29,$A662)+N(INDEX(Employees!$U$5:$U$29,$A662))),OR(INDEX(Employees!$E$5:$E$29,$A662)="",$D662&lt;=INDEX(Employees!$E$5:$E$29,$A662))),1,0))</f>
        <v/>
      </c>
      <c r="H662" s="47">
        <f>IF($G662=0,0,IF(INDEX(Employees!$D$5:$D$29,$A662)="",0,DATEDIF(INDEX(Employees!$D$5:$D$29,$A662),$E662,"y")))</f>
        <v/>
      </c>
      <c r="I662" s="48">
        <f>IF($G662=0,0,IF(INDEX('Hours Worked'!$D$5:$BD$29,$A662,$B662)="",N(INDEX(Employees!$H$5:$H$29,$A662)),INDEX('Hours Worked'!$D$5:$BD$29,$A662,$B662)))</f>
        <v/>
      </c>
      <c r="J662" s="48">
        <f>IF(OR($G662=0,INDEX(Employees!$O$5:$O$29,$A662)&lt;&gt;"Yes"),0,IF(COUNTIF(Settings!$D$4:$D$9,"&lt;="&amp;$H662)=0,0,INDEX(Settings!$E$4:$E$9,COUNTIF(Settings!$D$4:$D$9,"&lt;="&amp;$H662))))</f>
        <v/>
      </c>
      <c r="K662" s="48">
        <f>IF($G662=0,0,IF(INDEX(Employees!$I$5:$I$29,$A662)="Per pay period",(N(INDEX(Employees!$J$5:$J$29,$A662))+$J662)/Settings!$B$13,IF(INDEX(Employees!$I$5:$I$29,$A662)="Per hour worked",N(INDEX(Employees!$K$5:$K$29,$A662))*$I662,IF(INDEX(Employees!$I$5:$I$29,$A662)="Front-loaded",IF(OR($B662=1,N($G661)=0),N(INDEX(Employees!$J$5:$J$29,$A662))+$J662,0),0))))</f>
        <v/>
      </c>
      <c r="L662" s="48">
        <f>IF($F662=0,0,SUMIFS('Time Off Log'!$H$5:$H$504,'Time Off Log'!$A$5:$A$504,$C662,'Time Off Log'!$B$5:$B$504,"PTO",'Time Off Log'!$E$5:$E$504,"Approved",'Time Off Log'!$C$5:$C$504,"&gt;="&amp;INDEX(Periods!$E$5:$E$57,$B662),'Time Off Log'!$C$5:$C$504,"&lt;="&amp;INDEX(Periods!$F$5:$F$57,$B662)))</f>
        <v/>
      </c>
      <c r="M662" s="48">
        <f>IF($B662=1,N(INDEX(Employees!$N$5:$N$29,$A662)),P661)</f>
        <v/>
      </c>
      <c r="N662" s="48">
        <f>IF(INDEX(Employees!$L$5:$L$29,$A662)="",K662,MAX(0,MIN(K662,INDEX(Employees!$L$5:$L$29,$A662)-(M662-L662))))</f>
        <v/>
      </c>
      <c r="O662" s="48">
        <f>K662-N662</f>
        <v/>
      </c>
      <c r="P662" s="48">
        <f>M662-L662+N662</f>
        <v/>
      </c>
      <c r="Q662" s="48">
        <f>IF($G662=0,0,IF(INDEX(Employees!$P$5:$P$29,$A662)="Per pay period",(N(INDEX(Employees!$Q$5:$Q$29,$A662)))/Settings!$B$13,IF(INDEX(Employees!$P$5:$P$29,$A662)="Per hour worked",N(INDEX(Employees!$R$5:$R$29,$A662))*$I662,IF(INDEX(Employees!$P$5:$P$29,$A662)="Front-loaded",IF(OR($B662=1,N($G661)=0),N(INDEX(Employees!$Q$5:$Q$29,$A662)),0),0))))</f>
        <v/>
      </c>
      <c r="R662" s="48">
        <f>IF($F662=0,0,SUMIFS('Time Off Log'!$H$5:$H$504,'Time Off Log'!$A$5:$A$504,$C662,'Time Off Log'!$B$5:$B$504,"Sick",'Time Off Log'!$E$5:$E$504,"Approved",'Time Off Log'!$C$5:$C$504,"&gt;="&amp;INDEX(Periods!$E$5:$E$57,$B662),'Time Off Log'!$C$5:$C$504,"&lt;="&amp;INDEX(Periods!$F$5:$F$57,$B662)))</f>
        <v/>
      </c>
      <c r="S662" s="48">
        <f>IF($B662=1,N(INDEX(Employees!$T$5:$T$29,$A662)),V661)</f>
        <v/>
      </c>
      <c r="T662" s="48">
        <f>IF(INDEX(Employees!$S$5:$S$29,$A662)="",Q662,MAX(0,MIN(Q662,INDEX(Employees!$S$5:$S$29,$A662)-(S662-R662))))</f>
        <v/>
      </c>
      <c r="U662" s="48">
        <f>Q662-T662</f>
        <v/>
      </c>
      <c r="V662" s="48">
        <f>S662-R662+T662</f>
        <v/>
      </c>
    </row>
    <row r="663">
      <c r="A663" s="47" t="n">
        <v>13</v>
      </c>
      <c r="B663" s="47" t="n">
        <v>23</v>
      </c>
      <c r="C663" s="48">
        <f>INDEX(Employees!$B$5:$B$29,$A663)&amp;""</f>
        <v/>
      </c>
      <c r="D663" s="49">
        <f>INDEX(Periods!$B$5:$B$57,$B663)</f>
        <v/>
      </c>
      <c r="E663" s="49">
        <f>INDEX(Periods!$C$5:$C$57,$B663)</f>
        <v/>
      </c>
      <c r="F663" s="47">
        <f>IF(AND($C663&lt;&gt;"",INDEX(Periods!$D$5:$D$57,$B663)=1),1,0)</f>
        <v/>
      </c>
      <c r="G663" s="47">
        <f>IF($F663=0,0,IF(AND(OR(INDEX(Employees!$D$5:$D$29,$A663)="",$E663&gt;=INDEX(Employees!$D$5:$D$29,$A663)+N(INDEX(Employees!$U$5:$U$29,$A663))),OR(INDEX(Employees!$E$5:$E$29,$A663)="",$D663&lt;=INDEX(Employees!$E$5:$E$29,$A663))),1,0))</f>
        <v/>
      </c>
      <c r="H663" s="47">
        <f>IF($G663=0,0,IF(INDEX(Employees!$D$5:$D$29,$A663)="",0,DATEDIF(INDEX(Employees!$D$5:$D$29,$A663),$E663,"y")))</f>
        <v/>
      </c>
      <c r="I663" s="48">
        <f>IF($G663=0,0,IF(INDEX('Hours Worked'!$D$5:$BD$29,$A663,$B663)="",N(INDEX(Employees!$H$5:$H$29,$A663)),INDEX('Hours Worked'!$D$5:$BD$29,$A663,$B663)))</f>
        <v/>
      </c>
      <c r="J663" s="48">
        <f>IF(OR($G663=0,INDEX(Employees!$O$5:$O$29,$A663)&lt;&gt;"Yes"),0,IF(COUNTIF(Settings!$D$4:$D$9,"&lt;="&amp;$H663)=0,0,INDEX(Settings!$E$4:$E$9,COUNTIF(Settings!$D$4:$D$9,"&lt;="&amp;$H663))))</f>
        <v/>
      </c>
      <c r="K663" s="48">
        <f>IF($G663=0,0,IF(INDEX(Employees!$I$5:$I$29,$A663)="Per pay period",(N(INDEX(Employees!$J$5:$J$29,$A663))+$J663)/Settings!$B$13,IF(INDEX(Employees!$I$5:$I$29,$A663)="Per hour worked",N(INDEX(Employees!$K$5:$K$29,$A663))*$I663,IF(INDEX(Employees!$I$5:$I$29,$A663)="Front-loaded",IF(OR($B663=1,N($G662)=0),N(INDEX(Employees!$J$5:$J$29,$A663))+$J663,0),0))))</f>
        <v/>
      </c>
      <c r="L663" s="48">
        <f>IF($F663=0,0,SUMIFS('Time Off Log'!$H$5:$H$504,'Time Off Log'!$A$5:$A$504,$C663,'Time Off Log'!$B$5:$B$504,"PTO",'Time Off Log'!$E$5:$E$504,"Approved",'Time Off Log'!$C$5:$C$504,"&gt;="&amp;INDEX(Periods!$E$5:$E$57,$B663),'Time Off Log'!$C$5:$C$504,"&lt;="&amp;INDEX(Periods!$F$5:$F$57,$B663)))</f>
        <v/>
      </c>
      <c r="M663" s="48">
        <f>IF($B663=1,N(INDEX(Employees!$N$5:$N$29,$A663)),P662)</f>
        <v/>
      </c>
      <c r="N663" s="48">
        <f>IF(INDEX(Employees!$L$5:$L$29,$A663)="",K663,MAX(0,MIN(K663,INDEX(Employees!$L$5:$L$29,$A663)-(M663-L663))))</f>
        <v/>
      </c>
      <c r="O663" s="48">
        <f>K663-N663</f>
        <v/>
      </c>
      <c r="P663" s="48">
        <f>M663-L663+N663</f>
        <v/>
      </c>
      <c r="Q663" s="48">
        <f>IF($G663=0,0,IF(INDEX(Employees!$P$5:$P$29,$A663)="Per pay period",(N(INDEX(Employees!$Q$5:$Q$29,$A663)))/Settings!$B$13,IF(INDEX(Employees!$P$5:$P$29,$A663)="Per hour worked",N(INDEX(Employees!$R$5:$R$29,$A663))*$I663,IF(INDEX(Employees!$P$5:$P$29,$A663)="Front-loaded",IF(OR($B663=1,N($G662)=0),N(INDEX(Employees!$Q$5:$Q$29,$A663)),0),0))))</f>
        <v/>
      </c>
      <c r="R663" s="48">
        <f>IF($F663=0,0,SUMIFS('Time Off Log'!$H$5:$H$504,'Time Off Log'!$A$5:$A$504,$C663,'Time Off Log'!$B$5:$B$504,"Sick",'Time Off Log'!$E$5:$E$504,"Approved",'Time Off Log'!$C$5:$C$504,"&gt;="&amp;INDEX(Periods!$E$5:$E$57,$B663),'Time Off Log'!$C$5:$C$504,"&lt;="&amp;INDEX(Periods!$F$5:$F$57,$B663)))</f>
        <v/>
      </c>
      <c r="S663" s="48">
        <f>IF($B663=1,N(INDEX(Employees!$T$5:$T$29,$A663)),V662)</f>
        <v/>
      </c>
      <c r="T663" s="48">
        <f>IF(INDEX(Employees!$S$5:$S$29,$A663)="",Q663,MAX(0,MIN(Q663,INDEX(Employees!$S$5:$S$29,$A663)-(S663-R663))))</f>
        <v/>
      </c>
      <c r="U663" s="48">
        <f>Q663-T663</f>
        <v/>
      </c>
      <c r="V663" s="48">
        <f>S663-R663+T663</f>
        <v/>
      </c>
    </row>
    <row r="664">
      <c r="A664" s="47" t="n">
        <v>13</v>
      </c>
      <c r="B664" s="47" t="n">
        <v>24</v>
      </c>
      <c r="C664" s="48">
        <f>INDEX(Employees!$B$5:$B$29,$A664)&amp;""</f>
        <v/>
      </c>
      <c r="D664" s="49">
        <f>INDEX(Periods!$B$5:$B$57,$B664)</f>
        <v/>
      </c>
      <c r="E664" s="49">
        <f>INDEX(Periods!$C$5:$C$57,$B664)</f>
        <v/>
      </c>
      <c r="F664" s="47">
        <f>IF(AND($C664&lt;&gt;"",INDEX(Periods!$D$5:$D$57,$B664)=1),1,0)</f>
        <v/>
      </c>
      <c r="G664" s="47">
        <f>IF($F664=0,0,IF(AND(OR(INDEX(Employees!$D$5:$D$29,$A664)="",$E664&gt;=INDEX(Employees!$D$5:$D$29,$A664)+N(INDEX(Employees!$U$5:$U$29,$A664))),OR(INDEX(Employees!$E$5:$E$29,$A664)="",$D664&lt;=INDEX(Employees!$E$5:$E$29,$A664))),1,0))</f>
        <v/>
      </c>
      <c r="H664" s="47">
        <f>IF($G664=0,0,IF(INDEX(Employees!$D$5:$D$29,$A664)="",0,DATEDIF(INDEX(Employees!$D$5:$D$29,$A664),$E664,"y")))</f>
        <v/>
      </c>
      <c r="I664" s="48">
        <f>IF($G664=0,0,IF(INDEX('Hours Worked'!$D$5:$BD$29,$A664,$B664)="",N(INDEX(Employees!$H$5:$H$29,$A664)),INDEX('Hours Worked'!$D$5:$BD$29,$A664,$B664)))</f>
        <v/>
      </c>
      <c r="J664" s="48">
        <f>IF(OR($G664=0,INDEX(Employees!$O$5:$O$29,$A664)&lt;&gt;"Yes"),0,IF(COUNTIF(Settings!$D$4:$D$9,"&lt;="&amp;$H664)=0,0,INDEX(Settings!$E$4:$E$9,COUNTIF(Settings!$D$4:$D$9,"&lt;="&amp;$H664))))</f>
        <v/>
      </c>
      <c r="K664" s="48">
        <f>IF($G664=0,0,IF(INDEX(Employees!$I$5:$I$29,$A664)="Per pay period",(N(INDEX(Employees!$J$5:$J$29,$A664))+$J664)/Settings!$B$13,IF(INDEX(Employees!$I$5:$I$29,$A664)="Per hour worked",N(INDEX(Employees!$K$5:$K$29,$A664))*$I664,IF(INDEX(Employees!$I$5:$I$29,$A664)="Front-loaded",IF(OR($B664=1,N($G663)=0),N(INDEX(Employees!$J$5:$J$29,$A664))+$J664,0),0))))</f>
        <v/>
      </c>
      <c r="L664" s="48">
        <f>IF($F664=0,0,SUMIFS('Time Off Log'!$H$5:$H$504,'Time Off Log'!$A$5:$A$504,$C664,'Time Off Log'!$B$5:$B$504,"PTO",'Time Off Log'!$E$5:$E$504,"Approved",'Time Off Log'!$C$5:$C$504,"&gt;="&amp;INDEX(Periods!$E$5:$E$57,$B664),'Time Off Log'!$C$5:$C$504,"&lt;="&amp;INDEX(Periods!$F$5:$F$57,$B664)))</f>
        <v/>
      </c>
      <c r="M664" s="48">
        <f>IF($B664=1,N(INDEX(Employees!$N$5:$N$29,$A664)),P663)</f>
        <v/>
      </c>
      <c r="N664" s="48">
        <f>IF(INDEX(Employees!$L$5:$L$29,$A664)="",K664,MAX(0,MIN(K664,INDEX(Employees!$L$5:$L$29,$A664)-(M664-L664))))</f>
        <v/>
      </c>
      <c r="O664" s="48">
        <f>K664-N664</f>
        <v/>
      </c>
      <c r="P664" s="48">
        <f>M664-L664+N664</f>
        <v/>
      </c>
      <c r="Q664" s="48">
        <f>IF($G664=0,0,IF(INDEX(Employees!$P$5:$P$29,$A664)="Per pay period",(N(INDEX(Employees!$Q$5:$Q$29,$A664)))/Settings!$B$13,IF(INDEX(Employees!$P$5:$P$29,$A664)="Per hour worked",N(INDEX(Employees!$R$5:$R$29,$A664))*$I664,IF(INDEX(Employees!$P$5:$P$29,$A664)="Front-loaded",IF(OR($B664=1,N($G663)=0),N(INDEX(Employees!$Q$5:$Q$29,$A664)),0),0))))</f>
        <v/>
      </c>
      <c r="R664" s="48">
        <f>IF($F664=0,0,SUMIFS('Time Off Log'!$H$5:$H$504,'Time Off Log'!$A$5:$A$504,$C664,'Time Off Log'!$B$5:$B$504,"Sick",'Time Off Log'!$E$5:$E$504,"Approved",'Time Off Log'!$C$5:$C$504,"&gt;="&amp;INDEX(Periods!$E$5:$E$57,$B664),'Time Off Log'!$C$5:$C$504,"&lt;="&amp;INDEX(Periods!$F$5:$F$57,$B664)))</f>
        <v/>
      </c>
      <c r="S664" s="48">
        <f>IF($B664=1,N(INDEX(Employees!$T$5:$T$29,$A664)),V663)</f>
        <v/>
      </c>
      <c r="T664" s="48">
        <f>IF(INDEX(Employees!$S$5:$S$29,$A664)="",Q664,MAX(0,MIN(Q664,INDEX(Employees!$S$5:$S$29,$A664)-(S664-R664))))</f>
        <v/>
      </c>
      <c r="U664" s="48">
        <f>Q664-T664</f>
        <v/>
      </c>
      <c r="V664" s="48">
        <f>S664-R664+T664</f>
        <v/>
      </c>
    </row>
    <row r="665">
      <c r="A665" s="47" t="n">
        <v>13</v>
      </c>
      <c r="B665" s="47" t="n">
        <v>25</v>
      </c>
      <c r="C665" s="48">
        <f>INDEX(Employees!$B$5:$B$29,$A665)&amp;""</f>
        <v/>
      </c>
      <c r="D665" s="49">
        <f>INDEX(Periods!$B$5:$B$57,$B665)</f>
        <v/>
      </c>
      <c r="E665" s="49">
        <f>INDEX(Periods!$C$5:$C$57,$B665)</f>
        <v/>
      </c>
      <c r="F665" s="47">
        <f>IF(AND($C665&lt;&gt;"",INDEX(Periods!$D$5:$D$57,$B665)=1),1,0)</f>
        <v/>
      </c>
      <c r="G665" s="47">
        <f>IF($F665=0,0,IF(AND(OR(INDEX(Employees!$D$5:$D$29,$A665)="",$E665&gt;=INDEX(Employees!$D$5:$D$29,$A665)+N(INDEX(Employees!$U$5:$U$29,$A665))),OR(INDEX(Employees!$E$5:$E$29,$A665)="",$D665&lt;=INDEX(Employees!$E$5:$E$29,$A665))),1,0))</f>
        <v/>
      </c>
      <c r="H665" s="47">
        <f>IF($G665=0,0,IF(INDEX(Employees!$D$5:$D$29,$A665)="",0,DATEDIF(INDEX(Employees!$D$5:$D$29,$A665),$E665,"y")))</f>
        <v/>
      </c>
      <c r="I665" s="48">
        <f>IF($G665=0,0,IF(INDEX('Hours Worked'!$D$5:$BD$29,$A665,$B665)="",N(INDEX(Employees!$H$5:$H$29,$A665)),INDEX('Hours Worked'!$D$5:$BD$29,$A665,$B665)))</f>
        <v/>
      </c>
      <c r="J665" s="48">
        <f>IF(OR($G665=0,INDEX(Employees!$O$5:$O$29,$A665)&lt;&gt;"Yes"),0,IF(COUNTIF(Settings!$D$4:$D$9,"&lt;="&amp;$H665)=0,0,INDEX(Settings!$E$4:$E$9,COUNTIF(Settings!$D$4:$D$9,"&lt;="&amp;$H665))))</f>
        <v/>
      </c>
      <c r="K665" s="48">
        <f>IF($G665=0,0,IF(INDEX(Employees!$I$5:$I$29,$A665)="Per pay period",(N(INDEX(Employees!$J$5:$J$29,$A665))+$J665)/Settings!$B$13,IF(INDEX(Employees!$I$5:$I$29,$A665)="Per hour worked",N(INDEX(Employees!$K$5:$K$29,$A665))*$I665,IF(INDEX(Employees!$I$5:$I$29,$A665)="Front-loaded",IF(OR($B665=1,N($G664)=0),N(INDEX(Employees!$J$5:$J$29,$A665))+$J665,0),0))))</f>
        <v/>
      </c>
      <c r="L665" s="48">
        <f>IF($F665=0,0,SUMIFS('Time Off Log'!$H$5:$H$504,'Time Off Log'!$A$5:$A$504,$C665,'Time Off Log'!$B$5:$B$504,"PTO",'Time Off Log'!$E$5:$E$504,"Approved",'Time Off Log'!$C$5:$C$504,"&gt;="&amp;INDEX(Periods!$E$5:$E$57,$B665),'Time Off Log'!$C$5:$C$504,"&lt;="&amp;INDEX(Periods!$F$5:$F$57,$B665)))</f>
        <v/>
      </c>
      <c r="M665" s="48">
        <f>IF($B665=1,N(INDEX(Employees!$N$5:$N$29,$A665)),P664)</f>
        <v/>
      </c>
      <c r="N665" s="48">
        <f>IF(INDEX(Employees!$L$5:$L$29,$A665)="",K665,MAX(0,MIN(K665,INDEX(Employees!$L$5:$L$29,$A665)-(M665-L665))))</f>
        <v/>
      </c>
      <c r="O665" s="48">
        <f>K665-N665</f>
        <v/>
      </c>
      <c r="P665" s="48">
        <f>M665-L665+N665</f>
        <v/>
      </c>
      <c r="Q665" s="48">
        <f>IF($G665=0,0,IF(INDEX(Employees!$P$5:$P$29,$A665)="Per pay period",(N(INDEX(Employees!$Q$5:$Q$29,$A665)))/Settings!$B$13,IF(INDEX(Employees!$P$5:$P$29,$A665)="Per hour worked",N(INDEX(Employees!$R$5:$R$29,$A665))*$I665,IF(INDEX(Employees!$P$5:$P$29,$A665)="Front-loaded",IF(OR($B665=1,N($G664)=0),N(INDEX(Employees!$Q$5:$Q$29,$A665)),0),0))))</f>
        <v/>
      </c>
      <c r="R665" s="48">
        <f>IF($F665=0,0,SUMIFS('Time Off Log'!$H$5:$H$504,'Time Off Log'!$A$5:$A$504,$C665,'Time Off Log'!$B$5:$B$504,"Sick",'Time Off Log'!$E$5:$E$504,"Approved",'Time Off Log'!$C$5:$C$504,"&gt;="&amp;INDEX(Periods!$E$5:$E$57,$B665),'Time Off Log'!$C$5:$C$504,"&lt;="&amp;INDEX(Periods!$F$5:$F$57,$B665)))</f>
        <v/>
      </c>
      <c r="S665" s="48">
        <f>IF($B665=1,N(INDEX(Employees!$T$5:$T$29,$A665)),V664)</f>
        <v/>
      </c>
      <c r="T665" s="48">
        <f>IF(INDEX(Employees!$S$5:$S$29,$A665)="",Q665,MAX(0,MIN(Q665,INDEX(Employees!$S$5:$S$29,$A665)-(S665-R665))))</f>
        <v/>
      </c>
      <c r="U665" s="48">
        <f>Q665-T665</f>
        <v/>
      </c>
      <c r="V665" s="48">
        <f>S665-R665+T665</f>
        <v/>
      </c>
    </row>
    <row r="666">
      <c r="A666" s="47" t="n">
        <v>13</v>
      </c>
      <c r="B666" s="47" t="n">
        <v>26</v>
      </c>
      <c r="C666" s="48">
        <f>INDEX(Employees!$B$5:$B$29,$A666)&amp;""</f>
        <v/>
      </c>
      <c r="D666" s="49">
        <f>INDEX(Periods!$B$5:$B$57,$B666)</f>
        <v/>
      </c>
      <c r="E666" s="49">
        <f>INDEX(Periods!$C$5:$C$57,$B666)</f>
        <v/>
      </c>
      <c r="F666" s="47">
        <f>IF(AND($C666&lt;&gt;"",INDEX(Periods!$D$5:$D$57,$B666)=1),1,0)</f>
        <v/>
      </c>
      <c r="G666" s="47">
        <f>IF($F666=0,0,IF(AND(OR(INDEX(Employees!$D$5:$D$29,$A666)="",$E666&gt;=INDEX(Employees!$D$5:$D$29,$A666)+N(INDEX(Employees!$U$5:$U$29,$A666))),OR(INDEX(Employees!$E$5:$E$29,$A666)="",$D666&lt;=INDEX(Employees!$E$5:$E$29,$A666))),1,0))</f>
        <v/>
      </c>
      <c r="H666" s="47">
        <f>IF($G666=0,0,IF(INDEX(Employees!$D$5:$D$29,$A666)="",0,DATEDIF(INDEX(Employees!$D$5:$D$29,$A666),$E666,"y")))</f>
        <v/>
      </c>
      <c r="I666" s="48">
        <f>IF($G666=0,0,IF(INDEX('Hours Worked'!$D$5:$BD$29,$A666,$B666)="",N(INDEX(Employees!$H$5:$H$29,$A666)),INDEX('Hours Worked'!$D$5:$BD$29,$A666,$B666)))</f>
        <v/>
      </c>
      <c r="J666" s="48">
        <f>IF(OR($G666=0,INDEX(Employees!$O$5:$O$29,$A666)&lt;&gt;"Yes"),0,IF(COUNTIF(Settings!$D$4:$D$9,"&lt;="&amp;$H666)=0,0,INDEX(Settings!$E$4:$E$9,COUNTIF(Settings!$D$4:$D$9,"&lt;="&amp;$H666))))</f>
        <v/>
      </c>
      <c r="K666" s="48">
        <f>IF($G666=0,0,IF(INDEX(Employees!$I$5:$I$29,$A666)="Per pay period",(N(INDEX(Employees!$J$5:$J$29,$A666))+$J666)/Settings!$B$13,IF(INDEX(Employees!$I$5:$I$29,$A666)="Per hour worked",N(INDEX(Employees!$K$5:$K$29,$A666))*$I666,IF(INDEX(Employees!$I$5:$I$29,$A666)="Front-loaded",IF(OR($B666=1,N($G665)=0),N(INDEX(Employees!$J$5:$J$29,$A666))+$J666,0),0))))</f>
        <v/>
      </c>
      <c r="L666" s="48">
        <f>IF($F666=0,0,SUMIFS('Time Off Log'!$H$5:$H$504,'Time Off Log'!$A$5:$A$504,$C666,'Time Off Log'!$B$5:$B$504,"PTO",'Time Off Log'!$E$5:$E$504,"Approved",'Time Off Log'!$C$5:$C$504,"&gt;="&amp;INDEX(Periods!$E$5:$E$57,$B666),'Time Off Log'!$C$5:$C$504,"&lt;="&amp;INDEX(Periods!$F$5:$F$57,$B666)))</f>
        <v/>
      </c>
      <c r="M666" s="48">
        <f>IF($B666=1,N(INDEX(Employees!$N$5:$N$29,$A666)),P665)</f>
        <v/>
      </c>
      <c r="N666" s="48">
        <f>IF(INDEX(Employees!$L$5:$L$29,$A666)="",K666,MAX(0,MIN(K666,INDEX(Employees!$L$5:$L$29,$A666)-(M666-L666))))</f>
        <v/>
      </c>
      <c r="O666" s="48">
        <f>K666-N666</f>
        <v/>
      </c>
      <c r="P666" s="48">
        <f>M666-L666+N666</f>
        <v/>
      </c>
      <c r="Q666" s="48">
        <f>IF($G666=0,0,IF(INDEX(Employees!$P$5:$P$29,$A666)="Per pay period",(N(INDEX(Employees!$Q$5:$Q$29,$A666)))/Settings!$B$13,IF(INDEX(Employees!$P$5:$P$29,$A666)="Per hour worked",N(INDEX(Employees!$R$5:$R$29,$A666))*$I666,IF(INDEX(Employees!$P$5:$P$29,$A666)="Front-loaded",IF(OR($B666=1,N($G665)=0),N(INDEX(Employees!$Q$5:$Q$29,$A666)),0),0))))</f>
        <v/>
      </c>
      <c r="R666" s="48">
        <f>IF($F666=0,0,SUMIFS('Time Off Log'!$H$5:$H$504,'Time Off Log'!$A$5:$A$504,$C666,'Time Off Log'!$B$5:$B$504,"Sick",'Time Off Log'!$E$5:$E$504,"Approved",'Time Off Log'!$C$5:$C$504,"&gt;="&amp;INDEX(Periods!$E$5:$E$57,$B666),'Time Off Log'!$C$5:$C$504,"&lt;="&amp;INDEX(Periods!$F$5:$F$57,$B666)))</f>
        <v/>
      </c>
      <c r="S666" s="48">
        <f>IF($B666=1,N(INDEX(Employees!$T$5:$T$29,$A666)),V665)</f>
        <v/>
      </c>
      <c r="T666" s="48">
        <f>IF(INDEX(Employees!$S$5:$S$29,$A666)="",Q666,MAX(0,MIN(Q666,INDEX(Employees!$S$5:$S$29,$A666)-(S666-R666))))</f>
        <v/>
      </c>
      <c r="U666" s="48">
        <f>Q666-T666</f>
        <v/>
      </c>
      <c r="V666" s="48">
        <f>S666-R666+T666</f>
        <v/>
      </c>
    </row>
    <row r="667">
      <c r="A667" s="47" t="n">
        <v>13</v>
      </c>
      <c r="B667" s="47" t="n">
        <v>27</v>
      </c>
      <c r="C667" s="48">
        <f>INDEX(Employees!$B$5:$B$29,$A667)&amp;""</f>
        <v/>
      </c>
      <c r="D667" s="49">
        <f>INDEX(Periods!$B$5:$B$57,$B667)</f>
        <v/>
      </c>
      <c r="E667" s="49">
        <f>INDEX(Periods!$C$5:$C$57,$B667)</f>
        <v/>
      </c>
      <c r="F667" s="47">
        <f>IF(AND($C667&lt;&gt;"",INDEX(Periods!$D$5:$D$57,$B667)=1),1,0)</f>
        <v/>
      </c>
      <c r="G667" s="47">
        <f>IF($F667=0,0,IF(AND(OR(INDEX(Employees!$D$5:$D$29,$A667)="",$E667&gt;=INDEX(Employees!$D$5:$D$29,$A667)+N(INDEX(Employees!$U$5:$U$29,$A667))),OR(INDEX(Employees!$E$5:$E$29,$A667)="",$D667&lt;=INDEX(Employees!$E$5:$E$29,$A667))),1,0))</f>
        <v/>
      </c>
      <c r="H667" s="47">
        <f>IF($G667=0,0,IF(INDEX(Employees!$D$5:$D$29,$A667)="",0,DATEDIF(INDEX(Employees!$D$5:$D$29,$A667),$E667,"y")))</f>
        <v/>
      </c>
      <c r="I667" s="48">
        <f>IF($G667=0,0,IF(INDEX('Hours Worked'!$D$5:$BD$29,$A667,$B667)="",N(INDEX(Employees!$H$5:$H$29,$A667)),INDEX('Hours Worked'!$D$5:$BD$29,$A667,$B667)))</f>
        <v/>
      </c>
      <c r="J667" s="48">
        <f>IF(OR($G667=0,INDEX(Employees!$O$5:$O$29,$A667)&lt;&gt;"Yes"),0,IF(COUNTIF(Settings!$D$4:$D$9,"&lt;="&amp;$H667)=0,0,INDEX(Settings!$E$4:$E$9,COUNTIF(Settings!$D$4:$D$9,"&lt;="&amp;$H667))))</f>
        <v/>
      </c>
      <c r="K667" s="48">
        <f>IF($G667=0,0,IF(INDEX(Employees!$I$5:$I$29,$A667)="Per pay period",(N(INDEX(Employees!$J$5:$J$29,$A667))+$J667)/Settings!$B$13,IF(INDEX(Employees!$I$5:$I$29,$A667)="Per hour worked",N(INDEX(Employees!$K$5:$K$29,$A667))*$I667,IF(INDEX(Employees!$I$5:$I$29,$A667)="Front-loaded",IF(OR($B667=1,N($G666)=0),N(INDEX(Employees!$J$5:$J$29,$A667))+$J667,0),0))))</f>
        <v/>
      </c>
      <c r="L667" s="48">
        <f>IF($F667=0,0,SUMIFS('Time Off Log'!$H$5:$H$504,'Time Off Log'!$A$5:$A$504,$C667,'Time Off Log'!$B$5:$B$504,"PTO",'Time Off Log'!$E$5:$E$504,"Approved",'Time Off Log'!$C$5:$C$504,"&gt;="&amp;INDEX(Periods!$E$5:$E$57,$B667),'Time Off Log'!$C$5:$C$504,"&lt;="&amp;INDEX(Periods!$F$5:$F$57,$B667)))</f>
        <v/>
      </c>
      <c r="M667" s="48">
        <f>IF($B667=1,N(INDEX(Employees!$N$5:$N$29,$A667)),P666)</f>
        <v/>
      </c>
      <c r="N667" s="48">
        <f>IF(INDEX(Employees!$L$5:$L$29,$A667)="",K667,MAX(0,MIN(K667,INDEX(Employees!$L$5:$L$29,$A667)-(M667-L667))))</f>
        <v/>
      </c>
      <c r="O667" s="48">
        <f>K667-N667</f>
        <v/>
      </c>
      <c r="P667" s="48">
        <f>M667-L667+N667</f>
        <v/>
      </c>
      <c r="Q667" s="48">
        <f>IF($G667=0,0,IF(INDEX(Employees!$P$5:$P$29,$A667)="Per pay period",(N(INDEX(Employees!$Q$5:$Q$29,$A667)))/Settings!$B$13,IF(INDEX(Employees!$P$5:$P$29,$A667)="Per hour worked",N(INDEX(Employees!$R$5:$R$29,$A667))*$I667,IF(INDEX(Employees!$P$5:$P$29,$A667)="Front-loaded",IF(OR($B667=1,N($G666)=0),N(INDEX(Employees!$Q$5:$Q$29,$A667)),0),0))))</f>
        <v/>
      </c>
      <c r="R667" s="48">
        <f>IF($F667=0,0,SUMIFS('Time Off Log'!$H$5:$H$504,'Time Off Log'!$A$5:$A$504,$C667,'Time Off Log'!$B$5:$B$504,"Sick",'Time Off Log'!$E$5:$E$504,"Approved",'Time Off Log'!$C$5:$C$504,"&gt;="&amp;INDEX(Periods!$E$5:$E$57,$B667),'Time Off Log'!$C$5:$C$504,"&lt;="&amp;INDEX(Periods!$F$5:$F$57,$B667)))</f>
        <v/>
      </c>
      <c r="S667" s="48">
        <f>IF($B667=1,N(INDEX(Employees!$T$5:$T$29,$A667)),V666)</f>
        <v/>
      </c>
      <c r="T667" s="48">
        <f>IF(INDEX(Employees!$S$5:$S$29,$A667)="",Q667,MAX(0,MIN(Q667,INDEX(Employees!$S$5:$S$29,$A667)-(S667-R667))))</f>
        <v/>
      </c>
      <c r="U667" s="48">
        <f>Q667-T667</f>
        <v/>
      </c>
      <c r="V667" s="48">
        <f>S667-R667+T667</f>
        <v/>
      </c>
    </row>
    <row r="668">
      <c r="A668" s="47" t="n">
        <v>13</v>
      </c>
      <c r="B668" s="47" t="n">
        <v>28</v>
      </c>
      <c r="C668" s="48">
        <f>INDEX(Employees!$B$5:$B$29,$A668)&amp;""</f>
        <v/>
      </c>
      <c r="D668" s="49">
        <f>INDEX(Periods!$B$5:$B$57,$B668)</f>
        <v/>
      </c>
      <c r="E668" s="49">
        <f>INDEX(Periods!$C$5:$C$57,$B668)</f>
        <v/>
      </c>
      <c r="F668" s="47">
        <f>IF(AND($C668&lt;&gt;"",INDEX(Periods!$D$5:$D$57,$B668)=1),1,0)</f>
        <v/>
      </c>
      <c r="G668" s="47">
        <f>IF($F668=0,0,IF(AND(OR(INDEX(Employees!$D$5:$D$29,$A668)="",$E668&gt;=INDEX(Employees!$D$5:$D$29,$A668)+N(INDEX(Employees!$U$5:$U$29,$A668))),OR(INDEX(Employees!$E$5:$E$29,$A668)="",$D668&lt;=INDEX(Employees!$E$5:$E$29,$A668))),1,0))</f>
        <v/>
      </c>
      <c r="H668" s="47">
        <f>IF($G668=0,0,IF(INDEX(Employees!$D$5:$D$29,$A668)="",0,DATEDIF(INDEX(Employees!$D$5:$D$29,$A668),$E668,"y")))</f>
        <v/>
      </c>
      <c r="I668" s="48">
        <f>IF($G668=0,0,IF(INDEX('Hours Worked'!$D$5:$BD$29,$A668,$B668)="",N(INDEX(Employees!$H$5:$H$29,$A668)),INDEX('Hours Worked'!$D$5:$BD$29,$A668,$B668)))</f>
        <v/>
      </c>
      <c r="J668" s="48">
        <f>IF(OR($G668=0,INDEX(Employees!$O$5:$O$29,$A668)&lt;&gt;"Yes"),0,IF(COUNTIF(Settings!$D$4:$D$9,"&lt;="&amp;$H668)=0,0,INDEX(Settings!$E$4:$E$9,COUNTIF(Settings!$D$4:$D$9,"&lt;="&amp;$H668))))</f>
        <v/>
      </c>
      <c r="K668" s="48">
        <f>IF($G668=0,0,IF(INDEX(Employees!$I$5:$I$29,$A668)="Per pay period",(N(INDEX(Employees!$J$5:$J$29,$A668))+$J668)/Settings!$B$13,IF(INDEX(Employees!$I$5:$I$29,$A668)="Per hour worked",N(INDEX(Employees!$K$5:$K$29,$A668))*$I668,IF(INDEX(Employees!$I$5:$I$29,$A668)="Front-loaded",IF(OR($B668=1,N($G667)=0),N(INDEX(Employees!$J$5:$J$29,$A668))+$J668,0),0))))</f>
        <v/>
      </c>
      <c r="L668" s="48">
        <f>IF($F668=0,0,SUMIFS('Time Off Log'!$H$5:$H$504,'Time Off Log'!$A$5:$A$504,$C668,'Time Off Log'!$B$5:$B$504,"PTO",'Time Off Log'!$E$5:$E$504,"Approved",'Time Off Log'!$C$5:$C$504,"&gt;="&amp;INDEX(Periods!$E$5:$E$57,$B668),'Time Off Log'!$C$5:$C$504,"&lt;="&amp;INDEX(Periods!$F$5:$F$57,$B668)))</f>
        <v/>
      </c>
      <c r="M668" s="48">
        <f>IF($B668=1,N(INDEX(Employees!$N$5:$N$29,$A668)),P667)</f>
        <v/>
      </c>
      <c r="N668" s="48">
        <f>IF(INDEX(Employees!$L$5:$L$29,$A668)="",K668,MAX(0,MIN(K668,INDEX(Employees!$L$5:$L$29,$A668)-(M668-L668))))</f>
        <v/>
      </c>
      <c r="O668" s="48">
        <f>K668-N668</f>
        <v/>
      </c>
      <c r="P668" s="48">
        <f>M668-L668+N668</f>
        <v/>
      </c>
      <c r="Q668" s="48">
        <f>IF($G668=0,0,IF(INDEX(Employees!$P$5:$P$29,$A668)="Per pay period",(N(INDEX(Employees!$Q$5:$Q$29,$A668)))/Settings!$B$13,IF(INDEX(Employees!$P$5:$P$29,$A668)="Per hour worked",N(INDEX(Employees!$R$5:$R$29,$A668))*$I668,IF(INDEX(Employees!$P$5:$P$29,$A668)="Front-loaded",IF(OR($B668=1,N($G667)=0),N(INDEX(Employees!$Q$5:$Q$29,$A668)),0),0))))</f>
        <v/>
      </c>
      <c r="R668" s="48">
        <f>IF($F668=0,0,SUMIFS('Time Off Log'!$H$5:$H$504,'Time Off Log'!$A$5:$A$504,$C668,'Time Off Log'!$B$5:$B$504,"Sick",'Time Off Log'!$E$5:$E$504,"Approved",'Time Off Log'!$C$5:$C$504,"&gt;="&amp;INDEX(Periods!$E$5:$E$57,$B668),'Time Off Log'!$C$5:$C$504,"&lt;="&amp;INDEX(Periods!$F$5:$F$57,$B668)))</f>
        <v/>
      </c>
      <c r="S668" s="48">
        <f>IF($B668=1,N(INDEX(Employees!$T$5:$T$29,$A668)),V667)</f>
        <v/>
      </c>
      <c r="T668" s="48">
        <f>IF(INDEX(Employees!$S$5:$S$29,$A668)="",Q668,MAX(0,MIN(Q668,INDEX(Employees!$S$5:$S$29,$A668)-(S668-R668))))</f>
        <v/>
      </c>
      <c r="U668" s="48">
        <f>Q668-T668</f>
        <v/>
      </c>
      <c r="V668" s="48">
        <f>S668-R668+T668</f>
        <v/>
      </c>
    </row>
    <row r="669">
      <c r="A669" s="47" t="n">
        <v>13</v>
      </c>
      <c r="B669" s="47" t="n">
        <v>29</v>
      </c>
      <c r="C669" s="48">
        <f>INDEX(Employees!$B$5:$B$29,$A669)&amp;""</f>
        <v/>
      </c>
      <c r="D669" s="49">
        <f>INDEX(Periods!$B$5:$B$57,$B669)</f>
        <v/>
      </c>
      <c r="E669" s="49">
        <f>INDEX(Periods!$C$5:$C$57,$B669)</f>
        <v/>
      </c>
      <c r="F669" s="47">
        <f>IF(AND($C669&lt;&gt;"",INDEX(Periods!$D$5:$D$57,$B669)=1),1,0)</f>
        <v/>
      </c>
      <c r="G669" s="47">
        <f>IF($F669=0,0,IF(AND(OR(INDEX(Employees!$D$5:$D$29,$A669)="",$E669&gt;=INDEX(Employees!$D$5:$D$29,$A669)+N(INDEX(Employees!$U$5:$U$29,$A669))),OR(INDEX(Employees!$E$5:$E$29,$A669)="",$D669&lt;=INDEX(Employees!$E$5:$E$29,$A669))),1,0))</f>
        <v/>
      </c>
      <c r="H669" s="47">
        <f>IF($G669=0,0,IF(INDEX(Employees!$D$5:$D$29,$A669)="",0,DATEDIF(INDEX(Employees!$D$5:$D$29,$A669),$E669,"y")))</f>
        <v/>
      </c>
      <c r="I669" s="48">
        <f>IF($G669=0,0,IF(INDEX('Hours Worked'!$D$5:$BD$29,$A669,$B669)="",N(INDEX(Employees!$H$5:$H$29,$A669)),INDEX('Hours Worked'!$D$5:$BD$29,$A669,$B669)))</f>
        <v/>
      </c>
      <c r="J669" s="48">
        <f>IF(OR($G669=0,INDEX(Employees!$O$5:$O$29,$A669)&lt;&gt;"Yes"),0,IF(COUNTIF(Settings!$D$4:$D$9,"&lt;="&amp;$H669)=0,0,INDEX(Settings!$E$4:$E$9,COUNTIF(Settings!$D$4:$D$9,"&lt;="&amp;$H669))))</f>
        <v/>
      </c>
      <c r="K669" s="48">
        <f>IF($G669=0,0,IF(INDEX(Employees!$I$5:$I$29,$A669)="Per pay period",(N(INDEX(Employees!$J$5:$J$29,$A669))+$J669)/Settings!$B$13,IF(INDEX(Employees!$I$5:$I$29,$A669)="Per hour worked",N(INDEX(Employees!$K$5:$K$29,$A669))*$I669,IF(INDEX(Employees!$I$5:$I$29,$A669)="Front-loaded",IF(OR($B669=1,N($G668)=0),N(INDEX(Employees!$J$5:$J$29,$A669))+$J669,0),0))))</f>
        <v/>
      </c>
      <c r="L669" s="48">
        <f>IF($F669=0,0,SUMIFS('Time Off Log'!$H$5:$H$504,'Time Off Log'!$A$5:$A$504,$C669,'Time Off Log'!$B$5:$B$504,"PTO",'Time Off Log'!$E$5:$E$504,"Approved",'Time Off Log'!$C$5:$C$504,"&gt;="&amp;INDEX(Periods!$E$5:$E$57,$B669),'Time Off Log'!$C$5:$C$504,"&lt;="&amp;INDEX(Periods!$F$5:$F$57,$B669)))</f>
        <v/>
      </c>
      <c r="M669" s="48">
        <f>IF($B669=1,N(INDEX(Employees!$N$5:$N$29,$A669)),P668)</f>
        <v/>
      </c>
      <c r="N669" s="48">
        <f>IF(INDEX(Employees!$L$5:$L$29,$A669)="",K669,MAX(0,MIN(K669,INDEX(Employees!$L$5:$L$29,$A669)-(M669-L669))))</f>
        <v/>
      </c>
      <c r="O669" s="48">
        <f>K669-N669</f>
        <v/>
      </c>
      <c r="P669" s="48">
        <f>M669-L669+N669</f>
        <v/>
      </c>
      <c r="Q669" s="48">
        <f>IF($G669=0,0,IF(INDEX(Employees!$P$5:$P$29,$A669)="Per pay period",(N(INDEX(Employees!$Q$5:$Q$29,$A669)))/Settings!$B$13,IF(INDEX(Employees!$P$5:$P$29,$A669)="Per hour worked",N(INDEX(Employees!$R$5:$R$29,$A669))*$I669,IF(INDEX(Employees!$P$5:$P$29,$A669)="Front-loaded",IF(OR($B669=1,N($G668)=0),N(INDEX(Employees!$Q$5:$Q$29,$A669)),0),0))))</f>
        <v/>
      </c>
      <c r="R669" s="48">
        <f>IF($F669=0,0,SUMIFS('Time Off Log'!$H$5:$H$504,'Time Off Log'!$A$5:$A$504,$C669,'Time Off Log'!$B$5:$B$504,"Sick",'Time Off Log'!$E$5:$E$504,"Approved",'Time Off Log'!$C$5:$C$504,"&gt;="&amp;INDEX(Periods!$E$5:$E$57,$B669),'Time Off Log'!$C$5:$C$504,"&lt;="&amp;INDEX(Periods!$F$5:$F$57,$B669)))</f>
        <v/>
      </c>
      <c r="S669" s="48">
        <f>IF($B669=1,N(INDEX(Employees!$T$5:$T$29,$A669)),V668)</f>
        <v/>
      </c>
      <c r="T669" s="48">
        <f>IF(INDEX(Employees!$S$5:$S$29,$A669)="",Q669,MAX(0,MIN(Q669,INDEX(Employees!$S$5:$S$29,$A669)-(S669-R669))))</f>
        <v/>
      </c>
      <c r="U669" s="48">
        <f>Q669-T669</f>
        <v/>
      </c>
      <c r="V669" s="48">
        <f>S669-R669+T669</f>
        <v/>
      </c>
    </row>
    <row r="670">
      <c r="A670" s="47" t="n">
        <v>13</v>
      </c>
      <c r="B670" s="47" t="n">
        <v>30</v>
      </c>
      <c r="C670" s="48">
        <f>INDEX(Employees!$B$5:$B$29,$A670)&amp;""</f>
        <v/>
      </c>
      <c r="D670" s="49">
        <f>INDEX(Periods!$B$5:$B$57,$B670)</f>
        <v/>
      </c>
      <c r="E670" s="49">
        <f>INDEX(Periods!$C$5:$C$57,$B670)</f>
        <v/>
      </c>
      <c r="F670" s="47">
        <f>IF(AND($C670&lt;&gt;"",INDEX(Periods!$D$5:$D$57,$B670)=1),1,0)</f>
        <v/>
      </c>
      <c r="G670" s="47">
        <f>IF($F670=0,0,IF(AND(OR(INDEX(Employees!$D$5:$D$29,$A670)="",$E670&gt;=INDEX(Employees!$D$5:$D$29,$A670)+N(INDEX(Employees!$U$5:$U$29,$A670))),OR(INDEX(Employees!$E$5:$E$29,$A670)="",$D670&lt;=INDEX(Employees!$E$5:$E$29,$A670))),1,0))</f>
        <v/>
      </c>
      <c r="H670" s="47">
        <f>IF($G670=0,0,IF(INDEX(Employees!$D$5:$D$29,$A670)="",0,DATEDIF(INDEX(Employees!$D$5:$D$29,$A670),$E670,"y")))</f>
        <v/>
      </c>
      <c r="I670" s="48">
        <f>IF($G670=0,0,IF(INDEX('Hours Worked'!$D$5:$BD$29,$A670,$B670)="",N(INDEX(Employees!$H$5:$H$29,$A670)),INDEX('Hours Worked'!$D$5:$BD$29,$A670,$B670)))</f>
        <v/>
      </c>
      <c r="J670" s="48">
        <f>IF(OR($G670=0,INDEX(Employees!$O$5:$O$29,$A670)&lt;&gt;"Yes"),0,IF(COUNTIF(Settings!$D$4:$D$9,"&lt;="&amp;$H670)=0,0,INDEX(Settings!$E$4:$E$9,COUNTIF(Settings!$D$4:$D$9,"&lt;="&amp;$H670))))</f>
        <v/>
      </c>
      <c r="K670" s="48">
        <f>IF($G670=0,0,IF(INDEX(Employees!$I$5:$I$29,$A670)="Per pay period",(N(INDEX(Employees!$J$5:$J$29,$A670))+$J670)/Settings!$B$13,IF(INDEX(Employees!$I$5:$I$29,$A670)="Per hour worked",N(INDEX(Employees!$K$5:$K$29,$A670))*$I670,IF(INDEX(Employees!$I$5:$I$29,$A670)="Front-loaded",IF(OR($B670=1,N($G669)=0),N(INDEX(Employees!$J$5:$J$29,$A670))+$J670,0),0))))</f>
        <v/>
      </c>
      <c r="L670" s="48">
        <f>IF($F670=0,0,SUMIFS('Time Off Log'!$H$5:$H$504,'Time Off Log'!$A$5:$A$504,$C670,'Time Off Log'!$B$5:$B$504,"PTO",'Time Off Log'!$E$5:$E$504,"Approved",'Time Off Log'!$C$5:$C$504,"&gt;="&amp;INDEX(Periods!$E$5:$E$57,$B670),'Time Off Log'!$C$5:$C$504,"&lt;="&amp;INDEX(Periods!$F$5:$F$57,$B670)))</f>
        <v/>
      </c>
      <c r="M670" s="48">
        <f>IF($B670=1,N(INDEX(Employees!$N$5:$N$29,$A670)),P669)</f>
        <v/>
      </c>
      <c r="N670" s="48">
        <f>IF(INDEX(Employees!$L$5:$L$29,$A670)="",K670,MAX(0,MIN(K670,INDEX(Employees!$L$5:$L$29,$A670)-(M670-L670))))</f>
        <v/>
      </c>
      <c r="O670" s="48">
        <f>K670-N670</f>
        <v/>
      </c>
      <c r="P670" s="48">
        <f>M670-L670+N670</f>
        <v/>
      </c>
      <c r="Q670" s="48">
        <f>IF($G670=0,0,IF(INDEX(Employees!$P$5:$P$29,$A670)="Per pay period",(N(INDEX(Employees!$Q$5:$Q$29,$A670)))/Settings!$B$13,IF(INDEX(Employees!$P$5:$P$29,$A670)="Per hour worked",N(INDEX(Employees!$R$5:$R$29,$A670))*$I670,IF(INDEX(Employees!$P$5:$P$29,$A670)="Front-loaded",IF(OR($B670=1,N($G669)=0),N(INDEX(Employees!$Q$5:$Q$29,$A670)),0),0))))</f>
        <v/>
      </c>
      <c r="R670" s="48">
        <f>IF($F670=0,0,SUMIFS('Time Off Log'!$H$5:$H$504,'Time Off Log'!$A$5:$A$504,$C670,'Time Off Log'!$B$5:$B$504,"Sick",'Time Off Log'!$E$5:$E$504,"Approved",'Time Off Log'!$C$5:$C$504,"&gt;="&amp;INDEX(Periods!$E$5:$E$57,$B670),'Time Off Log'!$C$5:$C$504,"&lt;="&amp;INDEX(Periods!$F$5:$F$57,$B670)))</f>
        <v/>
      </c>
      <c r="S670" s="48">
        <f>IF($B670=1,N(INDEX(Employees!$T$5:$T$29,$A670)),V669)</f>
        <v/>
      </c>
      <c r="T670" s="48">
        <f>IF(INDEX(Employees!$S$5:$S$29,$A670)="",Q670,MAX(0,MIN(Q670,INDEX(Employees!$S$5:$S$29,$A670)-(S670-R670))))</f>
        <v/>
      </c>
      <c r="U670" s="48">
        <f>Q670-T670</f>
        <v/>
      </c>
      <c r="V670" s="48">
        <f>S670-R670+T670</f>
        <v/>
      </c>
    </row>
    <row r="671">
      <c r="A671" s="47" t="n">
        <v>13</v>
      </c>
      <c r="B671" s="47" t="n">
        <v>31</v>
      </c>
      <c r="C671" s="48">
        <f>INDEX(Employees!$B$5:$B$29,$A671)&amp;""</f>
        <v/>
      </c>
      <c r="D671" s="49">
        <f>INDEX(Periods!$B$5:$B$57,$B671)</f>
        <v/>
      </c>
      <c r="E671" s="49">
        <f>INDEX(Periods!$C$5:$C$57,$B671)</f>
        <v/>
      </c>
      <c r="F671" s="47">
        <f>IF(AND($C671&lt;&gt;"",INDEX(Periods!$D$5:$D$57,$B671)=1),1,0)</f>
        <v/>
      </c>
      <c r="G671" s="47">
        <f>IF($F671=0,0,IF(AND(OR(INDEX(Employees!$D$5:$D$29,$A671)="",$E671&gt;=INDEX(Employees!$D$5:$D$29,$A671)+N(INDEX(Employees!$U$5:$U$29,$A671))),OR(INDEX(Employees!$E$5:$E$29,$A671)="",$D671&lt;=INDEX(Employees!$E$5:$E$29,$A671))),1,0))</f>
        <v/>
      </c>
      <c r="H671" s="47">
        <f>IF($G671=0,0,IF(INDEX(Employees!$D$5:$D$29,$A671)="",0,DATEDIF(INDEX(Employees!$D$5:$D$29,$A671),$E671,"y")))</f>
        <v/>
      </c>
      <c r="I671" s="48">
        <f>IF($G671=0,0,IF(INDEX('Hours Worked'!$D$5:$BD$29,$A671,$B671)="",N(INDEX(Employees!$H$5:$H$29,$A671)),INDEX('Hours Worked'!$D$5:$BD$29,$A671,$B671)))</f>
        <v/>
      </c>
      <c r="J671" s="48">
        <f>IF(OR($G671=0,INDEX(Employees!$O$5:$O$29,$A671)&lt;&gt;"Yes"),0,IF(COUNTIF(Settings!$D$4:$D$9,"&lt;="&amp;$H671)=0,0,INDEX(Settings!$E$4:$E$9,COUNTIF(Settings!$D$4:$D$9,"&lt;="&amp;$H671))))</f>
        <v/>
      </c>
      <c r="K671" s="48">
        <f>IF($G671=0,0,IF(INDEX(Employees!$I$5:$I$29,$A671)="Per pay period",(N(INDEX(Employees!$J$5:$J$29,$A671))+$J671)/Settings!$B$13,IF(INDEX(Employees!$I$5:$I$29,$A671)="Per hour worked",N(INDEX(Employees!$K$5:$K$29,$A671))*$I671,IF(INDEX(Employees!$I$5:$I$29,$A671)="Front-loaded",IF(OR($B671=1,N($G670)=0),N(INDEX(Employees!$J$5:$J$29,$A671))+$J671,0),0))))</f>
        <v/>
      </c>
      <c r="L671" s="48">
        <f>IF($F671=0,0,SUMIFS('Time Off Log'!$H$5:$H$504,'Time Off Log'!$A$5:$A$504,$C671,'Time Off Log'!$B$5:$B$504,"PTO",'Time Off Log'!$E$5:$E$504,"Approved",'Time Off Log'!$C$5:$C$504,"&gt;="&amp;INDEX(Periods!$E$5:$E$57,$B671),'Time Off Log'!$C$5:$C$504,"&lt;="&amp;INDEX(Periods!$F$5:$F$57,$B671)))</f>
        <v/>
      </c>
      <c r="M671" s="48">
        <f>IF($B671=1,N(INDEX(Employees!$N$5:$N$29,$A671)),P670)</f>
        <v/>
      </c>
      <c r="N671" s="48">
        <f>IF(INDEX(Employees!$L$5:$L$29,$A671)="",K671,MAX(0,MIN(K671,INDEX(Employees!$L$5:$L$29,$A671)-(M671-L671))))</f>
        <v/>
      </c>
      <c r="O671" s="48">
        <f>K671-N671</f>
        <v/>
      </c>
      <c r="P671" s="48">
        <f>M671-L671+N671</f>
        <v/>
      </c>
      <c r="Q671" s="48">
        <f>IF($G671=0,0,IF(INDEX(Employees!$P$5:$P$29,$A671)="Per pay period",(N(INDEX(Employees!$Q$5:$Q$29,$A671)))/Settings!$B$13,IF(INDEX(Employees!$P$5:$P$29,$A671)="Per hour worked",N(INDEX(Employees!$R$5:$R$29,$A671))*$I671,IF(INDEX(Employees!$P$5:$P$29,$A671)="Front-loaded",IF(OR($B671=1,N($G670)=0),N(INDEX(Employees!$Q$5:$Q$29,$A671)),0),0))))</f>
        <v/>
      </c>
      <c r="R671" s="48">
        <f>IF($F671=0,0,SUMIFS('Time Off Log'!$H$5:$H$504,'Time Off Log'!$A$5:$A$504,$C671,'Time Off Log'!$B$5:$B$504,"Sick",'Time Off Log'!$E$5:$E$504,"Approved",'Time Off Log'!$C$5:$C$504,"&gt;="&amp;INDEX(Periods!$E$5:$E$57,$B671),'Time Off Log'!$C$5:$C$504,"&lt;="&amp;INDEX(Periods!$F$5:$F$57,$B671)))</f>
        <v/>
      </c>
      <c r="S671" s="48">
        <f>IF($B671=1,N(INDEX(Employees!$T$5:$T$29,$A671)),V670)</f>
        <v/>
      </c>
      <c r="T671" s="48">
        <f>IF(INDEX(Employees!$S$5:$S$29,$A671)="",Q671,MAX(0,MIN(Q671,INDEX(Employees!$S$5:$S$29,$A671)-(S671-R671))))</f>
        <v/>
      </c>
      <c r="U671" s="48">
        <f>Q671-T671</f>
        <v/>
      </c>
      <c r="V671" s="48">
        <f>S671-R671+T671</f>
        <v/>
      </c>
    </row>
    <row r="672">
      <c r="A672" s="47" t="n">
        <v>13</v>
      </c>
      <c r="B672" s="47" t="n">
        <v>32</v>
      </c>
      <c r="C672" s="48">
        <f>INDEX(Employees!$B$5:$B$29,$A672)&amp;""</f>
        <v/>
      </c>
      <c r="D672" s="49">
        <f>INDEX(Periods!$B$5:$B$57,$B672)</f>
        <v/>
      </c>
      <c r="E672" s="49">
        <f>INDEX(Periods!$C$5:$C$57,$B672)</f>
        <v/>
      </c>
      <c r="F672" s="47">
        <f>IF(AND($C672&lt;&gt;"",INDEX(Periods!$D$5:$D$57,$B672)=1),1,0)</f>
        <v/>
      </c>
      <c r="G672" s="47">
        <f>IF($F672=0,0,IF(AND(OR(INDEX(Employees!$D$5:$D$29,$A672)="",$E672&gt;=INDEX(Employees!$D$5:$D$29,$A672)+N(INDEX(Employees!$U$5:$U$29,$A672))),OR(INDEX(Employees!$E$5:$E$29,$A672)="",$D672&lt;=INDEX(Employees!$E$5:$E$29,$A672))),1,0))</f>
        <v/>
      </c>
      <c r="H672" s="47">
        <f>IF($G672=0,0,IF(INDEX(Employees!$D$5:$D$29,$A672)="",0,DATEDIF(INDEX(Employees!$D$5:$D$29,$A672),$E672,"y")))</f>
        <v/>
      </c>
      <c r="I672" s="48">
        <f>IF($G672=0,0,IF(INDEX('Hours Worked'!$D$5:$BD$29,$A672,$B672)="",N(INDEX(Employees!$H$5:$H$29,$A672)),INDEX('Hours Worked'!$D$5:$BD$29,$A672,$B672)))</f>
        <v/>
      </c>
      <c r="J672" s="48">
        <f>IF(OR($G672=0,INDEX(Employees!$O$5:$O$29,$A672)&lt;&gt;"Yes"),0,IF(COUNTIF(Settings!$D$4:$D$9,"&lt;="&amp;$H672)=0,0,INDEX(Settings!$E$4:$E$9,COUNTIF(Settings!$D$4:$D$9,"&lt;="&amp;$H672))))</f>
        <v/>
      </c>
      <c r="K672" s="48">
        <f>IF($G672=0,0,IF(INDEX(Employees!$I$5:$I$29,$A672)="Per pay period",(N(INDEX(Employees!$J$5:$J$29,$A672))+$J672)/Settings!$B$13,IF(INDEX(Employees!$I$5:$I$29,$A672)="Per hour worked",N(INDEX(Employees!$K$5:$K$29,$A672))*$I672,IF(INDEX(Employees!$I$5:$I$29,$A672)="Front-loaded",IF(OR($B672=1,N($G671)=0),N(INDEX(Employees!$J$5:$J$29,$A672))+$J672,0),0))))</f>
        <v/>
      </c>
      <c r="L672" s="48">
        <f>IF($F672=0,0,SUMIFS('Time Off Log'!$H$5:$H$504,'Time Off Log'!$A$5:$A$504,$C672,'Time Off Log'!$B$5:$B$504,"PTO",'Time Off Log'!$E$5:$E$504,"Approved",'Time Off Log'!$C$5:$C$504,"&gt;="&amp;INDEX(Periods!$E$5:$E$57,$B672),'Time Off Log'!$C$5:$C$504,"&lt;="&amp;INDEX(Periods!$F$5:$F$57,$B672)))</f>
        <v/>
      </c>
      <c r="M672" s="48">
        <f>IF($B672=1,N(INDEX(Employees!$N$5:$N$29,$A672)),P671)</f>
        <v/>
      </c>
      <c r="N672" s="48">
        <f>IF(INDEX(Employees!$L$5:$L$29,$A672)="",K672,MAX(0,MIN(K672,INDEX(Employees!$L$5:$L$29,$A672)-(M672-L672))))</f>
        <v/>
      </c>
      <c r="O672" s="48">
        <f>K672-N672</f>
        <v/>
      </c>
      <c r="P672" s="48">
        <f>M672-L672+N672</f>
        <v/>
      </c>
      <c r="Q672" s="48">
        <f>IF($G672=0,0,IF(INDEX(Employees!$P$5:$P$29,$A672)="Per pay period",(N(INDEX(Employees!$Q$5:$Q$29,$A672)))/Settings!$B$13,IF(INDEX(Employees!$P$5:$P$29,$A672)="Per hour worked",N(INDEX(Employees!$R$5:$R$29,$A672))*$I672,IF(INDEX(Employees!$P$5:$P$29,$A672)="Front-loaded",IF(OR($B672=1,N($G671)=0),N(INDEX(Employees!$Q$5:$Q$29,$A672)),0),0))))</f>
        <v/>
      </c>
      <c r="R672" s="48">
        <f>IF($F672=0,0,SUMIFS('Time Off Log'!$H$5:$H$504,'Time Off Log'!$A$5:$A$504,$C672,'Time Off Log'!$B$5:$B$504,"Sick",'Time Off Log'!$E$5:$E$504,"Approved",'Time Off Log'!$C$5:$C$504,"&gt;="&amp;INDEX(Periods!$E$5:$E$57,$B672),'Time Off Log'!$C$5:$C$504,"&lt;="&amp;INDEX(Periods!$F$5:$F$57,$B672)))</f>
        <v/>
      </c>
      <c r="S672" s="48">
        <f>IF($B672=1,N(INDEX(Employees!$T$5:$T$29,$A672)),V671)</f>
        <v/>
      </c>
      <c r="T672" s="48">
        <f>IF(INDEX(Employees!$S$5:$S$29,$A672)="",Q672,MAX(0,MIN(Q672,INDEX(Employees!$S$5:$S$29,$A672)-(S672-R672))))</f>
        <v/>
      </c>
      <c r="U672" s="48">
        <f>Q672-T672</f>
        <v/>
      </c>
      <c r="V672" s="48">
        <f>S672-R672+T672</f>
        <v/>
      </c>
    </row>
    <row r="673">
      <c r="A673" s="47" t="n">
        <v>13</v>
      </c>
      <c r="B673" s="47" t="n">
        <v>33</v>
      </c>
      <c r="C673" s="48">
        <f>INDEX(Employees!$B$5:$B$29,$A673)&amp;""</f>
        <v/>
      </c>
      <c r="D673" s="49">
        <f>INDEX(Periods!$B$5:$B$57,$B673)</f>
        <v/>
      </c>
      <c r="E673" s="49">
        <f>INDEX(Periods!$C$5:$C$57,$B673)</f>
        <v/>
      </c>
      <c r="F673" s="47">
        <f>IF(AND($C673&lt;&gt;"",INDEX(Periods!$D$5:$D$57,$B673)=1),1,0)</f>
        <v/>
      </c>
      <c r="G673" s="47">
        <f>IF($F673=0,0,IF(AND(OR(INDEX(Employees!$D$5:$D$29,$A673)="",$E673&gt;=INDEX(Employees!$D$5:$D$29,$A673)+N(INDEX(Employees!$U$5:$U$29,$A673))),OR(INDEX(Employees!$E$5:$E$29,$A673)="",$D673&lt;=INDEX(Employees!$E$5:$E$29,$A673))),1,0))</f>
        <v/>
      </c>
      <c r="H673" s="47">
        <f>IF($G673=0,0,IF(INDEX(Employees!$D$5:$D$29,$A673)="",0,DATEDIF(INDEX(Employees!$D$5:$D$29,$A673),$E673,"y")))</f>
        <v/>
      </c>
      <c r="I673" s="48">
        <f>IF($G673=0,0,IF(INDEX('Hours Worked'!$D$5:$BD$29,$A673,$B673)="",N(INDEX(Employees!$H$5:$H$29,$A673)),INDEX('Hours Worked'!$D$5:$BD$29,$A673,$B673)))</f>
        <v/>
      </c>
      <c r="J673" s="48">
        <f>IF(OR($G673=0,INDEX(Employees!$O$5:$O$29,$A673)&lt;&gt;"Yes"),0,IF(COUNTIF(Settings!$D$4:$D$9,"&lt;="&amp;$H673)=0,0,INDEX(Settings!$E$4:$E$9,COUNTIF(Settings!$D$4:$D$9,"&lt;="&amp;$H673))))</f>
        <v/>
      </c>
      <c r="K673" s="48">
        <f>IF($G673=0,0,IF(INDEX(Employees!$I$5:$I$29,$A673)="Per pay period",(N(INDEX(Employees!$J$5:$J$29,$A673))+$J673)/Settings!$B$13,IF(INDEX(Employees!$I$5:$I$29,$A673)="Per hour worked",N(INDEX(Employees!$K$5:$K$29,$A673))*$I673,IF(INDEX(Employees!$I$5:$I$29,$A673)="Front-loaded",IF(OR($B673=1,N($G672)=0),N(INDEX(Employees!$J$5:$J$29,$A673))+$J673,0),0))))</f>
        <v/>
      </c>
      <c r="L673" s="48">
        <f>IF($F673=0,0,SUMIFS('Time Off Log'!$H$5:$H$504,'Time Off Log'!$A$5:$A$504,$C673,'Time Off Log'!$B$5:$B$504,"PTO",'Time Off Log'!$E$5:$E$504,"Approved",'Time Off Log'!$C$5:$C$504,"&gt;="&amp;INDEX(Periods!$E$5:$E$57,$B673),'Time Off Log'!$C$5:$C$504,"&lt;="&amp;INDEX(Periods!$F$5:$F$57,$B673)))</f>
        <v/>
      </c>
      <c r="M673" s="48">
        <f>IF($B673=1,N(INDEX(Employees!$N$5:$N$29,$A673)),P672)</f>
        <v/>
      </c>
      <c r="N673" s="48">
        <f>IF(INDEX(Employees!$L$5:$L$29,$A673)="",K673,MAX(0,MIN(K673,INDEX(Employees!$L$5:$L$29,$A673)-(M673-L673))))</f>
        <v/>
      </c>
      <c r="O673" s="48">
        <f>K673-N673</f>
        <v/>
      </c>
      <c r="P673" s="48">
        <f>M673-L673+N673</f>
        <v/>
      </c>
      <c r="Q673" s="48">
        <f>IF($G673=0,0,IF(INDEX(Employees!$P$5:$P$29,$A673)="Per pay period",(N(INDEX(Employees!$Q$5:$Q$29,$A673)))/Settings!$B$13,IF(INDEX(Employees!$P$5:$P$29,$A673)="Per hour worked",N(INDEX(Employees!$R$5:$R$29,$A673))*$I673,IF(INDEX(Employees!$P$5:$P$29,$A673)="Front-loaded",IF(OR($B673=1,N($G672)=0),N(INDEX(Employees!$Q$5:$Q$29,$A673)),0),0))))</f>
        <v/>
      </c>
      <c r="R673" s="48">
        <f>IF($F673=0,0,SUMIFS('Time Off Log'!$H$5:$H$504,'Time Off Log'!$A$5:$A$504,$C673,'Time Off Log'!$B$5:$B$504,"Sick",'Time Off Log'!$E$5:$E$504,"Approved",'Time Off Log'!$C$5:$C$504,"&gt;="&amp;INDEX(Periods!$E$5:$E$57,$B673),'Time Off Log'!$C$5:$C$504,"&lt;="&amp;INDEX(Periods!$F$5:$F$57,$B673)))</f>
        <v/>
      </c>
      <c r="S673" s="48">
        <f>IF($B673=1,N(INDEX(Employees!$T$5:$T$29,$A673)),V672)</f>
        <v/>
      </c>
      <c r="T673" s="48">
        <f>IF(INDEX(Employees!$S$5:$S$29,$A673)="",Q673,MAX(0,MIN(Q673,INDEX(Employees!$S$5:$S$29,$A673)-(S673-R673))))</f>
        <v/>
      </c>
      <c r="U673" s="48">
        <f>Q673-T673</f>
        <v/>
      </c>
      <c r="V673" s="48">
        <f>S673-R673+T673</f>
        <v/>
      </c>
    </row>
    <row r="674">
      <c r="A674" s="47" t="n">
        <v>13</v>
      </c>
      <c r="B674" s="47" t="n">
        <v>34</v>
      </c>
      <c r="C674" s="48">
        <f>INDEX(Employees!$B$5:$B$29,$A674)&amp;""</f>
        <v/>
      </c>
      <c r="D674" s="49">
        <f>INDEX(Periods!$B$5:$B$57,$B674)</f>
        <v/>
      </c>
      <c r="E674" s="49">
        <f>INDEX(Periods!$C$5:$C$57,$B674)</f>
        <v/>
      </c>
      <c r="F674" s="47">
        <f>IF(AND($C674&lt;&gt;"",INDEX(Periods!$D$5:$D$57,$B674)=1),1,0)</f>
        <v/>
      </c>
      <c r="G674" s="47">
        <f>IF($F674=0,0,IF(AND(OR(INDEX(Employees!$D$5:$D$29,$A674)="",$E674&gt;=INDEX(Employees!$D$5:$D$29,$A674)+N(INDEX(Employees!$U$5:$U$29,$A674))),OR(INDEX(Employees!$E$5:$E$29,$A674)="",$D674&lt;=INDEX(Employees!$E$5:$E$29,$A674))),1,0))</f>
        <v/>
      </c>
      <c r="H674" s="47">
        <f>IF($G674=0,0,IF(INDEX(Employees!$D$5:$D$29,$A674)="",0,DATEDIF(INDEX(Employees!$D$5:$D$29,$A674),$E674,"y")))</f>
        <v/>
      </c>
      <c r="I674" s="48">
        <f>IF($G674=0,0,IF(INDEX('Hours Worked'!$D$5:$BD$29,$A674,$B674)="",N(INDEX(Employees!$H$5:$H$29,$A674)),INDEX('Hours Worked'!$D$5:$BD$29,$A674,$B674)))</f>
        <v/>
      </c>
      <c r="J674" s="48">
        <f>IF(OR($G674=0,INDEX(Employees!$O$5:$O$29,$A674)&lt;&gt;"Yes"),0,IF(COUNTIF(Settings!$D$4:$D$9,"&lt;="&amp;$H674)=0,0,INDEX(Settings!$E$4:$E$9,COUNTIF(Settings!$D$4:$D$9,"&lt;="&amp;$H674))))</f>
        <v/>
      </c>
      <c r="K674" s="48">
        <f>IF($G674=0,0,IF(INDEX(Employees!$I$5:$I$29,$A674)="Per pay period",(N(INDEX(Employees!$J$5:$J$29,$A674))+$J674)/Settings!$B$13,IF(INDEX(Employees!$I$5:$I$29,$A674)="Per hour worked",N(INDEX(Employees!$K$5:$K$29,$A674))*$I674,IF(INDEX(Employees!$I$5:$I$29,$A674)="Front-loaded",IF(OR($B674=1,N($G673)=0),N(INDEX(Employees!$J$5:$J$29,$A674))+$J674,0),0))))</f>
        <v/>
      </c>
      <c r="L674" s="48">
        <f>IF($F674=0,0,SUMIFS('Time Off Log'!$H$5:$H$504,'Time Off Log'!$A$5:$A$504,$C674,'Time Off Log'!$B$5:$B$504,"PTO",'Time Off Log'!$E$5:$E$504,"Approved",'Time Off Log'!$C$5:$C$504,"&gt;="&amp;INDEX(Periods!$E$5:$E$57,$B674),'Time Off Log'!$C$5:$C$504,"&lt;="&amp;INDEX(Periods!$F$5:$F$57,$B674)))</f>
        <v/>
      </c>
      <c r="M674" s="48">
        <f>IF($B674=1,N(INDEX(Employees!$N$5:$N$29,$A674)),P673)</f>
        <v/>
      </c>
      <c r="N674" s="48">
        <f>IF(INDEX(Employees!$L$5:$L$29,$A674)="",K674,MAX(0,MIN(K674,INDEX(Employees!$L$5:$L$29,$A674)-(M674-L674))))</f>
        <v/>
      </c>
      <c r="O674" s="48">
        <f>K674-N674</f>
        <v/>
      </c>
      <c r="P674" s="48">
        <f>M674-L674+N674</f>
        <v/>
      </c>
      <c r="Q674" s="48">
        <f>IF($G674=0,0,IF(INDEX(Employees!$P$5:$P$29,$A674)="Per pay period",(N(INDEX(Employees!$Q$5:$Q$29,$A674)))/Settings!$B$13,IF(INDEX(Employees!$P$5:$P$29,$A674)="Per hour worked",N(INDEX(Employees!$R$5:$R$29,$A674))*$I674,IF(INDEX(Employees!$P$5:$P$29,$A674)="Front-loaded",IF(OR($B674=1,N($G673)=0),N(INDEX(Employees!$Q$5:$Q$29,$A674)),0),0))))</f>
        <v/>
      </c>
      <c r="R674" s="48">
        <f>IF($F674=0,0,SUMIFS('Time Off Log'!$H$5:$H$504,'Time Off Log'!$A$5:$A$504,$C674,'Time Off Log'!$B$5:$B$504,"Sick",'Time Off Log'!$E$5:$E$504,"Approved",'Time Off Log'!$C$5:$C$504,"&gt;="&amp;INDEX(Periods!$E$5:$E$57,$B674),'Time Off Log'!$C$5:$C$504,"&lt;="&amp;INDEX(Periods!$F$5:$F$57,$B674)))</f>
        <v/>
      </c>
      <c r="S674" s="48">
        <f>IF($B674=1,N(INDEX(Employees!$T$5:$T$29,$A674)),V673)</f>
        <v/>
      </c>
      <c r="T674" s="48">
        <f>IF(INDEX(Employees!$S$5:$S$29,$A674)="",Q674,MAX(0,MIN(Q674,INDEX(Employees!$S$5:$S$29,$A674)-(S674-R674))))</f>
        <v/>
      </c>
      <c r="U674" s="48">
        <f>Q674-T674</f>
        <v/>
      </c>
      <c r="V674" s="48">
        <f>S674-R674+T674</f>
        <v/>
      </c>
    </row>
    <row r="675">
      <c r="A675" s="47" t="n">
        <v>13</v>
      </c>
      <c r="B675" s="47" t="n">
        <v>35</v>
      </c>
      <c r="C675" s="48">
        <f>INDEX(Employees!$B$5:$B$29,$A675)&amp;""</f>
        <v/>
      </c>
      <c r="D675" s="49">
        <f>INDEX(Periods!$B$5:$B$57,$B675)</f>
        <v/>
      </c>
      <c r="E675" s="49">
        <f>INDEX(Periods!$C$5:$C$57,$B675)</f>
        <v/>
      </c>
      <c r="F675" s="47">
        <f>IF(AND($C675&lt;&gt;"",INDEX(Periods!$D$5:$D$57,$B675)=1),1,0)</f>
        <v/>
      </c>
      <c r="G675" s="47">
        <f>IF($F675=0,0,IF(AND(OR(INDEX(Employees!$D$5:$D$29,$A675)="",$E675&gt;=INDEX(Employees!$D$5:$D$29,$A675)+N(INDEX(Employees!$U$5:$U$29,$A675))),OR(INDEX(Employees!$E$5:$E$29,$A675)="",$D675&lt;=INDEX(Employees!$E$5:$E$29,$A675))),1,0))</f>
        <v/>
      </c>
      <c r="H675" s="47">
        <f>IF($G675=0,0,IF(INDEX(Employees!$D$5:$D$29,$A675)="",0,DATEDIF(INDEX(Employees!$D$5:$D$29,$A675),$E675,"y")))</f>
        <v/>
      </c>
      <c r="I675" s="48">
        <f>IF($G675=0,0,IF(INDEX('Hours Worked'!$D$5:$BD$29,$A675,$B675)="",N(INDEX(Employees!$H$5:$H$29,$A675)),INDEX('Hours Worked'!$D$5:$BD$29,$A675,$B675)))</f>
        <v/>
      </c>
      <c r="J675" s="48">
        <f>IF(OR($G675=0,INDEX(Employees!$O$5:$O$29,$A675)&lt;&gt;"Yes"),0,IF(COUNTIF(Settings!$D$4:$D$9,"&lt;="&amp;$H675)=0,0,INDEX(Settings!$E$4:$E$9,COUNTIF(Settings!$D$4:$D$9,"&lt;="&amp;$H675))))</f>
        <v/>
      </c>
      <c r="K675" s="48">
        <f>IF($G675=0,0,IF(INDEX(Employees!$I$5:$I$29,$A675)="Per pay period",(N(INDEX(Employees!$J$5:$J$29,$A675))+$J675)/Settings!$B$13,IF(INDEX(Employees!$I$5:$I$29,$A675)="Per hour worked",N(INDEX(Employees!$K$5:$K$29,$A675))*$I675,IF(INDEX(Employees!$I$5:$I$29,$A675)="Front-loaded",IF(OR($B675=1,N($G674)=0),N(INDEX(Employees!$J$5:$J$29,$A675))+$J675,0),0))))</f>
        <v/>
      </c>
      <c r="L675" s="48">
        <f>IF($F675=0,0,SUMIFS('Time Off Log'!$H$5:$H$504,'Time Off Log'!$A$5:$A$504,$C675,'Time Off Log'!$B$5:$B$504,"PTO",'Time Off Log'!$E$5:$E$504,"Approved",'Time Off Log'!$C$5:$C$504,"&gt;="&amp;INDEX(Periods!$E$5:$E$57,$B675),'Time Off Log'!$C$5:$C$504,"&lt;="&amp;INDEX(Periods!$F$5:$F$57,$B675)))</f>
        <v/>
      </c>
      <c r="M675" s="48">
        <f>IF($B675=1,N(INDEX(Employees!$N$5:$N$29,$A675)),P674)</f>
        <v/>
      </c>
      <c r="N675" s="48">
        <f>IF(INDEX(Employees!$L$5:$L$29,$A675)="",K675,MAX(0,MIN(K675,INDEX(Employees!$L$5:$L$29,$A675)-(M675-L675))))</f>
        <v/>
      </c>
      <c r="O675" s="48">
        <f>K675-N675</f>
        <v/>
      </c>
      <c r="P675" s="48">
        <f>M675-L675+N675</f>
        <v/>
      </c>
      <c r="Q675" s="48">
        <f>IF($G675=0,0,IF(INDEX(Employees!$P$5:$P$29,$A675)="Per pay period",(N(INDEX(Employees!$Q$5:$Q$29,$A675)))/Settings!$B$13,IF(INDEX(Employees!$P$5:$P$29,$A675)="Per hour worked",N(INDEX(Employees!$R$5:$R$29,$A675))*$I675,IF(INDEX(Employees!$P$5:$P$29,$A675)="Front-loaded",IF(OR($B675=1,N($G674)=0),N(INDEX(Employees!$Q$5:$Q$29,$A675)),0),0))))</f>
        <v/>
      </c>
      <c r="R675" s="48">
        <f>IF($F675=0,0,SUMIFS('Time Off Log'!$H$5:$H$504,'Time Off Log'!$A$5:$A$504,$C675,'Time Off Log'!$B$5:$B$504,"Sick",'Time Off Log'!$E$5:$E$504,"Approved",'Time Off Log'!$C$5:$C$504,"&gt;="&amp;INDEX(Periods!$E$5:$E$57,$B675),'Time Off Log'!$C$5:$C$504,"&lt;="&amp;INDEX(Periods!$F$5:$F$57,$B675)))</f>
        <v/>
      </c>
      <c r="S675" s="48">
        <f>IF($B675=1,N(INDEX(Employees!$T$5:$T$29,$A675)),V674)</f>
        <v/>
      </c>
      <c r="T675" s="48">
        <f>IF(INDEX(Employees!$S$5:$S$29,$A675)="",Q675,MAX(0,MIN(Q675,INDEX(Employees!$S$5:$S$29,$A675)-(S675-R675))))</f>
        <v/>
      </c>
      <c r="U675" s="48">
        <f>Q675-T675</f>
        <v/>
      </c>
      <c r="V675" s="48">
        <f>S675-R675+T675</f>
        <v/>
      </c>
    </row>
    <row r="676">
      <c r="A676" s="47" t="n">
        <v>13</v>
      </c>
      <c r="B676" s="47" t="n">
        <v>36</v>
      </c>
      <c r="C676" s="48">
        <f>INDEX(Employees!$B$5:$B$29,$A676)&amp;""</f>
        <v/>
      </c>
      <c r="D676" s="49">
        <f>INDEX(Periods!$B$5:$B$57,$B676)</f>
        <v/>
      </c>
      <c r="E676" s="49">
        <f>INDEX(Periods!$C$5:$C$57,$B676)</f>
        <v/>
      </c>
      <c r="F676" s="47">
        <f>IF(AND($C676&lt;&gt;"",INDEX(Periods!$D$5:$D$57,$B676)=1),1,0)</f>
        <v/>
      </c>
      <c r="G676" s="47">
        <f>IF($F676=0,0,IF(AND(OR(INDEX(Employees!$D$5:$D$29,$A676)="",$E676&gt;=INDEX(Employees!$D$5:$D$29,$A676)+N(INDEX(Employees!$U$5:$U$29,$A676))),OR(INDEX(Employees!$E$5:$E$29,$A676)="",$D676&lt;=INDEX(Employees!$E$5:$E$29,$A676))),1,0))</f>
        <v/>
      </c>
      <c r="H676" s="47">
        <f>IF($G676=0,0,IF(INDEX(Employees!$D$5:$D$29,$A676)="",0,DATEDIF(INDEX(Employees!$D$5:$D$29,$A676),$E676,"y")))</f>
        <v/>
      </c>
      <c r="I676" s="48">
        <f>IF($G676=0,0,IF(INDEX('Hours Worked'!$D$5:$BD$29,$A676,$B676)="",N(INDEX(Employees!$H$5:$H$29,$A676)),INDEX('Hours Worked'!$D$5:$BD$29,$A676,$B676)))</f>
        <v/>
      </c>
      <c r="J676" s="48">
        <f>IF(OR($G676=0,INDEX(Employees!$O$5:$O$29,$A676)&lt;&gt;"Yes"),0,IF(COUNTIF(Settings!$D$4:$D$9,"&lt;="&amp;$H676)=0,0,INDEX(Settings!$E$4:$E$9,COUNTIF(Settings!$D$4:$D$9,"&lt;="&amp;$H676))))</f>
        <v/>
      </c>
      <c r="K676" s="48">
        <f>IF($G676=0,0,IF(INDEX(Employees!$I$5:$I$29,$A676)="Per pay period",(N(INDEX(Employees!$J$5:$J$29,$A676))+$J676)/Settings!$B$13,IF(INDEX(Employees!$I$5:$I$29,$A676)="Per hour worked",N(INDEX(Employees!$K$5:$K$29,$A676))*$I676,IF(INDEX(Employees!$I$5:$I$29,$A676)="Front-loaded",IF(OR($B676=1,N($G675)=0),N(INDEX(Employees!$J$5:$J$29,$A676))+$J676,0),0))))</f>
        <v/>
      </c>
      <c r="L676" s="48">
        <f>IF($F676=0,0,SUMIFS('Time Off Log'!$H$5:$H$504,'Time Off Log'!$A$5:$A$504,$C676,'Time Off Log'!$B$5:$B$504,"PTO",'Time Off Log'!$E$5:$E$504,"Approved",'Time Off Log'!$C$5:$C$504,"&gt;="&amp;INDEX(Periods!$E$5:$E$57,$B676),'Time Off Log'!$C$5:$C$504,"&lt;="&amp;INDEX(Periods!$F$5:$F$57,$B676)))</f>
        <v/>
      </c>
      <c r="M676" s="48">
        <f>IF($B676=1,N(INDEX(Employees!$N$5:$N$29,$A676)),P675)</f>
        <v/>
      </c>
      <c r="N676" s="48">
        <f>IF(INDEX(Employees!$L$5:$L$29,$A676)="",K676,MAX(0,MIN(K676,INDEX(Employees!$L$5:$L$29,$A676)-(M676-L676))))</f>
        <v/>
      </c>
      <c r="O676" s="48">
        <f>K676-N676</f>
        <v/>
      </c>
      <c r="P676" s="48">
        <f>M676-L676+N676</f>
        <v/>
      </c>
      <c r="Q676" s="48">
        <f>IF($G676=0,0,IF(INDEX(Employees!$P$5:$P$29,$A676)="Per pay period",(N(INDEX(Employees!$Q$5:$Q$29,$A676)))/Settings!$B$13,IF(INDEX(Employees!$P$5:$P$29,$A676)="Per hour worked",N(INDEX(Employees!$R$5:$R$29,$A676))*$I676,IF(INDEX(Employees!$P$5:$P$29,$A676)="Front-loaded",IF(OR($B676=1,N($G675)=0),N(INDEX(Employees!$Q$5:$Q$29,$A676)),0),0))))</f>
        <v/>
      </c>
      <c r="R676" s="48">
        <f>IF($F676=0,0,SUMIFS('Time Off Log'!$H$5:$H$504,'Time Off Log'!$A$5:$A$504,$C676,'Time Off Log'!$B$5:$B$504,"Sick",'Time Off Log'!$E$5:$E$504,"Approved",'Time Off Log'!$C$5:$C$504,"&gt;="&amp;INDEX(Periods!$E$5:$E$57,$B676),'Time Off Log'!$C$5:$C$504,"&lt;="&amp;INDEX(Periods!$F$5:$F$57,$B676)))</f>
        <v/>
      </c>
      <c r="S676" s="48">
        <f>IF($B676=1,N(INDEX(Employees!$T$5:$T$29,$A676)),V675)</f>
        <v/>
      </c>
      <c r="T676" s="48">
        <f>IF(INDEX(Employees!$S$5:$S$29,$A676)="",Q676,MAX(0,MIN(Q676,INDEX(Employees!$S$5:$S$29,$A676)-(S676-R676))))</f>
        <v/>
      </c>
      <c r="U676" s="48">
        <f>Q676-T676</f>
        <v/>
      </c>
      <c r="V676" s="48">
        <f>S676-R676+T676</f>
        <v/>
      </c>
    </row>
    <row r="677">
      <c r="A677" s="47" t="n">
        <v>13</v>
      </c>
      <c r="B677" s="47" t="n">
        <v>37</v>
      </c>
      <c r="C677" s="48">
        <f>INDEX(Employees!$B$5:$B$29,$A677)&amp;""</f>
        <v/>
      </c>
      <c r="D677" s="49">
        <f>INDEX(Periods!$B$5:$B$57,$B677)</f>
        <v/>
      </c>
      <c r="E677" s="49">
        <f>INDEX(Periods!$C$5:$C$57,$B677)</f>
        <v/>
      </c>
      <c r="F677" s="47">
        <f>IF(AND($C677&lt;&gt;"",INDEX(Periods!$D$5:$D$57,$B677)=1),1,0)</f>
        <v/>
      </c>
      <c r="G677" s="47">
        <f>IF($F677=0,0,IF(AND(OR(INDEX(Employees!$D$5:$D$29,$A677)="",$E677&gt;=INDEX(Employees!$D$5:$D$29,$A677)+N(INDEX(Employees!$U$5:$U$29,$A677))),OR(INDEX(Employees!$E$5:$E$29,$A677)="",$D677&lt;=INDEX(Employees!$E$5:$E$29,$A677))),1,0))</f>
        <v/>
      </c>
      <c r="H677" s="47">
        <f>IF($G677=0,0,IF(INDEX(Employees!$D$5:$D$29,$A677)="",0,DATEDIF(INDEX(Employees!$D$5:$D$29,$A677),$E677,"y")))</f>
        <v/>
      </c>
      <c r="I677" s="48">
        <f>IF($G677=0,0,IF(INDEX('Hours Worked'!$D$5:$BD$29,$A677,$B677)="",N(INDEX(Employees!$H$5:$H$29,$A677)),INDEX('Hours Worked'!$D$5:$BD$29,$A677,$B677)))</f>
        <v/>
      </c>
      <c r="J677" s="48">
        <f>IF(OR($G677=0,INDEX(Employees!$O$5:$O$29,$A677)&lt;&gt;"Yes"),0,IF(COUNTIF(Settings!$D$4:$D$9,"&lt;="&amp;$H677)=0,0,INDEX(Settings!$E$4:$E$9,COUNTIF(Settings!$D$4:$D$9,"&lt;="&amp;$H677))))</f>
        <v/>
      </c>
      <c r="K677" s="48">
        <f>IF($G677=0,0,IF(INDEX(Employees!$I$5:$I$29,$A677)="Per pay period",(N(INDEX(Employees!$J$5:$J$29,$A677))+$J677)/Settings!$B$13,IF(INDEX(Employees!$I$5:$I$29,$A677)="Per hour worked",N(INDEX(Employees!$K$5:$K$29,$A677))*$I677,IF(INDEX(Employees!$I$5:$I$29,$A677)="Front-loaded",IF(OR($B677=1,N($G676)=0),N(INDEX(Employees!$J$5:$J$29,$A677))+$J677,0),0))))</f>
        <v/>
      </c>
      <c r="L677" s="48">
        <f>IF($F677=0,0,SUMIFS('Time Off Log'!$H$5:$H$504,'Time Off Log'!$A$5:$A$504,$C677,'Time Off Log'!$B$5:$B$504,"PTO",'Time Off Log'!$E$5:$E$504,"Approved",'Time Off Log'!$C$5:$C$504,"&gt;="&amp;INDEX(Periods!$E$5:$E$57,$B677),'Time Off Log'!$C$5:$C$504,"&lt;="&amp;INDEX(Periods!$F$5:$F$57,$B677)))</f>
        <v/>
      </c>
      <c r="M677" s="48">
        <f>IF($B677=1,N(INDEX(Employees!$N$5:$N$29,$A677)),P676)</f>
        <v/>
      </c>
      <c r="N677" s="48">
        <f>IF(INDEX(Employees!$L$5:$L$29,$A677)="",K677,MAX(0,MIN(K677,INDEX(Employees!$L$5:$L$29,$A677)-(M677-L677))))</f>
        <v/>
      </c>
      <c r="O677" s="48">
        <f>K677-N677</f>
        <v/>
      </c>
      <c r="P677" s="48">
        <f>M677-L677+N677</f>
        <v/>
      </c>
      <c r="Q677" s="48">
        <f>IF($G677=0,0,IF(INDEX(Employees!$P$5:$P$29,$A677)="Per pay period",(N(INDEX(Employees!$Q$5:$Q$29,$A677)))/Settings!$B$13,IF(INDEX(Employees!$P$5:$P$29,$A677)="Per hour worked",N(INDEX(Employees!$R$5:$R$29,$A677))*$I677,IF(INDEX(Employees!$P$5:$P$29,$A677)="Front-loaded",IF(OR($B677=1,N($G676)=0),N(INDEX(Employees!$Q$5:$Q$29,$A677)),0),0))))</f>
        <v/>
      </c>
      <c r="R677" s="48">
        <f>IF($F677=0,0,SUMIFS('Time Off Log'!$H$5:$H$504,'Time Off Log'!$A$5:$A$504,$C677,'Time Off Log'!$B$5:$B$504,"Sick",'Time Off Log'!$E$5:$E$504,"Approved",'Time Off Log'!$C$5:$C$504,"&gt;="&amp;INDEX(Periods!$E$5:$E$57,$B677),'Time Off Log'!$C$5:$C$504,"&lt;="&amp;INDEX(Periods!$F$5:$F$57,$B677)))</f>
        <v/>
      </c>
      <c r="S677" s="48">
        <f>IF($B677=1,N(INDEX(Employees!$T$5:$T$29,$A677)),V676)</f>
        <v/>
      </c>
      <c r="T677" s="48">
        <f>IF(INDEX(Employees!$S$5:$S$29,$A677)="",Q677,MAX(0,MIN(Q677,INDEX(Employees!$S$5:$S$29,$A677)-(S677-R677))))</f>
        <v/>
      </c>
      <c r="U677" s="48">
        <f>Q677-T677</f>
        <v/>
      </c>
      <c r="V677" s="48">
        <f>S677-R677+T677</f>
        <v/>
      </c>
    </row>
    <row r="678">
      <c r="A678" s="47" t="n">
        <v>13</v>
      </c>
      <c r="B678" s="47" t="n">
        <v>38</v>
      </c>
      <c r="C678" s="48">
        <f>INDEX(Employees!$B$5:$B$29,$A678)&amp;""</f>
        <v/>
      </c>
      <c r="D678" s="49">
        <f>INDEX(Periods!$B$5:$B$57,$B678)</f>
        <v/>
      </c>
      <c r="E678" s="49">
        <f>INDEX(Periods!$C$5:$C$57,$B678)</f>
        <v/>
      </c>
      <c r="F678" s="47">
        <f>IF(AND($C678&lt;&gt;"",INDEX(Periods!$D$5:$D$57,$B678)=1),1,0)</f>
        <v/>
      </c>
      <c r="G678" s="47">
        <f>IF($F678=0,0,IF(AND(OR(INDEX(Employees!$D$5:$D$29,$A678)="",$E678&gt;=INDEX(Employees!$D$5:$D$29,$A678)+N(INDEX(Employees!$U$5:$U$29,$A678))),OR(INDEX(Employees!$E$5:$E$29,$A678)="",$D678&lt;=INDEX(Employees!$E$5:$E$29,$A678))),1,0))</f>
        <v/>
      </c>
      <c r="H678" s="47">
        <f>IF($G678=0,0,IF(INDEX(Employees!$D$5:$D$29,$A678)="",0,DATEDIF(INDEX(Employees!$D$5:$D$29,$A678),$E678,"y")))</f>
        <v/>
      </c>
      <c r="I678" s="48">
        <f>IF($G678=0,0,IF(INDEX('Hours Worked'!$D$5:$BD$29,$A678,$B678)="",N(INDEX(Employees!$H$5:$H$29,$A678)),INDEX('Hours Worked'!$D$5:$BD$29,$A678,$B678)))</f>
        <v/>
      </c>
      <c r="J678" s="48">
        <f>IF(OR($G678=0,INDEX(Employees!$O$5:$O$29,$A678)&lt;&gt;"Yes"),0,IF(COUNTIF(Settings!$D$4:$D$9,"&lt;="&amp;$H678)=0,0,INDEX(Settings!$E$4:$E$9,COUNTIF(Settings!$D$4:$D$9,"&lt;="&amp;$H678))))</f>
        <v/>
      </c>
      <c r="K678" s="48">
        <f>IF($G678=0,0,IF(INDEX(Employees!$I$5:$I$29,$A678)="Per pay period",(N(INDEX(Employees!$J$5:$J$29,$A678))+$J678)/Settings!$B$13,IF(INDEX(Employees!$I$5:$I$29,$A678)="Per hour worked",N(INDEX(Employees!$K$5:$K$29,$A678))*$I678,IF(INDEX(Employees!$I$5:$I$29,$A678)="Front-loaded",IF(OR($B678=1,N($G677)=0),N(INDEX(Employees!$J$5:$J$29,$A678))+$J678,0),0))))</f>
        <v/>
      </c>
      <c r="L678" s="48">
        <f>IF($F678=0,0,SUMIFS('Time Off Log'!$H$5:$H$504,'Time Off Log'!$A$5:$A$504,$C678,'Time Off Log'!$B$5:$B$504,"PTO",'Time Off Log'!$E$5:$E$504,"Approved",'Time Off Log'!$C$5:$C$504,"&gt;="&amp;INDEX(Periods!$E$5:$E$57,$B678),'Time Off Log'!$C$5:$C$504,"&lt;="&amp;INDEX(Periods!$F$5:$F$57,$B678)))</f>
        <v/>
      </c>
      <c r="M678" s="48">
        <f>IF($B678=1,N(INDEX(Employees!$N$5:$N$29,$A678)),P677)</f>
        <v/>
      </c>
      <c r="N678" s="48">
        <f>IF(INDEX(Employees!$L$5:$L$29,$A678)="",K678,MAX(0,MIN(K678,INDEX(Employees!$L$5:$L$29,$A678)-(M678-L678))))</f>
        <v/>
      </c>
      <c r="O678" s="48">
        <f>K678-N678</f>
        <v/>
      </c>
      <c r="P678" s="48">
        <f>M678-L678+N678</f>
        <v/>
      </c>
      <c r="Q678" s="48">
        <f>IF($G678=0,0,IF(INDEX(Employees!$P$5:$P$29,$A678)="Per pay period",(N(INDEX(Employees!$Q$5:$Q$29,$A678)))/Settings!$B$13,IF(INDEX(Employees!$P$5:$P$29,$A678)="Per hour worked",N(INDEX(Employees!$R$5:$R$29,$A678))*$I678,IF(INDEX(Employees!$P$5:$P$29,$A678)="Front-loaded",IF(OR($B678=1,N($G677)=0),N(INDEX(Employees!$Q$5:$Q$29,$A678)),0),0))))</f>
        <v/>
      </c>
      <c r="R678" s="48">
        <f>IF($F678=0,0,SUMIFS('Time Off Log'!$H$5:$H$504,'Time Off Log'!$A$5:$A$504,$C678,'Time Off Log'!$B$5:$B$504,"Sick",'Time Off Log'!$E$5:$E$504,"Approved",'Time Off Log'!$C$5:$C$504,"&gt;="&amp;INDEX(Periods!$E$5:$E$57,$B678),'Time Off Log'!$C$5:$C$504,"&lt;="&amp;INDEX(Periods!$F$5:$F$57,$B678)))</f>
        <v/>
      </c>
      <c r="S678" s="48">
        <f>IF($B678=1,N(INDEX(Employees!$T$5:$T$29,$A678)),V677)</f>
        <v/>
      </c>
      <c r="T678" s="48">
        <f>IF(INDEX(Employees!$S$5:$S$29,$A678)="",Q678,MAX(0,MIN(Q678,INDEX(Employees!$S$5:$S$29,$A678)-(S678-R678))))</f>
        <v/>
      </c>
      <c r="U678" s="48">
        <f>Q678-T678</f>
        <v/>
      </c>
      <c r="V678" s="48">
        <f>S678-R678+T678</f>
        <v/>
      </c>
    </row>
    <row r="679">
      <c r="A679" s="47" t="n">
        <v>13</v>
      </c>
      <c r="B679" s="47" t="n">
        <v>39</v>
      </c>
      <c r="C679" s="48">
        <f>INDEX(Employees!$B$5:$B$29,$A679)&amp;""</f>
        <v/>
      </c>
      <c r="D679" s="49">
        <f>INDEX(Periods!$B$5:$B$57,$B679)</f>
        <v/>
      </c>
      <c r="E679" s="49">
        <f>INDEX(Periods!$C$5:$C$57,$B679)</f>
        <v/>
      </c>
      <c r="F679" s="47">
        <f>IF(AND($C679&lt;&gt;"",INDEX(Periods!$D$5:$D$57,$B679)=1),1,0)</f>
        <v/>
      </c>
      <c r="G679" s="47">
        <f>IF($F679=0,0,IF(AND(OR(INDEX(Employees!$D$5:$D$29,$A679)="",$E679&gt;=INDEX(Employees!$D$5:$D$29,$A679)+N(INDEX(Employees!$U$5:$U$29,$A679))),OR(INDEX(Employees!$E$5:$E$29,$A679)="",$D679&lt;=INDEX(Employees!$E$5:$E$29,$A679))),1,0))</f>
        <v/>
      </c>
      <c r="H679" s="47">
        <f>IF($G679=0,0,IF(INDEX(Employees!$D$5:$D$29,$A679)="",0,DATEDIF(INDEX(Employees!$D$5:$D$29,$A679),$E679,"y")))</f>
        <v/>
      </c>
      <c r="I679" s="48">
        <f>IF($G679=0,0,IF(INDEX('Hours Worked'!$D$5:$BD$29,$A679,$B679)="",N(INDEX(Employees!$H$5:$H$29,$A679)),INDEX('Hours Worked'!$D$5:$BD$29,$A679,$B679)))</f>
        <v/>
      </c>
      <c r="J679" s="48">
        <f>IF(OR($G679=0,INDEX(Employees!$O$5:$O$29,$A679)&lt;&gt;"Yes"),0,IF(COUNTIF(Settings!$D$4:$D$9,"&lt;="&amp;$H679)=0,0,INDEX(Settings!$E$4:$E$9,COUNTIF(Settings!$D$4:$D$9,"&lt;="&amp;$H679))))</f>
        <v/>
      </c>
      <c r="K679" s="48">
        <f>IF($G679=0,0,IF(INDEX(Employees!$I$5:$I$29,$A679)="Per pay period",(N(INDEX(Employees!$J$5:$J$29,$A679))+$J679)/Settings!$B$13,IF(INDEX(Employees!$I$5:$I$29,$A679)="Per hour worked",N(INDEX(Employees!$K$5:$K$29,$A679))*$I679,IF(INDEX(Employees!$I$5:$I$29,$A679)="Front-loaded",IF(OR($B679=1,N($G678)=0),N(INDEX(Employees!$J$5:$J$29,$A679))+$J679,0),0))))</f>
        <v/>
      </c>
      <c r="L679" s="48">
        <f>IF($F679=0,0,SUMIFS('Time Off Log'!$H$5:$H$504,'Time Off Log'!$A$5:$A$504,$C679,'Time Off Log'!$B$5:$B$504,"PTO",'Time Off Log'!$E$5:$E$504,"Approved",'Time Off Log'!$C$5:$C$504,"&gt;="&amp;INDEX(Periods!$E$5:$E$57,$B679),'Time Off Log'!$C$5:$C$504,"&lt;="&amp;INDEX(Periods!$F$5:$F$57,$B679)))</f>
        <v/>
      </c>
      <c r="M679" s="48">
        <f>IF($B679=1,N(INDEX(Employees!$N$5:$N$29,$A679)),P678)</f>
        <v/>
      </c>
      <c r="N679" s="48">
        <f>IF(INDEX(Employees!$L$5:$L$29,$A679)="",K679,MAX(0,MIN(K679,INDEX(Employees!$L$5:$L$29,$A679)-(M679-L679))))</f>
        <v/>
      </c>
      <c r="O679" s="48">
        <f>K679-N679</f>
        <v/>
      </c>
      <c r="P679" s="48">
        <f>M679-L679+N679</f>
        <v/>
      </c>
      <c r="Q679" s="48">
        <f>IF($G679=0,0,IF(INDEX(Employees!$P$5:$P$29,$A679)="Per pay period",(N(INDEX(Employees!$Q$5:$Q$29,$A679)))/Settings!$B$13,IF(INDEX(Employees!$P$5:$P$29,$A679)="Per hour worked",N(INDEX(Employees!$R$5:$R$29,$A679))*$I679,IF(INDEX(Employees!$P$5:$P$29,$A679)="Front-loaded",IF(OR($B679=1,N($G678)=0),N(INDEX(Employees!$Q$5:$Q$29,$A679)),0),0))))</f>
        <v/>
      </c>
      <c r="R679" s="48">
        <f>IF($F679=0,0,SUMIFS('Time Off Log'!$H$5:$H$504,'Time Off Log'!$A$5:$A$504,$C679,'Time Off Log'!$B$5:$B$504,"Sick",'Time Off Log'!$E$5:$E$504,"Approved",'Time Off Log'!$C$5:$C$504,"&gt;="&amp;INDEX(Periods!$E$5:$E$57,$B679),'Time Off Log'!$C$5:$C$504,"&lt;="&amp;INDEX(Periods!$F$5:$F$57,$B679)))</f>
        <v/>
      </c>
      <c r="S679" s="48">
        <f>IF($B679=1,N(INDEX(Employees!$T$5:$T$29,$A679)),V678)</f>
        <v/>
      </c>
      <c r="T679" s="48">
        <f>IF(INDEX(Employees!$S$5:$S$29,$A679)="",Q679,MAX(0,MIN(Q679,INDEX(Employees!$S$5:$S$29,$A679)-(S679-R679))))</f>
        <v/>
      </c>
      <c r="U679" s="48">
        <f>Q679-T679</f>
        <v/>
      </c>
      <c r="V679" s="48">
        <f>S679-R679+T679</f>
        <v/>
      </c>
    </row>
    <row r="680">
      <c r="A680" s="47" t="n">
        <v>13</v>
      </c>
      <c r="B680" s="47" t="n">
        <v>40</v>
      </c>
      <c r="C680" s="48">
        <f>INDEX(Employees!$B$5:$B$29,$A680)&amp;""</f>
        <v/>
      </c>
      <c r="D680" s="49">
        <f>INDEX(Periods!$B$5:$B$57,$B680)</f>
        <v/>
      </c>
      <c r="E680" s="49">
        <f>INDEX(Periods!$C$5:$C$57,$B680)</f>
        <v/>
      </c>
      <c r="F680" s="47">
        <f>IF(AND($C680&lt;&gt;"",INDEX(Periods!$D$5:$D$57,$B680)=1),1,0)</f>
        <v/>
      </c>
      <c r="G680" s="47">
        <f>IF($F680=0,0,IF(AND(OR(INDEX(Employees!$D$5:$D$29,$A680)="",$E680&gt;=INDEX(Employees!$D$5:$D$29,$A680)+N(INDEX(Employees!$U$5:$U$29,$A680))),OR(INDEX(Employees!$E$5:$E$29,$A680)="",$D680&lt;=INDEX(Employees!$E$5:$E$29,$A680))),1,0))</f>
        <v/>
      </c>
      <c r="H680" s="47">
        <f>IF($G680=0,0,IF(INDEX(Employees!$D$5:$D$29,$A680)="",0,DATEDIF(INDEX(Employees!$D$5:$D$29,$A680),$E680,"y")))</f>
        <v/>
      </c>
      <c r="I680" s="48">
        <f>IF($G680=0,0,IF(INDEX('Hours Worked'!$D$5:$BD$29,$A680,$B680)="",N(INDEX(Employees!$H$5:$H$29,$A680)),INDEX('Hours Worked'!$D$5:$BD$29,$A680,$B680)))</f>
        <v/>
      </c>
      <c r="J680" s="48">
        <f>IF(OR($G680=0,INDEX(Employees!$O$5:$O$29,$A680)&lt;&gt;"Yes"),0,IF(COUNTIF(Settings!$D$4:$D$9,"&lt;="&amp;$H680)=0,0,INDEX(Settings!$E$4:$E$9,COUNTIF(Settings!$D$4:$D$9,"&lt;="&amp;$H680))))</f>
        <v/>
      </c>
      <c r="K680" s="48">
        <f>IF($G680=0,0,IF(INDEX(Employees!$I$5:$I$29,$A680)="Per pay period",(N(INDEX(Employees!$J$5:$J$29,$A680))+$J680)/Settings!$B$13,IF(INDEX(Employees!$I$5:$I$29,$A680)="Per hour worked",N(INDEX(Employees!$K$5:$K$29,$A680))*$I680,IF(INDEX(Employees!$I$5:$I$29,$A680)="Front-loaded",IF(OR($B680=1,N($G679)=0),N(INDEX(Employees!$J$5:$J$29,$A680))+$J680,0),0))))</f>
        <v/>
      </c>
      <c r="L680" s="48">
        <f>IF($F680=0,0,SUMIFS('Time Off Log'!$H$5:$H$504,'Time Off Log'!$A$5:$A$504,$C680,'Time Off Log'!$B$5:$B$504,"PTO",'Time Off Log'!$E$5:$E$504,"Approved",'Time Off Log'!$C$5:$C$504,"&gt;="&amp;INDEX(Periods!$E$5:$E$57,$B680),'Time Off Log'!$C$5:$C$504,"&lt;="&amp;INDEX(Periods!$F$5:$F$57,$B680)))</f>
        <v/>
      </c>
      <c r="M680" s="48">
        <f>IF($B680=1,N(INDEX(Employees!$N$5:$N$29,$A680)),P679)</f>
        <v/>
      </c>
      <c r="N680" s="48">
        <f>IF(INDEX(Employees!$L$5:$L$29,$A680)="",K680,MAX(0,MIN(K680,INDEX(Employees!$L$5:$L$29,$A680)-(M680-L680))))</f>
        <v/>
      </c>
      <c r="O680" s="48">
        <f>K680-N680</f>
        <v/>
      </c>
      <c r="P680" s="48">
        <f>M680-L680+N680</f>
        <v/>
      </c>
      <c r="Q680" s="48">
        <f>IF($G680=0,0,IF(INDEX(Employees!$P$5:$P$29,$A680)="Per pay period",(N(INDEX(Employees!$Q$5:$Q$29,$A680)))/Settings!$B$13,IF(INDEX(Employees!$P$5:$P$29,$A680)="Per hour worked",N(INDEX(Employees!$R$5:$R$29,$A680))*$I680,IF(INDEX(Employees!$P$5:$P$29,$A680)="Front-loaded",IF(OR($B680=1,N($G679)=0),N(INDEX(Employees!$Q$5:$Q$29,$A680)),0),0))))</f>
        <v/>
      </c>
      <c r="R680" s="48">
        <f>IF($F680=0,0,SUMIFS('Time Off Log'!$H$5:$H$504,'Time Off Log'!$A$5:$A$504,$C680,'Time Off Log'!$B$5:$B$504,"Sick",'Time Off Log'!$E$5:$E$504,"Approved",'Time Off Log'!$C$5:$C$504,"&gt;="&amp;INDEX(Periods!$E$5:$E$57,$B680),'Time Off Log'!$C$5:$C$504,"&lt;="&amp;INDEX(Periods!$F$5:$F$57,$B680)))</f>
        <v/>
      </c>
      <c r="S680" s="48">
        <f>IF($B680=1,N(INDEX(Employees!$T$5:$T$29,$A680)),V679)</f>
        <v/>
      </c>
      <c r="T680" s="48">
        <f>IF(INDEX(Employees!$S$5:$S$29,$A680)="",Q680,MAX(0,MIN(Q680,INDEX(Employees!$S$5:$S$29,$A680)-(S680-R680))))</f>
        <v/>
      </c>
      <c r="U680" s="48">
        <f>Q680-T680</f>
        <v/>
      </c>
      <c r="V680" s="48">
        <f>S680-R680+T680</f>
        <v/>
      </c>
    </row>
    <row r="681">
      <c r="A681" s="47" t="n">
        <v>13</v>
      </c>
      <c r="B681" s="47" t="n">
        <v>41</v>
      </c>
      <c r="C681" s="48">
        <f>INDEX(Employees!$B$5:$B$29,$A681)&amp;""</f>
        <v/>
      </c>
      <c r="D681" s="49">
        <f>INDEX(Periods!$B$5:$B$57,$B681)</f>
        <v/>
      </c>
      <c r="E681" s="49">
        <f>INDEX(Periods!$C$5:$C$57,$B681)</f>
        <v/>
      </c>
      <c r="F681" s="47">
        <f>IF(AND($C681&lt;&gt;"",INDEX(Periods!$D$5:$D$57,$B681)=1),1,0)</f>
        <v/>
      </c>
      <c r="G681" s="47">
        <f>IF($F681=0,0,IF(AND(OR(INDEX(Employees!$D$5:$D$29,$A681)="",$E681&gt;=INDEX(Employees!$D$5:$D$29,$A681)+N(INDEX(Employees!$U$5:$U$29,$A681))),OR(INDEX(Employees!$E$5:$E$29,$A681)="",$D681&lt;=INDEX(Employees!$E$5:$E$29,$A681))),1,0))</f>
        <v/>
      </c>
      <c r="H681" s="47">
        <f>IF($G681=0,0,IF(INDEX(Employees!$D$5:$D$29,$A681)="",0,DATEDIF(INDEX(Employees!$D$5:$D$29,$A681),$E681,"y")))</f>
        <v/>
      </c>
      <c r="I681" s="48">
        <f>IF($G681=0,0,IF(INDEX('Hours Worked'!$D$5:$BD$29,$A681,$B681)="",N(INDEX(Employees!$H$5:$H$29,$A681)),INDEX('Hours Worked'!$D$5:$BD$29,$A681,$B681)))</f>
        <v/>
      </c>
      <c r="J681" s="48">
        <f>IF(OR($G681=0,INDEX(Employees!$O$5:$O$29,$A681)&lt;&gt;"Yes"),0,IF(COUNTIF(Settings!$D$4:$D$9,"&lt;="&amp;$H681)=0,0,INDEX(Settings!$E$4:$E$9,COUNTIF(Settings!$D$4:$D$9,"&lt;="&amp;$H681))))</f>
        <v/>
      </c>
      <c r="K681" s="48">
        <f>IF($G681=0,0,IF(INDEX(Employees!$I$5:$I$29,$A681)="Per pay period",(N(INDEX(Employees!$J$5:$J$29,$A681))+$J681)/Settings!$B$13,IF(INDEX(Employees!$I$5:$I$29,$A681)="Per hour worked",N(INDEX(Employees!$K$5:$K$29,$A681))*$I681,IF(INDEX(Employees!$I$5:$I$29,$A681)="Front-loaded",IF(OR($B681=1,N($G680)=0),N(INDEX(Employees!$J$5:$J$29,$A681))+$J681,0),0))))</f>
        <v/>
      </c>
      <c r="L681" s="48">
        <f>IF($F681=0,0,SUMIFS('Time Off Log'!$H$5:$H$504,'Time Off Log'!$A$5:$A$504,$C681,'Time Off Log'!$B$5:$B$504,"PTO",'Time Off Log'!$E$5:$E$504,"Approved",'Time Off Log'!$C$5:$C$504,"&gt;="&amp;INDEX(Periods!$E$5:$E$57,$B681),'Time Off Log'!$C$5:$C$504,"&lt;="&amp;INDEX(Periods!$F$5:$F$57,$B681)))</f>
        <v/>
      </c>
      <c r="M681" s="48">
        <f>IF($B681=1,N(INDEX(Employees!$N$5:$N$29,$A681)),P680)</f>
        <v/>
      </c>
      <c r="N681" s="48">
        <f>IF(INDEX(Employees!$L$5:$L$29,$A681)="",K681,MAX(0,MIN(K681,INDEX(Employees!$L$5:$L$29,$A681)-(M681-L681))))</f>
        <v/>
      </c>
      <c r="O681" s="48">
        <f>K681-N681</f>
        <v/>
      </c>
      <c r="P681" s="48">
        <f>M681-L681+N681</f>
        <v/>
      </c>
      <c r="Q681" s="48">
        <f>IF($G681=0,0,IF(INDEX(Employees!$P$5:$P$29,$A681)="Per pay period",(N(INDEX(Employees!$Q$5:$Q$29,$A681)))/Settings!$B$13,IF(INDEX(Employees!$P$5:$P$29,$A681)="Per hour worked",N(INDEX(Employees!$R$5:$R$29,$A681))*$I681,IF(INDEX(Employees!$P$5:$P$29,$A681)="Front-loaded",IF(OR($B681=1,N($G680)=0),N(INDEX(Employees!$Q$5:$Q$29,$A681)),0),0))))</f>
        <v/>
      </c>
      <c r="R681" s="48">
        <f>IF($F681=0,0,SUMIFS('Time Off Log'!$H$5:$H$504,'Time Off Log'!$A$5:$A$504,$C681,'Time Off Log'!$B$5:$B$504,"Sick",'Time Off Log'!$E$5:$E$504,"Approved",'Time Off Log'!$C$5:$C$504,"&gt;="&amp;INDEX(Periods!$E$5:$E$57,$B681),'Time Off Log'!$C$5:$C$504,"&lt;="&amp;INDEX(Periods!$F$5:$F$57,$B681)))</f>
        <v/>
      </c>
      <c r="S681" s="48">
        <f>IF($B681=1,N(INDEX(Employees!$T$5:$T$29,$A681)),V680)</f>
        <v/>
      </c>
      <c r="T681" s="48">
        <f>IF(INDEX(Employees!$S$5:$S$29,$A681)="",Q681,MAX(0,MIN(Q681,INDEX(Employees!$S$5:$S$29,$A681)-(S681-R681))))</f>
        <v/>
      </c>
      <c r="U681" s="48">
        <f>Q681-T681</f>
        <v/>
      </c>
      <c r="V681" s="48">
        <f>S681-R681+T681</f>
        <v/>
      </c>
    </row>
    <row r="682">
      <c r="A682" s="47" t="n">
        <v>13</v>
      </c>
      <c r="B682" s="47" t="n">
        <v>42</v>
      </c>
      <c r="C682" s="48">
        <f>INDEX(Employees!$B$5:$B$29,$A682)&amp;""</f>
        <v/>
      </c>
      <c r="D682" s="49">
        <f>INDEX(Periods!$B$5:$B$57,$B682)</f>
        <v/>
      </c>
      <c r="E682" s="49">
        <f>INDEX(Periods!$C$5:$C$57,$B682)</f>
        <v/>
      </c>
      <c r="F682" s="47">
        <f>IF(AND($C682&lt;&gt;"",INDEX(Periods!$D$5:$D$57,$B682)=1),1,0)</f>
        <v/>
      </c>
      <c r="G682" s="47">
        <f>IF($F682=0,0,IF(AND(OR(INDEX(Employees!$D$5:$D$29,$A682)="",$E682&gt;=INDEX(Employees!$D$5:$D$29,$A682)+N(INDEX(Employees!$U$5:$U$29,$A682))),OR(INDEX(Employees!$E$5:$E$29,$A682)="",$D682&lt;=INDEX(Employees!$E$5:$E$29,$A682))),1,0))</f>
        <v/>
      </c>
      <c r="H682" s="47">
        <f>IF($G682=0,0,IF(INDEX(Employees!$D$5:$D$29,$A682)="",0,DATEDIF(INDEX(Employees!$D$5:$D$29,$A682),$E682,"y")))</f>
        <v/>
      </c>
      <c r="I682" s="48">
        <f>IF($G682=0,0,IF(INDEX('Hours Worked'!$D$5:$BD$29,$A682,$B682)="",N(INDEX(Employees!$H$5:$H$29,$A682)),INDEX('Hours Worked'!$D$5:$BD$29,$A682,$B682)))</f>
        <v/>
      </c>
      <c r="J682" s="48">
        <f>IF(OR($G682=0,INDEX(Employees!$O$5:$O$29,$A682)&lt;&gt;"Yes"),0,IF(COUNTIF(Settings!$D$4:$D$9,"&lt;="&amp;$H682)=0,0,INDEX(Settings!$E$4:$E$9,COUNTIF(Settings!$D$4:$D$9,"&lt;="&amp;$H682))))</f>
        <v/>
      </c>
      <c r="K682" s="48">
        <f>IF($G682=0,0,IF(INDEX(Employees!$I$5:$I$29,$A682)="Per pay period",(N(INDEX(Employees!$J$5:$J$29,$A682))+$J682)/Settings!$B$13,IF(INDEX(Employees!$I$5:$I$29,$A682)="Per hour worked",N(INDEX(Employees!$K$5:$K$29,$A682))*$I682,IF(INDEX(Employees!$I$5:$I$29,$A682)="Front-loaded",IF(OR($B682=1,N($G681)=0),N(INDEX(Employees!$J$5:$J$29,$A682))+$J682,0),0))))</f>
        <v/>
      </c>
      <c r="L682" s="48">
        <f>IF($F682=0,0,SUMIFS('Time Off Log'!$H$5:$H$504,'Time Off Log'!$A$5:$A$504,$C682,'Time Off Log'!$B$5:$B$504,"PTO",'Time Off Log'!$E$5:$E$504,"Approved",'Time Off Log'!$C$5:$C$504,"&gt;="&amp;INDEX(Periods!$E$5:$E$57,$B682),'Time Off Log'!$C$5:$C$504,"&lt;="&amp;INDEX(Periods!$F$5:$F$57,$B682)))</f>
        <v/>
      </c>
      <c r="M682" s="48">
        <f>IF($B682=1,N(INDEX(Employees!$N$5:$N$29,$A682)),P681)</f>
        <v/>
      </c>
      <c r="N682" s="48">
        <f>IF(INDEX(Employees!$L$5:$L$29,$A682)="",K682,MAX(0,MIN(K682,INDEX(Employees!$L$5:$L$29,$A682)-(M682-L682))))</f>
        <v/>
      </c>
      <c r="O682" s="48">
        <f>K682-N682</f>
        <v/>
      </c>
      <c r="P682" s="48">
        <f>M682-L682+N682</f>
        <v/>
      </c>
      <c r="Q682" s="48">
        <f>IF($G682=0,0,IF(INDEX(Employees!$P$5:$P$29,$A682)="Per pay period",(N(INDEX(Employees!$Q$5:$Q$29,$A682)))/Settings!$B$13,IF(INDEX(Employees!$P$5:$P$29,$A682)="Per hour worked",N(INDEX(Employees!$R$5:$R$29,$A682))*$I682,IF(INDEX(Employees!$P$5:$P$29,$A682)="Front-loaded",IF(OR($B682=1,N($G681)=0),N(INDEX(Employees!$Q$5:$Q$29,$A682)),0),0))))</f>
        <v/>
      </c>
      <c r="R682" s="48">
        <f>IF($F682=0,0,SUMIFS('Time Off Log'!$H$5:$H$504,'Time Off Log'!$A$5:$A$504,$C682,'Time Off Log'!$B$5:$B$504,"Sick",'Time Off Log'!$E$5:$E$504,"Approved",'Time Off Log'!$C$5:$C$504,"&gt;="&amp;INDEX(Periods!$E$5:$E$57,$B682),'Time Off Log'!$C$5:$C$504,"&lt;="&amp;INDEX(Periods!$F$5:$F$57,$B682)))</f>
        <v/>
      </c>
      <c r="S682" s="48">
        <f>IF($B682=1,N(INDEX(Employees!$T$5:$T$29,$A682)),V681)</f>
        <v/>
      </c>
      <c r="T682" s="48">
        <f>IF(INDEX(Employees!$S$5:$S$29,$A682)="",Q682,MAX(0,MIN(Q682,INDEX(Employees!$S$5:$S$29,$A682)-(S682-R682))))</f>
        <v/>
      </c>
      <c r="U682" s="48">
        <f>Q682-T682</f>
        <v/>
      </c>
      <c r="V682" s="48">
        <f>S682-R682+T682</f>
        <v/>
      </c>
    </row>
    <row r="683">
      <c r="A683" s="47" t="n">
        <v>13</v>
      </c>
      <c r="B683" s="47" t="n">
        <v>43</v>
      </c>
      <c r="C683" s="48">
        <f>INDEX(Employees!$B$5:$B$29,$A683)&amp;""</f>
        <v/>
      </c>
      <c r="D683" s="49">
        <f>INDEX(Periods!$B$5:$B$57,$B683)</f>
        <v/>
      </c>
      <c r="E683" s="49">
        <f>INDEX(Periods!$C$5:$C$57,$B683)</f>
        <v/>
      </c>
      <c r="F683" s="47">
        <f>IF(AND($C683&lt;&gt;"",INDEX(Periods!$D$5:$D$57,$B683)=1),1,0)</f>
        <v/>
      </c>
      <c r="G683" s="47">
        <f>IF($F683=0,0,IF(AND(OR(INDEX(Employees!$D$5:$D$29,$A683)="",$E683&gt;=INDEX(Employees!$D$5:$D$29,$A683)+N(INDEX(Employees!$U$5:$U$29,$A683))),OR(INDEX(Employees!$E$5:$E$29,$A683)="",$D683&lt;=INDEX(Employees!$E$5:$E$29,$A683))),1,0))</f>
        <v/>
      </c>
      <c r="H683" s="47">
        <f>IF($G683=0,0,IF(INDEX(Employees!$D$5:$D$29,$A683)="",0,DATEDIF(INDEX(Employees!$D$5:$D$29,$A683),$E683,"y")))</f>
        <v/>
      </c>
      <c r="I683" s="48">
        <f>IF($G683=0,0,IF(INDEX('Hours Worked'!$D$5:$BD$29,$A683,$B683)="",N(INDEX(Employees!$H$5:$H$29,$A683)),INDEX('Hours Worked'!$D$5:$BD$29,$A683,$B683)))</f>
        <v/>
      </c>
      <c r="J683" s="48">
        <f>IF(OR($G683=0,INDEX(Employees!$O$5:$O$29,$A683)&lt;&gt;"Yes"),0,IF(COUNTIF(Settings!$D$4:$D$9,"&lt;="&amp;$H683)=0,0,INDEX(Settings!$E$4:$E$9,COUNTIF(Settings!$D$4:$D$9,"&lt;="&amp;$H683))))</f>
        <v/>
      </c>
      <c r="K683" s="48">
        <f>IF($G683=0,0,IF(INDEX(Employees!$I$5:$I$29,$A683)="Per pay period",(N(INDEX(Employees!$J$5:$J$29,$A683))+$J683)/Settings!$B$13,IF(INDEX(Employees!$I$5:$I$29,$A683)="Per hour worked",N(INDEX(Employees!$K$5:$K$29,$A683))*$I683,IF(INDEX(Employees!$I$5:$I$29,$A683)="Front-loaded",IF(OR($B683=1,N($G682)=0),N(INDEX(Employees!$J$5:$J$29,$A683))+$J683,0),0))))</f>
        <v/>
      </c>
      <c r="L683" s="48">
        <f>IF($F683=0,0,SUMIFS('Time Off Log'!$H$5:$H$504,'Time Off Log'!$A$5:$A$504,$C683,'Time Off Log'!$B$5:$B$504,"PTO",'Time Off Log'!$E$5:$E$504,"Approved",'Time Off Log'!$C$5:$C$504,"&gt;="&amp;INDEX(Periods!$E$5:$E$57,$B683),'Time Off Log'!$C$5:$C$504,"&lt;="&amp;INDEX(Periods!$F$5:$F$57,$B683)))</f>
        <v/>
      </c>
      <c r="M683" s="48">
        <f>IF($B683=1,N(INDEX(Employees!$N$5:$N$29,$A683)),P682)</f>
        <v/>
      </c>
      <c r="N683" s="48">
        <f>IF(INDEX(Employees!$L$5:$L$29,$A683)="",K683,MAX(0,MIN(K683,INDEX(Employees!$L$5:$L$29,$A683)-(M683-L683))))</f>
        <v/>
      </c>
      <c r="O683" s="48">
        <f>K683-N683</f>
        <v/>
      </c>
      <c r="P683" s="48">
        <f>M683-L683+N683</f>
        <v/>
      </c>
      <c r="Q683" s="48">
        <f>IF($G683=0,0,IF(INDEX(Employees!$P$5:$P$29,$A683)="Per pay period",(N(INDEX(Employees!$Q$5:$Q$29,$A683)))/Settings!$B$13,IF(INDEX(Employees!$P$5:$P$29,$A683)="Per hour worked",N(INDEX(Employees!$R$5:$R$29,$A683))*$I683,IF(INDEX(Employees!$P$5:$P$29,$A683)="Front-loaded",IF(OR($B683=1,N($G682)=0),N(INDEX(Employees!$Q$5:$Q$29,$A683)),0),0))))</f>
        <v/>
      </c>
      <c r="R683" s="48">
        <f>IF($F683=0,0,SUMIFS('Time Off Log'!$H$5:$H$504,'Time Off Log'!$A$5:$A$504,$C683,'Time Off Log'!$B$5:$B$504,"Sick",'Time Off Log'!$E$5:$E$504,"Approved",'Time Off Log'!$C$5:$C$504,"&gt;="&amp;INDEX(Periods!$E$5:$E$57,$B683),'Time Off Log'!$C$5:$C$504,"&lt;="&amp;INDEX(Periods!$F$5:$F$57,$B683)))</f>
        <v/>
      </c>
      <c r="S683" s="48">
        <f>IF($B683=1,N(INDEX(Employees!$T$5:$T$29,$A683)),V682)</f>
        <v/>
      </c>
      <c r="T683" s="48">
        <f>IF(INDEX(Employees!$S$5:$S$29,$A683)="",Q683,MAX(0,MIN(Q683,INDEX(Employees!$S$5:$S$29,$A683)-(S683-R683))))</f>
        <v/>
      </c>
      <c r="U683" s="48">
        <f>Q683-T683</f>
        <v/>
      </c>
      <c r="V683" s="48">
        <f>S683-R683+T683</f>
        <v/>
      </c>
    </row>
    <row r="684">
      <c r="A684" s="47" t="n">
        <v>13</v>
      </c>
      <c r="B684" s="47" t="n">
        <v>44</v>
      </c>
      <c r="C684" s="48">
        <f>INDEX(Employees!$B$5:$B$29,$A684)&amp;""</f>
        <v/>
      </c>
      <c r="D684" s="49">
        <f>INDEX(Periods!$B$5:$B$57,$B684)</f>
        <v/>
      </c>
      <c r="E684" s="49">
        <f>INDEX(Periods!$C$5:$C$57,$B684)</f>
        <v/>
      </c>
      <c r="F684" s="47">
        <f>IF(AND($C684&lt;&gt;"",INDEX(Periods!$D$5:$D$57,$B684)=1),1,0)</f>
        <v/>
      </c>
      <c r="G684" s="47">
        <f>IF($F684=0,0,IF(AND(OR(INDEX(Employees!$D$5:$D$29,$A684)="",$E684&gt;=INDEX(Employees!$D$5:$D$29,$A684)+N(INDEX(Employees!$U$5:$U$29,$A684))),OR(INDEX(Employees!$E$5:$E$29,$A684)="",$D684&lt;=INDEX(Employees!$E$5:$E$29,$A684))),1,0))</f>
        <v/>
      </c>
      <c r="H684" s="47">
        <f>IF($G684=0,0,IF(INDEX(Employees!$D$5:$D$29,$A684)="",0,DATEDIF(INDEX(Employees!$D$5:$D$29,$A684),$E684,"y")))</f>
        <v/>
      </c>
      <c r="I684" s="48">
        <f>IF($G684=0,0,IF(INDEX('Hours Worked'!$D$5:$BD$29,$A684,$B684)="",N(INDEX(Employees!$H$5:$H$29,$A684)),INDEX('Hours Worked'!$D$5:$BD$29,$A684,$B684)))</f>
        <v/>
      </c>
      <c r="J684" s="48">
        <f>IF(OR($G684=0,INDEX(Employees!$O$5:$O$29,$A684)&lt;&gt;"Yes"),0,IF(COUNTIF(Settings!$D$4:$D$9,"&lt;="&amp;$H684)=0,0,INDEX(Settings!$E$4:$E$9,COUNTIF(Settings!$D$4:$D$9,"&lt;="&amp;$H684))))</f>
        <v/>
      </c>
      <c r="K684" s="48">
        <f>IF($G684=0,0,IF(INDEX(Employees!$I$5:$I$29,$A684)="Per pay period",(N(INDEX(Employees!$J$5:$J$29,$A684))+$J684)/Settings!$B$13,IF(INDEX(Employees!$I$5:$I$29,$A684)="Per hour worked",N(INDEX(Employees!$K$5:$K$29,$A684))*$I684,IF(INDEX(Employees!$I$5:$I$29,$A684)="Front-loaded",IF(OR($B684=1,N($G683)=0),N(INDEX(Employees!$J$5:$J$29,$A684))+$J684,0),0))))</f>
        <v/>
      </c>
      <c r="L684" s="48">
        <f>IF($F684=0,0,SUMIFS('Time Off Log'!$H$5:$H$504,'Time Off Log'!$A$5:$A$504,$C684,'Time Off Log'!$B$5:$B$504,"PTO",'Time Off Log'!$E$5:$E$504,"Approved",'Time Off Log'!$C$5:$C$504,"&gt;="&amp;INDEX(Periods!$E$5:$E$57,$B684),'Time Off Log'!$C$5:$C$504,"&lt;="&amp;INDEX(Periods!$F$5:$F$57,$B684)))</f>
        <v/>
      </c>
      <c r="M684" s="48">
        <f>IF($B684=1,N(INDEX(Employees!$N$5:$N$29,$A684)),P683)</f>
        <v/>
      </c>
      <c r="N684" s="48">
        <f>IF(INDEX(Employees!$L$5:$L$29,$A684)="",K684,MAX(0,MIN(K684,INDEX(Employees!$L$5:$L$29,$A684)-(M684-L684))))</f>
        <v/>
      </c>
      <c r="O684" s="48">
        <f>K684-N684</f>
        <v/>
      </c>
      <c r="P684" s="48">
        <f>M684-L684+N684</f>
        <v/>
      </c>
      <c r="Q684" s="48">
        <f>IF($G684=0,0,IF(INDEX(Employees!$P$5:$P$29,$A684)="Per pay period",(N(INDEX(Employees!$Q$5:$Q$29,$A684)))/Settings!$B$13,IF(INDEX(Employees!$P$5:$P$29,$A684)="Per hour worked",N(INDEX(Employees!$R$5:$R$29,$A684))*$I684,IF(INDEX(Employees!$P$5:$P$29,$A684)="Front-loaded",IF(OR($B684=1,N($G683)=0),N(INDEX(Employees!$Q$5:$Q$29,$A684)),0),0))))</f>
        <v/>
      </c>
      <c r="R684" s="48">
        <f>IF($F684=0,0,SUMIFS('Time Off Log'!$H$5:$H$504,'Time Off Log'!$A$5:$A$504,$C684,'Time Off Log'!$B$5:$B$504,"Sick",'Time Off Log'!$E$5:$E$504,"Approved",'Time Off Log'!$C$5:$C$504,"&gt;="&amp;INDEX(Periods!$E$5:$E$57,$B684),'Time Off Log'!$C$5:$C$504,"&lt;="&amp;INDEX(Periods!$F$5:$F$57,$B684)))</f>
        <v/>
      </c>
      <c r="S684" s="48">
        <f>IF($B684=1,N(INDEX(Employees!$T$5:$T$29,$A684)),V683)</f>
        <v/>
      </c>
      <c r="T684" s="48">
        <f>IF(INDEX(Employees!$S$5:$S$29,$A684)="",Q684,MAX(0,MIN(Q684,INDEX(Employees!$S$5:$S$29,$A684)-(S684-R684))))</f>
        <v/>
      </c>
      <c r="U684" s="48">
        <f>Q684-T684</f>
        <v/>
      </c>
      <c r="V684" s="48">
        <f>S684-R684+T684</f>
        <v/>
      </c>
    </row>
    <row r="685">
      <c r="A685" s="47" t="n">
        <v>13</v>
      </c>
      <c r="B685" s="47" t="n">
        <v>45</v>
      </c>
      <c r="C685" s="48">
        <f>INDEX(Employees!$B$5:$B$29,$A685)&amp;""</f>
        <v/>
      </c>
      <c r="D685" s="49">
        <f>INDEX(Periods!$B$5:$B$57,$B685)</f>
        <v/>
      </c>
      <c r="E685" s="49">
        <f>INDEX(Periods!$C$5:$C$57,$B685)</f>
        <v/>
      </c>
      <c r="F685" s="47">
        <f>IF(AND($C685&lt;&gt;"",INDEX(Periods!$D$5:$D$57,$B685)=1),1,0)</f>
        <v/>
      </c>
      <c r="G685" s="47">
        <f>IF($F685=0,0,IF(AND(OR(INDEX(Employees!$D$5:$D$29,$A685)="",$E685&gt;=INDEX(Employees!$D$5:$D$29,$A685)+N(INDEX(Employees!$U$5:$U$29,$A685))),OR(INDEX(Employees!$E$5:$E$29,$A685)="",$D685&lt;=INDEX(Employees!$E$5:$E$29,$A685))),1,0))</f>
        <v/>
      </c>
      <c r="H685" s="47">
        <f>IF($G685=0,0,IF(INDEX(Employees!$D$5:$D$29,$A685)="",0,DATEDIF(INDEX(Employees!$D$5:$D$29,$A685),$E685,"y")))</f>
        <v/>
      </c>
      <c r="I685" s="48">
        <f>IF($G685=0,0,IF(INDEX('Hours Worked'!$D$5:$BD$29,$A685,$B685)="",N(INDEX(Employees!$H$5:$H$29,$A685)),INDEX('Hours Worked'!$D$5:$BD$29,$A685,$B685)))</f>
        <v/>
      </c>
      <c r="J685" s="48">
        <f>IF(OR($G685=0,INDEX(Employees!$O$5:$O$29,$A685)&lt;&gt;"Yes"),0,IF(COUNTIF(Settings!$D$4:$D$9,"&lt;="&amp;$H685)=0,0,INDEX(Settings!$E$4:$E$9,COUNTIF(Settings!$D$4:$D$9,"&lt;="&amp;$H685))))</f>
        <v/>
      </c>
      <c r="K685" s="48">
        <f>IF($G685=0,0,IF(INDEX(Employees!$I$5:$I$29,$A685)="Per pay period",(N(INDEX(Employees!$J$5:$J$29,$A685))+$J685)/Settings!$B$13,IF(INDEX(Employees!$I$5:$I$29,$A685)="Per hour worked",N(INDEX(Employees!$K$5:$K$29,$A685))*$I685,IF(INDEX(Employees!$I$5:$I$29,$A685)="Front-loaded",IF(OR($B685=1,N($G684)=0),N(INDEX(Employees!$J$5:$J$29,$A685))+$J685,0),0))))</f>
        <v/>
      </c>
      <c r="L685" s="48">
        <f>IF($F685=0,0,SUMIFS('Time Off Log'!$H$5:$H$504,'Time Off Log'!$A$5:$A$504,$C685,'Time Off Log'!$B$5:$B$504,"PTO",'Time Off Log'!$E$5:$E$504,"Approved",'Time Off Log'!$C$5:$C$504,"&gt;="&amp;INDEX(Periods!$E$5:$E$57,$B685),'Time Off Log'!$C$5:$C$504,"&lt;="&amp;INDEX(Periods!$F$5:$F$57,$B685)))</f>
        <v/>
      </c>
      <c r="M685" s="48">
        <f>IF($B685=1,N(INDEX(Employees!$N$5:$N$29,$A685)),P684)</f>
        <v/>
      </c>
      <c r="N685" s="48">
        <f>IF(INDEX(Employees!$L$5:$L$29,$A685)="",K685,MAX(0,MIN(K685,INDEX(Employees!$L$5:$L$29,$A685)-(M685-L685))))</f>
        <v/>
      </c>
      <c r="O685" s="48">
        <f>K685-N685</f>
        <v/>
      </c>
      <c r="P685" s="48">
        <f>M685-L685+N685</f>
        <v/>
      </c>
      <c r="Q685" s="48">
        <f>IF($G685=0,0,IF(INDEX(Employees!$P$5:$P$29,$A685)="Per pay period",(N(INDEX(Employees!$Q$5:$Q$29,$A685)))/Settings!$B$13,IF(INDEX(Employees!$P$5:$P$29,$A685)="Per hour worked",N(INDEX(Employees!$R$5:$R$29,$A685))*$I685,IF(INDEX(Employees!$P$5:$P$29,$A685)="Front-loaded",IF(OR($B685=1,N($G684)=0),N(INDEX(Employees!$Q$5:$Q$29,$A685)),0),0))))</f>
        <v/>
      </c>
      <c r="R685" s="48">
        <f>IF($F685=0,0,SUMIFS('Time Off Log'!$H$5:$H$504,'Time Off Log'!$A$5:$A$504,$C685,'Time Off Log'!$B$5:$B$504,"Sick",'Time Off Log'!$E$5:$E$504,"Approved",'Time Off Log'!$C$5:$C$504,"&gt;="&amp;INDEX(Periods!$E$5:$E$57,$B685),'Time Off Log'!$C$5:$C$504,"&lt;="&amp;INDEX(Periods!$F$5:$F$57,$B685)))</f>
        <v/>
      </c>
      <c r="S685" s="48">
        <f>IF($B685=1,N(INDEX(Employees!$T$5:$T$29,$A685)),V684)</f>
        <v/>
      </c>
      <c r="T685" s="48">
        <f>IF(INDEX(Employees!$S$5:$S$29,$A685)="",Q685,MAX(0,MIN(Q685,INDEX(Employees!$S$5:$S$29,$A685)-(S685-R685))))</f>
        <v/>
      </c>
      <c r="U685" s="48">
        <f>Q685-T685</f>
        <v/>
      </c>
      <c r="V685" s="48">
        <f>S685-R685+T685</f>
        <v/>
      </c>
    </row>
    <row r="686">
      <c r="A686" s="47" t="n">
        <v>13</v>
      </c>
      <c r="B686" s="47" t="n">
        <v>46</v>
      </c>
      <c r="C686" s="48">
        <f>INDEX(Employees!$B$5:$B$29,$A686)&amp;""</f>
        <v/>
      </c>
      <c r="D686" s="49">
        <f>INDEX(Periods!$B$5:$B$57,$B686)</f>
        <v/>
      </c>
      <c r="E686" s="49">
        <f>INDEX(Periods!$C$5:$C$57,$B686)</f>
        <v/>
      </c>
      <c r="F686" s="47">
        <f>IF(AND($C686&lt;&gt;"",INDEX(Periods!$D$5:$D$57,$B686)=1),1,0)</f>
        <v/>
      </c>
      <c r="G686" s="47">
        <f>IF($F686=0,0,IF(AND(OR(INDEX(Employees!$D$5:$D$29,$A686)="",$E686&gt;=INDEX(Employees!$D$5:$D$29,$A686)+N(INDEX(Employees!$U$5:$U$29,$A686))),OR(INDEX(Employees!$E$5:$E$29,$A686)="",$D686&lt;=INDEX(Employees!$E$5:$E$29,$A686))),1,0))</f>
        <v/>
      </c>
      <c r="H686" s="47">
        <f>IF($G686=0,0,IF(INDEX(Employees!$D$5:$D$29,$A686)="",0,DATEDIF(INDEX(Employees!$D$5:$D$29,$A686),$E686,"y")))</f>
        <v/>
      </c>
      <c r="I686" s="48">
        <f>IF($G686=0,0,IF(INDEX('Hours Worked'!$D$5:$BD$29,$A686,$B686)="",N(INDEX(Employees!$H$5:$H$29,$A686)),INDEX('Hours Worked'!$D$5:$BD$29,$A686,$B686)))</f>
        <v/>
      </c>
      <c r="J686" s="48">
        <f>IF(OR($G686=0,INDEX(Employees!$O$5:$O$29,$A686)&lt;&gt;"Yes"),0,IF(COUNTIF(Settings!$D$4:$D$9,"&lt;="&amp;$H686)=0,0,INDEX(Settings!$E$4:$E$9,COUNTIF(Settings!$D$4:$D$9,"&lt;="&amp;$H686))))</f>
        <v/>
      </c>
      <c r="K686" s="48">
        <f>IF($G686=0,0,IF(INDEX(Employees!$I$5:$I$29,$A686)="Per pay period",(N(INDEX(Employees!$J$5:$J$29,$A686))+$J686)/Settings!$B$13,IF(INDEX(Employees!$I$5:$I$29,$A686)="Per hour worked",N(INDEX(Employees!$K$5:$K$29,$A686))*$I686,IF(INDEX(Employees!$I$5:$I$29,$A686)="Front-loaded",IF(OR($B686=1,N($G685)=0),N(INDEX(Employees!$J$5:$J$29,$A686))+$J686,0),0))))</f>
        <v/>
      </c>
      <c r="L686" s="48">
        <f>IF($F686=0,0,SUMIFS('Time Off Log'!$H$5:$H$504,'Time Off Log'!$A$5:$A$504,$C686,'Time Off Log'!$B$5:$B$504,"PTO",'Time Off Log'!$E$5:$E$504,"Approved",'Time Off Log'!$C$5:$C$504,"&gt;="&amp;INDEX(Periods!$E$5:$E$57,$B686),'Time Off Log'!$C$5:$C$504,"&lt;="&amp;INDEX(Periods!$F$5:$F$57,$B686)))</f>
        <v/>
      </c>
      <c r="M686" s="48">
        <f>IF($B686=1,N(INDEX(Employees!$N$5:$N$29,$A686)),P685)</f>
        <v/>
      </c>
      <c r="N686" s="48">
        <f>IF(INDEX(Employees!$L$5:$L$29,$A686)="",K686,MAX(0,MIN(K686,INDEX(Employees!$L$5:$L$29,$A686)-(M686-L686))))</f>
        <v/>
      </c>
      <c r="O686" s="48">
        <f>K686-N686</f>
        <v/>
      </c>
      <c r="P686" s="48">
        <f>M686-L686+N686</f>
        <v/>
      </c>
      <c r="Q686" s="48">
        <f>IF($G686=0,0,IF(INDEX(Employees!$P$5:$P$29,$A686)="Per pay period",(N(INDEX(Employees!$Q$5:$Q$29,$A686)))/Settings!$B$13,IF(INDEX(Employees!$P$5:$P$29,$A686)="Per hour worked",N(INDEX(Employees!$R$5:$R$29,$A686))*$I686,IF(INDEX(Employees!$P$5:$P$29,$A686)="Front-loaded",IF(OR($B686=1,N($G685)=0),N(INDEX(Employees!$Q$5:$Q$29,$A686)),0),0))))</f>
        <v/>
      </c>
      <c r="R686" s="48">
        <f>IF($F686=0,0,SUMIFS('Time Off Log'!$H$5:$H$504,'Time Off Log'!$A$5:$A$504,$C686,'Time Off Log'!$B$5:$B$504,"Sick",'Time Off Log'!$E$5:$E$504,"Approved",'Time Off Log'!$C$5:$C$504,"&gt;="&amp;INDEX(Periods!$E$5:$E$57,$B686),'Time Off Log'!$C$5:$C$504,"&lt;="&amp;INDEX(Periods!$F$5:$F$57,$B686)))</f>
        <v/>
      </c>
      <c r="S686" s="48">
        <f>IF($B686=1,N(INDEX(Employees!$T$5:$T$29,$A686)),V685)</f>
        <v/>
      </c>
      <c r="T686" s="48">
        <f>IF(INDEX(Employees!$S$5:$S$29,$A686)="",Q686,MAX(0,MIN(Q686,INDEX(Employees!$S$5:$S$29,$A686)-(S686-R686))))</f>
        <v/>
      </c>
      <c r="U686" s="48">
        <f>Q686-T686</f>
        <v/>
      </c>
      <c r="V686" s="48">
        <f>S686-R686+T686</f>
        <v/>
      </c>
    </row>
    <row r="687">
      <c r="A687" s="47" t="n">
        <v>13</v>
      </c>
      <c r="B687" s="47" t="n">
        <v>47</v>
      </c>
      <c r="C687" s="48">
        <f>INDEX(Employees!$B$5:$B$29,$A687)&amp;""</f>
        <v/>
      </c>
      <c r="D687" s="49">
        <f>INDEX(Periods!$B$5:$B$57,$B687)</f>
        <v/>
      </c>
      <c r="E687" s="49">
        <f>INDEX(Periods!$C$5:$C$57,$B687)</f>
        <v/>
      </c>
      <c r="F687" s="47">
        <f>IF(AND($C687&lt;&gt;"",INDEX(Periods!$D$5:$D$57,$B687)=1),1,0)</f>
        <v/>
      </c>
      <c r="G687" s="47">
        <f>IF($F687=0,0,IF(AND(OR(INDEX(Employees!$D$5:$D$29,$A687)="",$E687&gt;=INDEX(Employees!$D$5:$D$29,$A687)+N(INDEX(Employees!$U$5:$U$29,$A687))),OR(INDEX(Employees!$E$5:$E$29,$A687)="",$D687&lt;=INDEX(Employees!$E$5:$E$29,$A687))),1,0))</f>
        <v/>
      </c>
      <c r="H687" s="47">
        <f>IF($G687=0,0,IF(INDEX(Employees!$D$5:$D$29,$A687)="",0,DATEDIF(INDEX(Employees!$D$5:$D$29,$A687),$E687,"y")))</f>
        <v/>
      </c>
      <c r="I687" s="48">
        <f>IF($G687=0,0,IF(INDEX('Hours Worked'!$D$5:$BD$29,$A687,$B687)="",N(INDEX(Employees!$H$5:$H$29,$A687)),INDEX('Hours Worked'!$D$5:$BD$29,$A687,$B687)))</f>
        <v/>
      </c>
      <c r="J687" s="48">
        <f>IF(OR($G687=0,INDEX(Employees!$O$5:$O$29,$A687)&lt;&gt;"Yes"),0,IF(COUNTIF(Settings!$D$4:$D$9,"&lt;="&amp;$H687)=0,0,INDEX(Settings!$E$4:$E$9,COUNTIF(Settings!$D$4:$D$9,"&lt;="&amp;$H687))))</f>
        <v/>
      </c>
      <c r="K687" s="48">
        <f>IF($G687=0,0,IF(INDEX(Employees!$I$5:$I$29,$A687)="Per pay period",(N(INDEX(Employees!$J$5:$J$29,$A687))+$J687)/Settings!$B$13,IF(INDEX(Employees!$I$5:$I$29,$A687)="Per hour worked",N(INDEX(Employees!$K$5:$K$29,$A687))*$I687,IF(INDEX(Employees!$I$5:$I$29,$A687)="Front-loaded",IF(OR($B687=1,N($G686)=0),N(INDEX(Employees!$J$5:$J$29,$A687))+$J687,0),0))))</f>
        <v/>
      </c>
      <c r="L687" s="48">
        <f>IF($F687=0,0,SUMIFS('Time Off Log'!$H$5:$H$504,'Time Off Log'!$A$5:$A$504,$C687,'Time Off Log'!$B$5:$B$504,"PTO",'Time Off Log'!$E$5:$E$504,"Approved",'Time Off Log'!$C$5:$C$504,"&gt;="&amp;INDEX(Periods!$E$5:$E$57,$B687),'Time Off Log'!$C$5:$C$504,"&lt;="&amp;INDEX(Periods!$F$5:$F$57,$B687)))</f>
        <v/>
      </c>
      <c r="M687" s="48">
        <f>IF($B687=1,N(INDEX(Employees!$N$5:$N$29,$A687)),P686)</f>
        <v/>
      </c>
      <c r="N687" s="48">
        <f>IF(INDEX(Employees!$L$5:$L$29,$A687)="",K687,MAX(0,MIN(K687,INDEX(Employees!$L$5:$L$29,$A687)-(M687-L687))))</f>
        <v/>
      </c>
      <c r="O687" s="48">
        <f>K687-N687</f>
        <v/>
      </c>
      <c r="P687" s="48">
        <f>M687-L687+N687</f>
        <v/>
      </c>
      <c r="Q687" s="48">
        <f>IF($G687=0,0,IF(INDEX(Employees!$P$5:$P$29,$A687)="Per pay period",(N(INDEX(Employees!$Q$5:$Q$29,$A687)))/Settings!$B$13,IF(INDEX(Employees!$P$5:$P$29,$A687)="Per hour worked",N(INDEX(Employees!$R$5:$R$29,$A687))*$I687,IF(INDEX(Employees!$P$5:$P$29,$A687)="Front-loaded",IF(OR($B687=1,N($G686)=0),N(INDEX(Employees!$Q$5:$Q$29,$A687)),0),0))))</f>
        <v/>
      </c>
      <c r="R687" s="48">
        <f>IF($F687=0,0,SUMIFS('Time Off Log'!$H$5:$H$504,'Time Off Log'!$A$5:$A$504,$C687,'Time Off Log'!$B$5:$B$504,"Sick",'Time Off Log'!$E$5:$E$504,"Approved",'Time Off Log'!$C$5:$C$504,"&gt;="&amp;INDEX(Periods!$E$5:$E$57,$B687),'Time Off Log'!$C$5:$C$504,"&lt;="&amp;INDEX(Periods!$F$5:$F$57,$B687)))</f>
        <v/>
      </c>
      <c r="S687" s="48">
        <f>IF($B687=1,N(INDEX(Employees!$T$5:$T$29,$A687)),V686)</f>
        <v/>
      </c>
      <c r="T687" s="48">
        <f>IF(INDEX(Employees!$S$5:$S$29,$A687)="",Q687,MAX(0,MIN(Q687,INDEX(Employees!$S$5:$S$29,$A687)-(S687-R687))))</f>
        <v/>
      </c>
      <c r="U687" s="48">
        <f>Q687-T687</f>
        <v/>
      </c>
      <c r="V687" s="48">
        <f>S687-R687+T687</f>
        <v/>
      </c>
    </row>
    <row r="688">
      <c r="A688" s="47" t="n">
        <v>13</v>
      </c>
      <c r="B688" s="47" t="n">
        <v>48</v>
      </c>
      <c r="C688" s="48">
        <f>INDEX(Employees!$B$5:$B$29,$A688)&amp;""</f>
        <v/>
      </c>
      <c r="D688" s="49">
        <f>INDEX(Periods!$B$5:$B$57,$B688)</f>
        <v/>
      </c>
      <c r="E688" s="49">
        <f>INDEX(Periods!$C$5:$C$57,$B688)</f>
        <v/>
      </c>
      <c r="F688" s="47">
        <f>IF(AND($C688&lt;&gt;"",INDEX(Periods!$D$5:$D$57,$B688)=1),1,0)</f>
        <v/>
      </c>
      <c r="G688" s="47">
        <f>IF($F688=0,0,IF(AND(OR(INDEX(Employees!$D$5:$D$29,$A688)="",$E688&gt;=INDEX(Employees!$D$5:$D$29,$A688)+N(INDEX(Employees!$U$5:$U$29,$A688))),OR(INDEX(Employees!$E$5:$E$29,$A688)="",$D688&lt;=INDEX(Employees!$E$5:$E$29,$A688))),1,0))</f>
        <v/>
      </c>
      <c r="H688" s="47">
        <f>IF($G688=0,0,IF(INDEX(Employees!$D$5:$D$29,$A688)="",0,DATEDIF(INDEX(Employees!$D$5:$D$29,$A688),$E688,"y")))</f>
        <v/>
      </c>
      <c r="I688" s="48">
        <f>IF($G688=0,0,IF(INDEX('Hours Worked'!$D$5:$BD$29,$A688,$B688)="",N(INDEX(Employees!$H$5:$H$29,$A688)),INDEX('Hours Worked'!$D$5:$BD$29,$A688,$B688)))</f>
        <v/>
      </c>
      <c r="J688" s="48">
        <f>IF(OR($G688=0,INDEX(Employees!$O$5:$O$29,$A688)&lt;&gt;"Yes"),0,IF(COUNTIF(Settings!$D$4:$D$9,"&lt;="&amp;$H688)=0,0,INDEX(Settings!$E$4:$E$9,COUNTIF(Settings!$D$4:$D$9,"&lt;="&amp;$H688))))</f>
        <v/>
      </c>
      <c r="K688" s="48">
        <f>IF($G688=0,0,IF(INDEX(Employees!$I$5:$I$29,$A688)="Per pay period",(N(INDEX(Employees!$J$5:$J$29,$A688))+$J688)/Settings!$B$13,IF(INDEX(Employees!$I$5:$I$29,$A688)="Per hour worked",N(INDEX(Employees!$K$5:$K$29,$A688))*$I688,IF(INDEX(Employees!$I$5:$I$29,$A688)="Front-loaded",IF(OR($B688=1,N($G687)=0),N(INDEX(Employees!$J$5:$J$29,$A688))+$J688,0),0))))</f>
        <v/>
      </c>
      <c r="L688" s="48">
        <f>IF($F688=0,0,SUMIFS('Time Off Log'!$H$5:$H$504,'Time Off Log'!$A$5:$A$504,$C688,'Time Off Log'!$B$5:$B$504,"PTO",'Time Off Log'!$E$5:$E$504,"Approved",'Time Off Log'!$C$5:$C$504,"&gt;="&amp;INDEX(Periods!$E$5:$E$57,$B688),'Time Off Log'!$C$5:$C$504,"&lt;="&amp;INDEX(Periods!$F$5:$F$57,$B688)))</f>
        <v/>
      </c>
      <c r="M688" s="48">
        <f>IF($B688=1,N(INDEX(Employees!$N$5:$N$29,$A688)),P687)</f>
        <v/>
      </c>
      <c r="N688" s="48">
        <f>IF(INDEX(Employees!$L$5:$L$29,$A688)="",K688,MAX(0,MIN(K688,INDEX(Employees!$L$5:$L$29,$A688)-(M688-L688))))</f>
        <v/>
      </c>
      <c r="O688" s="48">
        <f>K688-N688</f>
        <v/>
      </c>
      <c r="P688" s="48">
        <f>M688-L688+N688</f>
        <v/>
      </c>
      <c r="Q688" s="48">
        <f>IF($G688=0,0,IF(INDEX(Employees!$P$5:$P$29,$A688)="Per pay period",(N(INDEX(Employees!$Q$5:$Q$29,$A688)))/Settings!$B$13,IF(INDEX(Employees!$P$5:$P$29,$A688)="Per hour worked",N(INDEX(Employees!$R$5:$R$29,$A688))*$I688,IF(INDEX(Employees!$P$5:$P$29,$A688)="Front-loaded",IF(OR($B688=1,N($G687)=0),N(INDEX(Employees!$Q$5:$Q$29,$A688)),0),0))))</f>
        <v/>
      </c>
      <c r="R688" s="48">
        <f>IF($F688=0,0,SUMIFS('Time Off Log'!$H$5:$H$504,'Time Off Log'!$A$5:$A$504,$C688,'Time Off Log'!$B$5:$B$504,"Sick",'Time Off Log'!$E$5:$E$504,"Approved",'Time Off Log'!$C$5:$C$504,"&gt;="&amp;INDEX(Periods!$E$5:$E$57,$B688),'Time Off Log'!$C$5:$C$504,"&lt;="&amp;INDEX(Periods!$F$5:$F$57,$B688)))</f>
        <v/>
      </c>
      <c r="S688" s="48">
        <f>IF($B688=1,N(INDEX(Employees!$T$5:$T$29,$A688)),V687)</f>
        <v/>
      </c>
      <c r="T688" s="48">
        <f>IF(INDEX(Employees!$S$5:$S$29,$A688)="",Q688,MAX(0,MIN(Q688,INDEX(Employees!$S$5:$S$29,$A688)-(S688-R688))))</f>
        <v/>
      </c>
      <c r="U688" s="48">
        <f>Q688-T688</f>
        <v/>
      </c>
      <c r="V688" s="48">
        <f>S688-R688+T688</f>
        <v/>
      </c>
    </row>
    <row r="689">
      <c r="A689" s="47" t="n">
        <v>13</v>
      </c>
      <c r="B689" s="47" t="n">
        <v>49</v>
      </c>
      <c r="C689" s="48">
        <f>INDEX(Employees!$B$5:$B$29,$A689)&amp;""</f>
        <v/>
      </c>
      <c r="D689" s="49">
        <f>INDEX(Periods!$B$5:$B$57,$B689)</f>
        <v/>
      </c>
      <c r="E689" s="49">
        <f>INDEX(Periods!$C$5:$C$57,$B689)</f>
        <v/>
      </c>
      <c r="F689" s="47">
        <f>IF(AND($C689&lt;&gt;"",INDEX(Periods!$D$5:$D$57,$B689)=1),1,0)</f>
        <v/>
      </c>
      <c r="G689" s="47">
        <f>IF($F689=0,0,IF(AND(OR(INDEX(Employees!$D$5:$D$29,$A689)="",$E689&gt;=INDEX(Employees!$D$5:$D$29,$A689)+N(INDEX(Employees!$U$5:$U$29,$A689))),OR(INDEX(Employees!$E$5:$E$29,$A689)="",$D689&lt;=INDEX(Employees!$E$5:$E$29,$A689))),1,0))</f>
        <v/>
      </c>
      <c r="H689" s="47">
        <f>IF($G689=0,0,IF(INDEX(Employees!$D$5:$D$29,$A689)="",0,DATEDIF(INDEX(Employees!$D$5:$D$29,$A689),$E689,"y")))</f>
        <v/>
      </c>
      <c r="I689" s="48">
        <f>IF($G689=0,0,IF(INDEX('Hours Worked'!$D$5:$BD$29,$A689,$B689)="",N(INDEX(Employees!$H$5:$H$29,$A689)),INDEX('Hours Worked'!$D$5:$BD$29,$A689,$B689)))</f>
        <v/>
      </c>
      <c r="J689" s="48">
        <f>IF(OR($G689=0,INDEX(Employees!$O$5:$O$29,$A689)&lt;&gt;"Yes"),0,IF(COUNTIF(Settings!$D$4:$D$9,"&lt;="&amp;$H689)=0,0,INDEX(Settings!$E$4:$E$9,COUNTIF(Settings!$D$4:$D$9,"&lt;="&amp;$H689))))</f>
        <v/>
      </c>
      <c r="K689" s="48">
        <f>IF($G689=0,0,IF(INDEX(Employees!$I$5:$I$29,$A689)="Per pay period",(N(INDEX(Employees!$J$5:$J$29,$A689))+$J689)/Settings!$B$13,IF(INDEX(Employees!$I$5:$I$29,$A689)="Per hour worked",N(INDEX(Employees!$K$5:$K$29,$A689))*$I689,IF(INDEX(Employees!$I$5:$I$29,$A689)="Front-loaded",IF(OR($B689=1,N($G688)=0),N(INDEX(Employees!$J$5:$J$29,$A689))+$J689,0),0))))</f>
        <v/>
      </c>
      <c r="L689" s="48">
        <f>IF($F689=0,0,SUMIFS('Time Off Log'!$H$5:$H$504,'Time Off Log'!$A$5:$A$504,$C689,'Time Off Log'!$B$5:$B$504,"PTO",'Time Off Log'!$E$5:$E$504,"Approved",'Time Off Log'!$C$5:$C$504,"&gt;="&amp;INDEX(Periods!$E$5:$E$57,$B689),'Time Off Log'!$C$5:$C$504,"&lt;="&amp;INDEX(Periods!$F$5:$F$57,$B689)))</f>
        <v/>
      </c>
      <c r="M689" s="48">
        <f>IF($B689=1,N(INDEX(Employees!$N$5:$N$29,$A689)),P688)</f>
        <v/>
      </c>
      <c r="N689" s="48">
        <f>IF(INDEX(Employees!$L$5:$L$29,$A689)="",K689,MAX(0,MIN(K689,INDEX(Employees!$L$5:$L$29,$A689)-(M689-L689))))</f>
        <v/>
      </c>
      <c r="O689" s="48">
        <f>K689-N689</f>
        <v/>
      </c>
      <c r="P689" s="48">
        <f>M689-L689+N689</f>
        <v/>
      </c>
      <c r="Q689" s="48">
        <f>IF($G689=0,0,IF(INDEX(Employees!$P$5:$P$29,$A689)="Per pay period",(N(INDEX(Employees!$Q$5:$Q$29,$A689)))/Settings!$B$13,IF(INDEX(Employees!$P$5:$P$29,$A689)="Per hour worked",N(INDEX(Employees!$R$5:$R$29,$A689))*$I689,IF(INDEX(Employees!$P$5:$P$29,$A689)="Front-loaded",IF(OR($B689=1,N($G688)=0),N(INDEX(Employees!$Q$5:$Q$29,$A689)),0),0))))</f>
        <v/>
      </c>
      <c r="R689" s="48">
        <f>IF($F689=0,0,SUMIFS('Time Off Log'!$H$5:$H$504,'Time Off Log'!$A$5:$A$504,$C689,'Time Off Log'!$B$5:$B$504,"Sick",'Time Off Log'!$E$5:$E$504,"Approved",'Time Off Log'!$C$5:$C$504,"&gt;="&amp;INDEX(Periods!$E$5:$E$57,$B689),'Time Off Log'!$C$5:$C$504,"&lt;="&amp;INDEX(Periods!$F$5:$F$57,$B689)))</f>
        <v/>
      </c>
      <c r="S689" s="48">
        <f>IF($B689=1,N(INDEX(Employees!$T$5:$T$29,$A689)),V688)</f>
        <v/>
      </c>
      <c r="T689" s="48">
        <f>IF(INDEX(Employees!$S$5:$S$29,$A689)="",Q689,MAX(0,MIN(Q689,INDEX(Employees!$S$5:$S$29,$A689)-(S689-R689))))</f>
        <v/>
      </c>
      <c r="U689" s="48">
        <f>Q689-T689</f>
        <v/>
      </c>
      <c r="V689" s="48">
        <f>S689-R689+T689</f>
        <v/>
      </c>
    </row>
    <row r="690">
      <c r="A690" s="47" t="n">
        <v>13</v>
      </c>
      <c r="B690" s="47" t="n">
        <v>50</v>
      </c>
      <c r="C690" s="48">
        <f>INDEX(Employees!$B$5:$B$29,$A690)&amp;""</f>
        <v/>
      </c>
      <c r="D690" s="49">
        <f>INDEX(Periods!$B$5:$B$57,$B690)</f>
        <v/>
      </c>
      <c r="E690" s="49">
        <f>INDEX(Periods!$C$5:$C$57,$B690)</f>
        <v/>
      </c>
      <c r="F690" s="47">
        <f>IF(AND($C690&lt;&gt;"",INDEX(Periods!$D$5:$D$57,$B690)=1),1,0)</f>
        <v/>
      </c>
      <c r="G690" s="47">
        <f>IF($F690=0,0,IF(AND(OR(INDEX(Employees!$D$5:$D$29,$A690)="",$E690&gt;=INDEX(Employees!$D$5:$D$29,$A690)+N(INDEX(Employees!$U$5:$U$29,$A690))),OR(INDEX(Employees!$E$5:$E$29,$A690)="",$D690&lt;=INDEX(Employees!$E$5:$E$29,$A690))),1,0))</f>
        <v/>
      </c>
      <c r="H690" s="47">
        <f>IF($G690=0,0,IF(INDEX(Employees!$D$5:$D$29,$A690)="",0,DATEDIF(INDEX(Employees!$D$5:$D$29,$A690),$E690,"y")))</f>
        <v/>
      </c>
      <c r="I690" s="48">
        <f>IF($G690=0,0,IF(INDEX('Hours Worked'!$D$5:$BD$29,$A690,$B690)="",N(INDEX(Employees!$H$5:$H$29,$A690)),INDEX('Hours Worked'!$D$5:$BD$29,$A690,$B690)))</f>
        <v/>
      </c>
      <c r="J690" s="48">
        <f>IF(OR($G690=0,INDEX(Employees!$O$5:$O$29,$A690)&lt;&gt;"Yes"),0,IF(COUNTIF(Settings!$D$4:$D$9,"&lt;="&amp;$H690)=0,0,INDEX(Settings!$E$4:$E$9,COUNTIF(Settings!$D$4:$D$9,"&lt;="&amp;$H690))))</f>
        <v/>
      </c>
      <c r="K690" s="48">
        <f>IF($G690=0,0,IF(INDEX(Employees!$I$5:$I$29,$A690)="Per pay period",(N(INDEX(Employees!$J$5:$J$29,$A690))+$J690)/Settings!$B$13,IF(INDEX(Employees!$I$5:$I$29,$A690)="Per hour worked",N(INDEX(Employees!$K$5:$K$29,$A690))*$I690,IF(INDEX(Employees!$I$5:$I$29,$A690)="Front-loaded",IF(OR($B690=1,N($G689)=0),N(INDEX(Employees!$J$5:$J$29,$A690))+$J690,0),0))))</f>
        <v/>
      </c>
      <c r="L690" s="48">
        <f>IF($F690=0,0,SUMIFS('Time Off Log'!$H$5:$H$504,'Time Off Log'!$A$5:$A$504,$C690,'Time Off Log'!$B$5:$B$504,"PTO",'Time Off Log'!$E$5:$E$504,"Approved",'Time Off Log'!$C$5:$C$504,"&gt;="&amp;INDEX(Periods!$E$5:$E$57,$B690),'Time Off Log'!$C$5:$C$504,"&lt;="&amp;INDEX(Periods!$F$5:$F$57,$B690)))</f>
        <v/>
      </c>
      <c r="M690" s="48">
        <f>IF($B690=1,N(INDEX(Employees!$N$5:$N$29,$A690)),P689)</f>
        <v/>
      </c>
      <c r="N690" s="48">
        <f>IF(INDEX(Employees!$L$5:$L$29,$A690)="",K690,MAX(0,MIN(K690,INDEX(Employees!$L$5:$L$29,$A690)-(M690-L690))))</f>
        <v/>
      </c>
      <c r="O690" s="48">
        <f>K690-N690</f>
        <v/>
      </c>
      <c r="P690" s="48">
        <f>M690-L690+N690</f>
        <v/>
      </c>
      <c r="Q690" s="48">
        <f>IF($G690=0,0,IF(INDEX(Employees!$P$5:$P$29,$A690)="Per pay period",(N(INDEX(Employees!$Q$5:$Q$29,$A690)))/Settings!$B$13,IF(INDEX(Employees!$P$5:$P$29,$A690)="Per hour worked",N(INDEX(Employees!$R$5:$R$29,$A690))*$I690,IF(INDEX(Employees!$P$5:$P$29,$A690)="Front-loaded",IF(OR($B690=1,N($G689)=0),N(INDEX(Employees!$Q$5:$Q$29,$A690)),0),0))))</f>
        <v/>
      </c>
      <c r="R690" s="48">
        <f>IF($F690=0,0,SUMIFS('Time Off Log'!$H$5:$H$504,'Time Off Log'!$A$5:$A$504,$C690,'Time Off Log'!$B$5:$B$504,"Sick",'Time Off Log'!$E$5:$E$504,"Approved",'Time Off Log'!$C$5:$C$504,"&gt;="&amp;INDEX(Periods!$E$5:$E$57,$B690),'Time Off Log'!$C$5:$C$504,"&lt;="&amp;INDEX(Periods!$F$5:$F$57,$B690)))</f>
        <v/>
      </c>
      <c r="S690" s="48">
        <f>IF($B690=1,N(INDEX(Employees!$T$5:$T$29,$A690)),V689)</f>
        <v/>
      </c>
      <c r="T690" s="48">
        <f>IF(INDEX(Employees!$S$5:$S$29,$A690)="",Q690,MAX(0,MIN(Q690,INDEX(Employees!$S$5:$S$29,$A690)-(S690-R690))))</f>
        <v/>
      </c>
      <c r="U690" s="48">
        <f>Q690-T690</f>
        <v/>
      </c>
      <c r="V690" s="48">
        <f>S690-R690+T690</f>
        <v/>
      </c>
    </row>
    <row r="691">
      <c r="A691" s="47" t="n">
        <v>13</v>
      </c>
      <c r="B691" s="47" t="n">
        <v>51</v>
      </c>
      <c r="C691" s="48">
        <f>INDEX(Employees!$B$5:$B$29,$A691)&amp;""</f>
        <v/>
      </c>
      <c r="D691" s="49">
        <f>INDEX(Periods!$B$5:$B$57,$B691)</f>
        <v/>
      </c>
      <c r="E691" s="49">
        <f>INDEX(Periods!$C$5:$C$57,$B691)</f>
        <v/>
      </c>
      <c r="F691" s="47">
        <f>IF(AND($C691&lt;&gt;"",INDEX(Periods!$D$5:$D$57,$B691)=1),1,0)</f>
        <v/>
      </c>
      <c r="G691" s="47">
        <f>IF($F691=0,0,IF(AND(OR(INDEX(Employees!$D$5:$D$29,$A691)="",$E691&gt;=INDEX(Employees!$D$5:$D$29,$A691)+N(INDEX(Employees!$U$5:$U$29,$A691))),OR(INDEX(Employees!$E$5:$E$29,$A691)="",$D691&lt;=INDEX(Employees!$E$5:$E$29,$A691))),1,0))</f>
        <v/>
      </c>
      <c r="H691" s="47">
        <f>IF($G691=0,0,IF(INDEX(Employees!$D$5:$D$29,$A691)="",0,DATEDIF(INDEX(Employees!$D$5:$D$29,$A691),$E691,"y")))</f>
        <v/>
      </c>
      <c r="I691" s="48">
        <f>IF($G691=0,0,IF(INDEX('Hours Worked'!$D$5:$BD$29,$A691,$B691)="",N(INDEX(Employees!$H$5:$H$29,$A691)),INDEX('Hours Worked'!$D$5:$BD$29,$A691,$B691)))</f>
        <v/>
      </c>
      <c r="J691" s="48">
        <f>IF(OR($G691=0,INDEX(Employees!$O$5:$O$29,$A691)&lt;&gt;"Yes"),0,IF(COUNTIF(Settings!$D$4:$D$9,"&lt;="&amp;$H691)=0,0,INDEX(Settings!$E$4:$E$9,COUNTIF(Settings!$D$4:$D$9,"&lt;="&amp;$H691))))</f>
        <v/>
      </c>
      <c r="K691" s="48">
        <f>IF($G691=0,0,IF(INDEX(Employees!$I$5:$I$29,$A691)="Per pay period",(N(INDEX(Employees!$J$5:$J$29,$A691))+$J691)/Settings!$B$13,IF(INDEX(Employees!$I$5:$I$29,$A691)="Per hour worked",N(INDEX(Employees!$K$5:$K$29,$A691))*$I691,IF(INDEX(Employees!$I$5:$I$29,$A691)="Front-loaded",IF(OR($B691=1,N($G690)=0),N(INDEX(Employees!$J$5:$J$29,$A691))+$J691,0),0))))</f>
        <v/>
      </c>
      <c r="L691" s="48">
        <f>IF($F691=0,0,SUMIFS('Time Off Log'!$H$5:$H$504,'Time Off Log'!$A$5:$A$504,$C691,'Time Off Log'!$B$5:$B$504,"PTO",'Time Off Log'!$E$5:$E$504,"Approved",'Time Off Log'!$C$5:$C$504,"&gt;="&amp;INDEX(Periods!$E$5:$E$57,$B691),'Time Off Log'!$C$5:$C$504,"&lt;="&amp;INDEX(Periods!$F$5:$F$57,$B691)))</f>
        <v/>
      </c>
      <c r="M691" s="48">
        <f>IF($B691=1,N(INDEX(Employees!$N$5:$N$29,$A691)),P690)</f>
        <v/>
      </c>
      <c r="N691" s="48">
        <f>IF(INDEX(Employees!$L$5:$L$29,$A691)="",K691,MAX(0,MIN(K691,INDEX(Employees!$L$5:$L$29,$A691)-(M691-L691))))</f>
        <v/>
      </c>
      <c r="O691" s="48">
        <f>K691-N691</f>
        <v/>
      </c>
      <c r="P691" s="48">
        <f>M691-L691+N691</f>
        <v/>
      </c>
      <c r="Q691" s="48">
        <f>IF($G691=0,0,IF(INDEX(Employees!$P$5:$P$29,$A691)="Per pay period",(N(INDEX(Employees!$Q$5:$Q$29,$A691)))/Settings!$B$13,IF(INDEX(Employees!$P$5:$P$29,$A691)="Per hour worked",N(INDEX(Employees!$R$5:$R$29,$A691))*$I691,IF(INDEX(Employees!$P$5:$P$29,$A691)="Front-loaded",IF(OR($B691=1,N($G690)=0),N(INDEX(Employees!$Q$5:$Q$29,$A691)),0),0))))</f>
        <v/>
      </c>
      <c r="R691" s="48">
        <f>IF($F691=0,0,SUMIFS('Time Off Log'!$H$5:$H$504,'Time Off Log'!$A$5:$A$504,$C691,'Time Off Log'!$B$5:$B$504,"Sick",'Time Off Log'!$E$5:$E$504,"Approved",'Time Off Log'!$C$5:$C$504,"&gt;="&amp;INDEX(Periods!$E$5:$E$57,$B691),'Time Off Log'!$C$5:$C$504,"&lt;="&amp;INDEX(Periods!$F$5:$F$57,$B691)))</f>
        <v/>
      </c>
      <c r="S691" s="48">
        <f>IF($B691=1,N(INDEX(Employees!$T$5:$T$29,$A691)),V690)</f>
        <v/>
      </c>
      <c r="T691" s="48">
        <f>IF(INDEX(Employees!$S$5:$S$29,$A691)="",Q691,MAX(0,MIN(Q691,INDEX(Employees!$S$5:$S$29,$A691)-(S691-R691))))</f>
        <v/>
      </c>
      <c r="U691" s="48">
        <f>Q691-T691</f>
        <v/>
      </c>
      <c r="V691" s="48">
        <f>S691-R691+T691</f>
        <v/>
      </c>
    </row>
    <row r="692">
      <c r="A692" s="47" t="n">
        <v>13</v>
      </c>
      <c r="B692" s="47" t="n">
        <v>52</v>
      </c>
      <c r="C692" s="48">
        <f>INDEX(Employees!$B$5:$B$29,$A692)&amp;""</f>
        <v/>
      </c>
      <c r="D692" s="49">
        <f>INDEX(Periods!$B$5:$B$57,$B692)</f>
        <v/>
      </c>
      <c r="E692" s="49">
        <f>INDEX(Periods!$C$5:$C$57,$B692)</f>
        <v/>
      </c>
      <c r="F692" s="47">
        <f>IF(AND($C692&lt;&gt;"",INDEX(Periods!$D$5:$D$57,$B692)=1),1,0)</f>
        <v/>
      </c>
      <c r="G692" s="47">
        <f>IF($F692=0,0,IF(AND(OR(INDEX(Employees!$D$5:$D$29,$A692)="",$E692&gt;=INDEX(Employees!$D$5:$D$29,$A692)+N(INDEX(Employees!$U$5:$U$29,$A692))),OR(INDEX(Employees!$E$5:$E$29,$A692)="",$D692&lt;=INDEX(Employees!$E$5:$E$29,$A692))),1,0))</f>
        <v/>
      </c>
      <c r="H692" s="47">
        <f>IF($G692=0,0,IF(INDEX(Employees!$D$5:$D$29,$A692)="",0,DATEDIF(INDEX(Employees!$D$5:$D$29,$A692),$E692,"y")))</f>
        <v/>
      </c>
      <c r="I692" s="48">
        <f>IF($G692=0,0,IF(INDEX('Hours Worked'!$D$5:$BD$29,$A692,$B692)="",N(INDEX(Employees!$H$5:$H$29,$A692)),INDEX('Hours Worked'!$D$5:$BD$29,$A692,$B692)))</f>
        <v/>
      </c>
      <c r="J692" s="48">
        <f>IF(OR($G692=0,INDEX(Employees!$O$5:$O$29,$A692)&lt;&gt;"Yes"),0,IF(COUNTIF(Settings!$D$4:$D$9,"&lt;="&amp;$H692)=0,0,INDEX(Settings!$E$4:$E$9,COUNTIF(Settings!$D$4:$D$9,"&lt;="&amp;$H692))))</f>
        <v/>
      </c>
      <c r="K692" s="48">
        <f>IF($G692=0,0,IF(INDEX(Employees!$I$5:$I$29,$A692)="Per pay period",(N(INDEX(Employees!$J$5:$J$29,$A692))+$J692)/Settings!$B$13,IF(INDEX(Employees!$I$5:$I$29,$A692)="Per hour worked",N(INDEX(Employees!$K$5:$K$29,$A692))*$I692,IF(INDEX(Employees!$I$5:$I$29,$A692)="Front-loaded",IF(OR($B692=1,N($G691)=0),N(INDEX(Employees!$J$5:$J$29,$A692))+$J692,0),0))))</f>
        <v/>
      </c>
      <c r="L692" s="48">
        <f>IF($F692=0,0,SUMIFS('Time Off Log'!$H$5:$H$504,'Time Off Log'!$A$5:$A$504,$C692,'Time Off Log'!$B$5:$B$504,"PTO",'Time Off Log'!$E$5:$E$504,"Approved",'Time Off Log'!$C$5:$C$504,"&gt;="&amp;INDEX(Periods!$E$5:$E$57,$B692),'Time Off Log'!$C$5:$C$504,"&lt;="&amp;INDEX(Periods!$F$5:$F$57,$B692)))</f>
        <v/>
      </c>
      <c r="M692" s="48">
        <f>IF($B692=1,N(INDEX(Employees!$N$5:$N$29,$A692)),P691)</f>
        <v/>
      </c>
      <c r="N692" s="48">
        <f>IF(INDEX(Employees!$L$5:$L$29,$A692)="",K692,MAX(0,MIN(K692,INDEX(Employees!$L$5:$L$29,$A692)-(M692-L692))))</f>
        <v/>
      </c>
      <c r="O692" s="48">
        <f>K692-N692</f>
        <v/>
      </c>
      <c r="P692" s="48">
        <f>M692-L692+N692</f>
        <v/>
      </c>
      <c r="Q692" s="48">
        <f>IF($G692=0,0,IF(INDEX(Employees!$P$5:$P$29,$A692)="Per pay period",(N(INDEX(Employees!$Q$5:$Q$29,$A692)))/Settings!$B$13,IF(INDEX(Employees!$P$5:$P$29,$A692)="Per hour worked",N(INDEX(Employees!$R$5:$R$29,$A692))*$I692,IF(INDEX(Employees!$P$5:$P$29,$A692)="Front-loaded",IF(OR($B692=1,N($G691)=0),N(INDEX(Employees!$Q$5:$Q$29,$A692)),0),0))))</f>
        <v/>
      </c>
      <c r="R692" s="48">
        <f>IF($F692=0,0,SUMIFS('Time Off Log'!$H$5:$H$504,'Time Off Log'!$A$5:$A$504,$C692,'Time Off Log'!$B$5:$B$504,"Sick",'Time Off Log'!$E$5:$E$504,"Approved",'Time Off Log'!$C$5:$C$504,"&gt;="&amp;INDEX(Periods!$E$5:$E$57,$B692),'Time Off Log'!$C$5:$C$504,"&lt;="&amp;INDEX(Periods!$F$5:$F$57,$B692)))</f>
        <v/>
      </c>
      <c r="S692" s="48">
        <f>IF($B692=1,N(INDEX(Employees!$T$5:$T$29,$A692)),V691)</f>
        <v/>
      </c>
      <c r="T692" s="48">
        <f>IF(INDEX(Employees!$S$5:$S$29,$A692)="",Q692,MAX(0,MIN(Q692,INDEX(Employees!$S$5:$S$29,$A692)-(S692-R692))))</f>
        <v/>
      </c>
      <c r="U692" s="48">
        <f>Q692-T692</f>
        <v/>
      </c>
      <c r="V692" s="48">
        <f>S692-R692+T692</f>
        <v/>
      </c>
    </row>
    <row r="693">
      <c r="A693" s="47" t="n">
        <v>13</v>
      </c>
      <c r="B693" s="47" t="n">
        <v>53</v>
      </c>
      <c r="C693" s="48">
        <f>INDEX(Employees!$B$5:$B$29,$A693)&amp;""</f>
        <v/>
      </c>
      <c r="D693" s="49">
        <f>INDEX(Periods!$B$5:$B$57,$B693)</f>
        <v/>
      </c>
      <c r="E693" s="49">
        <f>INDEX(Periods!$C$5:$C$57,$B693)</f>
        <v/>
      </c>
      <c r="F693" s="47">
        <f>IF(AND($C693&lt;&gt;"",INDEX(Periods!$D$5:$D$57,$B693)=1),1,0)</f>
        <v/>
      </c>
      <c r="G693" s="47">
        <f>IF($F693=0,0,IF(AND(OR(INDEX(Employees!$D$5:$D$29,$A693)="",$E693&gt;=INDEX(Employees!$D$5:$D$29,$A693)+N(INDEX(Employees!$U$5:$U$29,$A693))),OR(INDEX(Employees!$E$5:$E$29,$A693)="",$D693&lt;=INDEX(Employees!$E$5:$E$29,$A693))),1,0))</f>
        <v/>
      </c>
      <c r="H693" s="47">
        <f>IF($G693=0,0,IF(INDEX(Employees!$D$5:$D$29,$A693)="",0,DATEDIF(INDEX(Employees!$D$5:$D$29,$A693),$E693,"y")))</f>
        <v/>
      </c>
      <c r="I693" s="48">
        <f>IF($G693=0,0,IF(INDEX('Hours Worked'!$D$5:$BD$29,$A693,$B693)="",N(INDEX(Employees!$H$5:$H$29,$A693)),INDEX('Hours Worked'!$D$5:$BD$29,$A693,$B693)))</f>
        <v/>
      </c>
      <c r="J693" s="48">
        <f>IF(OR($G693=0,INDEX(Employees!$O$5:$O$29,$A693)&lt;&gt;"Yes"),0,IF(COUNTIF(Settings!$D$4:$D$9,"&lt;="&amp;$H693)=0,0,INDEX(Settings!$E$4:$E$9,COUNTIF(Settings!$D$4:$D$9,"&lt;="&amp;$H693))))</f>
        <v/>
      </c>
      <c r="K693" s="48">
        <f>IF($G693=0,0,IF(INDEX(Employees!$I$5:$I$29,$A693)="Per pay period",(N(INDEX(Employees!$J$5:$J$29,$A693))+$J693)/Settings!$B$13,IF(INDEX(Employees!$I$5:$I$29,$A693)="Per hour worked",N(INDEX(Employees!$K$5:$K$29,$A693))*$I693,IF(INDEX(Employees!$I$5:$I$29,$A693)="Front-loaded",IF(OR($B693=1,N($G692)=0),N(INDEX(Employees!$J$5:$J$29,$A693))+$J693,0),0))))</f>
        <v/>
      </c>
      <c r="L693" s="48">
        <f>IF($F693=0,0,SUMIFS('Time Off Log'!$H$5:$H$504,'Time Off Log'!$A$5:$A$504,$C693,'Time Off Log'!$B$5:$B$504,"PTO",'Time Off Log'!$E$5:$E$504,"Approved",'Time Off Log'!$C$5:$C$504,"&gt;="&amp;INDEX(Periods!$E$5:$E$57,$B693),'Time Off Log'!$C$5:$C$504,"&lt;="&amp;INDEX(Periods!$F$5:$F$57,$B693)))</f>
        <v/>
      </c>
      <c r="M693" s="48">
        <f>IF($B693=1,N(INDEX(Employees!$N$5:$N$29,$A693)),P692)</f>
        <v/>
      </c>
      <c r="N693" s="48">
        <f>IF(INDEX(Employees!$L$5:$L$29,$A693)="",K693,MAX(0,MIN(K693,INDEX(Employees!$L$5:$L$29,$A693)-(M693-L693))))</f>
        <v/>
      </c>
      <c r="O693" s="48">
        <f>K693-N693</f>
        <v/>
      </c>
      <c r="P693" s="48">
        <f>M693-L693+N693</f>
        <v/>
      </c>
      <c r="Q693" s="48">
        <f>IF($G693=0,0,IF(INDEX(Employees!$P$5:$P$29,$A693)="Per pay period",(N(INDEX(Employees!$Q$5:$Q$29,$A693)))/Settings!$B$13,IF(INDEX(Employees!$P$5:$P$29,$A693)="Per hour worked",N(INDEX(Employees!$R$5:$R$29,$A693))*$I693,IF(INDEX(Employees!$P$5:$P$29,$A693)="Front-loaded",IF(OR($B693=1,N($G692)=0),N(INDEX(Employees!$Q$5:$Q$29,$A693)),0),0))))</f>
        <v/>
      </c>
      <c r="R693" s="48">
        <f>IF($F693=0,0,SUMIFS('Time Off Log'!$H$5:$H$504,'Time Off Log'!$A$5:$A$504,$C693,'Time Off Log'!$B$5:$B$504,"Sick",'Time Off Log'!$E$5:$E$504,"Approved",'Time Off Log'!$C$5:$C$504,"&gt;="&amp;INDEX(Periods!$E$5:$E$57,$B693),'Time Off Log'!$C$5:$C$504,"&lt;="&amp;INDEX(Periods!$F$5:$F$57,$B693)))</f>
        <v/>
      </c>
      <c r="S693" s="48">
        <f>IF($B693=1,N(INDEX(Employees!$T$5:$T$29,$A693)),V692)</f>
        <v/>
      </c>
      <c r="T693" s="48">
        <f>IF(INDEX(Employees!$S$5:$S$29,$A693)="",Q693,MAX(0,MIN(Q693,INDEX(Employees!$S$5:$S$29,$A693)-(S693-R693))))</f>
        <v/>
      </c>
      <c r="U693" s="48">
        <f>Q693-T693</f>
        <v/>
      </c>
      <c r="V693" s="48">
        <f>S693-R693+T693</f>
        <v/>
      </c>
    </row>
    <row r="694">
      <c r="A694" s="50" t="n">
        <v>14</v>
      </c>
      <c r="B694" s="50" t="n">
        <v>1</v>
      </c>
      <c r="C694" s="51">
        <f>INDEX(Employees!$B$5:$B$29,$A694)&amp;""</f>
        <v/>
      </c>
      <c r="D694" s="52">
        <f>INDEX(Periods!$B$5:$B$57,$B694)</f>
        <v/>
      </c>
      <c r="E694" s="52">
        <f>INDEX(Periods!$C$5:$C$57,$B694)</f>
        <v/>
      </c>
      <c r="F694" s="50">
        <f>IF(AND($C694&lt;&gt;"",INDEX(Periods!$D$5:$D$57,$B694)=1),1,0)</f>
        <v/>
      </c>
      <c r="G694" s="50">
        <f>IF($F694=0,0,IF(AND(OR(INDEX(Employees!$D$5:$D$29,$A694)="",$E694&gt;=INDEX(Employees!$D$5:$D$29,$A694)+N(INDEX(Employees!$U$5:$U$29,$A694))),OR(INDEX(Employees!$E$5:$E$29,$A694)="",$D694&lt;=INDEX(Employees!$E$5:$E$29,$A694))),1,0))</f>
        <v/>
      </c>
      <c r="H694" s="50">
        <f>IF($G694=0,0,IF(INDEX(Employees!$D$5:$D$29,$A694)="",0,DATEDIF(INDEX(Employees!$D$5:$D$29,$A694),$E694,"y")))</f>
        <v/>
      </c>
      <c r="I694" s="51">
        <f>IF($G694=0,0,IF(INDEX('Hours Worked'!$D$5:$BD$29,$A694,$B694)="",N(INDEX(Employees!$H$5:$H$29,$A694)),INDEX('Hours Worked'!$D$5:$BD$29,$A694,$B694)))</f>
        <v/>
      </c>
      <c r="J694" s="51">
        <f>IF(OR($G694=0,INDEX(Employees!$O$5:$O$29,$A694)&lt;&gt;"Yes"),0,IF(COUNTIF(Settings!$D$4:$D$9,"&lt;="&amp;$H694)=0,0,INDEX(Settings!$E$4:$E$9,COUNTIF(Settings!$D$4:$D$9,"&lt;="&amp;$H694))))</f>
        <v/>
      </c>
      <c r="K694" s="51">
        <f>IF($G694=0,0,IF(INDEX(Employees!$I$5:$I$29,$A694)="Per pay period",(N(INDEX(Employees!$J$5:$J$29,$A694))+$J694)/Settings!$B$13,IF(INDEX(Employees!$I$5:$I$29,$A694)="Per hour worked",N(INDEX(Employees!$K$5:$K$29,$A694))*$I694,IF(INDEX(Employees!$I$5:$I$29,$A694)="Front-loaded",IF(OR($B694=1,N($G693)=0),N(INDEX(Employees!$J$5:$J$29,$A694))+$J694,0),0))))</f>
        <v/>
      </c>
      <c r="L694" s="51">
        <f>IF($F694=0,0,SUMIFS('Time Off Log'!$H$5:$H$504,'Time Off Log'!$A$5:$A$504,$C694,'Time Off Log'!$B$5:$B$504,"PTO",'Time Off Log'!$E$5:$E$504,"Approved",'Time Off Log'!$C$5:$C$504,"&gt;="&amp;INDEX(Periods!$E$5:$E$57,$B694),'Time Off Log'!$C$5:$C$504,"&lt;="&amp;INDEX(Periods!$F$5:$F$57,$B694)))</f>
        <v/>
      </c>
      <c r="M694" s="51">
        <f>N(INDEX(Employees!$N$5:$N$29,$A694))</f>
        <v/>
      </c>
      <c r="N694" s="51">
        <f>IF(INDEX(Employees!$L$5:$L$29,$A694)="",K694,MAX(0,MIN(K694,INDEX(Employees!$L$5:$L$29,$A694)-(M694-L694))))</f>
        <v/>
      </c>
      <c r="O694" s="51">
        <f>K694-N694</f>
        <v/>
      </c>
      <c r="P694" s="51">
        <f>M694-L694+N694</f>
        <v/>
      </c>
      <c r="Q694" s="51">
        <f>IF($G694=0,0,IF(INDEX(Employees!$P$5:$P$29,$A694)="Per pay period",(N(INDEX(Employees!$Q$5:$Q$29,$A694)))/Settings!$B$13,IF(INDEX(Employees!$P$5:$P$29,$A694)="Per hour worked",N(INDEX(Employees!$R$5:$R$29,$A694))*$I694,IF(INDEX(Employees!$P$5:$P$29,$A694)="Front-loaded",IF(OR($B694=1,N($G693)=0),N(INDEX(Employees!$Q$5:$Q$29,$A694)),0),0))))</f>
        <v/>
      </c>
      <c r="R694" s="51">
        <f>IF($F694=0,0,SUMIFS('Time Off Log'!$H$5:$H$504,'Time Off Log'!$A$5:$A$504,$C694,'Time Off Log'!$B$5:$B$504,"Sick",'Time Off Log'!$E$5:$E$504,"Approved",'Time Off Log'!$C$5:$C$504,"&gt;="&amp;INDEX(Periods!$E$5:$E$57,$B694),'Time Off Log'!$C$5:$C$504,"&lt;="&amp;INDEX(Periods!$F$5:$F$57,$B694)))</f>
        <v/>
      </c>
      <c r="S694" s="51">
        <f>N(INDEX(Employees!$T$5:$T$29,$A694))</f>
        <v/>
      </c>
      <c r="T694" s="51">
        <f>IF(INDEX(Employees!$S$5:$S$29,$A694)="",Q694,MAX(0,MIN(Q694,INDEX(Employees!$S$5:$S$29,$A694)-(S694-R694))))</f>
        <v/>
      </c>
      <c r="U694" s="51">
        <f>Q694-T694</f>
        <v/>
      </c>
      <c r="V694" s="51">
        <f>S694-R694+T694</f>
        <v/>
      </c>
    </row>
    <row r="695">
      <c r="A695" s="50" t="n">
        <v>14</v>
      </c>
      <c r="B695" s="50" t="n">
        <v>2</v>
      </c>
      <c r="C695" s="51">
        <f>INDEX(Employees!$B$5:$B$29,$A695)&amp;""</f>
        <v/>
      </c>
      <c r="D695" s="52">
        <f>INDEX(Periods!$B$5:$B$57,$B695)</f>
        <v/>
      </c>
      <c r="E695" s="52">
        <f>INDEX(Periods!$C$5:$C$57,$B695)</f>
        <v/>
      </c>
      <c r="F695" s="50">
        <f>IF(AND($C695&lt;&gt;"",INDEX(Periods!$D$5:$D$57,$B695)=1),1,0)</f>
        <v/>
      </c>
      <c r="G695" s="50">
        <f>IF($F695=0,0,IF(AND(OR(INDEX(Employees!$D$5:$D$29,$A695)="",$E695&gt;=INDEX(Employees!$D$5:$D$29,$A695)+N(INDEX(Employees!$U$5:$U$29,$A695))),OR(INDEX(Employees!$E$5:$E$29,$A695)="",$D695&lt;=INDEX(Employees!$E$5:$E$29,$A695))),1,0))</f>
        <v/>
      </c>
      <c r="H695" s="50">
        <f>IF($G695=0,0,IF(INDEX(Employees!$D$5:$D$29,$A695)="",0,DATEDIF(INDEX(Employees!$D$5:$D$29,$A695),$E695,"y")))</f>
        <v/>
      </c>
      <c r="I695" s="51">
        <f>IF($G695=0,0,IF(INDEX('Hours Worked'!$D$5:$BD$29,$A695,$B695)="",N(INDEX(Employees!$H$5:$H$29,$A695)),INDEX('Hours Worked'!$D$5:$BD$29,$A695,$B695)))</f>
        <v/>
      </c>
      <c r="J695" s="51">
        <f>IF(OR($G695=0,INDEX(Employees!$O$5:$O$29,$A695)&lt;&gt;"Yes"),0,IF(COUNTIF(Settings!$D$4:$D$9,"&lt;="&amp;$H695)=0,0,INDEX(Settings!$E$4:$E$9,COUNTIF(Settings!$D$4:$D$9,"&lt;="&amp;$H695))))</f>
        <v/>
      </c>
      <c r="K695" s="51">
        <f>IF($G695=0,0,IF(INDEX(Employees!$I$5:$I$29,$A695)="Per pay period",(N(INDEX(Employees!$J$5:$J$29,$A695))+$J695)/Settings!$B$13,IF(INDEX(Employees!$I$5:$I$29,$A695)="Per hour worked",N(INDEX(Employees!$K$5:$K$29,$A695))*$I695,IF(INDEX(Employees!$I$5:$I$29,$A695)="Front-loaded",IF(OR($B695=1,N($G694)=0),N(INDEX(Employees!$J$5:$J$29,$A695))+$J695,0),0))))</f>
        <v/>
      </c>
      <c r="L695" s="51">
        <f>IF($F695=0,0,SUMIFS('Time Off Log'!$H$5:$H$504,'Time Off Log'!$A$5:$A$504,$C695,'Time Off Log'!$B$5:$B$504,"PTO",'Time Off Log'!$E$5:$E$504,"Approved",'Time Off Log'!$C$5:$C$504,"&gt;="&amp;INDEX(Periods!$E$5:$E$57,$B695),'Time Off Log'!$C$5:$C$504,"&lt;="&amp;INDEX(Periods!$F$5:$F$57,$B695)))</f>
        <v/>
      </c>
      <c r="M695" s="51">
        <f>IF($B695=1,N(INDEX(Employees!$N$5:$N$29,$A695)),P694)</f>
        <v/>
      </c>
      <c r="N695" s="51">
        <f>IF(INDEX(Employees!$L$5:$L$29,$A695)="",K695,MAX(0,MIN(K695,INDEX(Employees!$L$5:$L$29,$A695)-(M695-L695))))</f>
        <v/>
      </c>
      <c r="O695" s="51">
        <f>K695-N695</f>
        <v/>
      </c>
      <c r="P695" s="51">
        <f>M695-L695+N695</f>
        <v/>
      </c>
      <c r="Q695" s="51">
        <f>IF($G695=0,0,IF(INDEX(Employees!$P$5:$P$29,$A695)="Per pay period",(N(INDEX(Employees!$Q$5:$Q$29,$A695)))/Settings!$B$13,IF(INDEX(Employees!$P$5:$P$29,$A695)="Per hour worked",N(INDEX(Employees!$R$5:$R$29,$A695))*$I695,IF(INDEX(Employees!$P$5:$P$29,$A695)="Front-loaded",IF(OR($B695=1,N($G694)=0),N(INDEX(Employees!$Q$5:$Q$29,$A695)),0),0))))</f>
        <v/>
      </c>
      <c r="R695" s="51">
        <f>IF($F695=0,0,SUMIFS('Time Off Log'!$H$5:$H$504,'Time Off Log'!$A$5:$A$504,$C695,'Time Off Log'!$B$5:$B$504,"Sick",'Time Off Log'!$E$5:$E$504,"Approved",'Time Off Log'!$C$5:$C$504,"&gt;="&amp;INDEX(Periods!$E$5:$E$57,$B695),'Time Off Log'!$C$5:$C$504,"&lt;="&amp;INDEX(Periods!$F$5:$F$57,$B695)))</f>
        <v/>
      </c>
      <c r="S695" s="51">
        <f>IF($B695=1,N(INDEX(Employees!$T$5:$T$29,$A695)),V694)</f>
        <v/>
      </c>
      <c r="T695" s="51">
        <f>IF(INDEX(Employees!$S$5:$S$29,$A695)="",Q695,MAX(0,MIN(Q695,INDEX(Employees!$S$5:$S$29,$A695)-(S695-R695))))</f>
        <v/>
      </c>
      <c r="U695" s="51">
        <f>Q695-T695</f>
        <v/>
      </c>
      <c r="V695" s="51">
        <f>S695-R695+T695</f>
        <v/>
      </c>
    </row>
    <row r="696">
      <c r="A696" s="50" t="n">
        <v>14</v>
      </c>
      <c r="B696" s="50" t="n">
        <v>3</v>
      </c>
      <c r="C696" s="51">
        <f>INDEX(Employees!$B$5:$B$29,$A696)&amp;""</f>
        <v/>
      </c>
      <c r="D696" s="52">
        <f>INDEX(Periods!$B$5:$B$57,$B696)</f>
        <v/>
      </c>
      <c r="E696" s="52">
        <f>INDEX(Periods!$C$5:$C$57,$B696)</f>
        <v/>
      </c>
      <c r="F696" s="50">
        <f>IF(AND($C696&lt;&gt;"",INDEX(Periods!$D$5:$D$57,$B696)=1),1,0)</f>
        <v/>
      </c>
      <c r="G696" s="50">
        <f>IF($F696=0,0,IF(AND(OR(INDEX(Employees!$D$5:$D$29,$A696)="",$E696&gt;=INDEX(Employees!$D$5:$D$29,$A696)+N(INDEX(Employees!$U$5:$U$29,$A696))),OR(INDEX(Employees!$E$5:$E$29,$A696)="",$D696&lt;=INDEX(Employees!$E$5:$E$29,$A696))),1,0))</f>
        <v/>
      </c>
      <c r="H696" s="50">
        <f>IF($G696=0,0,IF(INDEX(Employees!$D$5:$D$29,$A696)="",0,DATEDIF(INDEX(Employees!$D$5:$D$29,$A696),$E696,"y")))</f>
        <v/>
      </c>
      <c r="I696" s="51">
        <f>IF($G696=0,0,IF(INDEX('Hours Worked'!$D$5:$BD$29,$A696,$B696)="",N(INDEX(Employees!$H$5:$H$29,$A696)),INDEX('Hours Worked'!$D$5:$BD$29,$A696,$B696)))</f>
        <v/>
      </c>
      <c r="J696" s="51">
        <f>IF(OR($G696=0,INDEX(Employees!$O$5:$O$29,$A696)&lt;&gt;"Yes"),0,IF(COUNTIF(Settings!$D$4:$D$9,"&lt;="&amp;$H696)=0,0,INDEX(Settings!$E$4:$E$9,COUNTIF(Settings!$D$4:$D$9,"&lt;="&amp;$H696))))</f>
        <v/>
      </c>
      <c r="K696" s="51">
        <f>IF($G696=0,0,IF(INDEX(Employees!$I$5:$I$29,$A696)="Per pay period",(N(INDEX(Employees!$J$5:$J$29,$A696))+$J696)/Settings!$B$13,IF(INDEX(Employees!$I$5:$I$29,$A696)="Per hour worked",N(INDEX(Employees!$K$5:$K$29,$A696))*$I696,IF(INDEX(Employees!$I$5:$I$29,$A696)="Front-loaded",IF(OR($B696=1,N($G695)=0),N(INDEX(Employees!$J$5:$J$29,$A696))+$J696,0),0))))</f>
        <v/>
      </c>
      <c r="L696" s="51">
        <f>IF($F696=0,0,SUMIFS('Time Off Log'!$H$5:$H$504,'Time Off Log'!$A$5:$A$504,$C696,'Time Off Log'!$B$5:$B$504,"PTO",'Time Off Log'!$E$5:$E$504,"Approved",'Time Off Log'!$C$5:$C$504,"&gt;="&amp;INDEX(Periods!$E$5:$E$57,$B696),'Time Off Log'!$C$5:$C$504,"&lt;="&amp;INDEX(Periods!$F$5:$F$57,$B696)))</f>
        <v/>
      </c>
      <c r="M696" s="51">
        <f>IF($B696=1,N(INDEX(Employees!$N$5:$N$29,$A696)),P695)</f>
        <v/>
      </c>
      <c r="N696" s="51">
        <f>IF(INDEX(Employees!$L$5:$L$29,$A696)="",K696,MAX(0,MIN(K696,INDEX(Employees!$L$5:$L$29,$A696)-(M696-L696))))</f>
        <v/>
      </c>
      <c r="O696" s="51">
        <f>K696-N696</f>
        <v/>
      </c>
      <c r="P696" s="51">
        <f>M696-L696+N696</f>
        <v/>
      </c>
      <c r="Q696" s="51">
        <f>IF($G696=0,0,IF(INDEX(Employees!$P$5:$P$29,$A696)="Per pay period",(N(INDEX(Employees!$Q$5:$Q$29,$A696)))/Settings!$B$13,IF(INDEX(Employees!$P$5:$P$29,$A696)="Per hour worked",N(INDEX(Employees!$R$5:$R$29,$A696))*$I696,IF(INDEX(Employees!$P$5:$P$29,$A696)="Front-loaded",IF(OR($B696=1,N($G695)=0),N(INDEX(Employees!$Q$5:$Q$29,$A696)),0),0))))</f>
        <v/>
      </c>
      <c r="R696" s="51">
        <f>IF($F696=0,0,SUMIFS('Time Off Log'!$H$5:$H$504,'Time Off Log'!$A$5:$A$504,$C696,'Time Off Log'!$B$5:$B$504,"Sick",'Time Off Log'!$E$5:$E$504,"Approved",'Time Off Log'!$C$5:$C$504,"&gt;="&amp;INDEX(Periods!$E$5:$E$57,$B696),'Time Off Log'!$C$5:$C$504,"&lt;="&amp;INDEX(Periods!$F$5:$F$57,$B696)))</f>
        <v/>
      </c>
      <c r="S696" s="51">
        <f>IF($B696=1,N(INDEX(Employees!$T$5:$T$29,$A696)),V695)</f>
        <v/>
      </c>
      <c r="T696" s="51">
        <f>IF(INDEX(Employees!$S$5:$S$29,$A696)="",Q696,MAX(0,MIN(Q696,INDEX(Employees!$S$5:$S$29,$A696)-(S696-R696))))</f>
        <v/>
      </c>
      <c r="U696" s="51">
        <f>Q696-T696</f>
        <v/>
      </c>
      <c r="V696" s="51">
        <f>S696-R696+T696</f>
        <v/>
      </c>
    </row>
    <row r="697">
      <c r="A697" s="50" t="n">
        <v>14</v>
      </c>
      <c r="B697" s="50" t="n">
        <v>4</v>
      </c>
      <c r="C697" s="51">
        <f>INDEX(Employees!$B$5:$B$29,$A697)&amp;""</f>
        <v/>
      </c>
      <c r="D697" s="52">
        <f>INDEX(Periods!$B$5:$B$57,$B697)</f>
        <v/>
      </c>
      <c r="E697" s="52">
        <f>INDEX(Periods!$C$5:$C$57,$B697)</f>
        <v/>
      </c>
      <c r="F697" s="50">
        <f>IF(AND($C697&lt;&gt;"",INDEX(Periods!$D$5:$D$57,$B697)=1),1,0)</f>
        <v/>
      </c>
      <c r="G697" s="50">
        <f>IF($F697=0,0,IF(AND(OR(INDEX(Employees!$D$5:$D$29,$A697)="",$E697&gt;=INDEX(Employees!$D$5:$D$29,$A697)+N(INDEX(Employees!$U$5:$U$29,$A697))),OR(INDEX(Employees!$E$5:$E$29,$A697)="",$D697&lt;=INDEX(Employees!$E$5:$E$29,$A697))),1,0))</f>
        <v/>
      </c>
      <c r="H697" s="50">
        <f>IF($G697=0,0,IF(INDEX(Employees!$D$5:$D$29,$A697)="",0,DATEDIF(INDEX(Employees!$D$5:$D$29,$A697),$E697,"y")))</f>
        <v/>
      </c>
      <c r="I697" s="51">
        <f>IF($G697=0,0,IF(INDEX('Hours Worked'!$D$5:$BD$29,$A697,$B697)="",N(INDEX(Employees!$H$5:$H$29,$A697)),INDEX('Hours Worked'!$D$5:$BD$29,$A697,$B697)))</f>
        <v/>
      </c>
      <c r="J697" s="51">
        <f>IF(OR($G697=0,INDEX(Employees!$O$5:$O$29,$A697)&lt;&gt;"Yes"),0,IF(COUNTIF(Settings!$D$4:$D$9,"&lt;="&amp;$H697)=0,0,INDEX(Settings!$E$4:$E$9,COUNTIF(Settings!$D$4:$D$9,"&lt;="&amp;$H697))))</f>
        <v/>
      </c>
      <c r="K697" s="51">
        <f>IF($G697=0,0,IF(INDEX(Employees!$I$5:$I$29,$A697)="Per pay period",(N(INDEX(Employees!$J$5:$J$29,$A697))+$J697)/Settings!$B$13,IF(INDEX(Employees!$I$5:$I$29,$A697)="Per hour worked",N(INDEX(Employees!$K$5:$K$29,$A697))*$I697,IF(INDEX(Employees!$I$5:$I$29,$A697)="Front-loaded",IF(OR($B697=1,N($G696)=0),N(INDEX(Employees!$J$5:$J$29,$A697))+$J697,0),0))))</f>
        <v/>
      </c>
      <c r="L697" s="51">
        <f>IF($F697=0,0,SUMIFS('Time Off Log'!$H$5:$H$504,'Time Off Log'!$A$5:$A$504,$C697,'Time Off Log'!$B$5:$B$504,"PTO",'Time Off Log'!$E$5:$E$504,"Approved",'Time Off Log'!$C$5:$C$504,"&gt;="&amp;INDEX(Periods!$E$5:$E$57,$B697),'Time Off Log'!$C$5:$C$504,"&lt;="&amp;INDEX(Periods!$F$5:$F$57,$B697)))</f>
        <v/>
      </c>
      <c r="M697" s="51">
        <f>IF($B697=1,N(INDEX(Employees!$N$5:$N$29,$A697)),P696)</f>
        <v/>
      </c>
      <c r="N697" s="51">
        <f>IF(INDEX(Employees!$L$5:$L$29,$A697)="",K697,MAX(0,MIN(K697,INDEX(Employees!$L$5:$L$29,$A697)-(M697-L697))))</f>
        <v/>
      </c>
      <c r="O697" s="51">
        <f>K697-N697</f>
        <v/>
      </c>
      <c r="P697" s="51">
        <f>M697-L697+N697</f>
        <v/>
      </c>
      <c r="Q697" s="51">
        <f>IF($G697=0,0,IF(INDEX(Employees!$P$5:$P$29,$A697)="Per pay period",(N(INDEX(Employees!$Q$5:$Q$29,$A697)))/Settings!$B$13,IF(INDEX(Employees!$P$5:$P$29,$A697)="Per hour worked",N(INDEX(Employees!$R$5:$R$29,$A697))*$I697,IF(INDEX(Employees!$P$5:$P$29,$A697)="Front-loaded",IF(OR($B697=1,N($G696)=0),N(INDEX(Employees!$Q$5:$Q$29,$A697)),0),0))))</f>
        <v/>
      </c>
      <c r="R697" s="51">
        <f>IF($F697=0,0,SUMIFS('Time Off Log'!$H$5:$H$504,'Time Off Log'!$A$5:$A$504,$C697,'Time Off Log'!$B$5:$B$504,"Sick",'Time Off Log'!$E$5:$E$504,"Approved",'Time Off Log'!$C$5:$C$504,"&gt;="&amp;INDEX(Periods!$E$5:$E$57,$B697),'Time Off Log'!$C$5:$C$504,"&lt;="&amp;INDEX(Periods!$F$5:$F$57,$B697)))</f>
        <v/>
      </c>
      <c r="S697" s="51">
        <f>IF($B697=1,N(INDEX(Employees!$T$5:$T$29,$A697)),V696)</f>
        <v/>
      </c>
      <c r="T697" s="51">
        <f>IF(INDEX(Employees!$S$5:$S$29,$A697)="",Q697,MAX(0,MIN(Q697,INDEX(Employees!$S$5:$S$29,$A697)-(S697-R697))))</f>
        <v/>
      </c>
      <c r="U697" s="51">
        <f>Q697-T697</f>
        <v/>
      </c>
      <c r="V697" s="51">
        <f>S697-R697+T697</f>
        <v/>
      </c>
    </row>
    <row r="698">
      <c r="A698" s="50" t="n">
        <v>14</v>
      </c>
      <c r="B698" s="50" t="n">
        <v>5</v>
      </c>
      <c r="C698" s="51">
        <f>INDEX(Employees!$B$5:$B$29,$A698)&amp;""</f>
        <v/>
      </c>
      <c r="D698" s="52">
        <f>INDEX(Periods!$B$5:$B$57,$B698)</f>
        <v/>
      </c>
      <c r="E698" s="52">
        <f>INDEX(Periods!$C$5:$C$57,$B698)</f>
        <v/>
      </c>
      <c r="F698" s="50">
        <f>IF(AND($C698&lt;&gt;"",INDEX(Periods!$D$5:$D$57,$B698)=1),1,0)</f>
        <v/>
      </c>
      <c r="G698" s="50">
        <f>IF($F698=0,0,IF(AND(OR(INDEX(Employees!$D$5:$D$29,$A698)="",$E698&gt;=INDEX(Employees!$D$5:$D$29,$A698)+N(INDEX(Employees!$U$5:$U$29,$A698))),OR(INDEX(Employees!$E$5:$E$29,$A698)="",$D698&lt;=INDEX(Employees!$E$5:$E$29,$A698))),1,0))</f>
        <v/>
      </c>
      <c r="H698" s="50">
        <f>IF($G698=0,0,IF(INDEX(Employees!$D$5:$D$29,$A698)="",0,DATEDIF(INDEX(Employees!$D$5:$D$29,$A698),$E698,"y")))</f>
        <v/>
      </c>
      <c r="I698" s="51">
        <f>IF($G698=0,0,IF(INDEX('Hours Worked'!$D$5:$BD$29,$A698,$B698)="",N(INDEX(Employees!$H$5:$H$29,$A698)),INDEX('Hours Worked'!$D$5:$BD$29,$A698,$B698)))</f>
        <v/>
      </c>
      <c r="J698" s="51">
        <f>IF(OR($G698=0,INDEX(Employees!$O$5:$O$29,$A698)&lt;&gt;"Yes"),0,IF(COUNTIF(Settings!$D$4:$D$9,"&lt;="&amp;$H698)=0,0,INDEX(Settings!$E$4:$E$9,COUNTIF(Settings!$D$4:$D$9,"&lt;="&amp;$H698))))</f>
        <v/>
      </c>
      <c r="K698" s="51">
        <f>IF($G698=0,0,IF(INDEX(Employees!$I$5:$I$29,$A698)="Per pay period",(N(INDEX(Employees!$J$5:$J$29,$A698))+$J698)/Settings!$B$13,IF(INDEX(Employees!$I$5:$I$29,$A698)="Per hour worked",N(INDEX(Employees!$K$5:$K$29,$A698))*$I698,IF(INDEX(Employees!$I$5:$I$29,$A698)="Front-loaded",IF(OR($B698=1,N($G697)=0),N(INDEX(Employees!$J$5:$J$29,$A698))+$J698,0),0))))</f>
        <v/>
      </c>
      <c r="L698" s="51">
        <f>IF($F698=0,0,SUMIFS('Time Off Log'!$H$5:$H$504,'Time Off Log'!$A$5:$A$504,$C698,'Time Off Log'!$B$5:$B$504,"PTO",'Time Off Log'!$E$5:$E$504,"Approved",'Time Off Log'!$C$5:$C$504,"&gt;="&amp;INDEX(Periods!$E$5:$E$57,$B698),'Time Off Log'!$C$5:$C$504,"&lt;="&amp;INDEX(Periods!$F$5:$F$57,$B698)))</f>
        <v/>
      </c>
      <c r="M698" s="51">
        <f>IF($B698=1,N(INDEX(Employees!$N$5:$N$29,$A698)),P697)</f>
        <v/>
      </c>
      <c r="N698" s="51">
        <f>IF(INDEX(Employees!$L$5:$L$29,$A698)="",K698,MAX(0,MIN(K698,INDEX(Employees!$L$5:$L$29,$A698)-(M698-L698))))</f>
        <v/>
      </c>
      <c r="O698" s="51">
        <f>K698-N698</f>
        <v/>
      </c>
      <c r="P698" s="51">
        <f>M698-L698+N698</f>
        <v/>
      </c>
      <c r="Q698" s="51">
        <f>IF($G698=0,0,IF(INDEX(Employees!$P$5:$P$29,$A698)="Per pay period",(N(INDEX(Employees!$Q$5:$Q$29,$A698)))/Settings!$B$13,IF(INDEX(Employees!$P$5:$P$29,$A698)="Per hour worked",N(INDEX(Employees!$R$5:$R$29,$A698))*$I698,IF(INDEX(Employees!$P$5:$P$29,$A698)="Front-loaded",IF(OR($B698=1,N($G697)=0),N(INDEX(Employees!$Q$5:$Q$29,$A698)),0),0))))</f>
        <v/>
      </c>
      <c r="R698" s="51">
        <f>IF($F698=0,0,SUMIFS('Time Off Log'!$H$5:$H$504,'Time Off Log'!$A$5:$A$504,$C698,'Time Off Log'!$B$5:$B$504,"Sick",'Time Off Log'!$E$5:$E$504,"Approved",'Time Off Log'!$C$5:$C$504,"&gt;="&amp;INDEX(Periods!$E$5:$E$57,$B698),'Time Off Log'!$C$5:$C$504,"&lt;="&amp;INDEX(Periods!$F$5:$F$57,$B698)))</f>
        <v/>
      </c>
      <c r="S698" s="51">
        <f>IF($B698=1,N(INDEX(Employees!$T$5:$T$29,$A698)),V697)</f>
        <v/>
      </c>
      <c r="T698" s="51">
        <f>IF(INDEX(Employees!$S$5:$S$29,$A698)="",Q698,MAX(0,MIN(Q698,INDEX(Employees!$S$5:$S$29,$A698)-(S698-R698))))</f>
        <v/>
      </c>
      <c r="U698" s="51">
        <f>Q698-T698</f>
        <v/>
      </c>
      <c r="V698" s="51">
        <f>S698-R698+T698</f>
        <v/>
      </c>
    </row>
    <row r="699">
      <c r="A699" s="50" t="n">
        <v>14</v>
      </c>
      <c r="B699" s="50" t="n">
        <v>6</v>
      </c>
      <c r="C699" s="51">
        <f>INDEX(Employees!$B$5:$B$29,$A699)&amp;""</f>
        <v/>
      </c>
      <c r="D699" s="52">
        <f>INDEX(Periods!$B$5:$B$57,$B699)</f>
        <v/>
      </c>
      <c r="E699" s="52">
        <f>INDEX(Periods!$C$5:$C$57,$B699)</f>
        <v/>
      </c>
      <c r="F699" s="50">
        <f>IF(AND($C699&lt;&gt;"",INDEX(Periods!$D$5:$D$57,$B699)=1),1,0)</f>
        <v/>
      </c>
      <c r="G699" s="50">
        <f>IF($F699=0,0,IF(AND(OR(INDEX(Employees!$D$5:$D$29,$A699)="",$E699&gt;=INDEX(Employees!$D$5:$D$29,$A699)+N(INDEX(Employees!$U$5:$U$29,$A699))),OR(INDEX(Employees!$E$5:$E$29,$A699)="",$D699&lt;=INDEX(Employees!$E$5:$E$29,$A699))),1,0))</f>
        <v/>
      </c>
      <c r="H699" s="50">
        <f>IF($G699=0,0,IF(INDEX(Employees!$D$5:$D$29,$A699)="",0,DATEDIF(INDEX(Employees!$D$5:$D$29,$A699),$E699,"y")))</f>
        <v/>
      </c>
      <c r="I699" s="51">
        <f>IF($G699=0,0,IF(INDEX('Hours Worked'!$D$5:$BD$29,$A699,$B699)="",N(INDEX(Employees!$H$5:$H$29,$A699)),INDEX('Hours Worked'!$D$5:$BD$29,$A699,$B699)))</f>
        <v/>
      </c>
      <c r="J699" s="51">
        <f>IF(OR($G699=0,INDEX(Employees!$O$5:$O$29,$A699)&lt;&gt;"Yes"),0,IF(COUNTIF(Settings!$D$4:$D$9,"&lt;="&amp;$H699)=0,0,INDEX(Settings!$E$4:$E$9,COUNTIF(Settings!$D$4:$D$9,"&lt;="&amp;$H699))))</f>
        <v/>
      </c>
      <c r="K699" s="51">
        <f>IF($G699=0,0,IF(INDEX(Employees!$I$5:$I$29,$A699)="Per pay period",(N(INDEX(Employees!$J$5:$J$29,$A699))+$J699)/Settings!$B$13,IF(INDEX(Employees!$I$5:$I$29,$A699)="Per hour worked",N(INDEX(Employees!$K$5:$K$29,$A699))*$I699,IF(INDEX(Employees!$I$5:$I$29,$A699)="Front-loaded",IF(OR($B699=1,N($G698)=0),N(INDEX(Employees!$J$5:$J$29,$A699))+$J699,0),0))))</f>
        <v/>
      </c>
      <c r="L699" s="51">
        <f>IF($F699=0,0,SUMIFS('Time Off Log'!$H$5:$H$504,'Time Off Log'!$A$5:$A$504,$C699,'Time Off Log'!$B$5:$B$504,"PTO",'Time Off Log'!$E$5:$E$504,"Approved",'Time Off Log'!$C$5:$C$504,"&gt;="&amp;INDEX(Periods!$E$5:$E$57,$B699),'Time Off Log'!$C$5:$C$504,"&lt;="&amp;INDEX(Periods!$F$5:$F$57,$B699)))</f>
        <v/>
      </c>
      <c r="M699" s="51">
        <f>IF($B699=1,N(INDEX(Employees!$N$5:$N$29,$A699)),P698)</f>
        <v/>
      </c>
      <c r="N699" s="51">
        <f>IF(INDEX(Employees!$L$5:$L$29,$A699)="",K699,MAX(0,MIN(K699,INDEX(Employees!$L$5:$L$29,$A699)-(M699-L699))))</f>
        <v/>
      </c>
      <c r="O699" s="51">
        <f>K699-N699</f>
        <v/>
      </c>
      <c r="P699" s="51">
        <f>M699-L699+N699</f>
        <v/>
      </c>
      <c r="Q699" s="51">
        <f>IF($G699=0,0,IF(INDEX(Employees!$P$5:$P$29,$A699)="Per pay period",(N(INDEX(Employees!$Q$5:$Q$29,$A699)))/Settings!$B$13,IF(INDEX(Employees!$P$5:$P$29,$A699)="Per hour worked",N(INDEX(Employees!$R$5:$R$29,$A699))*$I699,IF(INDEX(Employees!$P$5:$P$29,$A699)="Front-loaded",IF(OR($B699=1,N($G698)=0),N(INDEX(Employees!$Q$5:$Q$29,$A699)),0),0))))</f>
        <v/>
      </c>
      <c r="R699" s="51">
        <f>IF($F699=0,0,SUMIFS('Time Off Log'!$H$5:$H$504,'Time Off Log'!$A$5:$A$504,$C699,'Time Off Log'!$B$5:$B$504,"Sick",'Time Off Log'!$E$5:$E$504,"Approved",'Time Off Log'!$C$5:$C$504,"&gt;="&amp;INDEX(Periods!$E$5:$E$57,$B699),'Time Off Log'!$C$5:$C$504,"&lt;="&amp;INDEX(Periods!$F$5:$F$57,$B699)))</f>
        <v/>
      </c>
      <c r="S699" s="51">
        <f>IF($B699=1,N(INDEX(Employees!$T$5:$T$29,$A699)),V698)</f>
        <v/>
      </c>
      <c r="T699" s="51">
        <f>IF(INDEX(Employees!$S$5:$S$29,$A699)="",Q699,MAX(0,MIN(Q699,INDEX(Employees!$S$5:$S$29,$A699)-(S699-R699))))</f>
        <v/>
      </c>
      <c r="U699" s="51">
        <f>Q699-T699</f>
        <v/>
      </c>
      <c r="V699" s="51">
        <f>S699-R699+T699</f>
        <v/>
      </c>
    </row>
    <row r="700">
      <c r="A700" s="50" t="n">
        <v>14</v>
      </c>
      <c r="B700" s="50" t="n">
        <v>7</v>
      </c>
      <c r="C700" s="51">
        <f>INDEX(Employees!$B$5:$B$29,$A700)&amp;""</f>
        <v/>
      </c>
      <c r="D700" s="52">
        <f>INDEX(Periods!$B$5:$B$57,$B700)</f>
        <v/>
      </c>
      <c r="E700" s="52">
        <f>INDEX(Periods!$C$5:$C$57,$B700)</f>
        <v/>
      </c>
      <c r="F700" s="50">
        <f>IF(AND($C700&lt;&gt;"",INDEX(Periods!$D$5:$D$57,$B700)=1),1,0)</f>
        <v/>
      </c>
      <c r="G700" s="50">
        <f>IF($F700=0,0,IF(AND(OR(INDEX(Employees!$D$5:$D$29,$A700)="",$E700&gt;=INDEX(Employees!$D$5:$D$29,$A700)+N(INDEX(Employees!$U$5:$U$29,$A700))),OR(INDEX(Employees!$E$5:$E$29,$A700)="",$D700&lt;=INDEX(Employees!$E$5:$E$29,$A700))),1,0))</f>
        <v/>
      </c>
      <c r="H700" s="50">
        <f>IF($G700=0,0,IF(INDEX(Employees!$D$5:$D$29,$A700)="",0,DATEDIF(INDEX(Employees!$D$5:$D$29,$A700),$E700,"y")))</f>
        <v/>
      </c>
      <c r="I700" s="51">
        <f>IF($G700=0,0,IF(INDEX('Hours Worked'!$D$5:$BD$29,$A700,$B700)="",N(INDEX(Employees!$H$5:$H$29,$A700)),INDEX('Hours Worked'!$D$5:$BD$29,$A700,$B700)))</f>
        <v/>
      </c>
      <c r="J700" s="51">
        <f>IF(OR($G700=0,INDEX(Employees!$O$5:$O$29,$A700)&lt;&gt;"Yes"),0,IF(COUNTIF(Settings!$D$4:$D$9,"&lt;="&amp;$H700)=0,0,INDEX(Settings!$E$4:$E$9,COUNTIF(Settings!$D$4:$D$9,"&lt;="&amp;$H700))))</f>
        <v/>
      </c>
      <c r="K700" s="51">
        <f>IF($G700=0,0,IF(INDEX(Employees!$I$5:$I$29,$A700)="Per pay period",(N(INDEX(Employees!$J$5:$J$29,$A700))+$J700)/Settings!$B$13,IF(INDEX(Employees!$I$5:$I$29,$A700)="Per hour worked",N(INDEX(Employees!$K$5:$K$29,$A700))*$I700,IF(INDEX(Employees!$I$5:$I$29,$A700)="Front-loaded",IF(OR($B700=1,N($G699)=0),N(INDEX(Employees!$J$5:$J$29,$A700))+$J700,0),0))))</f>
        <v/>
      </c>
      <c r="L700" s="51">
        <f>IF($F700=0,0,SUMIFS('Time Off Log'!$H$5:$H$504,'Time Off Log'!$A$5:$A$504,$C700,'Time Off Log'!$B$5:$B$504,"PTO",'Time Off Log'!$E$5:$E$504,"Approved",'Time Off Log'!$C$5:$C$504,"&gt;="&amp;INDEX(Periods!$E$5:$E$57,$B700),'Time Off Log'!$C$5:$C$504,"&lt;="&amp;INDEX(Periods!$F$5:$F$57,$B700)))</f>
        <v/>
      </c>
      <c r="M700" s="51">
        <f>IF($B700=1,N(INDEX(Employees!$N$5:$N$29,$A700)),P699)</f>
        <v/>
      </c>
      <c r="N700" s="51">
        <f>IF(INDEX(Employees!$L$5:$L$29,$A700)="",K700,MAX(0,MIN(K700,INDEX(Employees!$L$5:$L$29,$A700)-(M700-L700))))</f>
        <v/>
      </c>
      <c r="O700" s="51">
        <f>K700-N700</f>
        <v/>
      </c>
      <c r="P700" s="51">
        <f>M700-L700+N700</f>
        <v/>
      </c>
      <c r="Q700" s="51">
        <f>IF($G700=0,0,IF(INDEX(Employees!$P$5:$P$29,$A700)="Per pay period",(N(INDEX(Employees!$Q$5:$Q$29,$A700)))/Settings!$B$13,IF(INDEX(Employees!$P$5:$P$29,$A700)="Per hour worked",N(INDEX(Employees!$R$5:$R$29,$A700))*$I700,IF(INDEX(Employees!$P$5:$P$29,$A700)="Front-loaded",IF(OR($B700=1,N($G699)=0),N(INDEX(Employees!$Q$5:$Q$29,$A700)),0),0))))</f>
        <v/>
      </c>
      <c r="R700" s="51">
        <f>IF($F700=0,0,SUMIFS('Time Off Log'!$H$5:$H$504,'Time Off Log'!$A$5:$A$504,$C700,'Time Off Log'!$B$5:$B$504,"Sick",'Time Off Log'!$E$5:$E$504,"Approved",'Time Off Log'!$C$5:$C$504,"&gt;="&amp;INDEX(Periods!$E$5:$E$57,$B700),'Time Off Log'!$C$5:$C$504,"&lt;="&amp;INDEX(Periods!$F$5:$F$57,$B700)))</f>
        <v/>
      </c>
      <c r="S700" s="51">
        <f>IF($B700=1,N(INDEX(Employees!$T$5:$T$29,$A700)),V699)</f>
        <v/>
      </c>
      <c r="T700" s="51">
        <f>IF(INDEX(Employees!$S$5:$S$29,$A700)="",Q700,MAX(0,MIN(Q700,INDEX(Employees!$S$5:$S$29,$A700)-(S700-R700))))</f>
        <v/>
      </c>
      <c r="U700" s="51">
        <f>Q700-T700</f>
        <v/>
      </c>
      <c r="V700" s="51">
        <f>S700-R700+T700</f>
        <v/>
      </c>
    </row>
    <row r="701">
      <c r="A701" s="50" t="n">
        <v>14</v>
      </c>
      <c r="B701" s="50" t="n">
        <v>8</v>
      </c>
      <c r="C701" s="51">
        <f>INDEX(Employees!$B$5:$B$29,$A701)&amp;""</f>
        <v/>
      </c>
      <c r="D701" s="52">
        <f>INDEX(Periods!$B$5:$B$57,$B701)</f>
        <v/>
      </c>
      <c r="E701" s="52">
        <f>INDEX(Periods!$C$5:$C$57,$B701)</f>
        <v/>
      </c>
      <c r="F701" s="50">
        <f>IF(AND($C701&lt;&gt;"",INDEX(Periods!$D$5:$D$57,$B701)=1),1,0)</f>
        <v/>
      </c>
      <c r="G701" s="50">
        <f>IF($F701=0,0,IF(AND(OR(INDEX(Employees!$D$5:$D$29,$A701)="",$E701&gt;=INDEX(Employees!$D$5:$D$29,$A701)+N(INDEX(Employees!$U$5:$U$29,$A701))),OR(INDEX(Employees!$E$5:$E$29,$A701)="",$D701&lt;=INDEX(Employees!$E$5:$E$29,$A701))),1,0))</f>
        <v/>
      </c>
      <c r="H701" s="50">
        <f>IF($G701=0,0,IF(INDEX(Employees!$D$5:$D$29,$A701)="",0,DATEDIF(INDEX(Employees!$D$5:$D$29,$A701),$E701,"y")))</f>
        <v/>
      </c>
      <c r="I701" s="51">
        <f>IF($G701=0,0,IF(INDEX('Hours Worked'!$D$5:$BD$29,$A701,$B701)="",N(INDEX(Employees!$H$5:$H$29,$A701)),INDEX('Hours Worked'!$D$5:$BD$29,$A701,$B701)))</f>
        <v/>
      </c>
      <c r="J701" s="51">
        <f>IF(OR($G701=0,INDEX(Employees!$O$5:$O$29,$A701)&lt;&gt;"Yes"),0,IF(COUNTIF(Settings!$D$4:$D$9,"&lt;="&amp;$H701)=0,0,INDEX(Settings!$E$4:$E$9,COUNTIF(Settings!$D$4:$D$9,"&lt;="&amp;$H701))))</f>
        <v/>
      </c>
      <c r="K701" s="51">
        <f>IF($G701=0,0,IF(INDEX(Employees!$I$5:$I$29,$A701)="Per pay period",(N(INDEX(Employees!$J$5:$J$29,$A701))+$J701)/Settings!$B$13,IF(INDEX(Employees!$I$5:$I$29,$A701)="Per hour worked",N(INDEX(Employees!$K$5:$K$29,$A701))*$I701,IF(INDEX(Employees!$I$5:$I$29,$A701)="Front-loaded",IF(OR($B701=1,N($G700)=0),N(INDEX(Employees!$J$5:$J$29,$A701))+$J701,0),0))))</f>
        <v/>
      </c>
      <c r="L701" s="51">
        <f>IF($F701=0,0,SUMIFS('Time Off Log'!$H$5:$H$504,'Time Off Log'!$A$5:$A$504,$C701,'Time Off Log'!$B$5:$B$504,"PTO",'Time Off Log'!$E$5:$E$504,"Approved",'Time Off Log'!$C$5:$C$504,"&gt;="&amp;INDEX(Periods!$E$5:$E$57,$B701),'Time Off Log'!$C$5:$C$504,"&lt;="&amp;INDEX(Periods!$F$5:$F$57,$B701)))</f>
        <v/>
      </c>
      <c r="M701" s="51">
        <f>IF($B701=1,N(INDEX(Employees!$N$5:$N$29,$A701)),P700)</f>
        <v/>
      </c>
      <c r="N701" s="51">
        <f>IF(INDEX(Employees!$L$5:$L$29,$A701)="",K701,MAX(0,MIN(K701,INDEX(Employees!$L$5:$L$29,$A701)-(M701-L701))))</f>
        <v/>
      </c>
      <c r="O701" s="51">
        <f>K701-N701</f>
        <v/>
      </c>
      <c r="P701" s="51">
        <f>M701-L701+N701</f>
        <v/>
      </c>
      <c r="Q701" s="51">
        <f>IF($G701=0,0,IF(INDEX(Employees!$P$5:$P$29,$A701)="Per pay period",(N(INDEX(Employees!$Q$5:$Q$29,$A701)))/Settings!$B$13,IF(INDEX(Employees!$P$5:$P$29,$A701)="Per hour worked",N(INDEX(Employees!$R$5:$R$29,$A701))*$I701,IF(INDEX(Employees!$P$5:$P$29,$A701)="Front-loaded",IF(OR($B701=1,N($G700)=0),N(INDEX(Employees!$Q$5:$Q$29,$A701)),0),0))))</f>
        <v/>
      </c>
      <c r="R701" s="51">
        <f>IF($F701=0,0,SUMIFS('Time Off Log'!$H$5:$H$504,'Time Off Log'!$A$5:$A$504,$C701,'Time Off Log'!$B$5:$B$504,"Sick",'Time Off Log'!$E$5:$E$504,"Approved",'Time Off Log'!$C$5:$C$504,"&gt;="&amp;INDEX(Periods!$E$5:$E$57,$B701),'Time Off Log'!$C$5:$C$504,"&lt;="&amp;INDEX(Periods!$F$5:$F$57,$B701)))</f>
        <v/>
      </c>
      <c r="S701" s="51">
        <f>IF($B701=1,N(INDEX(Employees!$T$5:$T$29,$A701)),V700)</f>
        <v/>
      </c>
      <c r="T701" s="51">
        <f>IF(INDEX(Employees!$S$5:$S$29,$A701)="",Q701,MAX(0,MIN(Q701,INDEX(Employees!$S$5:$S$29,$A701)-(S701-R701))))</f>
        <v/>
      </c>
      <c r="U701" s="51">
        <f>Q701-T701</f>
        <v/>
      </c>
      <c r="V701" s="51">
        <f>S701-R701+T701</f>
        <v/>
      </c>
    </row>
    <row r="702">
      <c r="A702" s="50" t="n">
        <v>14</v>
      </c>
      <c r="B702" s="50" t="n">
        <v>9</v>
      </c>
      <c r="C702" s="51">
        <f>INDEX(Employees!$B$5:$B$29,$A702)&amp;""</f>
        <v/>
      </c>
      <c r="D702" s="52">
        <f>INDEX(Periods!$B$5:$B$57,$B702)</f>
        <v/>
      </c>
      <c r="E702" s="52">
        <f>INDEX(Periods!$C$5:$C$57,$B702)</f>
        <v/>
      </c>
      <c r="F702" s="50">
        <f>IF(AND($C702&lt;&gt;"",INDEX(Periods!$D$5:$D$57,$B702)=1),1,0)</f>
        <v/>
      </c>
      <c r="G702" s="50">
        <f>IF($F702=0,0,IF(AND(OR(INDEX(Employees!$D$5:$D$29,$A702)="",$E702&gt;=INDEX(Employees!$D$5:$D$29,$A702)+N(INDEX(Employees!$U$5:$U$29,$A702))),OR(INDEX(Employees!$E$5:$E$29,$A702)="",$D702&lt;=INDEX(Employees!$E$5:$E$29,$A702))),1,0))</f>
        <v/>
      </c>
      <c r="H702" s="50">
        <f>IF($G702=0,0,IF(INDEX(Employees!$D$5:$D$29,$A702)="",0,DATEDIF(INDEX(Employees!$D$5:$D$29,$A702),$E702,"y")))</f>
        <v/>
      </c>
      <c r="I702" s="51">
        <f>IF($G702=0,0,IF(INDEX('Hours Worked'!$D$5:$BD$29,$A702,$B702)="",N(INDEX(Employees!$H$5:$H$29,$A702)),INDEX('Hours Worked'!$D$5:$BD$29,$A702,$B702)))</f>
        <v/>
      </c>
      <c r="J702" s="51">
        <f>IF(OR($G702=0,INDEX(Employees!$O$5:$O$29,$A702)&lt;&gt;"Yes"),0,IF(COUNTIF(Settings!$D$4:$D$9,"&lt;="&amp;$H702)=0,0,INDEX(Settings!$E$4:$E$9,COUNTIF(Settings!$D$4:$D$9,"&lt;="&amp;$H702))))</f>
        <v/>
      </c>
      <c r="K702" s="51">
        <f>IF($G702=0,0,IF(INDEX(Employees!$I$5:$I$29,$A702)="Per pay period",(N(INDEX(Employees!$J$5:$J$29,$A702))+$J702)/Settings!$B$13,IF(INDEX(Employees!$I$5:$I$29,$A702)="Per hour worked",N(INDEX(Employees!$K$5:$K$29,$A702))*$I702,IF(INDEX(Employees!$I$5:$I$29,$A702)="Front-loaded",IF(OR($B702=1,N($G701)=0),N(INDEX(Employees!$J$5:$J$29,$A702))+$J702,0),0))))</f>
        <v/>
      </c>
      <c r="L702" s="51">
        <f>IF($F702=0,0,SUMIFS('Time Off Log'!$H$5:$H$504,'Time Off Log'!$A$5:$A$504,$C702,'Time Off Log'!$B$5:$B$504,"PTO",'Time Off Log'!$E$5:$E$504,"Approved",'Time Off Log'!$C$5:$C$504,"&gt;="&amp;INDEX(Periods!$E$5:$E$57,$B702),'Time Off Log'!$C$5:$C$504,"&lt;="&amp;INDEX(Periods!$F$5:$F$57,$B702)))</f>
        <v/>
      </c>
      <c r="M702" s="51">
        <f>IF($B702=1,N(INDEX(Employees!$N$5:$N$29,$A702)),P701)</f>
        <v/>
      </c>
      <c r="N702" s="51">
        <f>IF(INDEX(Employees!$L$5:$L$29,$A702)="",K702,MAX(0,MIN(K702,INDEX(Employees!$L$5:$L$29,$A702)-(M702-L702))))</f>
        <v/>
      </c>
      <c r="O702" s="51">
        <f>K702-N702</f>
        <v/>
      </c>
      <c r="P702" s="51">
        <f>M702-L702+N702</f>
        <v/>
      </c>
      <c r="Q702" s="51">
        <f>IF($G702=0,0,IF(INDEX(Employees!$P$5:$P$29,$A702)="Per pay period",(N(INDEX(Employees!$Q$5:$Q$29,$A702)))/Settings!$B$13,IF(INDEX(Employees!$P$5:$P$29,$A702)="Per hour worked",N(INDEX(Employees!$R$5:$R$29,$A702))*$I702,IF(INDEX(Employees!$P$5:$P$29,$A702)="Front-loaded",IF(OR($B702=1,N($G701)=0),N(INDEX(Employees!$Q$5:$Q$29,$A702)),0),0))))</f>
        <v/>
      </c>
      <c r="R702" s="51">
        <f>IF($F702=0,0,SUMIFS('Time Off Log'!$H$5:$H$504,'Time Off Log'!$A$5:$A$504,$C702,'Time Off Log'!$B$5:$B$504,"Sick",'Time Off Log'!$E$5:$E$504,"Approved",'Time Off Log'!$C$5:$C$504,"&gt;="&amp;INDEX(Periods!$E$5:$E$57,$B702),'Time Off Log'!$C$5:$C$504,"&lt;="&amp;INDEX(Periods!$F$5:$F$57,$B702)))</f>
        <v/>
      </c>
      <c r="S702" s="51">
        <f>IF($B702=1,N(INDEX(Employees!$T$5:$T$29,$A702)),V701)</f>
        <v/>
      </c>
      <c r="T702" s="51">
        <f>IF(INDEX(Employees!$S$5:$S$29,$A702)="",Q702,MAX(0,MIN(Q702,INDEX(Employees!$S$5:$S$29,$A702)-(S702-R702))))</f>
        <v/>
      </c>
      <c r="U702" s="51">
        <f>Q702-T702</f>
        <v/>
      </c>
      <c r="V702" s="51">
        <f>S702-R702+T702</f>
        <v/>
      </c>
    </row>
    <row r="703">
      <c r="A703" s="50" t="n">
        <v>14</v>
      </c>
      <c r="B703" s="50" t="n">
        <v>10</v>
      </c>
      <c r="C703" s="51">
        <f>INDEX(Employees!$B$5:$B$29,$A703)&amp;""</f>
        <v/>
      </c>
      <c r="D703" s="52">
        <f>INDEX(Periods!$B$5:$B$57,$B703)</f>
        <v/>
      </c>
      <c r="E703" s="52">
        <f>INDEX(Periods!$C$5:$C$57,$B703)</f>
        <v/>
      </c>
      <c r="F703" s="50">
        <f>IF(AND($C703&lt;&gt;"",INDEX(Periods!$D$5:$D$57,$B703)=1),1,0)</f>
        <v/>
      </c>
      <c r="G703" s="50">
        <f>IF($F703=0,0,IF(AND(OR(INDEX(Employees!$D$5:$D$29,$A703)="",$E703&gt;=INDEX(Employees!$D$5:$D$29,$A703)+N(INDEX(Employees!$U$5:$U$29,$A703))),OR(INDEX(Employees!$E$5:$E$29,$A703)="",$D703&lt;=INDEX(Employees!$E$5:$E$29,$A703))),1,0))</f>
        <v/>
      </c>
      <c r="H703" s="50">
        <f>IF($G703=0,0,IF(INDEX(Employees!$D$5:$D$29,$A703)="",0,DATEDIF(INDEX(Employees!$D$5:$D$29,$A703),$E703,"y")))</f>
        <v/>
      </c>
      <c r="I703" s="51">
        <f>IF($G703=0,0,IF(INDEX('Hours Worked'!$D$5:$BD$29,$A703,$B703)="",N(INDEX(Employees!$H$5:$H$29,$A703)),INDEX('Hours Worked'!$D$5:$BD$29,$A703,$B703)))</f>
        <v/>
      </c>
      <c r="J703" s="51">
        <f>IF(OR($G703=0,INDEX(Employees!$O$5:$O$29,$A703)&lt;&gt;"Yes"),0,IF(COUNTIF(Settings!$D$4:$D$9,"&lt;="&amp;$H703)=0,0,INDEX(Settings!$E$4:$E$9,COUNTIF(Settings!$D$4:$D$9,"&lt;="&amp;$H703))))</f>
        <v/>
      </c>
      <c r="K703" s="51">
        <f>IF($G703=0,0,IF(INDEX(Employees!$I$5:$I$29,$A703)="Per pay period",(N(INDEX(Employees!$J$5:$J$29,$A703))+$J703)/Settings!$B$13,IF(INDEX(Employees!$I$5:$I$29,$A703)="Per hour worked",N(INDEX(Employees!$K$5:$K$29,$A703))*$I703,IF(INDEX(Employees!$I$5:$I$29,$A703)="Front-loaded",IF(OR($B703=1,N($G702)=0),N(INDEX(Employees!$J$5:$J$29,$A703))+$J703,0),0))))</f>
        <v/>
      </c>
      <c r="L703" s="51">
        <f>IF($F703=0,0,SUMIFS('Time Off Log'!$H$5:$H$504,'Time Off Log'!$A$5:$A$504,$C703,'Time Off Log'!$B$5:$B$504,"PTO",'Time Off Log'!$E$5:$E$504,"Approved",'Time Off Log'!$C$5:$C$504,"&gt;="&amp;INDEX(Periods!$E$5:$E$57,$B703),'Time Off Log'!$C$5:$C$504,"&lt;="&amp;INDEX(Periods!$F$5:$F$57,$B703)))</f>
        <v/>
      </c>
      <c r="M703" s="51">
        <f>IF($B703=1,N(INDEX(Employees!$N$5:$N$29,$A703)),P702)</f>
        <v/>
      </c>
      <c r="N703" s="51">
        <f>IF(INDEX(Employees!$L$5:$L$29,$A703)="",K703,MAX(0,MIN(K703,INDEX(Employees!$L$5:$L$29,$A703)-(M703-L703))))</f>
        <v/>
      </c>
      <c r="O703" s="51">
        <f>K703-N703</f>
        <v/>
      </c>
      <c r="P703" s="51">
        <f>M703-L703+N703</f>
        <v/>
      </c>
      <c r="Q703" s="51">
        <f>IF($G703=0,0,IF(INDEX(Employees!$P$5:$P$29,$A703)="Per pay period",(N(INDEX(Employees!$Q$5:$Q$29,$A703)))/Settings!$B$13,IF(INDEX(Employees!$P$5:$P$29,$A703)="Per hour worked",N(INDEX(Employees!$R$5:$R$29,$A703))*$I703,IF(INDEX(Employees!$P$5:$P$29,$A703)="Front-loaded",IF(OR($B703=1,N($G702)=0),N(INDEX(Employees!$Q$5:$Q$29,$A703)),0),0))))</f>
        <v/>
      </c>
      <c r="R703" s="51">
        <f>IF($F703=0,0,SUMIFS('Time Off Log'!$H$5:$H$504,'Time Off Log'!$A$5:$A$504,$C703,'Time Off Log'!$B$5:$B$504,"Sick",'Time Off Log'!$E$5:$E$504,"Approved",'Time Off Log'!$C$5:$C$504,"&gt;="&amp;INDEX(Periods!$E$5:$E$57,$B703),'Time Off Log'!$C$5:$C$504,"&lt;="&amp;INDEX(Periods!$F$5:$F$57,$B703)))</f>
        <v/>
      </c>
      <c r="S703" s="51">
        <f>IF($B703=1,N(INDEX(Employees!$T$5:$T$29,$A703)),V702)</f>
        <v/>
      </c>
      <c r="T703" s="51">
        <f>IF(INDEX(Employees!$S$5:$S$29,$A703)="",Q703,MAX(0,MIN(Q703,INDEX(Employees!$S$5:$S$29,$A703)-(S703-R703))))</f>
        <v/>
      </c>
      <c r="U703" s="51">
        <f>Q703-T703</f>
        <v/>
      </c>
      <c r="V703" s="51">
        <f>S703-R703+T703</f>
        <v/>
      </c>
    </row>
    <row r="704">
      <c r="A704" s="50" t="n">
        <v>14</v>
      </c>
      <c r="B704" s="50" t="n">
        <v>11</v>
      </c>
      <c r="C704" s="51">
        <f>INDEX(Employees!$B$5:$B$29,$A704)&amp;""</f>
        <v/>
      </c>
      <c r="D704" s="52">
        <f>INDEX(Periods!$B$5:$B$57,$B704)</f>
        <v/>
      </c>
      <c r="E704" s="52">
        <f>INDEX(Periods!$C$5:$C$57,$B704)</f>
        <v/>
      </c>
      <c r="F704" s="50">
        <f>IF(AND($C704&lt;&gt;"",INDEX(Periods!$D$5:$D$57,$B704)=1),1,0)</f>
        <v/>
      </c>
      <c r="G704" s="50">
        <f>IF($F704=0,0,IF(AND(OR(INDEX(Employees!$D$5:$D$29,$A704)="",$E704&gt;=INDEX(Employees!$D$5:$D$29,$A704)+N(INDEX(Employees!$U$5:$U$29,$A704))),OR(INDEX(Employees!$E$5:$E$29,$A704)="",$D704&lt;=INDEX(Employees!$E$5:$E$29,$A704))),1,0))</f>
        <v/>
      </c>
      <c r="H704" s="50">
        <f>IF($G704=0,0,IF(INDEX(Employees!$D$5:$D$29,$A704)="",0,DATEDIF(INDEX(Employees!$D$5:$D$29,$A704),$E704,"y")))</f>
        <v/>
      </c>
      <c r="I704" s="51">
        <f>IF($G704=0,0,IF(INDEX('Hours Worked'!$D$5:$BD$29,$A704,$B704)="",N(INDEX(Employees!$H$5:$H$29,$A704)),INDEX('Hours Worked'!$D$5:$BD$29,$A704,$B704)))</f>
        <v/>
      </c>
      <c r="J704" s="51">
        <f>IF(OR($G704=0,INDEX(Employees!$O$5:$O$29,$A704)&lt;&gt;"Yes"),0,IF(COUNTIF(Settings!$D$4:$D$9,"&lt;="&amp;$H704)=0,0,INDEX(Settings!$E$4:$E$9,COUNTIF(Settings!$D$4:$D$9,"&lt;="&amp;$H704))))</f>
        <v/>
      </c>
      <c r="K704" s="51">
        <f>IF($G704=0,0,IF(INDEX(Employees!$I$5:$I$29,$A704)="Per pay period",(N(INDEX(Employees!$J$5:$J$29,$A704))+$J704)/Settings!$B$13,IF(INDEX(Employees!$I$5:$I$29,$A704)="Per hour worked",N(INDEX(Employees!$K$5:$K$29,$A704))*$I704,IF(INDEX(Employees!$I$5:$I$29,$A704)="Front-loaded",IF(OR($B704=1,N($G703)=0),N(INDEX(Employees!$J$5:$J$29,$A704))+$J704,0),0))))</f>
        <v/>
      </c>
      <c r="L704" s="51">
        <f>IF($F704=0,0,SUMIFS('Time Off Log'!$H$5:$H$504,'Time Off Log'!$A$5:$A$504,$C704,'Time Off Log'!$B$5:$B$504,"PTO",'Time Off Log'!$E$5:$E$504,"Approved",'Time Off Log'!$C$5:$C$504,"&gt;="&amp;INDEX(Periods!$E$5:$E$57,$B704),'Time Off Log'!$C$5:$C$504,"&lt;="&amp;INDEX(Periods!$F$5:$F$57,$B704)))</f>
        <v/>
      </c>
      <c r="M704" s="51">
        <f>IF($B704=1,N(INDEX(Employees!$N$5:$N$29,$A704)),P703)</f>
        <v/>
      </c>
      <c r="N704" s="51">
        <f>IF(INDEX(Employees!$L$5:$L$29,$A704)="",K704,MAX(0,MIN(K704,INDEX(Employees!$L$5:$L$29,$A704)-(M704-L704))))</f>
        <v/>
      </c>
      <c r="O704" s="51">
        <f>K704-N704</f>
        <v/>
      </c>
      <c r="P704" s="51">
        <f>M704-L704+N704</f>
        <v/>
      </c>
      <c r="Q704" s="51">
        <f>IF($G704=0,0,IF(INDEX(Employees!$P$5:$P$29,$A704)="Per pay period",(N(INDEX(Employees!$Q$5:$Q$29,$A704)))/Settings!$B$13,IF(INDEX(Employees!$P$5:$P$29,$A704)="Per hour worked",N(INDEX(Employees!$R$5:$R$29,$A704))*$I704,IF(INDEX(Employees!$P$5:$P$29,$A704)="Front-loaded",IF(OR($B704=1,N($G703)=0),N(INDEX(Employees!$Q$5:$Q$29,$A704)),0),0))))</f>
        <v/>
      </c>
      <c r="R704" s="51">
        <f>IF($F704=0,0,SUMIFS('Time Off Log'!$H$5:$H$504,'Time Off Log'!$A$5:$A$504,$C704,'Time Off Log'!$B$5:$B$504,"Sick",'Time Off Log'!$E$5:$E$504,"Approved",'Time Off Log'!$C$5:$C$504,"&gt;="&amp;INDEX(Periods!$E$5:$E$57,$B704),'Time Off Log'!$C$5:$C$504,"&lt;="&amp;INDEX(Periods!$F$5:$F$57,$B704)))</f>
        <v/>
      </c>
      <c r="S704" s="51">
        <f>IF($B704=1,N(INDEX(Employees!$T$5:$T$29,$A704)),V703)</f>
        <v/>
      </c>
      <c r="T704" s="51">
        <f>IF(INDEX(Employees!$S$5:$S$29,$A704)="",Q704,MAX(0,MIN(Q704,INDEX(Employees!$S$5:$S$29,$A704)-(S704-R704))))</f>
        <v/>
      </c>
      <c r="U704" s="51">
        <f>Q704-T704</f>
        <v/>
      </c>
      <c r="V704" s="51">
        <f>S704-R704+T704</f>
        <v/>
      </c>
    </row>
    <row r="705">
      <c r="A705" s="50" t="n">
        <v>14</v>
      </c>
      <c r="B705" s="50" t="n">
        <v>12</v>
      </c>
      <c r="C705" s="51">
        <f>INDEX(Employees!$B$5:$B$29,$A705)&amp;""</f>
        <v/>
      </c>
      <c r="D705" s="52">
        <f>INDEX(Periods!$B$5:$B$57,$B705)</f>
        <v/>
      </c>
      <c r="E705" s="52">
        <f>INDEX(Periods!$C$5:$C$57,$B705)</f>
        <v/>
      </c>
      <c r="F705" s="50">
        <f>IF(AND($C705&lt;&gt;"",INDEX(Periods!$D$5:$D$57,$B705)=1),1,0)</f>
        <v/>
      </c>
      <c r="G705" s="50">
        <f>IF($F705=0,0,IF(AND(OR(INDEX(Employees!$D$5:$D$29,$A705)="",$E705&gt;=INDEX(Employees!$D$5:$D$29,$A705)+N(INDEX(Employees!$U$5:$U$29,$A705))),OR(INDEX(Employees!$E$5:$E$29,$A705)="",$D705&lt;=INDEX(Employees!$E$5:$E$29,$A705))),1,0))</f>
        <v/>
      </c>
      <c r="H705" s="50">
        <f>IF($G705=0,0,IF(INDEX(Employees!$D$5:$D$29,$A705)="",0,DATEDIF(INDEX(Employees!$D$5:$D$29,$A705),$E705,"y")))</f>
        <v/>
      </c>
      <c r="I705" s="51">
        <f>IF($G705=0,0,IF(INDEX('Hours Worked'!$D$5:$BD$29,$A705,$B705)="",N(INDEX(Employees!$H$5:$H$29,$A705)),INDEX('Hours Worked'!$D$5:$BD$29,$A705,$B705)))</f>
        <v/>
      </c>
      <c r="J705" s="51">
        <f>IF(OR($G705=0,INDEX(Employees!$O$5:$O$29,$A705)&lt;&gt;"Yes"),0,IF(COUNTIF(Settings!$D$4:$D$9,"&lt;="&amp;$H705)=0,0,INDEX(Settings!$E$4:$E$9,COUNTIF(Settings!$D$4:$D$9,"&lt;="&amp;$H705))))</f>
        <v/>
      </c>
      <c r="K705" s="51">
        <f>IF($G705=0,0,IF(INDEX(Employees!$I$5:$I$29,$A705)="Per pay period",(N(INDEX(Employees!$J$5:$J$29,$A705))+$J705)/Settings!$B$13,IF(INDEX(Employees!$I$5:$I$29,$A705)="Per hour worked",N(INDEX(Employees!$K$5:$K$29,$A705))*$I705,IF(INDEX(Employees!$I$5:$I$29,$A705)="Front-loaded",IF(OR($B705=1,N($G704)=0),N(INDEX(Employees!$J$5:$J$29,$A705))+$J705,0),0))))</f>
        <v/>
      </c>
      <c r="L705" s="51">
        <f>IF($F705=0,0,SUMIFS('Time Off Log'!$H$5:$H$504,'Time Off Log'!$A$5:$A$504,$C705,'Time Off Log'!$B$5:$B$504,"PTO",'Time Off Log'!$E$5:$E$504,"Approved",'Time Off Log'!$C$5:$C$504,"&gt;="&amp;INDEX(Periods!$E$5:$E$57,$B705),'Time Off Log'!$C$5:$C$504,"&lt;="&amp;INDEX(Periods!$F$5:$F$57,$B705)))</f>
        <v/>
      </c>
      <c r="M705" s="51">
        <f>IF($B705=1,N(INDEX(Employees!$N$5:$N$29,$A705)),P704)</f>
        <v/>
      </c>
      <c r="N705" s="51">
        <f>IF(INDEX(Employees!$L$5:$L$29,$A705)="",K705,MAX(0,MIN(K705,INDEX(Employees!$L$5:$L$29,$A705)-(M705-L705))))</f>
        <v/>
      </c>
      <c r="O705" s="51">
        <f>K705-N705</f>
        <v/>
      </c>
      <c r="P705" s="51">
        <f>M705-L705+N705</f>
        <v/>
      </c>
      <c r="Q705" s="51">
        <f>IF($G705=0,0,IF(INDEX(Employees!$P$5:$P$29,$A705)="Per pay period",(N(INDEX(Employees!$Q$5:$Q$29,$A705)))/Settings!$B$13,IF(INDEX(Employees!$P$5:$P$29,$A705)="Per hour worked",N(INDEX(Employees!$R$5:$R$29,$A705))*$I705,IF(INDEX(Employees!$P$5:$P$29,$A705)="Front-loaded",IF(OR($B705=1,N($G704)=0),N(INDEX(Employees!$Q$5:$Q$29,$A705)),0),0))))</f>
        <v/>
      </c>
      <c r="R705" s="51">
        <f>IF($F705=0,0,SUMIFS('Time Off Log'!$H$5:$H$504,'Time Off Log'!$A$5:$A$504,$C705,'Time Off Log'!$B$5:$B$504,"Sick",'Time Off Log'!$E$5:$E$504,"Approved",'Time Off Log'!$C$5:$C$504,"&gt;="&amp;INDEX(Periods!$E$5:$E$57,$B705),'Time Off Log'!$C$5:$C$504,"&lt;="&amp;INDEX(Periods!$F$5:$F$57,$B705)))</f>
        <v/>
      </c>
      <c r="S705" s="51">
        <f>IF($B705=1,N(INDEX(Employees!$T$5:$T$29,$A705)),V704)</f>
        <v/>
      </c>
      <c r="T705" s="51">
        <f>IF(INDEX(Employees!$S$5:$S$29,$A705)="",Q705,MAX(0,MIN(Q705,INDEX(Employees!$S$5:$S$29,$A705)-(S705-R705))))</f>
        <v/>
      </c>
      <c r="U705" s="51">
        <f>Q705-T705</f>
        <v/>
      </c>
      <c r="V705" s="51">
        <f>S705-R705+T705</f>
        <v/>
      </c>
    </row>
    <row r="706">
      <c r="A706" s="50" t="n">
        <v>14</v>
      </c>
      <c r="B706" s="50" t="n">
        <v>13</v>
      </c>
      <c r="C706" s="51">
        <f>INDEX(Employees!$B$5:$B$29,$A706)&amp;""</f>
        <v/>
      </c>
      <c r="D706" s="52">
        <f>INDEX(Periods!$B$5:$B$57,$B706)</f>
        <v/>
      </c>
      <c r="E706" s="52">
        <f>INDEX(Periods!$C$5:$C$57,$B706)</f>
        <v/>
      </c>
      <c r="F706" s="50">
        <f>IF(AND($C706&lt;&gt;"",INDEX(Periods!$D$5:$D$57,$B706)=1),1,0)</f>
        <v/>
      </c>
      <c r="G706" s="50">
        <f>IF($F706=0,0,IF(AND(OR(INDEX(Employees!$D$5:$D$29,$A706)="",$E706&gt;=INDEX(Employees!$D$5:$D$29,$A706)+N(INDEX(Employees!$U$5:$U$29,$A706))),OR(INDEX(Employees!$E$5:$E$29,$A706)="",$D706&lt;=INDEX(Employees!$E$5:$E$29,$A706))),1,0))</f>
        <v/>
      </c>
      <c r="H706" s="50">
        <f>IF($G706=0,0,IF(INDEX(Employees!$D$5:$D$29,$A706)="",0,DATEDIF(INDEX(Employees!$D$5:$D$29,$A706),$E706,"y")))</f>
        <v/>
      </c>
      <c r="I706" s="51">
        <f>IF($G706=0,0,IF(INDEX('Hours Worked'!$D$5:$BD$29,$A706,$B706)="",N(INDEX(Employees!$H$5:$H$29,$A706)),INDEX('Hours Worked'!$D$5:$BD$29,$A706,$B706)))</f>
        <v/>
      </c>
      <c r="J706" s="51">
        <f>IF(OR($G706=0,INDEX(Employees!$O$5:$O$29,$A706)&lt;&gt;"Yes"),0,IF(COUNTIF(Settings!$D$4:$D$9,"&lt;="&amp;$H706)=0,0,INDEX(Settings!$E$4:$E$9,COUNTIF(Settings!$D$4:$D$9,"&lt;="&amp;$H706))))</f>
        <v/>
      </c>
      <c r="K706" s="51">
        <f>IF($G706=0,0,IF(INDEX(Employees!$I$5:$I$29,$A706)="Per pay period",(N(INDEX(Employees!$J$5:$J$29,$A706))+$J706)/Settings!$B$13,IF(INDEX(Employees!$I$5:$I$29,$A706)="Per hour worked",N(INDEX(Employees!$K$5:$K$29,$A706))*$I706,IF(INDEX(Employees!$I$5:$I$29,$A706)="Front-loaded",IF(OR($B706=1,N($G705)=0),N(INDEX(Employees!$J$5:$J$29,$A706))+$J706,0),0))))</f>
        <v/>
      </c>
      <c r="L706" s="51">
        <f>IF($F706=0,0,SUMIFS('Time Off Log'!$H$5:$H$504,'Time Off Log'!$A$5:$A$504,$C706,'Time Off Log'!$B$5:$B$504,"PTO",'Time Off Log'!$E$5:$E$504,"Approved",'Time Off Log'!$C$5:$C$504,"&gt;="&amp;INDEX(Periods!$E$5:$E$57,$B706),'Time Off Log'!$C$5:$C$504,"&lt;="&amp;INDEX(Periods!$F$5:$F$57,$B706)))</f>
        <v/>
      </c>
      <c r="M706" s="51">
        <f>IF($B706=1,N(INDEX(Employees!$N$5:$N$29,$A706)),P705)</f>
        <v/>
      </c>
      <c r="N706" s="51">
        <f>IF(INDEX(Employees!$L$5:$L$29,$A706)="",K706,MAX(0,MIN(K706,INDEX(Employees!$L$5:$L$29,$A706)-(M706-L706))))</f>
        <v/>
      </c>
      <c r="O706" s="51">
        <f>K706-N706</f>
        <v/>
      </c>
      <c r="P706" s="51">
        <f>M706-L706+N706</f>
        <v/>
      </c>
      <c r="Q706" s="51">
        <f>IF($G706=0,0,IF(INDEX(Employees!$P$5:$P$29,$A706)="Per pay period",(N(INDEX(Employees!$Q$5:$Q$29,$A706)))/Settings!$B$13,IF(INDEX(Employees!$P$5:$P$29,$A706)="Per hour worked",N(INDEX(Employees!$R$5:$R$29,$A706))*$I706,IF(INDEX(Employees!$P$5:$P$29,$A706)="Front-loaded",IF(OR($B706=1,N($G705)=0),N(INDEX(Employees!$Q$5:$Q$29,$A706)),0),0))))</f>
        <v/>
      </c>
      <c r="R706" s="51">
        <f>IF($F706=0,0,SUMIFS('Time Off Log'!$H$5:$H$504,'Time Off Log'!$A$5:$A$504,$C706,'Time Off Log'!$B$5:$B$504,"Sick",'Time Off Log'!$E$5:$E$504,"Approved",'Time Off Log'!$C$5:$C$504,"&gt;="&amp;INDEX(Periods!$E$5:$E$57,$B706),'Time Off Log'!$C$5:$C$504,"&lt;="&amp;INDEX(Periods!$F$5:$F$57,$B706)))</f>
        <v/>
      </c>
      <c r="S706" s="51">
        <f>IF($B706=1,N(INDEX(Employees!$T$5:$T$29,$A706)),V705)</f>
        <v/>
      </c>
      <c r="T706" s="51">
        <f>IF(INDEX(Employees!$S$5:$S$29,$A706)="",Q706,MAX(0,MIN(Q706,INDEX(Employees!$S$5:$S$29,$A706)-(S706-R706))))</f>
        <v/>
      </c>
      <c r="U706" s="51">
        <f>Q706-T706</f>
        <v/>
      </c>
      <c r="V706" s="51">
        <f>S706-R706+T706</f>
        <v/>
      </c>
    </row>
    <row r="707">
      <c r="A707" s="50" t="n">
        <v>14</v>
      </c>
      <c r="B707" s="50" t="n">
        <v>14</v>
      </c>
      <c r="C707" s="51">
        <f>INDEX(Employees!$B$5:$B$29,$A707)&amp;""</f>
        <v/>
      </c>
      <c r="D707" s="52">
        <f>INDEX(Periods!$B$5:$B$57,$B707)</f>
        <v/>
      </c>
      <c r="E707" s="52">
        <f>INDEX(Periods!$C$5:$C$57,$B707)</f>
        <v/>
      </c>
      <c r="F707" s="50">
        <f>IF(AND($C707&lt;&gt;"",INDEX(Periods!$D$5:$D$57,$B707)=1),1,0)</f>
        <v/>
      </c>
      <c r="G707" s="50">
        <f>IF($F707=0,0,IF(AND(OR(INDEX(Employees!$D$5:$D$29,$A707)="",$E707&gt;=INDEX(Employees!$D$5:$D$29,$A707)+N(INDEX(Employees!$U$5:$U$29,$A707))),OR(INDEX(Employees!$E$5:$E$29,$A707)="",$D707&lt;=INDEX(Employees!$E$5:$E$29,$A707))),1,0))</f>
        <v/>
      </c>
      <c r="H707" s="50">
        <f>IF($G707=0,0,IF(INDEX(Employees!$D$5:$D$29,$A707)="",0,DATEDIF(INDEX(Employees!$D$5:$D$29,$A707),$E707,"y")))</f>
        <v/>
      </c>
      <c r="I707" s="51">
        <f>IF($G707=0,0,IF(INDEX('Hours Worked'!$D$5:$BD$29,$A707,$B707)="",N(INDEX(Employees!$H$5:$H$29,$A707)),INDEX('Hours Worked'!$D$5:$BD$29,$A707,$B707)))</f>
        <v/>
      </c>
      <c r="J707" s="51">
        <f>IF(OR($G707=0,INDEX(Employees!$O$5:$O$29,$A707)&lt;&gt;"Yes"),0,IF(COUNTIF(Settings!$D$4:$D$9,"&lt;="&amp;$H707)=0,0,INDEX(Settings!$E$4:$E$9,COUNTIF(Settings!$D$4:$D$9,"&lt;="&amp;$H707))))</f>
        <v/>
      </c>
      <c r="K707" s="51">
        <f>IF($G707=0,0,IF(INDEX(Employees!$I$5:$I$29,$A707)="Per pay period",(N(INDEX(Employees!$J$5:$J$29,$A707))+$J707)/Settings!$B$13,IF(INDEX(Employees!$I$5:$I$29,$A707)="Per hour worked",N(INDEX(Employees!$K$5:$K$29,$A707))*$I707,IF(INDEX(Employees!$I$5:$I$29,$A707)="Front-loaded",IF(OR($B707=1,N($G706)=0),N(INDEX(Employees!$J$5:$J$29,$A707))+$J707,0),0))))</f>
        <v/>
      </c>
      <c r="L707" s="51">
        <f>IF($F707=0,0,SUMIFS('Time Off Log'!$H$5:$H$504,'Time Off Log'!$A$5:$A$504,$C707,'Time Off Log'!$B$5:$B$504,"PTO",'Time Off Log'!$E$5:$E$504,"Approved",'Time Off Log'!$C$5:$C$504,"&gt;="&amp;INDEX(Periods!$E$5:$E$57,$B707),'Time Off Log'!$C$5:$C$504,"&lt;="&amp;INDEX(Periods!$F$5:$F$57,$B707)))</f>
        <v/>
      </c>
      <c r="M707" s="51">
        <f>IF($B707=1,N(INDEX(Employees!$N$5:$N$29,$A707)),P706)</f>
        <v/>
      </c>
      <c r="N707" s="51">
        <f>IF(INDEX(Employees!$L$5:$L$29,$A707)="",K707,MAX(0,MIN(K707,INDEX(Employees!$L$5:$L$29,$A707)-(M707-L707))))</f>
        <v/>
      </c>
      <c r="O707" s="51">
        <f>K707-N707</f>
        <v/>
      </c>
      <c r="P707" s="51">
        <f>M707-L707+N707</f>
        <v/>
      </c>
      <c r="Q707" s="51">
        <f>IF($G707=0,0,IF(INDEX(Employees!$P$5:$P$29,$A707)="Per pay period",(N(INDEX(Employees!$Q$5:$Q$29,$A707)))/Settings!$B$13,IF(INDEX(Employees!$P$5:$P$29,$A707)="Per hour worked",N(INDEX(Employees!$R$5:$R$29,$A707))*$I707,IF(INDEX(Employees!$P$5:$P$29,$A707)="Front-loaded",IF(OR($B707=1,N($G706)=0),N(INDEX(Employees!$Q$5:$Q$29,$A707)),0),0))))</f>
        <v/>
      </c>
      <c r="R707" s="51">
        <f>IF($F707=0,0,SUMIFS('Time Off Log'!$H$5:$H$504,'Time Off Log'!$A$5:$A$504,$C707,'Time Off Log'!$B$5:$B$504,"Sick",'Time Off Log'!$E$5:$E$504,"Approved",'Time Off Log'!$C$5:$C$504,"&gt;="&amp;INDEX(Periods!$E$5:$E$57,$B707),'Time Off Log'!$C$5:$C$504,"&lt;="&amp;INDEX(Periods!$F$5:$F$57,$B707)))</f>
        <v/>
      </c>
      <c r="S707" s="51">
        <f>IF($B707=1,N(INDEX(Employees!$T$5:$T$29,$A707)),V706)</f>
        <v/>
      </c>
      <c r="T707" s="51">
        <f>IF(INDEX(Employees!$S$5:$S$29,$A707)="",Q707,MAX(0,MIN(Q707,INDEX(Employees!$S$5:$S$29,$A707)-(S707-R707))))</f>
        <v/>
      </c>
      <c r="U707" s="51">
        <f>Q707-T707</f>
        <v/>
      </c>
      <c r="V707" s="51">
        <f>S707-R707+T707</f>
        <v/>
      </c>
    </row>
    <row r="708">
      <c r="A708" s="50" t="n">
        <v>14</v>
      </c>
      <c r="B708" s="50" t="n">
        <v>15</v>
      </c>
      <c r="C708" s="51">
        <f>INDEX(Employees!$B$5:$B$29,$A708)&amp;""</f>
        <v/>
      </c>
      <c r="D708" s="52">
        <f>INDEX(Periods!$B$5:$B$57,$B708)</f>
        <v/>
      </c>
      <c r="E708" s="52">
        <f>INDEX(Periods!$C$5:$C$57,$B708)</f>
        <v/>
      </c>
      <c r="F708" s="50">
        <f>IF(AND($C708&lt;&gt;"",INDEX(Periods!$D$5:$D$57,$B708)=1),1,0)</f>
        <v/>
      </c>
      <c r="G708" s="50">
        <f>IF($F708=0,0,IF(AND(OR(INDEX(Employees!$D$5:$D$29,$A708)="",$E708&gt;=INDEX(Employees!$D$5:$D$29,$A708)+N(INDEX(Employees!$U$5:$U$29,$A708))),OR(INDEX(Employees!$E$5:$E$29,$A708)="",$D708&lt;=INDEX(Employees!$E$5:$E$29,$A708))),1,0))</f>
        <v/>
      </c>
      <c r="H708" s="50">
        <f>IF($G708=0,0,IF(INDEX(Employees!$D$5:$D$29,$A708)="",0,DATEDIF(INDEX(Employees!$D$5:$D$29,$A708),$E708,"y")))</f>
        <v/>
      </c>
      <c r="I708" s="51">
        <f>IF($G708=0,0,IF(INDEX('Hours Worked'!$D$5:$BD$29,$A708,$B708)="",N(INDEX(Employees!$H$5:$H$29,$A708)),INDEX('Hours Worked'!$D$5:$BD$29,$A708,$B708)))</f>
        <v/>
      </c>
      <c r="J708" s="51">
        <f>IF(OR($G708=0,INDEX(Employees!$O$5:$O$29,$A708)&lt;&gt;"Yes"),0,IF(COUNTIF(Settings!$D$4:$D$9,"&lt;="&amp;$H708)=0,0,INDEX(Settings!$E$4:$E$9,COUNTIF(Settings!$D$4:$D$9,"&lt;="&amp;$H708))))</f>
        <v/>
      </c>
      <c r="K708" s="51">
        <f>IF($G708=0,0,IF(INDEX(Employees!$I$5:$I$29,$A708)="Per pay period",(N(INDEX(Employees!$J$5:$J$29,$A708))+$J708)/Settings!$B$13,IF(INDEX(Employees!$I$5:$I$29,$A708)="Per hour worked",N(INDEX(Employees!$K$5:$K$29,$A708))*$I708,IF(INDEX(Employees!$I$5:$I$29,$A708)="Front-loaded",IF(OR($B708=1,N($G707)=0),N(INDEX(Employees!$J$5:$J$29,$A708))+$J708,0),0))))</f>
        <v/>
      </c>
      <c r="L708" s="51">
        <f>IF($F708=0,0,SUMIFS('Time Off Log'!$H$5:$H$504,'Time Off Log'!$A$5:$A$504,$C708,'Time Off Log'!$B$5:$B$504,"PTO",'Time Off Log'!$E$5:$E$504,"Approved",'Time Off Log'!$C$5:$C$504,"&gt;="&amp;INDEX(Periods!$E$5:$E$57,$B708),'Time Off Log'!$C$5:$C$504,"&lt;="&amp;INDEX(Periods!$F$5:$F$57,$B708)))</f>
        <v/>
      </c>
      <c r="M708" s="51">
        <f>IF($B708=1,N(INDEX(Employees!$N$5:$N$29,$A708)),P707)</f>
        <v/>
      </c>
      <c r="N708" s="51">
        <f>IF(INDEX(Employees!$L$5:$L$29,$A708)="",K708,MAX(0,MIN(K708,INDEX(Employees!$L$5:$L$29,$A708)-(M708-L708))))</f>
        <v/>
      </c>
      <c r="O708" s="51">
        <f>K708-N708</f>
        <v/>
      </c>
      <c r="P708" s="51">
        <f>M708-L708+N708</f>
        <v/>
      </c>
      <c r="Q708" s="51">
        <f>IF($G708=0,0,IF(INDEX(Employees!$P$5:$P$29,$A708)="Per pay period",(N(INDEX(Employees!$Q$5:$Q$29,$A708)))/Settings!$B$13,IF(INDEX(Employees!$P$5:$P$29,$A708)="Per hour worked",N(INDEX(Employees!$R$5:$R$29,$A708))*$I708,IF(INDEX(Employees!$P$5:$P$29,$A708)="Front-loaded",IF(OR($B708=1,N($G707)=0),N(INDEX(Employees!$Q$5:$Q$29,$A708)),0),0))))</f>
        <v/>
      </c>
      <c r="R708" s="51">
        <f>IF($F708=0,0,SUMIFS('Time Off Log'!$H$5:$H$504,'Time Off Log'!$A$5:$A$504,$C708,'Time Off Log'!$B$5:$B$504,"Sick",'Time Off Log'!$E$5:$E$504,"Approved",'Time Off Log'!$C$5:$C$504,"&gt;="&amp;INDEX(Periods!$E$5:$E$57,$B708),'Time Off Log'!$C$5:$C$504,"&lt;="&amp;INDEX(Periods!$F$5:$F$57,$B708)))</f>
        <v/>
      </c>
      <c r="S708" s="51">
        <f>IF($B708=1,N(INDEX(Employees!$T$5:$T$29,$A708)),V707)</f>
        <v/>
      </c>
      <c r="T708" s="51">
        <f>IF(INDEX(Employees!$S$5:$S$29,$A708)="",Q708,MAX(0,MIN(Q708,INDEX(Employees!$S$5:$S$29,$A708)-(S708-R708))))</f>
        <v/>
      </c>
      <c r="U708" s="51">
        <f>Q708-T708</f>
        <v/>
      </c>
      <c r="V708" s="51">
        <f>S708-R708+T708</f>
        <v/>
      </c>
    </row>
    <row r="709">
      <c r="A709" s="50" t="n">
        <v>14</v>
      </c>
      <c r="B709" s="50" t="n">
        <v>16</v>
      </c>
      <c r="C709" s="51">
        <f>INDEX(Employees!$B$5:$B$29,$A709)&amp;""</f>
        <v/>
      </c>
      <c r="D709" s="52">
        <f>INDEX(Periods!$B$5:$B$57,$B709)</f>
        <v/>
      </c>
      <c r="E709" s="52">
        <f>INDEX(Periods!$C$5:$C$57,$B709)</f>
        <v/>
      </c>
      <c r="F709" s="50">
        <f>IF(AND($C709&lt;&gt;"",INDEX(Periods!$D$5:$D$57,$B709)=1),1,0)</f>
        <v/>
      </c>
      <c r="G709" s="50">
        <f>IF($F709=0,0,IF(AND(OR(INDEX(Employees!$D$5:$D$29,$A709)="",$E709&gt;=INDEX(Employees!$D$5:$D$29,$A709)+N(INDEX(Employees!$U$5:$U$29,$A709))),OR(INDEX(Employees!$E$5:$E$29,$A709)="",$D709&lt;=INDEX(Employees!$E$5:$E$29,$A709))),1,0))</f>
        <v/>
      </c>
      <c r="H709" s="50">
        <f>IF($G709=0,0,IF(INDEX(Employees!$D$5:$D$29,$A709)="",0,DATEDIF(INDEX(Employees!$D$5:$D$29,$A709),$E709,"y")))</f>
        <v/>
      </c>
      <c r="I709" s="51">
        <f>IF($G709=0,0,IF(INDEX('Hours Worked'!$D$5:$BD$29,$A709,$B709)="",N(INDEX(Employees!$H$5:$H$29,$A709)),INDEX('Hours Worked'!$D$5:$BD$29,$A709,$B709)))</f>
        <v/>
      </c>
      <c r="J709" s="51">
        <f>IF(OR($G709=0,INDEX(Employees!$O$5:$O$29,$A709)&lt;&gt;"Yes"),0,IF(COUNTIF(Settings!$D$4:$D$9,"&lt;="&amp;$H709)=0,0,INDEX(Settings!$E$4:$E$9,COUNTIF(Settings!$D$4:$D$9,"&lt;="&amp;$H709))))</f>
        <v/>
      </c>
      <c r="K709" s="51">
        <f>IF($G709=0,0,IF(INDEX(Employees!$I$5:$I$29,$A709)="Per pay period",(N(INDEX(Employees!$J$5:$J$29,$A709))+$J709)/Settings!$B$13,IF(INDEX(Employees!$I$5:$I$29,$A709)="Per hour worked",N(INDEX(Employees!$K$5:$K$29,$A709))*$I709,IF(INDEX(Employees!$I$5:$I$29,$A709)="Front-loaded",IF(OR($B709=1,N($G708)=0),N(INDEX(Employees!$J$5:$J$29,$A709))+$J709,0),0))))</f>
        <v/>
      </c>
      <c r="L709" s="51">
        <f>IF($F709=0,0,SUMIFS('Time Off Log'!$H$5:$H$504,'Time Off Log'!$A$5:$A$504,$C709,'Time Off Log'!$B$5:$B$504,"PTO",'Time Off Log'!$E$5:$E$504,"Approved",'Time Off Log'!$C$5:$C$504,"&gt;="&amp;INDEX(Periods!$E$5:$E$57,$B709),'Time Off Log'!$C$5:$C$504,"&lt;="&amp;INDEX(Periods!$F$5:$F$57,$B709)))</f>
        <v/>
      </c>
      <c r="M709" s="51">
        <f>IF($B709=1,N(INDEX(Employees!$N$5:$N$29,$A709)),P708)</f>
        <v/>
      </c>
      <c r="N709" s="51">
        <f>IF(INDEX(Employees!$L$5:$L$29,$A709)="",K709,MAX(0,MIN(K709,INDEX(Employees!$L$5:$L$29,$A709)-(M709-L709))))</f>
        <v/>
      </c>
      <c r="O709" s="51">
        <f>K709-N709</f>
        <v/>
      </c>
      <c r="P709" s="51">
        <f>M709-L709+N709</f>
        <v/>
      </c>
      <c r="Q709" s="51">
        <f>IF($G709=0,0,IF(INDEX(Employees!$P$5:$P$29,$A709)="Per pay period",(N(INDEX(Employees!$Q$5:$Q$29,$A709)))/Settings!$B$13,IF(INDEX(Employees!$P$5:$P$29,$A709)="Per hour worked",N(INDEX(Employees!$R$5:$R$29,$A709))*$I709,IF(INDEX(Employees!$P$5:$P$29,$A709)="Front-loaded",IF(OR($B709=1,N($G708)=0),N(INDEX(Employees!$Q$5:$Q$29,$A709)),0),0))))</f>
        <v/>
      </c>
      <c r="R709" s="51">
        <f>IF($F709=0,0,SUMIFS('Time Off Log'!$H$5:$H$504,'Time Off Log'!$A$5:$A$504,$C709,'Time Off Log'!$B$5:$B$504,"Sick",'Time Off Log'!$E$5:$E$504,"Approved",'Time Off Log'!$C$5:$C$504,"&gt;="&amp;INDEX(Periods!$E$5:$E$57,$B709),'Time Off Log'!$C$5:$C$504,"&lt;="&amp;INDEX(Periods!$F$5:$F$57,$B709)))</f>
        <v/>
      </c>
      <c r="S709" s="51">
        <f>IF($B709=1,N(INDEX(Employees!$T$5:$T$29,$A709)),V708)</f>
        <v/>
      </c>
      <c r="T709" s="51">
        <f>IF(INDEX(Employees!$S$5:$S$29,$A709)="",Q709,MAX(0,MIN(Q709,INDEX(Employees!$S$5:$S$29,$A709)-(S709-R709))))</f>
        <v/>
      </c>
      <c r="U709" s="51">
        <f>Q709-T709</f>
        <v/>
      </c>
      <c r="V709" s="51">
        <f>S709-R709+T709</f>
        <v/>
      </c>
    </row>
    <row r="710">
      <c r="A710" s="50" t="n">
        <v>14</v>
      </c>
      <c r="B710" s="50" t="n">
        <v>17</v>
      </c>
      <c r="C710" s="51">
        <f>INDEX(Employees!$B$5:$B$29,$A710)&amp;""</f>
        <v/>
      </c>
      <c r="D710" s="52">
        <f>INDEX(Periods!$B$5:$B$57,$B710)</f>
        <v/>
      </c>
      <c r="E710" s="52">
        <f>INDEX(Periods!$C$5:$C$57,$B710)</f>
        <v/>
      </c>
      <c r="F710" s="50">
        <f>IF(AND($C710&lt;&gt;"",INDEX(Periods!$D$5:$D$57,$B710)=1),1,0)</f>
        <v/>
      </c>
      <c r="G710" s="50">
        <f>IF($F710=0,0,IF(AND(OR(INDEX(Employees!$D$5:$D$29,$A710)="",$E710&gt;=INDEX(Employees!$D$5:$D$29,$A710)+N(INDEX(Employees!$U$5:$U$29,$A710))),OR(INDEX(Employees!$E$5:$E$29,$A710)="",$D710&lt;=INDEX(Employees!$E$5:$E$29,$A710))),1,0))</f>
        <v/>
      </c>
      <c r="H710" s="50">
        <f>IF($G710=0,0,IF(INDEX(Employees!$D$5:$D$29,$A710)="",0,DATEDIF(INDEX(Employees!$D$5:$D$29,$A710),$E710,"y")))</f>
        <v/>
      </c>
      <c r="I710" s="51">
        <f>IF($G710=0,0,IF(INDEX('Hours Worked'!$D$5:$BD$29,$A710,$B710)="",N(INDEX(Employees!$H$5:$H$29,$A710)),INDEX('Hours Worked'!$D$5:$BD$29,$A710,$B710)))</f>
        <v/>
      </c>
      <c r="J710" s="51">
        <f>IF(OR($G710=0,INDEX(Employees!$O$5:$O$29,$A710)&lt;&gt;"Yes"),0,IF(COUNTIF(Settings!$D$4:$D$9,"&lt;="&amp;$H710)=0,0,INDEX(Settings!$E$4:$E$9,COUNTIF(Settings!$D$4:$D$9,"&lt;="&amp;$H710))))</f>
        <v/>
      </c>
      <c r="K710" s="51">
        <f>IF($G710=0,0,IF(INDEX(Employees!$I$5:$I$29,$A710)="Per pay period",(N(INDEX(Employees!$J$5:$J$29,$A710))+$J710)/Settings!$B$13,IF(INDEX(Employees!$I$5:$I$29,$A710)="Per hour worked",N(INDEX(Employees!$K$5:$K$29,$A710))*$I710,IF(INDEX(Employees!$I$5:$I$29,$A710)="Front-loaded",IF(OR($B710=1,N($G709)=0),N(INDEX(Employees!$J$5:$J$29,$A710))+$J710,0),0))))</f>
        <v/>
      </c>
      <c r="L710" s="51">
        <f>IF($F710=0,0,SUMIFS('Time Off Log'!$H$5:$H$504,'Time Off Log'!$A$5:$A$504,$C710,'Time Off Log'!$B$5:$B$504,"PTO",'Time Off Log'!$E$5:$E$504,"Approved",'Time Off Log'!$C$5:$C$504,"&gt;="&amp;INDEX(Periods!$E$5:$E$57,$B710),'Time Off Log'!$C$5:$C$504,"&lt;="&amp;INDEX(Periods!$F$5:$F$57,$B710)))</f>
        <v/>
      </c>
      <c r="M710" s="51">
        <f>IF($B710=1,N(INDEX(Employees!$N$5:$N$29,$A710)),P709)</f>
        <v/>
      </c>
      <c r="N710" s="51">
        <f>IF(INDEX(Employees!$L$5:$L$29,$A710)="",K710,MAX(0,MIN(K710,INDEX(Employees!$L$5:$L$29,$A710)-(M710-L710))))</f>
        <v/>
      </c>
      <c r="O710" s="51">
        <f>K710-N710</f>
        <v/>
      </c>
      <c r="P710" s="51">
        <f>M710-L710+N710</f>
        <v/>
      </c>
      <c r="Q710" s="51">
        <f>IF($G710=0,0,IF(INDEX(Employees!$P$5:$P$29,$A710)="Per pay period",(N(INDEX(Employees!$Q$5:$Q$29,$A710)))/Settings!$B$13,IF(INDEX(Employees!$P$5:$P$29,$A710)="Per hour worked",N(INDEX(Employees!$R$5:$R$29,$A710))*$I710,IF(INDEX(Employees!$P$5:$P$29,$A710)="Front-loaded",IF(OR($B710=1,N($G709)=0),N(INDEX(Employees!$Q$5:$Q$29,$A710)),0),0))))</f>
        <v/>
      </c>
      <c r="R710" s="51">
        <f>IF($F710=0,0,SUMIFS('Time Off Log'!$H$5:$H$504,'Time Off Log'!$A$5:$A$504,$C710,'Time Off Log'!$B$5:$B$504,"Sick",'Time Off Log'!$E$5:$E$504,"Approved",'Time Off Log'!$C$5:$C$504,"&gt;="&amp;INDEX(Periods!$E$5:$E$57,$B710),'Time Off Log'!$C$5:$C$504,"&lt;="&amp;INDEX(Periods!$F$5:$F$57,$B710)))</f>
        <v/>
      </c>
      <c r="S710" s="51">
        <f>IF($B710=1,N(INDEX(Employees!$T$5:$T$29,$A710)),V709)</f>
        <v/>
      </c>
      <c r="T710" s="51">
        <f>IF(INDEX(Employees!$S$5:$S$29,$A710)="",Q710,MAX(0,MIN(Q710,INDEX(Employees!$S$5:$S$29,$A710)-(S710-R710))))</f>
        <v/>
      </c>
      <c r="U710" s="51">
        <f>Q710-T710</f>
        <v/>
      </c>
      <c r="V710" s="51">
        <f>S710-R710+T710</f>
        <v/>
      </c>
    </row>
    <row r="711">
      <c r="A711" s="50" t="n">
        <v>14</v>
      </c>
      <c r="B711" s="50" t="n">
        <v>18</v>
      </c>
      <c r="C711" s="51">
        <f>INDEX(Employees!$B$5:$B$29,$A711)&amp;""</f>
        <v/>
      </c>
      <c r="D711" s="52">
        <f>INDEX(Periods!$B$5:$B$57,$B711)</f>
        <v/>
      </c>
      <c r="E711" s="52">
        <f>INDEX(Periods!$C$5:$C$57,$B711)</f>
        <v/>
      </c>
      <c r="F711" s="50">
        <f>IF(AND($C711&lt;&gt;"",INDEX(Periods!$D$5:$D$57,$B711)=1),1,0)</f>
        <v/>
      </c>
      <c r="G711" s="50">
        <f>IF($F711=0,0,IF(AND(OR(INDEX(Employees!$D$5:$D$29,$A711)="",$E711&gt;=INDEX(Employees!$D$5:$D$29,$A711)+N(INDEX(Employees!$U$5:$U$29,$A711))),OR(INDEX(Employees!$E$5:$E$29,$A711)="",$D711&lt;=INDEX(Employees!$E$5:$E$29,$A711))),1,0))</f>
        <v/>
      </c>
      <c r="H711" s="50">
        <f>IF($G711=0,0,IF(INDEX(Employees!$D$5:$D$29,$A711)="",0,DATEDIF(INDEX(Employees!$D$5:$D$29,$A711),$E711,"y")))</f>
        <v/>
      </c>
      <c r="I711" s="51">
        <f>IF($G711=0,0,IF(INDEX('Hours Worked'!$D$5:$BD$29,$A711,$B711)="",N(INDEX(Employees!$H$5:$H$29,$A711)),INDEX('Hours Worked'!$D$5:$BD$29,$A711,$B711)))</f>
        <v/>
      </c>
      <c r="J711" s="51">
        <f>IF(OR($G711=0,INDEX(Employees!$O$5:$O$29,$A711)&lt;&gt;"Yes"),0,IF(COUNTIF(Settings!$D$4:$D$9,"&lt;="&amp;$H711)=0,0,INDEX(Settings!$E$4:$E$9,COUNTIF(Settings!$D$4:$D$9,"&lt;="&amp;$H711))))</f>
        <v/>
      </c>
      <c r="K711" s="51">
        <f>IF($G711=0,0,IF(INDEX(Employees!$I$5:$I$29,$A711)="Per pay period",(N(INDEX(Employees!$J$5:$J$29,$A711))+$J711)/Settings!$B$13,IF(INDEX(Employees!$I$5:$I$29,$A711)="Per hour worked",N(INDEX(Employees!$K$5:$K$29,$A711))*$I711,IF(INDEX(Employees!$I$5:$I$29,$A711)="Front-loaded",IF(OR($B711=1,N($G710)=0),N(INDEX(Employees!$J$5:$J$29,$A711))+$J711,0),0))))</f>
        <v/>
      </c>
      <c r="L711" s="51">
        <f>IF($F711=0,0,SUMIFS('Time Off Log'!$H$5:$H$504,'Time Off Log'!$A$5:$A$504,$C711,'Time Off Log'!$B$5:$B$504,"PTO",'Time Off Log'!$E$5:$E$504,"Approved",'Time Off Log'!$C$5:$C$504,"&gt;="&amp;INDEX(Periods!$E$5:$E$57,$B711),'Time Off Log'!$C$5:$C$504,"&lt;="&amp;INDEX(Periods!$F$5:$F$57,$B711)))</f>
        <v/>
      </c>
      <c r="M711" s="51">
        <f>IF($B711=1,N(INDEX(Employees!$N$5:$N$29,$A711)),P710)</f>
        <v/>
      </c>
      <c r="N711" s="51">
        <f>IF(INDEX(Employees!$L$5:$L$29,$A711)="",K711,MAX(0,MIN(K711,INDEX(Employees!$L$5:$L$29,$A711)-(M711-L711))))</f>
        <v/>
      </c>
      <c r="O711" s="51">
        <f>K711-N711</f>
        <v/>
      </c>
      <c r="P711" s="51">
        <f>M711-L711+N711</f>
        <v/>
      </c>
      <c r="Q711" s="51">
        <f>IF($G711=0,0,IF(INDEX(Employees!$P$5:$P$29,$A711)="Per pay period",(N(INDEX(Employees!$Q$5:$Q$29,$A711)))/Settings!$B$13,IF(INDEX(Employees!$P$5:$P$29,$A711)="Per hour worked",N(INDEX(Employees!$R$5:$R$29,$A711))*$I711,IF(INDEX(Employees!$P$5:$P$29,$A711)="Front-loaded",IF(OR($B711=1,N($G710)=0),N(INDEX(Employees!$Q$5:$Q$29,$A711)),0),0))))</f>
        <v/>
      </c>
      <c r="R711" s="51">
        <f>IF($F711=0,0,SUMIFS('Time Off Log'!$H$5:$H$504,'Time Off Log'!$A$5:$A$504,$C711,'Time Off Log'!$B$5:$B$504,"Sick",'Time Off Log'!$E$5:$E$504,"Approved",'Time Off Log'!$C$5:$C$504,"&gt;="&amp;INDEX(Periods!$E$5:$E$57,$B711),'Time Off Log'!$C$5:$C$504,"&lt;="&amp;INDEX(Periods!$F$5:$F$57,$B711)))</f>
        <v/>
      </c>
      <c r="S711" s="51">
        <f>IF($B711=1,N(INDEX(Employees!$T$5:$T$29,$A711)),V710)</f>
        <v/>
      </c>
      <c r="T711" s="51">
        <f>IF(INDEX(Employees!$S$5:$S$29,$A711)="",Q711,MAX(0,MIN(Q711,INDEX(Employees!$S$5:$S$29,$A711)-(S711-R711))))</f>
        <v/>
      </c>
      <c r="U711" s="51">
        <f>Q711-T711</f>
        <v/>
      </c>
      <c r="V711" s="51">
        <f>S711-R711+T711</f>
        <v/>
      </c>
    </row>
    <row r="712">
      <c r="A712" s="50" t="n">
        <v>14</v>
      </c>
      <c r="B712" s="50" t="n">
        <v>19</v>
      </c>
      <c r="C712" s="51">
        <f>INDEX(Employees!$B$5:$B$29,$A712)&amp;""</f>
        <v/>
      </c>
      <c r="D712" s="52">
        <f>INDEX(Periods!$B$5:$B$57,$B712)</f>
        <v/>
      </c>
      <c r="E712" s="52">
        <f>INDEX(Periods!$C$5:$C$57,$B712)</f>
        <v/>
      </c>
      <c r="F712" s="50">
        <f>IF(AND($C712&lt;&gt;"",INDEX(Periods!$D$5:$D$57,$B712)=1),1,0)</f>
        <v/>
      </c>
      <c r="G712" s="50">
        <f>IF($F712=0,0,IF(AND(OR(INDEX(Employees!$D$5:$D$29,$A712)="",$E712&gt;=INDEX(Employees!$D$5:$D$29,$A712)+N(INDEX(Employees!$U$5:$U$29,$A712))),OR(INDEX(Employees!$E$5:$E$29,$A712)="",$D712&lt;=INDEX(Employees!$E$5:$E$29,$A712))),1,0))</f>
        <v/>
      </c>
      <c r="H712" s="50">
        <f>IF($G712=0,0,IF(INDEX(Employees!$D$5:$D$29,$A712)="",0,DATEDIF(INDEX(Employees!$D$5:$D$29,$A712),$E712,"y")))</f>
        <v/>
      </c>
      <c r="I712" s="51">
        <f>IF($G712=0,0,IF(INDEX('Hours Worked'!$D$5:$BD$29,$A712,$B712)="",N(INDEX(Employees!$H$5:$H$29,$A712)),INDEX('Hours Worked'!$D$5:$BD$29,$A712,$B712)))</f>
        <v/>
      </c>
      <c r="J712" s="51">
        <f>IF(OR($G712=0,INDEX(Employees!$O$5:$O$29,$A712)&lt;&gt;"Yes"),0,IF(COUNTIF(Settings!$D$4:$D$9,"&lt;="&amp;$H712)=0,0,INDEX(Settings!$E$4:$E$9,COUNTIF(Settings!$D$4:$D$9,"&lt;="&amp;$H712))))</f>
        <v/>
      </c>
      <c r="K712" s="51">
        <f>IF($G712=0,0,IF(INDEX(Employees!$I$5:$I$29,$A712)="Per pay period",(N(INDEX(Employees!$J$5:$J$29,$A712))+$J712)/Settings!$B$13,IF(INDEX(Employees!$I$5:$I$29,$A712)="Per hour worked",N(INDEX(Employees!$K$5:$K$29,$A712))*$I712,IF(INDEX(Employees!$I$5:$I$29,$A712)="Front-loaded",IF(OR($B712=1,N($G711)=0),N(INDEX(Employees!$J$5:$J$29,$A712))+$J712,0),0))))</f>
        <v/>
      </c>
      <c r="L712" s="51">
        <f>IF($F712=0,0,SUMIFS('Time Off Log'!$H$5:$H$504,'Time Off Log'!$A$5:$A$504,$C712,'Time Off Log'!$B$5:$B$504,"PTO",'Time Off Log'!$E$5:$E$504,"Approved",'Time Off Log'!$C$5:$C$504,"&gt;="&amp;INDEX(Periods!$E$5:$E$57,$B712),'Time Off Log'!$C$5:$C$504,"&lt;="&amp;INDEX(Periods!$F$5:$F$57,$B712)))</f>
        <v/>
      </c>
      <c r="M712" s="51">
        <f>IF($B712=1,N(INDEX(Employees!$N$5:$N$29,$A712)),P711)</f>
        <v/>
      </c>
      <c r="N712" s="51">
        <f>IF(INDEX(Employees!$L$5:$L$29,$A712)="",K712,MAX(0,MIN(K712,INDEX(Employees!$L$5:$L$29,$A712)-(M712-L712))))</f>
        <v/>
      </c>
      <c r="O712" s="51">
        <f>K712-N712</f>
        <v/>
      </c>
      <c r="P712" s="51">
        <f>M712-L712+N712</f>
        <v/>
      </c>
      <c r="Q712" s="51">
        <f>IF($G712=0,0,IF(INDEX(Employees!$P$5:$P$29,$A712)="Per pay period",(N(INDEX(Employees!$Q$5:$Q$29,$A712)))/Settings!$B$13,IF(INDEX(Employees!$P$5:$P$29,$A712)="Per hour worked",N(INDEX(Employees!$R$5:$R$29,$A712))*$I712,IF(INDEX(Employees!$P$5:$P$29,$A712)="Front-loaded",IF(OR($B712=1,N($G711)=0),N(INDEX(Employees!$Q$5:$Q$29,$A712)),0),0))))</f>
        <v/>
      </c>
      <c r="R712" s="51">
        <f>IF($F712=0,0,SUMIFS('Time Off Log'!$H$5:$H$504,'Time Off Log'!$A$5:$A$504,$C712,'Time Off Log'!$B$5:$B$504,"Sick",'Time Off Log'!$E$5:$E$504,"Approved",'Time Off Log'!$C$5:$C$504,"&gt;="&amp;INDEX(Periods!$E$5:$E$57,$B712),'Time Off Log'!$C$5:$C$504,"&lt;="&amp;INDEX(Periods!$F$5:$F$57,$B712)))</f>
        <v/>
      </c>
      <c r="S712" s="51">
        <f>IF($B712=1,N(INDEX(Employees!$T$5:$T$29,$A712)),V711)</f>
        <v/>
      </c>
      <c r="T712" s="51">
        <f>IF(INDEX(Employees!$S$5:$S$29,$A712)="",Q712,MAX(0,MIN(Q712,INDEX(Employees!$S$5:$S$29,$A712)-(S712-R712))))</f>
        <v/>
      </c>
      <c r="U712" s="51">
        <f>Q712-T712</f>
        <v/>
      </c>
      <c r="V712" s="51">
        <f>S712-R712+T712</f>
        <v/>
      </c>
    </row>
    <row r="713">
      <c r="A713" s="50" t="n">
        <v>14</v>
      </c>
      <c r="B713" s="50" t="n">
        <v>20</v>
      </c>
      <c r="C713" s="51">
        <f>INDEX(Employees!$B$5:$B$29,$A713)&amp;""</f>
        <v/>
      </c>
      <c r="D713" s="52">
        <f>INDEX(Periods!$B$5:$B$57,$B713)</f>
        <v/>
      </c>
      <c r="E713" s="52">
        <f>INDEX(Periods!$C$5:$C$57,$B713)</f>
        <v/>
      </c>
      <c r="F713" s="50">
        <f>IF(AND($C713&lt;&gt;"",INDEX(Periods!$D$5:$D$57,$B713)=1),1,0)</f>
        <v/>
      </c>
      <c r="G713" s="50">
        <f>IF($F713=0,0,IF(AND(OR(INDEX(Employees!$D$5:$D$29,$A713)="",$E713&gt;=INDEX(Employees!$D$5:$D$29,$A713)+N(INDEX(Employees!$U$5:$U$29,$A713))),OR(INDEX(Employees!$E$5:$E$29,$A713)="",$D713&lt;=INDEX(Employees!$E$5:$E$29,$A713))),1,0))</f>
        <v/>
      </c>
      <c r="H713" s="50">
        <f>IF($G713=0,0,IF(INDEX(Employees!$D$5:$D$29,$A713)="",0,DATEDIF(INDEX(Employees!$D$5:$D$29,$A713),$E713,"y")))</f>
        <v/>
      </c>
      <c r="I713" s="51">
        <f>IF($G713=0,0,IF(INDEX('Hours Worked'!$D$5:$BD$29,$A713,$B713)="",N(INDEX(Employees!$H$5:$H$29,$A713)),INDEX('Hours Worked'!$D$5:$BD$29,$A713,$B713)))</f>
        <v/>
      </c>
      <c r="J713" s="51">
        <f>IF(OR($G713=0,INDEX(Employees!$O$5:$O$29,$A713)&lt;&gt;"Yes"),0,IF(COUNTIF(Settings!$D$4:$D$9,"&lt;="&amp;$H713)=0,0,INDEX(Settings!$E$4:$E$9,COUNTIF(Settings!$D$4:$D$9,"&lt;="&amp;$H713))))</f>
        <v/>
      </c>
      <c r="K713" s="51">
        <f>IF($G713=0,0,IF(INDEX(Employees!$I$5:$I$29,$A713)="Per pay period",(N(INDEX(Employees!$J$5:$J$29,$A713))+$J713)/Settings!$B$13,IF(INDEX(Employees!$I$5:$I$29,$A713)="Per hour worked",N(INDEX(Employees!$K$5:$K$29,$A713))*$I713,IF(INDEX(Employees!$I$5:$I$29,$A713)="Front-loaded",IF(OR($B713=1,N($G712)=0),N(INDEX(Employees!$J$5:$J$29,$A713))+$J713,0),0))))</f>
        <v/>
      </c>
      <c r="L713" s="51">
        <f>IF($F713=0,0,SUMIFS('Time Off Log'!$H$5:$H$504,'Time Off Log'!$A$5:$A$504,$C713,'Time Off Log'!$B$5:$B$504,"PTO",'Time Off Log'!$E$5:$E$504,"Approved",'Time Off Log'!$C$5:$C$504,"&gt;="&amp;INDEX(Periods!$E$5:$E$57,$B713),'Time Off Log'!$C$5:$C$504,"&lt;="&amp;INDEX(Periods!$F$5:$F$57,$B713)))</f>
        <v/>
      </c>
      <c r="M713" s="51">
        <f>IF($B713=1,N(INDEX(Employees!$N$5:$N$29,$A713)),P712)</f>
        <v/>
      </c>
      <c r="N713" s="51">
        <f>IF(INDEX(Employees!$L$5:$L$29,$A713)="",K713,MAX(0,MIN(K713,INDEX(Employees!$L$5:$L$29,$A713)-(M713-L713))))</f>
        <v/>
      </c>
      <c r="O713" s="51">
        <f>K713-N713</f>
        <v/>
      </c>
      <c r="P713" s="51">
        <f>M713-L713+N713</f>
        <v/>
      </c>
      <c r="Q713" s="51">
        <f>IF($G713=0,0,IF(INDEX(Employees!$P$5:$P$29,$A713)="Per pay period",(N(INDEX(Employees!$Q$5:$Q$29,$A713)))/Settings!$B$13,IF(INDEX(Employees!$P$5:$P$29,$A713)="Per hour worked",N(INDEX(Employees!$R$5:$R$29,$A713))*$I713,IF(INDEX(Employees!$P$5:$P$29,$A713)="Front-loaded",IF(OR($B713=1,N($G712)=0),N(INDEX(Employees!$Q$5:$Q$29,$A713)),0),0))))</f>
        <v/>
      </c>
      <c r="R713" s="51">
        <f>IF($F713=0,0,SUMIFS('Time Off Log'!$H$5:$H$504,'Time Off Log'!$A$5:$A$504,$C713,'Time Off Log'!$B$5:$B$504,"Sick",'Time Off Log'!$E$5:$E$504,"Approved",'Time Off Log'!$C$5:$C$504,"&gt;="&amp;INDEX(Periods!$E$5:$E$57,$B713),'Time Off Log'!$C$5:$C$504,"&lt;="&amp;INDEX(Periods!$F$5:$F$57,$B713)))</f>
        <v/>
      </c>
      <c r="S713" s="51">
        <f>IF($B713=1,N(INDEX(Employees!$T$5:$T$29,$A713)),V712)</f>
        <v/>
      </c>
      <c r="T713" s="51">
        <f>IF(INDEX(Employees!$S$5:$S$29,$A713)="",Q713,MAX(0,MIN(Q713,INDEX(Employees!$S$5:$S$29,$A713)-(S713-R713))))</f>
        <v/>
      </c>
      <c r="U713" s="51">
        <f>Q713-T713</f>
        <v/>
      </c>
      <c r="V713" s="51">
        <f>S713-R713+T713</f>
        <v/>
      </c>
    </row>
    <row r="714">
      <c r="A714" s="50" t="n">
        <v>14</v>
      </c>
      <c r="B714" s="50" t="n">
        <v>21</v>
      </c>
      <c r="C714" s="51">
        <f>INDEX(Employees!$B$5:$B$29,$A714)&amp;""</f>
        <v/>
      </c>
      <c r="D714" s="52">
        <f>INDEX(Periods!$B$5:$B$57,$B714)</f>
        <v/>
      </c>
      <c r="E714" s="52">
        <f>INDEX(Periods!$C$5:$C$57,$B714)</f>
        <v/>
      </c>
      <c r="F714" s="50">
        <f>IF(AND($C714&lt;&gt;"",INDEX(Periods!$D$5:$D$57,$B714)=1),1,0)</f>
        <v/>
      </c>
      <c r="G714" s="50">
        <f>IF($F714=0,0,IF(AND(OR(INDEX(Employees!$D$5:$D$29,$A714)="",$E714&gt;=INDEX(Employees!$D$5:$D$29,$A714)+N(INDEX(Employees!$U$5:$U$29,$A714))),OR(INDEX(Employees!$E$5:$E$29,$A714)="",$D714&lt;=INDEX(Employees!$E$5:$E$29,$A714))),1,0))</f>
        <v/>
      </c>
      <c r="H714" s="50">
        <f>IF($G714=0,0,IF(INDEX(Employees!$D$5:$D$29,$A714)="",0,DATEDIF(INDEX(Employees!$D$5:$D$29,$A714),$E714,"y")))</f>
        <v/>
      </c>
      <c r="I714" s="51">
        <f>IF($G714=0,0,IF(INDEX('Hours Worked'!$D$5:$BD$29,$A714,$B714)="",N(INDEX(Employees!$H$5:$H$29,$A714)),INDEX('Hours Worked'!$D$5:$BD$29,$A714,$B714)))</f>
        <v/>
      </c>
      <c r="J714" s="51">
        <f>IF(OR($G714=0,INDEX(Employees!$O$5:$O$29,$A714)&lt;&gt;"Yes"),0,IF(COUNTIF(Settings!$D$4:$D$9,"&lt;="&amp;$H714)=0,0,INDEX(Settings!$E$4:$E$9,COUNTIF(Settings!$D$4:$D$9,"&lt;="&amp;$H714))))</f>
        <v/>
      </c>
      <c r="K714" s="51">
        <f>IF($G714=0,0,IF(INDEX(Employees!$I$5:$I$29,$A714)="Per pay period",(N(INDEX(Employees!$J$5:$J$29,$A714))+$J714)/Settings!$B$13,IF(INDEX(Employees!$I$5:$I$29,$A714)="Per hour worked",N(INDEX(Employees!$K$5:$K$29,$A714))*$I714,IF(INDEX(Employees!$I$5:$I$29,$A714)="Front-loaded",IF(OR($B714=1,N($G713)=0),N(INDEX(Employees!$J$5:$J$29,$A714))+$J714,0),0))))</f>
        <v/>
      </c>
      <c r="L714" s="51">
        <f>IF($F714=0,0,SUMIFS('Time Off Log'!$H$5:$H$504,'Time Off Log'!$A$5:$A$504,$C714,'Time Off Log'!$B$5:$B$504,"PTO",'Time Off Log'!$E$5:$E$504,"Approved",'Time Off Log'!$C$5:$C$504,"&gt;="&amp;INDEX(Periods!$E$5:$E$57,$B714),'Time Off Log'!$C$5:$C$504,"&lt;="&amp;INDEX(Periods!$F$5:$F$57,$B714)))</f>
        <v/>
      </c>
      <c r="M714" s="51">
        <f>IF($B714=1,N(INDEX(Employees!$N$5:$N$29,$A714)),P713)</f>
        <v/>
      </c>
      <c r="N714" s="51">
        <f>IF(INDEX(Employees!$L$5:$L$29,$A714)="",K714,MAX(0,MIN(K714,INDEX(Employees!$L$5:$L$29,$A714)-(M714-L714))))</f>
        <v/>
      </c>
      <c r="O714" s="51">
        <f>K714-N714</f>
        <v/>
      </c>
      <c r="P714" s="51">
        <f>M714-L714+N714</f>
        <v/>
      </c>
      <c r="Q714" s="51">
        <f>IF($G714=0,0,IF(INDEX(Employees!$P$5:$P$29,$A714)="Per pay period",(N(INDEX(Employees!$Q$5:$Q$29,$A714)))/Settings!$B$13,IF(INDEX(Employees!$P$5:$P$29,$A714)="Per hour worked",N(INDEX(Employees!$R$5:$R$29,$A714))*$I714,IF(INDEX(Employees!$P$5:$P$29,$A714)="Front-loaded",IF(OR($B714=1,N($G713)=0),N(INDEX(Employees!$Q$5:$Q$29,$A714)),0),0))))</f>
        <v/>
      </c>
      <c r="R714" s="51">
        <f>IF($F714=0,0,SUMIFS('Time Off Log'!$H$5:$H$504,'Time Off Log'!$A$5:$A$504,$C714,'Time Off Log'!$B$5:$B$504,"Sick",'Time Off Log'!$E$5:$E$504,"Approved",'Time Off Log'!$C$5:$C$504,"&gt;="&amp;INDEX(Periods!$E$5:$E$57,$B714),'Time Off Log'!$C$5:$C$504,"&lt;="&amp;INDEX(Periods!$F$5:$F$57,$B714)))</f>
        <v/>
      </c>
      <c r="S714" s="51">
        <f>IF($B714=1,N(INDEX(Employees!$T$5:$T$29,$A714)),V713)</f>
        <v/>
      </c>
      <c r="T714" s="51">
        <f>IF(INDEX(Employees!$S$5:$S$29,$A714)="",Q714,MAX(0,MIN(Q714,INDEX(Employees!$S$5:$S$29,$A714)-(S714-R714))))</f>
        <v/>
      </c>
      <c r="U714" s="51">
        <f>Q714-T714</f>
        <v/>
      </c>
      <c r="V714" s="51">
        <f>S714-R714+T714</f>
        <v/>
      </c>
    </row>
    <row r="715">
      <c r="A715" s="50" t="n">
        <v>14</v>
      </c>
      <c r="B715" s="50" t="n">
        <v>22</v>
      </c>
      <c r="C715" s="51">
        <f>INDEX(Employees!$B$5:$B$29,$A715)&amp;""</f>
        <v/>
      </c>
      <c r="D715" s="52">
        <f>INDEX(Periods!$B$5:$B$57,$B715)</f>
        <v/>
      </c>
      <c r="E715" s="52">
        <f>INDEX(Periods!$C$5:$C$57,$B715)</f>
        <v/>
      </c>
      <c r="F715" s="50">
        <f>IF(AND($C715&lt;&gt;"",INDEX(Periods!$D$5:$D$57,$B715)=1),1,0)</f>
        <v/>
      </c>
      <c r="G715" s="50">
        <f>IF($F715=0,0,IF(AND(OR(INDEX(Employees!$D$5:$D$29,$A715)="",$E715&gt;=INDEX(Employees!$D$5:$D$29,$A715)+N(INDEX(Employees!$U$5:$U$29,$A715))),OR(INDEX(Employees!$E$5:$E$29,$A715)="",$D715&lt;=INDEX(Employees!$E$5:$E$29,$A715))),1,0))</f>
        <v/>
      </c>
      <c r="H715" s="50">
        <f>IF($G715=0,0,IF(INDEX(Employees!$D$5:$D$29,$A715)="",0,DATEDIF(INDEX(Employees!$D$5:$D$29,$A715),$E715,"y")))</f>
        <v/>
      </c>
      <c r="I715" s="51">
        <f>IF($G715=0,0,IF(INDEX('Hours Worked'!$D$5:$BD$29,$A715,$B715)="",N(INDEX(Employees!$H$5:$H$29,$A715)),INDEX('Hours Worked'!$D$5:$BD$29,$A715,$B715)))</f>
        <v/>
      </c>
      <c r="J715" s="51">
        <f>IF(OR($G715=0,INDEX(Employees!$O$5:$O$29,$A715)&lt;&gt;"Yes"),0,IF(COUNTIF(Settings!$D$4:$D$9,"&lt;="&amp;$H715)=0,0,INDEX(Settings!$E$4:$E$9,COUNTIF(Settings!$D$4:$D$9,"&lt;="&amp;$H715))))</f>
        <v/>
      </c>
      <c r="K715" s="51">
        <f>IF($G715=0,0,IF(INDEX(Employees!$I$5:$I$29,$A715)="Per pay period",(N(INDEX(Employees!$J$5:$J$29,$A715))+$J715)/Settings!$B$13,IF(INDEX(Employees!$I$5:$I$29,$A715)="Per hour worked",N(INDEX(Employees!$K$5:$K$29,$A715))*$I715,IF(INDEX(Employees!$I$5:$I$29,$A715)="Front-loaded",IF(OR($B715=1,N($G714)=0),N(INDEX(Employees!$J$5:$J$29,$A715))+$J715,0),0))))</f>
        <v/>
      </c>
      <c r="L715" s="51">
        <f>IF($F715=0,0,SUMIFS('Time Off Log'!$H$5:$H$504,'Time Off Log'!$A$5:$A$504,$C715,'Time Off Log'!$B$5:$B$504,"PTO",'Time Off Log'!$E$5:$E$504,"Approved",'Time Off Log'!$C$5:$C$504,"&gt;="&amp;INDEX(Periods!$E$5:$E$57,$B715),'Time Off Log'!$C$5:$C$504,"&lt;="&amp;INDEX(Periods!$F$5:$F$57,$B715)))</f>
        <v/>
      </c>
      <c r="M715" s="51">
        <f>IF($B715=1,N(INDEX(Employees!$N$5:$N$29,$A715)),P714)</f>
        <v/>
      </c>
      <c r="N715" s="51">
        <f>IF(INDEX(Employees!$L$5:$L$29,$A715)="",K715,MAX(0,MIN(K715,INDEX(Employees!$L$5:$L$29,$A715)-(M715-L715))))</f>
        <v/>
      </c>
      <c r="O715" s="51">
        <f>K715-N715</f>
        <v/>
      </c>
      <c r="P715" s="51">
        <f>M715-L715+N715</f>
        <v/>
      </c>
      <c r="Q715" s="51">
        <f>IF($G715=0,0,IF(INDEX(Employees!$P$5:$P$29,$A715)="Per pay period",(N(INDEX(Employees!$Q$5:$Q$29,$A715)))/Settings!$B$13,IF(INDEX(Employees!$P$5:$P$29,$A715)="Per hour worked",N(INDEX(Employees!$R$5:$R$29,$A715))*$I715,IF(INDEX(Employees!$P$5:$P$29,$A715)="Front-loaded",IF(OR($B715=1,N($G714)=0),N(INDEX(Employees!$Q$5:$Q$29,$A715)),0),0))))</f>
        <v/>
      </c>
      <c r="R715" s="51">
        <f>IF($F715=0,0,SUMIFS('Time Off Log'!$H$5:$H$504,'Time Off Log'!$A$5:$A$504,$C715,'Time Off Log'!$B$5:$B$504,"Sick",'Time Off Log'!$E$5:$E$504,"Approved",'Time Off Log'!$C$5:$C$504,"&gt;="&amp;INDEX(Periods!$E$5:$E$57,$B715),'Time Off Log'!$C$5:$C$504,"&lt;="&amp;INDEX(Periods!$F$5:$F$57,$B715)))</f>
        <v/>
      </c>
      <c r="S715" s="51">
        <f>IF($B715=1,N(INDEX(Employees!$T$5:$T$29,$A715)),V714)</f>
        <v/>
      </c>
      <c r="T715" s="51">
        <f>IF(INDEX(Employees!$S$5:$S$29,$A715)="",Q715,MAX(0,MIN(Q715,INDEX(Employees!$S$5:$S$29,$A715)-(S715-R715))))</f>
        <v/>
      </c>
      <c r="U715" s="51">
        <f>Q715-T715</f>
        <v/>
      </c>
      <c r="V715" s="51">
        <f>S715-R715+T715</f>
        <v/>
      </c>
    </row>
    <row r="716">
      <c r="A716" s="50" t="n">
        <v>14</v>
      </c>
      <c r="B716" s="50" t="n">
        <v>23</v>
      </c>
      <c r="C716" s="51">
        <f>INDEX(Employees!$B$5:$B$29,$A716)&amp;""</f>
        <v/>
      </c>
      <c r="D716" s="52">
        <f>INDEX(Periods!$B$5:$B$57,$B716)</f>
        <v/>
      </c>
      <c r="E716" s="52">
        <f>INDEX(Periods!$C$5:$C$57,$B716)</f>
        <v/>
      </c>
      <c r="F716" s="50">
        <f>IF(AND($C716&lt;&gt;"",INDEX(Periods!$D$5:$D$57,$B716)=1),1,0)</f>
        <v/>
      </c>
      <c r="G716" s="50">
        <f>IF($F716=0,0,IF(AND(OR(INDEX(Employees!$D$5:$D$29,$A716)="",$E716&gt;=INDEX(Employees!$D$5:$D$29,$A716)+N(INDEX(Employees!$U$5:$U$29,$A716))),OR(INDEX(Employees!$E$5:$E$29,$A716)="",$D716&lt;=INDEX(Employees!$E$5:$E$29,$A716))),1,0))</f>
        <v/>
      </c>
      <c r="H716" s="50">
        <f>IF($G716=0,0,IF(INDEX(Employees!$D$5:$D$29,$A716)="",0,DATEDIF(INDEX(Employees!$D$5:$D$29,$A716),$E716,"y")))</f>
        <v/>
      </c>
      <c r="I716" s="51">
        <f>IF($G716=0,0,IF(INDEX('Hours Worked'!$D$5:$BD$29,$A716,$B716)="",N(INDEX(Employees!$H$5:$H$29,$A716)),INDEX('Hours Worked'!$D$5:$BD$29,$A716,$B716)))</f>
        <v/>
      </c>
      <c r="J716" s="51">
        <f>IF(OR($G716=0,INDEX(Employees!$O$5:$O$29,$A716)&lt;&gt;"Yes"),0,IF(COUNTIF(Settings!$D$4:$D$9,"&lt;="&amp;$H716)=0,0,INDEX(Settings!$E$4:$E$9,COUNTIF(Settings!$D$4:$D$9,"&lt;="&amp;$H716))))</f>
        <v/>
      </c>
      <c r="K716" s="51">
        <f>IF($G716=0,0,IF(INDEX(Employees!$I$5:$I$29,$A716)="Per pay period",(N(INDEX(Employees!$J$5:$J$29,$A716))+$J716)/Settings!$B$13,IF(INDEX(Employees!$I$5:$I$29,$A716)="Per hour worked",N(INDEX(Employees!$K$5:$K$29,$A716))*$I716,IF(INDEX(Employees!$I$5:$I$29,$A716)="Front-loaded",IF(OR($B716=1,N($G715)=0),N(INDEX(Employees!$J$5:$J$29,$A716))+$J716,0),0))))</f>
        <v/>
      </c>
      <c r="L716" s="51">
        <f>IF($F716=0,0,SUMIFS('Time Off Log'!$H$5:$H$504,'Time Off Log'!$A$5:$A$504,$C716,'Time Off Log'!$B$5:$B$504,"PTO",'Time Off Log'!$E$5:$E$504,"Approved",'Time Off Log'!$C$5:$C$504,"&gt;="&amp;INDEX(Periods!$E$5:$E$57,$B716),'Time Off Log'!$C$5:$C$504,"&lt;="&amp;INDEX(Periods!$F$5:$F$57,$B716)))</f>
        <v/>
      </c>
      <c r="M716" s="51">
        <f>IF($B716=1,N(INDEX(Employees!$N$5:$N$29,$A716)),P715)</f>
        <v/>
      </c>
      <c r="N716" s="51">
        <f>IF(INDEX(Employees!$L$5:$L$29,$A716)="",K716,MAX(0,MIN(K716,INDEX(Employees!$L$5:$L$29,$A716)-(M716-L716))))</f>
        <v/>
      </c>
      <c r="O716" s="51">
        <f>K716-N716</f>
        <v/>
      </c>
      <c r="P716" s="51">
        <f>M716-L716+N716</f>
        <v/>
      </c>
      <c r="Q716" s="51">
        <f>IF($G716=0,0,IF(INDEX(Employees!$P$5:$P$29,$A716)="Per pay period",(N(INDEX(Employees!$Q$5:$Q$29,$A716)))/Settings!$B$13,IF(INDEX(Employees!$P$5:$P$29,$A716)="Per hour worked",N(INDEX(Employees!$R$5:$R$29,$A716))*$I716,IF(INDEX(Employees!$P$5:$P$29,$A716)="Front-loaded",IF(OR($B716=1,N($G715)=0),N(INDEX(Employees!$Q$5:$Q$29,$A716)),0),0))))</f>
        <v/>
      </c>
      <c r="R716" s="51">
        <f>IF($F716=0,0,SUMIFS('Time Off Log'!$H$5:$H$504,'Time Off Log'!$A$5:$A$504,$C716,'Time Off Log'!$B$5:$B$504,"Sick",'Time Off Log'!$E$5:$E$504,"Approved",'Time Off Log'!$C$5:$C$504,"&gt;="&amp;INDEX(Periods!$E$5:$E$57,$B716),'Time Off Log'!$C$5:$C$504,"&lt;="&amp;INDEX(Periods!$F$5:$F$57,$B716)))</f>
        <v/>
      </c>
      <c r="S716" s="51">
        <f>IF($B716=1,N(INDEX(Employees!$T$5:$T$29,$A716)),V715)</f>
        <v/>
      </c>
      <c r="T716" s="51">
        <f>IF(INDEX(Employees!$S$5:$S$29,$A716)="",Q716,MAX(0,MIN(Q716,INDEX(Employees!$S$5:$S$29,$A716)-(S716-R716))))</f>
        <v/>
      </c>
      <c r="U716" s="51">
        <f>Q716-T716</f>
        <v/>
      </c>
      <c r="V716" s="51">
        <f>S716-R716+T716</f>
        <v/>
      </c>
    </row>
    <row r="717">
      <c r="A717" s="50" t="n">
        <v>14</v>
      </c>
      <c r="B717" s="50" t="n">
        <v>24</v>
      </c>
      <c r="C717" s="51">
        <f>INDEX(Employees!$B$5:$B$29,$A717)&amp;""</f>
        <v/>
      </c>
      <c r="D717" s="52">
        <f>INDEX(Periods!$B$5:$B$57,$B717)</f>
        <v/>
      </c>
      <c r="E717" s="52">
        <f>INDEX(Periods!$C$5:$C$57,$B717)</f>
        <v/>
      </c>
      <c r="F717" s="50">
        <f>IF(AND($C717&lt;&gt;"",INDEX(Periods!$D$5:$D$57,$B717)=1),1,0)</f>
        <v/>
      </c>
      <c r="G717" s="50">
        <f>IF($F717=0,0,IF(AND(OR(INDEX(Employees!$D$5:$D$29,$A717)="",$E717&gt;=INDEX(Employees!$D$5:$D$29,$A717)+N(INDEX(Employees!$U$5:$U$29,$A717))),OR(INDEX(Employees!$E$5:$E$29,$A717)="",$D717&lt;=INDEX(Employees!$E$5:$E$29,$A717))),1,0))</f>
        <v/>
      </c>
      <c r="H717" s="50">
        <f>IF($G717=0,0,IF(INDEX(Employees!$D$5:$D$29,$A717)="",0,DATEDIF(INDEX(Employees!$D$5:$D$29,$A717),$E717,"y")))</f>
        <v/>
      </c>
      <c r="I717" s="51">
        <f>IF($G717=0,0,IF(INDEX('Hours Worked'!$D$5:$BD$29,$A717,$B717)="",N(INDEX(Employees!$H$5:$H$29,$A717)),INDEX('Hours Worked'!$D$5:$BD$29,$A717,$B717)))</f>
        <v/>
      </c>
      <c r="J717" s="51">
        <f>IF(OR($G717=0,INDEX(Employees!$O$5:$O$29,$A717)&lt;&gt;"Yes"),0,IF(COUNTIF(Settings!$D$4:$D$9,"&lt;="&amp;$H717)=0,0,INDEX(Settings!$E$4:$E$9,COUNTIF(Settings!$D$4:$D$9,"&lt;="&amp;$H717))))</f>
        <v/>
      </c>
      <c r="K717" s="51">
        <f>IF($G717=0,0,IF(INDEX(Employees!$I$5:$I$29,$A717)="Per pay period",(N(INDEX(Employees!$J$5:$J$29,$A717))+$J717)/Settings!$B$13,IF(INDEX(Employees!$I$5:$I$29,$A717)="Per hour worked",N(INDEX(Employees!$K$5:$K$29,$A717))*$I717,IF(INDEX(Employees!$I$5:$I$29,$A717)="Front-loaded",IF(OR($B717=1,N($G716)=0),N(INDEX(Employees!$J$5:$J$29,$A717))+$J717,0),0))))</f>
        <v/>
      </c>
      <c r="L717" s="51">
        <f>IF($F717=0,0,SUMIFS('Time Off Log'!$H$5:$H$504,'Time Off Log'!$A$5:$A$504,$C717,'Time Off Log'!$B$5:$B$504,"PTO",'Time Off Log'!$E$5:$E$504,"Approved",'Time Off Log'!$C$5:$C$504,"&gt;="&amp;INDEX(Periods!$E$5:$E$57,$B717),'Time Off Log'!$C$5:$C$504,"&lt;="&amp;INDEX(Periods!$F$5:$F$57,$B717)))</f>
        <v/>
      </c>
      <c r="M717" s="51">
        <f>IF($B717=1,N(INDEX(Employees!$N$5:$N$29,$A717)),P716)</f>
        <v/>
      </c>
      <c r="N717" s="51">
        <f>IF(INDEX(Employees!$L$5:$L$29,$A717)="",K717,MAX(0,MIN(K717,INDEX(Employees!$L$5:$L$29,$A717)-(M717-L717))))</f>
        <v/>
      </c>
      <c r="O717" s="51">
        <f>K717-N717</f>
        <v/>
      </c>
      <c r="P717" s="51">
        <f>M717-L717+N717</f>
        <v/>
      </c>
      <c r="Q717" s="51">
        <f>IF($G717=0,0,IF(INDEX(Employees!$P$5:$P$29,$A717)="Per pay period",(N(INDEX(Employees!$Q$5:$Q$29,$A717)))/Settings!$B$13,IF(INDEX(Employees!$P$5:$P$29,$A717)="Per hour worked",N(INDEX(Employees!$R$5:$R$29,$A717))*$I717,IF(INDEX(Employees!$P$5:$P$29,$A717)="Front-loaded",IF(OR($B717=1,N($G716)=0),N(INDEX(Employees!$Q$5:$Q$29,$A717)),0),0))))</f>
        <v/>
      </c>
      <c r="R717" s="51">
        <f>IF($F717=0,0,SUMIFS('Time Off Log'!$H$5:$H$504,'Time Off Log'!$A$5:$A$504,$C717,'Time Off Log'!$B$5:$B$504,"Sick",'Time Off Log'!$E$5:$E$504,"Approved",'Time Off Log'!$C$5:$C$504,"&gt;="&amp;INDEX(Periods!$E$5:$E$57,$B717),'Time Off Log'!$C$5:$C$504,"&lt;="&amp;INDEX(Periods!$F$5:$F$57,$B717)))</f>
        <v/>
      </c>
      <c r="S717" s="51">
        <f>IF($B717=1,N(INDEX(Employees!$T$5:$T$29,$A717)),V716)</f>
        <v/>
      </c>
      <c r="T717" s="51">
        <f>IF(INDEX(Employees!$S$5:$S$29,$A717)="",Q717,MAX(0,MIN(Q717,INDEX(Employees!$S$5:$S$29,$A717)-(S717-R717))))</f>
        <v/>
      </c>
      <c r="U717" s="51">
        <f>Q717-T717</f>
        <v/>
      </c>
      <c r="V717" s="51">
        <f>S717-R717+T717</f>
        <v/>
      </c>
    </row>
    <row r="718">
      <c r="A718" s="50" t="n">
        <v>14</v>
      </c>
      <c r="B718" s="50" t="n">
        <v>25</v>
      </c>
      <c r="C718" s="51">
        <f>INDEX(Employees!$B$5:$B$29,$A718)&amp;""</f>
        <v/>
      </c>
      <c r="D718" s="52">
        <f>INDEX(Periods!$B$5:$B$57,$B718)</f>
        <v/>
      </c>
      <c r="E718" s="52">
        <f>INDEX(Periods!$C$5:$C$57,$B718)</f>
        <v/>
      </c>
      <c r="F718" s="50">
        <f>IF(AND($C718&lt;&gt;"",INDEX(Periods!$D$5:$D$57,$B718)=1),1,0)</f>
        <v/>
      </c>
      <c r="G718" s="50">
        <f>IF($F718=0,0,IF(AND(OR(INDEX(Employees!$D$5:$D$29,$A718)="",$E718&gt;=INDEX(Employees!$D$5:$D$29,$A718)+N(INDEX(Employees!$U$5:$U$29,$A718))),OR(INDEX(Employees!$E$5:$E$29,$A718)="",$D718&lt;=INDEX(Employees!$E$5:$E$29,$A718))),1,0))</f>
        <v/>
      </c>
      <c r="H718" s="50">
        <f>IF($G718=0,0,IF(INDEX(Employees!$D$5:$D$29,$A718)="",0,DATEDIF(INDEX(Employees!$D$5:$D$29,$A718),$E718,"y")))</f>
        <v/>
      </c>
      <c r="I718" s="51">
        <f>IF($G718=0,0,IF(INDEX('Hours Worked'!$D$5:$BD$29,$A718,$B718)="",N(INDEX(Employees!$H$5:$H$29,$A718)),INDEX('Hours Worked'!$D$5:$BD$29,$A718,$B718)))</f>
        <v/>
      </c>
      <c r="J718" s="51">
        <f>IF(OR($G718=0,INDEX(Employees!$O$5:$O$29,$A718)&lt;&gt;"Yes"),0,IF(COUNTIF(Settings!$D$4:$D$9,"&lt;="&amp;$H718)=0,0,INDEX(Settings!$E$4:$E$9,COUNTIF(Settings!$D$4:$D$9,"&lt;="&amp;$H718))))</f>
        <v/>
      </c>
      <c r="K718" s="51">
        <f>IF($G718=0,0,IF(INDEX(Employees!$I$5:$I$29,$A718)="Per pay period",(N(INDEX(Employees!$J$5:$J$29,$A718))+$J718)/Settings!$B$13,IF(INDEX(Employees!$I$5:$I$29,$A718)="Per hour worked",N(INDEX(Employees!$K$5:$K$29,$A718))*$I718,IF(INDEX(Employees!$I$5:$I$29,$A718)="Front-loaded",IF(OR($B718=1,N($G717)=0),N(INDEX(Employees!$J$5:$J$29,$A718))+$J718,0),0))))</f>
        <v/>
      </c>
      <c r="L718" s="51">
        <f>IF($F718=0,0,SUMIFS('Time Off Log'!$H$5:$H$504,'Time Off Log'!$A$5:$A$504,$C718,'Time Off Log'!$B$5:$B$504,"PTO",'Time Off Log'!$E$5:$E$504,"Approved",'Time Off Log'!$C$5:$C$504,"&gt;="&amp;INDEX(Periods!$E$5:$E$57,$B718),'Time Off Log'!$C$5:$C$504,"&lt;="&amp;INDEX(Periods!$F$5:$F$57,$B718)))</f>
        <v/>
      </c>
      <c r="M718" s="51">
        <f>IF($B718=1,N(INDEX(Employees!$N$5:$N$29,$A718)),P717)</f>
        <v/>
      </c>
      <c r="N718" s="51">
        <f>IF(INDEX(Employees!$L$5:$L$29,$A718)="",K718,MAX(0,MIN(K718,INDEX(Employees!$L$5:$L$29,$A718)-(M718-L718))))</f>
        <v/>
      </c>
      <c r="O718" s="51">
        <f>K718-N718</f>
        <v/>
      </c>
      <c r="P718" s="51">
        <f>M718-L718+N718</f>
        <v/>
      </c>
      <c r="Q718" s="51">
        <f>IF($G718=0,0,IF(INDEX(Employees!$P$5:$P$29,$A718)="Per pay period",(N(INDEX(Employees!$Q$5:$Q$29,$A718)))/Settings!$B$13,IF(INDEX(Employees!$P$5:$P$29,$A718)="Per hour worked",N(INDEX(Employees!$R$5:$R$29,$A718))*$I718,IF(INDEX(Employees!$P$5:$P$29,$A718)="Front-loaded",IF(OR($B718=1,N($G717)=0),N(INDEX(Employees!$Q$5:$Q$29,$A718)),0),0))))</f>
        <v/>
      </c>
      <c r="R718" s="51">
        <f>IF($F718=0,0,SUMIFS('Time Off Log'!$H$5:$H$504,'Time Off Log'!$A$5:$A$504,$C718,'Time Off Log'!$B$5:$B$504,"Sick",'Time Off Log'!$E$5:$E$504,"Approved",'Time Off Log'!$C$5:$C$504,"&gt;="&amp;INDEX(Periods!$E$5:$E$57,$B718),'Time Off Log'!$C$5:$C$504,"&lt;="&amp;INDEX(Periods!$F$5:$F$57,$B718)))</f>
        <v/>
      </c>
      <c r="S718" s="51">
        <f>IF($B718=1,N(INDEX(Employees!$T$5:$T$29,$A718)),V717)</f>
        <v/>
      </c>
      <c r="T718" s="51">
        <f>IF(INDEX(Employees!$S$5:$S$29,$A718)="",Q718,MAX(0,MIN(Q718,INDEX(Employees!$S$5:$S$29,$A718)-(S718-R718))))</f>
        <v/>
      </c>
      <c r="U718" s="51">
        <f>Q718-T718</f>
        <v/>
      </c>
      <c r="V718" s="51">
        <f>S718-R718+T718</f>
        <v/>
      </c>
    </row>
    <row r="719">
      <c r="A719" s="50" t="n">
        <v>14</v>
      </c>
      <c r="B719" s="50" t="n">
        <v>26</v>
      </c>
      <c r="C719" s="51">
        <f>INDEX(Employees!$B$5:$B$29,$A719)&amp;""</f>
        <v/>
      </c>
      <c r="D719" s="52">
        <f>INDEX(Periods!$B$5:$B$57,$B719)</f>
        <v/>
      </c>
      <c r="E719" s="52">
        <f>INDEX(Periods!$C$5:$C$57,$B719)</f>
        <v/>
      </c>
      <c r="F719" s="50">
        <f>IF(AND($C719&lt;&gt;"",INDEX(Periods!$D$5:$D$57,$B719)=1),1,0)</f>
        <v/>
      </c>
      <c r="G719" s="50">
        <f>IF($F719=0,0,IF(AND(OR(INDEX(Employees!$D$5:$D$29,$A719)="",$E719&gt;=INDEX(Employees!$D$5:$D$29,$A719)+N(INDEX(Employees!$U$5:$U$29,$A719))),OR(INDEX(Employees!$E$5:$E$29,$A719)="",$D719&lt;=INDEX(Employees!$E$5:$E$29,$A719))),1,0))</f>
        <v/>
      </c>
      <c r="H719" s="50">
        <f>IF($G719=0,0,IF(INDEX(Employees!$D$5:$D$29,$A719)="",0,DATEDIF(INDEX(Employees!$D$5:$D$29,$A719),$E719,"y")))</f>
        <v/>
      </c>
      <c r="I719" s="51">
        <f>IF($G719=0,0,IF(INDEX('Hours Worked'!$D$5:$BD$29,$A719,$B719)="",N(INDEX(Employees!$H$5:$H$29,$A719)),INDEX('Hours Worked'!$D$5:$BD$29,$A719,$B719)))</f>
        <v/>
      </c>
      <c r="J719" s="51">
        <f>IF(OR($G719=0,INDEX(Employees!$O$5:$O$29,$A719)&lt;&gt;"Yes"),0,IF(COUNTIF(Settings!$D$4:$D$9,"&lt;="&amp;$H719)=0,0,INDEX(Settings!$E$4:$E$9,COUNTIF(Settings!$D$4:$D$9,"&lt;="&amp;$H719))))</f>
        <v/>
      </c>
      <c r="K719" s="51">
        <f>IF($G719=0,0,IF(INDEX(Employees!$I$5:$I$29,$A719)="Per pay period",(N(INDEX(Employees!$J$5:$J$29,$A719))+$J719)/Settings!$B$13,IF(INDEX(Employees!$I$5:$I$29,$A719)="Per hour worked",N(INDEX(Employees!$K$5:$K$29,$A719))*$I719,IF(INDEX(Employees!$I$5:$I$29,$A719)="Front-loaded",IF(OR($B719=1,N($G718)=0),N(INDEX(Employees!$J$5:$J$29,$A719))+$J719,0),0))))</f>
        <v/>
      </c>
      <c r="L719" s="51">
        <f>IF($F719=0,0,SUMIFS('Time Off Log'!$H$5:$H$504,'Time Off Log'!$A$5:$A$504,$C719,'Time Off Log'!$B$5:$B$504,"PTO",'Time Off Log'!$E$5:$E$504,"Approved",'Time Off Log'!$C$5:$C$504,"&gt;="&amp;INDEX(Periods!$E$5:$E$57,$B719),'Time Off Log'!$C$5:$C$504,"&lt;="&amp;INDEX(Periods!$F$5:$F$57,$B719)))</f>
        <v/>
      </c>
      <c r="M719" s="51">
        <f>IF($B719=1,N(INDEX(Employees!$N$5:$N$29,$A719)),P718)</f>
        <v/>
      </c>
      <c r="N719" s="51">
        <f>IF(INDEX(Employees!$L$5:$L$29,$A719)="",K719,MAX(0,MIN(K719,INDEX(Employees!$L$5:$L$29,$A719)-(M719-L719))))</f>
        <v/>
      </c>
      <c r="O719" s="51">
        <f>K719-N719</f>
        <v/>
      </c>
      <c r="P719" s="51">
        <f>M719-L719+N719</f>
        <v/>
      </c>
      <c r="Q719" s="51">
        <f>IF($G719=0,0,IF(INDEX(Employees!$P$5:$P$29,$A719)="Per pay period",(N(INDEX(Employees!$Q$5:$Q$29,$A719)))/Settings!$B$13,IF(INDEX(Employees!$P$5:$P$29,$A719)="Per hour worked",N(INDEX(Employees!$R$5:$R$29,$A719))*$I719,IF(INDEX(Employees!$P$5:$P$29,$A719)="Front-loaded",IF(OR($B719=1,N($G718)=0),N(INDEX(Employees!$Q$5:$Q$29,$A719)),0),0))))</f>
        <v/>
      </c>
      <c r="R719" s="51">
        <f>IF($F719=0,0,SUMIFS('Time Off Log'!$H$5:$H$504,'Time Off Log'!$A$5:$A$504,$C719,'Time Off Log'!$B$5:$B$504,"Sick",'Time Off Log'!$E$5:$E$504,"Approved",'Time Off Log'!$C$5:$C$504,"&gt;="&amp;INDEX(Periods!$E$5:$E$57,$B719),'Time Off Log'!$C$5:$C$504,"&lt;="&amp;INDEX(Periods!$F$5:$F$57,$B719)))</f>
        <v/>
      </c>
      <c r="S719" s="51">
        <f>IF($B719=1,N(INDEX(Employees!$T$5:$T$29,$A719)),V718)</f>
        <v/>
      </c>
      <c r="T719" s="51">
        <f>IF(INDEX(Employees!$S$5:$S$29,$A719)="",Q719,MAX(0,MIN(Q719,INDEX(Employees!$S$5:$S$29,$A719)-(S719-R719))))</f>
        <v/>
      </c>
      <c r="U719" s="51">
        <f>Q719-T719</f>
        <v/>
      </c>
      <c r="V719" s="51">
        <f>S719-R719+T719</f>
        <v/>
      </c>
    </row>
    <row r="720">
      <c r="A720" s="50" t="n">
        <v>14</v>
      </c>
      <c r="B720" s="50" t="n">
        <v>27</v>
      </c>
      <c r="C720" s="51">
        <f>INDEX(Employees!$B$5:$B$29,$A720)&amp;""</f>
        <v/>
      </c>
      <c r="D720" s="52">
        <f>INDEX(Periods!$B$5:$B$57,$B720)</f>
        <v/>
      </c>
      <c r="E720" s="52">
        <f>INDEX(Periods!$C$5:$C$57,$B720)</f>
        <v/>
      </c>
      <c r="F720" s="50">
        <f>IF(AND($C720&lt;&gt;"",INDEX(Periods!$D$5:$D$57,$B720)=1),1,0)</f>
        <v/>
      </c>
      <c r="G720" s="50">
        <f>IF($F720=0,0,IF(AND(OR(INDEX(Employees!$D$5:$D$29,$A720)="",$E720&gt;=INDEX(Employees!$D$5:$D$29,$A720)+N(INDEX(Employees!$U$5:$U$29,$A720))),OR(INDEX(Employees!$E$5:$E$29,$A720)="",$D720&lt;=INDEX(Employees!$E$5:$E$29,$A720))),1,0))</f>
        <v/>
      </c>
      <c r="H720" s="50">
        <f>IF($G720=0,0,IF(INDEX(Employees!$D$5:$D$29,$A720)="",0,DATEDIF(INDEX(Employees!$D$5:$D$29,$A720),$E720,"y")))</f>
        <v/>
      </c>
      <c r="I720" s="51">
        <f>IF($G720=0,0,IF(INDEX('Hours Worked'!$D$5:$BD$29,$A720,$B720)="",N(INDEX(Employees!$H$5:$H$29,$A720)),INDEX('Hours Worked'!$D$5:$BD$29,$A720,$B720)))</f>
        <v/>
      </c>
      <c r="J720" s="51">
        <f>IF(OR($G720=0,INDEX(Employees!$O$5:$O$29,$A720)&lt;&gt;"Yes"),0,IF(COUNTIF(Settings!$D$4:$D$9,"&lt;="&amp;$H720)=0,0,INDEX(Settings!$E$4:$E$9,COUNTIF(Settings!$D$4:$D$9,"&lt;="&amp;$H720))))</f>
        <v/>
      </c>
      <c r="K720" s="51">
        <f>IF($G720=0,0,IF(INDEX(Employees!$I$5:$I$29,$A720)="Per pay period",(N(INDEX(Employees!$J$5:$J$29,$A720))+$J720)/Settings!$B$13,IF(INDEX(Employees!$I$5:$I$29,$A720)="Per hour worked",N(INDEX(Employees!$K$5:$K$29,$A720))*$I720,IF(INDEX(Employees!$I$5:$I$29,$A720)="Front-loaded",IF(OR($B720=1,N($G719)=0),N(INDEX(Employees!$J$5:$J$29,$A720))+$J720,0),0))))</f>
        <v/>
      </c>
      <c r="L720" s="51">
        <f>IF($F720=0,0,SUMIFS('Time Off Log'!$H$5:$H$504,'Time Off Log'!$A$5:$A$504,$C720,'Time Off Log'!$B$5:$B$504,"PTO",'Time Off Log'!$E$5:$E$504,"Approved",'Time Off Log'!$C$5:$C$504,"&gt;="&amp;INDEX(Periods!$E$5:$E$57,$B720),'Time Off Log'!$C$5:$C$504,"&lt;="&amp;INDEX(Periods!$F$5:$F$57,$B720)))</f>
        <v/>
      </c>
      <c r="M720" s="51">
        <f>IF($B720=1,N(INDEX(Employees!$N$5:$N$29,$A720)),P719)</f>
        <v/>
      </c>
      <c r="N720" s="51">
        <f>IF(INDEX(Employees!$L$5:$L$29,$A720)="",K720,MAX(0,MIN(K720,INDEX(Employees!$L$5:$L$29,$A720)-(M720-L720))))</f>
        <v/>
      </c>
      <c r="O720" s="51">
        <f>K720-N720</f>
        <v/>
      </c>
      <c r="P720" s="51">
        <f>M720-L720+N720</f>
        <v/>
      </c>
      <c r="Q720" s="51">
        <f>IF($G720=0,0,IF(INDEX(Employees!$P$5:$P$29,$A720)="Per pay period",(N(INDEX(Employees!$Q$5:$Q$29,$A720)))/Settings!$B$13,IF(INDEX(Employees!$P$5:$P$29,$A720)="Per hour worked",N(INDEX(Employees!$R$5:$R$29,$A720))*$I720,IF(INDEX(Employees!$P$5:$P$29,$A720)="Front-loaded",IF(OR($B720=1,N($G719)=0),N(INDEX(Employees!$Q$5:$Q$29,$A720)),0),0))))</f>
        <v/>
      </c>
      <c r="R720" s="51">
        <f>IF($F720=0,0,SUMIFS('Time Off Log'!$H$5:$H$504,'Time Off Log'!$A$5:$A$504,$C720,'Time Off Log'!$B$5:$B$504,"Sick",'Time Off Log'!$E$5:$E$504,"Approved",'Time Off Log'!$C$5:$C$504,"&gt;="&amp;INDEX(Periods!$E$5:$E$57,$B720),'Time Off Log'!$C$5:$C$504,"&lt;="&amp;INDEX(Periods!$F$5:$F$57,$B720)))</f>
        <v/>
      </c>
      <c r="S720" s="51">
        <f>IF($B720=1,N(INDEX(Employees!$T$5:$T$29,$A720)),V719)</f>
        <v/>
      </c>
      <c r="T720" s="51">
        <f>IF(INDEX(Employees!$S$5:$S$29,$A720)="",Q720,MAX(0,MIN(Q720,INDEX(Employees!$S$5:$S$29,$A720)-(S720-R720))))</f>
        <v/>
      </c>
      <c r="U720" s="51">
        <f>Q720-T720</f>
        <v/>
      </c>
      <c r="V720" s="51">
        <f>S720-R720+T720</f>
        <v/>
      </c>
    </row>
    <row r="721">
      <c r="A721" s="50" t="n">
        <v>14</v>
      </c>
      <c r="B721" s="50" t="n">
        <v>28</v>
      </c>
      <c r="C721" s="51">
        <f>INDEX(Employees!$B$5:$B$29,$A721)&amp;""</f>
        <v/>
      </c>
      <c r="D721" s="52">
        <f>INDEX(Periods!$B$5:$B$57,$B721)</f>
        <v/>
      </c>
      <c r="E721" s="52">
        <f>INDEX(Periods!$C$5:$C$57,$B721)</f>
        <v/>
      </c>
      <c r="F721" s="50">
        <f>IF(AND($C721&lt;&gt;"",INDEX(Periods!$D$5:$D$57,$B721)=1),1,0)</f>
        <v/>
      </c>
      <c r="G721" s="50">
        <f>IF($F721=0,0,IF(AND(OR(INDEX(Employees!$D$5:$D$29,$A721)="",$E721&gt;=INDEX(Employees!$D$5:$D$29,$A721)+N(INDEX(Employees!$U$5:$U$29,$A721))),OR(INDEX(Employees!$E$5:$E$29,$A721)="",$D721&lt;=INDEX(Employees!$E$5:$E$29,$A721))),1,0))</f>
        <v/>
      </c>
      <c r="H721" s="50">
        <f>IF($G721=0,0,IF(INDEX(Employees!$D$5:$D$29,$A721)="",0,DATEDIF(INDEX(Employees!$D$5:$D$29,$A721),$E721,"y")))</f>
        <v/>
      </c>
      <c r="I721" s="51">
        <f>IF($G721=0,0,IF(INDEX('Hours Worked'!$D$5:$BD$29,$A721,$B721)="",N(INDEX(Employees!$H$5:$H$29,$A721)),INDEX('Hours Worked'!$D$5:$BD$29,$A721,$B721)))</f>
        <v/>
      </c>
      <c r="J721" s="51">
        <f>IF(OR($G721=0,INDEX(Employees!$O$5:$O$29,$A721)&lt;&gt;"Yes"),0,IF(COUNTIF(Settings!$D$4:$D$9,"&lt;="&amp;$H721)=0,0,INDEX(Settings!$E$4:$E$9,COUNTIF(Settings!$D$4:$D$9,"&lt;="&amp;$H721))))</f>
        <v/>
      </c>
      <c r="K721" s="51">
        <f>IF($G721=0,0,IF(INDEX(Employees!$I$5:$I$29,$A721)="Per pay period",(N(INDEX(Employees!$J$5:$J$29,$A721))+$J721)/Settings!$B$13,IF(INDEX(Employees!$I$5:$I$29,$A721)="Per hour worked",N(INDEX(Employees!$K$5:$K$29,$A721))*$I721,IF(INDEX(Employees!$I$5:$I$29,$A721)="Front-loaded",IF(OR($B721=1,N($G720)=0),N(INDEX(Employees!$J$5:$J$29,$A721))+$J721,0),0))))</f>
        <v/>
      </c>
      <c r="L721" s="51">
        <f>IF($F721=0,0,SUMIFS('Time Off Log'!$H$5:$H$504,'Time Off Log'!$A$5:$A$504,$C721,'Time Off Log'!$B$5:$B$504,"PTO",'Time Off Log'!$E$5:$E$504,"Approved",'Time Off Log'!$C$5:$C$504,"&gt;="&amp;INDEX(Periods!$E$5:$E$57,$B721),'Time Off Log'!$C$5:$C$504,"&lt;="&amp;INDEX(Periods!$F$5:$F$57,$B721)))</f>
        <v/>
      </c>
      <c r="M721" s="51">
        <f>IF($B721=1,N(INDEX(Employees!$N$5:$N$29,$A721)),P720)</f>
        <v/>
      </c>
      <c r="N721" s="51">
        <f>IF(INDEX(Employees!$L$5:$L$29,$A721)="",K721,MAX(0,MIN(K721,INDEX(Employees!$L$5:$L$29,$A721)-(M721-L721))))</f>
        <v/>
      </c>
      <c r="O721" s="51">
        <f>K721-N721</f>
        <v/>
      </c>
      <c r="P721" s="51">
        <f>M721-L721+N721</f>
        <v/>
      </c>
      <c r="Q721" s="51">
        <f>IF($G721=0,0,IF(INDEX(Employees!$P$5:$P$29,$A721)="Per pay period",(N(INDEX(Employees!$Q$5:$Q$29,$A721)))/Settings!$B$13,IF(INDEX(Employees!$P$5:$P$29,$A721)="Per hour worked",N(INDEX(Employees!$R$5:$R$29,$A721))*$I721,IF(INDEX(Employees!$P$5:$P$29,$A721)="Front-loaded",IF(OR($B721=1,N($G720)=0),N(INDEX(Employees!$Q$5:$Q$29,$A721)),0),0))))</f>
        <v/>
      </c>
      <c r="R721" s="51">
        <f>IF($F721=0,0,SUMIFS('Time Off Log'!$H$5:$H$504,'Time Off Log'!$A$5:$A$504,$C721,'Time Off Log'!$B$5:$B$504,"Sick",'Time Off Log'!$E$5:$E$504,"Approved",'Time Off Log'!$C$5:$C$504,"&gt;="&amp;INDEX(Periods!$E$5:$E$57,$B721),'Time Off Log'!$C$5:$C$504,"&lt;="&amp;INDEX(Periods!$F$5:$F$57,$B721)))</f>
        <v/>
      </c>
      <c r="S721" s="51">
        <f>IF($B721=1,N(INDEX(Employees!$T$5:$T$29,$A721)),V720)</f>
        <v/>
      </c>
      <c r="T721" s="51">
        <f>IF(INDEX(Employees!$S$5:$S$29,$A721)="",Q721,MAX(0,MIN(Q721,INDEX(Employees!$S$5:$S$29,$A721)-(S721-R721))))</f>
        <v/>
      </c>
      <c r="U721" s="51">
        <f>Q721-T721</f>
        <v/>
      </c>
      <c r="V721" s="51">
        <f>S721-R721+T721</f>
        <v/>
      </c>
    </row>
    <row r="722">
      <c r="A722" s="50" t="n">
        <v>14</v>
      </c>
      <c r="B722" s="50" t="n">
        <v>29</v>
      </c>
      <c r="C722" s="51">
        <f>INDEX(Employees!$B$5:$B$29,$A722)&amp;""</f>
        <v/>
      </c>
      <c r="D722" s="52">
        <f>INDEX(Periods!$B$5:$B$57,$B722)</f>
        <v/>
      </c>
      <c r="E722" s="52">
        <f>INDEX(Periods!$C$5:$C$57,$B722)</f>
        <v/>
      </c>
      <c r="F722" s="50">
        <f>IF(AND($C722&lt;&gt;"",INDEX(Periods!$D$5:$D$57,$B722)=1),1,0)</f>
        <v/>
      </c>
      <c r="G722" s="50">
        <f>IF($F722=0,0,IF(AND(OR(INDEX(Employees!$D$5:$D$29,$A722)="",$E722&gt;=INDEX(Employees!$D$5:$D$29,$A722)+N(INDEX(Employees!$U$5:$U$29,$A722))),OR(INDEX(Employees!$E$5:$E$29,$A722)="",$D722&lt;=INDEX(Employees!$E$5:$E$29,$A722))),1,0))</f>
        <v/>
      </c>
      <c r="H722" s="50">
        <f>IF($G722=0,0,IF(INDEX(Employees!$D$5:$D$29,$A722)="",0,DATEDIF(INDEX(Employees!$D$5:$D$29,$A722),$E722,"y")))</f>
        <v/>
      </c>
      <c r="I722" s="51">
        <f>IF($G722=0,0,IF(INDEX('Hours Worked'!$D$5:$BD$29,$A722,$B722)="",N(INDEX(Employees!$H$5:$H$29,$A722)),INDEX('Hours Worked'!$D$5:$BD$29,$A722,$B722)))</f>
        <v/>
      </c>
      <c r="J722" s="51">
        <f>IF(OR($G722=0,INDEX(Employees!$O$5:$O$29,$A722)&lt;&gt;"Yes"),0,IF(COUNTIF(Settings!$D$4:$D$9,"&lt;="&amp;$H722)=0,0,INDEX(Settings!$E$4:$E$9,COUNTIF(Settings!$D$4:$D$9,"&lt;="&amp;$H722))))</f>
        <v/>
      </c>
      <c r="K722" s="51">
        <f>IF($G722=0,0,IF(INDEX(Employees!$I$5:$I$29,$A722)="Per pay period",(N(INDEX(Employees!$J$5:$J$29,$A722))+$J722)/Settings!$B$13,IF(INDEX(Employees!$I$5:$I$29,$A722)="Per hour worked",N(INDEX(Employees!$K$5:$K$29,$A722))*$I722,IF(INDEX(Employees!$I$5:$I$29,$A722)="Front-loaded",IF(OR($B722=1,N($G721)=0),N(INDEX(Employees!$J$5:$J$29,$A722))+$J722,0),0))))</f>
        <v/>
      </c>
      <c r="L722" s="51">
        <f>IF($F722=0,0,SUMIFS('Time Off Log'!$H$5:$H$504,'Time Off Log'!$A$5:$A$504,$C722,'Time Off Log'!$B$5:$B$504,"PTO",'Time Off Log'!$E$5:$E$504,"Approved",'Time Off Log'!$C$5:$C$504,"&gt;="&amp;INDEX(Periods!$E$5:$E$57,$B722),'Time Off Log'!$C$5:$C$504,"&lt;="&amp;INDEX(Periods!$F$5:$F$57,$B722)))</f>
        <v/>
      </c>
      <c r="M722" s="51">
        <f>IF($B722=1,N(INDEX(Employees!$N$5:$N$29,$A722)),P721)</f>
        <v/>
      </c>
      <c r="N722" s="51">
        <f>IF(INDEX(Employees!$L$5:$L$29,$A722)="",K722,MAX(0,MIN(K722,INDEX(Employees!$L$5:$L$29,$A722)-(M722-L722))))</f>
        <v/>
      </c>
      <c r="O722" s="51">
        <f>K722-N722</f>
        <v/>
      </c>
      <c r="P722" s="51">
        <f>M722-L722+N722</f>
        <v/>
      </c>
      <c r="Q722" s="51">
        <f>IF($G722=0,0,IF(INDEX(Employees!$P$5:$P$29,$A722)="Per pay period",(N(INDEX(Employees!$Q$5:$Q$29,$A722)))/Settings!$B$13,IF(INDEX(Employees!$P$5:$P$29,$A722)="Per hour worked",N(INDEX(Employees!$R$5:$R$29,$A722))*$I722,IF(INDEX(Employees!$P$5:$P$29,$A722)="Front-loaded",IF(OR($B722=1,N($G721)=0),N(INDEX(Employees!$Q$5:$Q$29,$A722)),0),0))))</f>
        <v/>
      </c>
      <c r="R722" s="51">
        <f>IF($F722=0,0,SUMIFS('Time Off Log'!$H$5:$H$504,'Time Off Log'!$A$5:$A$504,$C722,'Time Off Log'!$B$5:$B$504,"Sick",'Time Off Log'!$E$5:$E$504,"Approved",'Time Off Log'!$C$5:$C$504,"&gt;="&amp;INDEX(Periods!$E$5:$E$57,$B722),'Time Off Log'!$C$5:$C$504,"&lt;="&amp;INDEX(Periods!$F$5:$F$57,$B722)))</f>
        <v/>
      </c>
      <c r="S722" s="51">
        <f>IF($B722=1,N(INDEX(Employees!$T$5:$T$29,$A722)),V721)</f>
        <v/>
      </c>
      <c r="T722" s="51">
        <f>IF(INDEX(Employees!$S$5:$S$29,$A722)="",Q722,MAX(0,MIN(Q722,INDEX(Employees!$S$5:$S$29,$A722)-(S722-R722))))</f>
        <v/>
      </c>
      <c r="U722" s="51">
        <f>Q722-T722</f>
        <v/>
      </c>
      <c r="V722" s="51">
        <f>S722-R722+T722</f>
        <v/>
      </c>
    </row>
    <row r="723">
      <c r="A723" s="50" t="n">
        <v>14</v>
      </c>
      <c r="B723" s="50" t="n">
        <v>30</v>
      </c>
      <c r="C723" s="51">
        <f>INDEX(Employees!$B$5:$B$29,$A723)&amp;""</f>
        <v/>
      </c>
      <c r="D723" s="52">
        <f>INDEX(Periods!$B$5:$B$57,$B723)</f>
        <v/>
      </c>
      <c r="E723" s="52">
        <f>INDEX(Periods!$C$5:$C$57,$B723)</f>
        <v/>
      </c>
      <c r="F723" s="50">
        <f>IF(AND($C723&lt;&gt;"",INDEX(Periods!$D$5:$D$57,$B723)=1),1,0)</f>
        <v/>
      </c>
      <c r="G723" s="50">
        <f>IF($F723=0,0,IF(AND(OR(INDEX(Employees!$D$5:$D$29,$A723)="",$E723&gt;=INDEX(Employees!$D$5:$D$29,$A723)+N(INDEX(Employees!$U$5:$U$29,$A723))),OR(INDEX(Employees!$E$5:$E$29,$A723)="",$D723&lt;=INDEX(Employees!$E$5:$E$29,$A723))),1,0))</f>
        <v/>
      </c>
      <c r="H723" s="50">
        <f>IF($G723=0,0,IF(INDEX(Employees!$D$5:$D$29,$A723)="",0,DATEDIF(INDEX(Employees!$D$5:$D$29,$A723),$E723,"y")))</f>
        <v/>
      </c>
      <c r="I723" s="51">
        <f>IF($G723=0,0,IF(INDEX('Hours Worked'!$D$5:$BD$29,$A723,$B723)="",N(INDEX(Employees!$H$5:$H$29,$A723)),INDEX('Hours Worked'!$D$5:$BD$29,$A723,$B723)))</f>
        <v/>
      </c>
      <c r="J723" s="51">
        <f>IF(OR($G723=0,INDEX(Employees!$O$5:$O$29,$A723)&lt;&gt;"Yes"),0,IF(COUNTIF(Settings!$D$4:$D$9,"&lt;="&amp;$H723)=0,0,INDEX(Settings!$E$4:$E$9,COUNTIF(Settings!$D$4:$D$9,"&lt;="&amp;$H723))))</f>
        <v/>
      </c>
      <c r="K723" s="51">
        <f>IF($G723=0,0,IF(INDEX(Employees!$I$5:$I$29,$A723)="Per pay period",(N(INDEX(Employees!$J$5:$J$29,$A723))+$J723)/Settings!$B$13,IF(INDEX(Employees!$I$5:$I$29,$A723)="Per hour worked",N(INDEX(Employees!$K$5:$K$29,$A723))*$I723,IF(INDEX(Employees!$I$5:$I$29,$A723)="Front-loaded",IF(OR($B723=1,N($G722)=0),N(INDEX(Employees!$J$5:$J$29,$A723))+$J723,0),0))))</f>
        <v/>
      </c>
      <c r="L723" s="51">
        <f>IF($F723=0,0,SUMIFS('Time Off Log'!$H$5:$H$504,'Time Off Log'!$A$5:$A$504,$C723,'Time Off Log'!$B$5:$B$504,"PTO",'Time Off Log'!$E$5:$E$504,"Approved",'Time Off Log'!$C$5:$C$504,"&gt;="&amp;INDEX(Periods!$E$5:$E$57,$B723),'Time Off Log'!$C$5:$C$504,"&lt;="&amp;INDEX(Periods!$F$5:$F$57,$B723)))</f>
        <v/>
      </c>
      <c r="M723" s="51">
        <f>IF($B723=1,N(INDEX(Employees!$N$5:$N$29,$A723)),P722)</f>
        <v/>
      </c>
      <c r="N723" s="51">
        <f>IF(INDEX(Employees!$L$5:$L$29,$A723)="",K723,MAX(0,MIN(K723,INDEX(Employees!$L$5:$L$29,$A723)-(M723-L723))))</f>
        <v/>
      </c>
      <c r="O723" s="51">
        <f>K723-N723</f>
        <v/>
      </c>
      <c r="P723" s="51">
        <f>M723-L723+N723</f>
        <v/>
      </c>
      <c r="Q723" s="51">
        <f>IF($G723=0,0,IF(INDEX(Employees!$P$5:$P$29,$A723)="Per pay period",(N(INDEX(Employees!$Q$5:$Q$29,$A723)))/Settings!$B$13,IF(INDEX(Employees!$P$5:$P$29,$A723)="Per hour worked",N(INDEX(Employees!$R$5:$R$29,$A723))*$I723,IF(INDEX(Employees!$P$5:$P$29,$A723)="Front-loaded",IF(OR($B723=1,N($G722)=0),N(INDEX(Employees!$Q$5:$Q$29,$A723)),0),0))))</f>
        <v/>
      </c>
      <c r="R723" s="51">
        <f>IF($F723=0,0,SUMIFS('Time Off Log'!$H$5:$H$504,'Time Off Log'!$A$5:$A$504,$C723,'Time Off Log'!$B$5:$B$504,"Sick",'Time Off Log'!$E$5:$E$504,"Approved",'Time Off Log'!$C$5:$C$504,"&gt;="&amp;INDEX(Periods!$E$5:$E$57,$B723),'Time Off Log'!$C$5:$C$504,"&lt;="&amp;INDEX(Periods!$F$5:$F$57,$B723)))</f>
        <v/>
      </c>
      <c r="S723" s="51">
        <f>IF($B723=1,N(INDEX(Employees!$T$5:$T$29,$A723)),V722)</f>
        <v/>
      </c>
      <c r="T723" s="51">
        <f>IF(INDEX(Employees!$S$5:$S$29,$A723)="",Q723,MAX(0,MIN(Q723,INDEX(Employees!$S$5:$S$29,$A723)-(S723-R723))))</f>
        <v/>
      </c>
      <c r="U723" s="51">
        <f>Q723-T723</f>
        <v/>
      </c>
      <c r="V723" s="51">
        <f>S723-R723+T723</f>
        <v/>
      </c>
    </row>
    <row r="724">
      <c r="A724" s="50" t="n">
        <v>14</v>
      </c>
      <c r="B724" s="50" t="n">
        <v>31</v>
      </c>
      <c r="C724" s="51">
        <f>INDEX(Employees!$B$5:$B$29,$A724)&amp;""</f>
        <v/>
      </c>
      <c r="D724" s="52">
        <f>INDEX(Periods!$B$5:$B$57,$B724)</f>
        <v/>
      </c>
      <c r="E724" s="52">
        <f>INDEX(Periods!$C$5:$C$57,$B724)</f>
        <v/>
      </c>
      <c r="F724" s="50">
        <f>IF(AND($C724&lt;&gt;"",INDEX(Periods!$D$5:$D$57,$B724)=1),1,0)</f>
        <v/>
      </c>
      <c r="G724" s="50">
        <f>IF($F724=0,0,IF(AND(OR(INDEX(Employees!$D$5:$D$29,$A724)="",$E724&gt;=INDEX(Employees!$D$5:$D$29,$A724)+N(INDEX(Employees!$U$5:$U$29,$A724))),OR(INDEX(Employees!$E$5:$E$29,$A724)="",$D724&lt;=INDEX(Employees!$E$5:$E$29,$A724))),1,0))</f>
        <v/>
      </c>
      <c r="H724" s="50">
        <f>IF($G724=0,0,IF(INDEX(Employees!$D$5:$D$29,$A724)="",0,DATEDIF(INDEX(Employees!$D$5:$D$29,$A724),$E724,"y")))</f>
        <v/>
      </c>
      <c r="I724" s="51">
        <f>IF($G724=0,0,IF(INDEX('Hours Worked'!$D$5:$BD$29,$A724,$B724)="",N(INDEX(Employees!$H$5:$H$29,$A724)),INDEX('Hours Worked'!$D$5:$BD$29,$A724,$B724)))</f>
        <v/>
      </c>
      <c r="J724" s="51">
        <f>IF(OR($G724=0,INDEX(Employees!$O$5:$O$29,$A724)&lt;&gt;"Yes"),0,IF(COUNTIF(Settings!$D$4:$D$9,"&lt;="&amp;$H724)=0,0,INDEX(Settings!$E$4:$E$9,COUNTIF(Settings!$D$4:$D$9,"&lt;="&amp;$H724))))</f>
        <v/>
      </c>
      <c r="K724" s="51">
        <f>IF($G724=0,0,IF(INDEX(Employees!$I$5:$I$29,$A724)="Per pay period",(N(INDEX(Employees!$J$5:$J$29,$A724))+$J724)/Settings!$B$13,IF(INDEX(Employees!$I$5:$I$29,$A724)="Per hour worked",N(INDEX(Employees!$K$5:$K$29,$A724))*$I724,IF(INDEX(Employees!$I$5:$I$29,$A724)="Front-loaded",IF(OR($B724=1,N($G723)=0),N(INDEX(Employees!$J$5:$J$29,$A724))+$J724,0),0))))</f>
        <v/>
      </c>
      <c r="L724" s="51">
        <f>IF($F724=0,0,SUMIFS('Time Off Log'!$H$5:$H$504,'Time Off Log'!$A$5:$A$504,$C724,'Time Off Log'!$B$5:$B$504,"PTO",'Time Off Log'!$E$5:$E$504,"Approved",'Time Off Log'!$C$5:$C$504,"&gt;="&amp;INDEX(Periods!$E$5:$E$57,$B724),'Time Off Log'!$C$5:$C$504,"&lt;="&amp;INDEX(Periods!$F$5:$F$57,$B724)))</f>
        <v/>
      </c>
      <c r="M724" s="51">
        <f>IF($B724=1,N(INDEX(Employees!$N$5:$N$29,$A724)),P723)</f>
        <v/>
      </c>
      <c r="N724" s="51">
        <f>IF(INDEX(Employees!$L$5:$L$29,$A724)="",K724,MAX(0,MIN(K724,INDEX(Employees!$L$5:$L$29,$A724)-(M724-L724))))</f>
        <v/>
      </c>
      <c r="O724" s="51">
        <f>K724-N724</f>
        <v/>
      </c>
      <c r="P724" s="51">
        <f>M724-L724+N724</f>
        <v/>
      </c>
      <c r="Q724" s="51">
        <f>IF($G724=0,0,IF(INDEX(Employees!$P$5:$P$29,$A724)="Per pay period",(N(INDEX(Employees!$Q$5:$Q$29,$A724)))/Settings!$B$13,IF(INDEX(Employees!$P$5:$P$29,$A724)="Per hour worked",N(INDEX(Employees!$R$5:$R$29,$A724))*$I724,IF(INDEX(Employees!$P$5:$P$29,$A724)="Front-loaded",IF(OR($B724=1,N($G723)=0),N(INDEX(Employees!$Q$5:$Q$29,$A724)),0),0))))</f>
        <v/>
      </c>
      <c r="R724" s="51">
        <f>IF($F724=0,0,SUMIFS('Time Off Log'!$H$5:$H$504,'Time Off Log'!$A$5:$A$504,$C724,'Time Off Log'!$B$5:$B$504,"Sick",'Time Off Log'!$E$5:$E$504,"Approved",'Time Off Log'!$C$5:$C$504,"&gt;="&amp;INDEX(Periods!$E$5:$E$57,$B724),'Time Off Log'!$C$5:$C$504,"&lt;="&amp;INDEX(Periods!$F$5:$F$57,$B724)))</f>
        <v/>
      </c>
      <c r="S724" s="51">
        <f>IF($B724=1,N(INDEX(Employees!$T$5:$T$29,$A724)),V723)</f>
        <v/>
      </c>
      <c r="T724" s="51">
        <f>IF(INDEX(Employees!$S$5:$S$29,$A724)="",Q724,MAX(0,MIN(Q724,INDEX(Employees!$S$5:$S$29,$A724)-(S724-R724))))</f>
        <v/>
      </c>
      <c r="U724" s="51">
        <f>Q724-T724</f>
        <v/>
      </c>
      <c r="V724" s="51">
        <f>S724-R724+T724</f>
        <v/>
      </c>
    </row>
    <row r="725">
      <c r="A725" s="50" t="n">
        <v>14</v>
      </c>
      <c r="B725" s="50" t="n">
        <v>32</v>
      </c>
      <c r="C725" s="51">
        <f>INDEX(Employees!$B$5:$B$29,$A725)&amp;""</f>
        <v/>
      </c>
      <c r="D725" s="52">
        <f>INDEX(Periods!$B$5:$B$57,$B725)</f>
        <v/>
      </c>
      <c r="E725" s="52">
        <f>INDEX(Periods!$C$5:$C$57,$B725)</f>
        <v/>
      </c>
      <c r="F725" s="50">
        <f>IF(AND($C725&lt;&gt;"",INDEX(Periods!$D$5:$D$57,$B725)=1),1,0)</f>
        <v/>
      </c>
      <c r="G725" s="50">
        <f>IF($F725=0,0,IF(AND(OR(INDEX(Employees!$D$5:$D$29,$A725)="",$E725&gt;=INDEX(Employees!$D$5:$D$29,$A725)+N(INDEX(Employees!$U$5:$U$29,$A725))),OR(INDEX(Employees!$E$5:$E$29,$A725)="",$D725&lt;=INDEX(Employees!$E$5:$E$29,$A725))),1,0))</f>
        <v/>
      </c>
      <c r="H725" s="50">
        <f>IF($G725=0,0,IF(INDEX(Employees!$D$5:$D$29,$A725)="",0,DATEDIF(INDEX(Employees!$D$5:$D$29,$A725),$E725,"y")))</f>
        <v/>
      </c>
      <c r="I725" s="51">
        <f>IF($G725=0,0,IF(INDEX('Hours Worked'!$D$5:$BD$29,$A725,$B725)="",N(INDEX(Employees!$H$5:$H$29,$A725)),INDEX('Hours Worked'!$D$5:$BD$29,$A725,$B725)))</f>
        <v/>
      </c>
      <c r="J725" s="51">
        <f>IF(OR($G725=0,INDEX(Employees!$O$5:$O$29,$A725)&lt;&gt;"Yes"),0,IF(COUNTIF(Settings!$D$4:$D$9,"&lt;="&amp;$H725)=0,0,INDEX(Settings!$E$4:$E$9,COUNTIF(Settings!$D$4:$D$9,"&lt;="&amp;$H725))))</f>
        <v/>
      </c>
      <c r="K725" s="51">
        <f>IF($G725=0,0,IF(INDEX(Employees!$I$5:$I$29,$A725)="Per pay period",(N(INDEX(Employees!$J$5:$J$29,$A725))+$J725)/Settings!$B$13,IF(INDEX(Employees!$I$5:$I$29,$A725)="Per hour worked",N(INDEX(Employees!$K$5:$K$29,$A725))*$I725,IF(INDEX(Employees!$I$5:$I$29,$A725)="Front-loaded",IF(OR($B725=1,N($G724)=0),N(INDEX(Employees!$J$5:$J$29,$A725))+$J725,0),0))))</f>
        <v/>
      </c>
      <c r="L725" s="51">
        <f>IF($F725=0,0,SUMIFS('Time Off Log'!$H$5:$H$504,'Time Off Log'!$A$5:$A$504,$C725,'Time Off Log'!$B$5:$B$504,"PTO",'Time Off Log'!$E$5:$E$504,"Approved",'Time Off Log'!$C$5:$C$504,"&gt;="&amp;INDEX(Periods!$E$5:$E$57,$B725),'Time Off Log'!$C$5:$C$504,"&lt;="&amp;INDEX(Periods!$F$5:$F$57,$B725)))</f>
        <v/>
      </c>
      <c r="M725" s="51">
        <f>IF($B725=1,N(INDEX(Employees!$N$5:$N$29,$A725)),P724)</f>
        <v/>
      </c>
      <c r="N725" s="51">
        <f>IF(INDEX(Employees!$L$5:$L$29,$A725)="",K725,MAX(0,MIN(K725,INDEX(Employees!$L$5:$L$29,$A725)-(M725-L725))))</f>
        <v/>
      </c>
      <c r="O725" s="51">
        <f>K725-N725</f>
        <v/>
      </c>
      <c r="P725" s="51">
        <f>M725-L725+N725</f>
        <v/>
      </c>
      <c r="Q725" s="51">
        <f>IF($G725=0,0,IF(INDEX(Employees!$P$5:$P$29,$A725)="Per pay period",(N(INDEX(Employees!$Q$5:$Q$29,$A725)))/Settings!$B$13,IF(INDEX(Employees!$P$5:$P$29,$A725)="Per hour worked",N(INDEX(Employees!$R$5:$R$29,$A725))*$I725,IF(INDEX(Employees!$P$5:$P$29,$A725)="Front-loaded",IF(OR($B725=1,N($G724)=0),N(INDEX(Employees!$Q$5:$Q$29,$A725)),0),0))))</f>
        <v/>
      </c>
      <c r="R725" s="51">
        <f>IF($F725=0,0,SUMIFS('Time Off Log'!$H$5:$H$504,'Time Off Log'!$A$5:$A$504,$C725,'Time Off Log'!$B$5:$B$504,"Sick",'Time Off Log'!$E$5:$E$504,"Approved",'Time Off Log'!$C$5:$C$504,"&gt;="&amp;INDEX(Periods!$E$5:$E$57,$B725),'Time Off Log'!$C$5:$C$504,"&lt;="&amp;INDEX(Periods!$F$5:$F$57,$B725)))</f>
        <v/>
      </c>
      <c r="S725" s="51">
        <f>IF($B725=1,N(INDEX(Employees!$T$5:$T$29,$A725)),V724)</f>
        <v/>
      </c>
      <c r="T725" s="51">
        <f>IF(INDEX(Employees!$S$5:$S$29,$A725)="",Q725,MAX(0,MIN(Q725,INDEX(Employees!$S$5:$S$29,$A725)-(S725-R725))))</f>
        <v/>
      </c>
      <c r="U725" s="51">
        <f>Q725-T725</f>
        <v/>
      </c>
      <c r="V725" s="51">
        <f>S725-R725+T725</f>
        <v/>
      </c>
    </row>
    <row r="726">
      <c r="A726" s="50" t="n">
        <v>14</v>
      </c>
      <c r="B726" s="50" t="n">
        <v>33</v>
      </c>
      <c r="C726" s="51">
        <f>INDEX(Employees!$B$5:$B$29,$A726)&amp;""</f>
        <v/>
      </c>
      <c r="D726" s="52">
        <f>INDEX(Periods!$B$5:$B$57,$B726)</f>
        <v/>
      </c>
      <c r="E726" s="52">
        <f>INDEX(Periods!$C$5:$C$57,$B726)</f>
        <v/>
      </c>
      <c r="F726" s="50">
        <f>IF(AND($C726&lt;&gt;"",INDEX(Periods!$D$5:$D$57,$B726)=1),1,0)</f>
        <v/>
      </c>
      <c r="G726" s="50">
        <f>IF($F726=0,0,IF(AND(OR(INDEX(Employees!$D$5:$D$29,$A726)="",$E726&gt;=INDEX(Employees!$D$5:$D$29,$A726)+N(INDEX(Employees!$U$5:$U$29,$A726))),OR(INDEX(Employees!$E$5:$E$29,$A726)="",$D726&lt;=INDEX(Employees!$E$5:$E$29,$A726))),1,0))</f>
        <v/>
      </c>
      <c r="H726" s="50">
        <f>IF($G726=0,0,IF(INDEX(Employees!$D$5:$D$29,$A726)="",0,DATEDIF(INDEX(Employees!$D$5:$D$29,$A726),$E726,"y")))</f>
        <v/>
      </c>
      <c r="I726" s="51">
        <f>IF($G726=0,0,IF(INDEX('Hours Worked'!$D$5:$BD$29,$A726,$B726)="",N(INDEX(Employees!$H$5:$H$29,$A726)),INDEX('Hours Worked'!$D$5:$BD$29,$A726,$B726)))</f>
        <v/>
      </c>
      <c r="J726" s="51">
        <f>IF(OR($G726=0,INDEX(Employees!$O$5:$O$29,$A726)&lt;&gt;"Yes"),0,IF(COUNTIF(Settings!$D$4:$D$9,"&lt;="&amp;$H726)=0,0,INDEX(Settings!$E$4:$E$9,COUNTIF(Settings!$D$4:$D$9,"&lt;="&amp;$H726))))</f>
        <v/>
      </c>
      <c r="K726" s="51">
        <f>IF($G726=0,0,IF(INDEX(Employees!$I$5:$I$29,$A726)="Per pay period",(N(INDEX(Employees!$J$5:$J$29,$A726))+$J726)/Settings!$B$13,IF(INDEX(Employees!$I$5:$I$29,$A726)="Per hour worked",N(INDEX(Employees!$K$5:$K$29,$A726))*$I726,IF(INDEX(Employees!$I$5:$I$29,$A726)="Front-loaded",IF(OR($B726=1,N($G725)=0),N(INDEX(Employees!$J$5:$J$29,$A726))+$J726,0),0))))</f>
        <v/>
      </c>
      <c r="L726" s="51">
        <f>IF($F726=0,0,SUMIFS('Time Off Log'!$H$5:$H$504,'Time Off Log'!$A$5:$A$504,$C726,'Time Off Log'!$B$5:$B$504,"PTO",'Time Off Log'!$E$5:$E$504,"Approved",'Time Off Log'!$C$5:$C$504,"&gt;="&amp;INDEX(Periods!$E$5:$E$57,$B726),'Time Off Log'!$C$5:$C$504,"&lt;="&amp;INDEX(Periods!$F$5:$F$57,$B726)))</f>
        <v/>
      </c>
      <c r="M726" s="51">
        <f>IF($B726=1,N(INDEX(Employees!$N$5:$N$29,$A726)),P725)</f>
        <v/>
      </c>
      <c r="N726" s="51">
        <f>IF(INDEX(Employees!$L$5:$L$29,$A726)="",K726,MAX(0,MIN(K726,INDEX(Employees!$L$5:$L$29,$A726)-(M726-L726))))</f>
        <v/>
      </c>
      <c r="O726" s="51">
        <f>K726-N726</f>
        <v/>
      </c>
      <c r="P726" s="51">
        <f>M726-L726+N726</f>
        <v/>
      </c>
      <c r="Q726" s="51">
        <f>IF($G726=0,0,IF(INDEX(Employees!$P$5:$P$29,$A726)="Per pay period",(N(INDEX(Employees!$Q$5:$Q$29,$A726)))/Settings!$B$13,IF(INDEX(Employees!$P$5:$P$29,$A726)="Per hour worked",N(INDEX(Employees!$R$5:$R$29,$A726))*$I726,IF(INDEX(Employees!$P$5:$P$29,$A726)="Front-loaded",IF(OR($B726=1,N($G725)=0),N(INDEX(Employees!$Q$5:$Q$29,$A726)),0),0))))</f>
        <v/>
      </c>
      <c r="R726" s="51">
        <f>IF($F726=0,0,SUMIFS('Time Off Log'!$H$5:$H$504,'Time Off Log'!$A$5:$A$504,$C726,'Time Off Log'!$B$5:$B$504,"Sick",'Time Off Log'!$E$5:$E$504,"Approved",'Time Off Log'!$C$5:$C$504,"&gt;="&amp;INDEX(Periods!$E$5:$E$57,$B726),'Time Off Log'!$C$5:$C$504,"&lt;="&amp;INDEX(Periods!$F$5:$F$57,$B726)))</f>
        <v/>
      </c>
      <c r="S726" s="51">
        <f>IF($B726=1,N(INDEX(Employees!$T$5:$T$29,$A726)),V725)</f>
        <v/>
      </c>
      <c r="T726" s="51">
        <f>IF(INDEX(Employees!$S$5:$S$29,$A726)="",Q726,MAX(0,MIN(Q726,INDEX(Employees!$S$5:$S$29,$A726)-(S726-R726))))</f>
        <v/>
      </c>
      <c r="U726" s="51">
        <f>Q726-T726</f>
        <v/>
      </c>
      <c r="V726" s="51">
        <f>S726-R726+T726</f>
        <v/>
      </c>
    </row>
    <row r="727">
      <c r="A727" s="50" t="n">
        <v>14</v>
      </c>
      <c r="B727" s="50" t="n">
        <v>34</v>
      </c>
      <c r="C727" s="51">
        <f>INDEX(Employees!$B$5:$B$29,$A727)&amp;""</f>
        <v/>
      </c>
      <c r="D727" s="52">
        <f>INDEX(Periods!$B$5:$B$57,$B727)</f>
        <v/>
      </c>
      <c r="E727" s="52">
        <f>INDEX(Periods!$C$5:$C$57,$B727)</f>
        <v/>
      </c>
      <c r="F727" s="50">
        <f>IF(AND($C727&lt;&gt;"",INDEX(Periods!$D$5:$D$57,$B727)=1),1,0)</f>
        <v/>
      </c>
      <c r="G727" s="50">
        <f>IF($F727=0,0,IF(AND(OR(INDEX(Employees!$D$5:$D$29,$A727)="",$E727&gt;=INDEX(Employees!$D$5:$D$29,$A727)+N(INDEX(Employees!$U$5:$U$29,$A727))),OR(INDEX(Employees!$E$5:$E$29,$A727)="",$D727&lt;=INDEX(Employees!$E$5:$E$29,$A727))),1,0))</f>
        <v/>
      </c>
      <c r="H727" s="50">
        <f>IF($G727=0,0,IF(INDEX(Employees!$D$5:$D$29,$A727)="",0,DATEDIF(INDEX(Employees!$D$5:$D$29,$A727),$E727,"y")))</f>
        <v/>
      </c>
      <c r="I727" s="51">
        <f>IF($G727=0,0,IF(INDEX('Hours Worked'!$D$5:$BD$29,$A727,$B727)="",N(INDEX(Employees!$H$5:$H$29,$A727)),INDEX('Hours Worked'!$D$5:$BD$29,$A727,$B727)))</f>
        <v/>
      </c>
      <c r="J727" s="51">
        <f>IF(OR($G727=0,INDEX(Employees!$O$5:$O$29,$A727)&lt;&gt;"Yes"),0,IF(COUNTIF(Settings!$D$4:$D$9,"&lt;="&amp;$H727)=0,0,INDEX(Settings!$E$4:$E$9,COUNTIF(Settings!$D$4:$D$9,"&lt;="&amp;$H727))))</f>
        <v/>
      </c>
      <c r="K727" s="51">
        <f>IF($G727=0,0,IF(INDEX(Employees!$I$5:$I$29,$A727)="Per pay period",(N(INDEX(Employees!$J$5:$J$29,$A727))+$J727)/Settings!$B$13,IF(INDEX(Employees!$I$5:$I$29,$A727)="Per hour worked",N(INDEX(Employees!$K$5:$K$29,$A727))*$I727,IF(INDEX(Employees!$I$5:$I$29,$A727)="Front-loaded",IF(OR($B727=1,N($G726)=0),N(INDEX(Employees!$J$5:$J$29,$A727))+$J727,0),0))))</f>
        <v/>
      </c>
      <c r="L727" s="51">
        <f>IF($F727=0,0,SUMIFS('Time Off Log'!$H$5:$H$504,'Time Off Log'!$A$5:$A$504,$C727,'Time Off Log'!$B$5:$B$504,"PTO",'Time Off Log'!$E$5:$E$504,"Approved",'Time Off Log'!$C$5:$C$504,"&gt;="&amp;INDEX(Periods!$E$5:$E$57,$B727),'Time Off Log'!$C$5:$C$504,"&lt;="&amp;INDEX(Periods!$F$5:$F$57,$B727)))</f>
        <v/>
      </c>
      <c r="M727" s="51">
        <f>IF($B727=1,N(INDEX(Employees!$N$5:$N$29,$A727)),P726)</f>
        <v/>
      </c>
      <c r="N727" s="51">
        <f>IF(INDEX(Employees!$L$5:$L$29,$A727)="",K727,MAX(0,MIN(K727,INDEX(Employees!$L$5:$L$29,$A727)-(M727-L727))))</f>
        <v/>
      </c>
      <c r="O727" s="51">
        <f>K727-N727</f>
        <v/>
      </c>
      <c r="P727" s="51">
        <f>M727-L727+N727</f>
        <v/>
      </c>
      <c r="Q727" s="51">
        <f>IF($G727=0,0,IF(INDEX(Employees!$P$5:$P$29,$A727)="Per pay period",(N(INDEX(Employees!$Q$5:$Q$29,$A727)))/Settings!$B$13,IF(INDEX(Employees!$P$5:$P$29,$A727)="Per hour worked",N(INDEX(Employees!$R$5:$R$29,$A727))*$I727,IF(INDEX(Employees!$P$5:$P$29,$A727)="Front-loaded",IF(OR($B727=1,N($G726)=0),N(INDEX(Employees!$Q$5:$Q$29,$A727)),0),0))))</f>
        <v/>
      </c>
      <c r="R727" s="51">
        <f>IF($F727=0,0,SUMIFS('Time Off Log'!$H$5:$H$504,'Time Off Log'!$A$5:$A$504,$C727,'Time Off Log'!$B$5:$B$504,"Sick",'Time Off Log'!$E$5:$E$504,"Approved",'Time Off Log'!$C$5:$C$504,"&gt;="&amp;INDEX(Periods!$E$5:$E$57,$B727),'Time Off Log'!$C$5:$C$504,"&lt;="&amp;INDEX(Periods!$F$5:$F$57,$B727)))</f>
        <v/>
      </c>
      <c r="S727" s="51">
        <f>IF($B727=1,N(INDEX(Employees!$T$5:$T$29,$A727)),V726)</f>
        <v/>
      </c>
      <c r="T727" s="51">
        <f>IF(INDEX(Employees!$S$5:$S$29,$A727)="",Q727,MAX(0,MIN(Q727,INDEX(Employees!$S$5:$S$29,$A727)-(S727-R727))))</f>
        <v/>
      </c>
      <c r="U727" s="51">
        <f>Q727-T727</f>
        <v/>
      </c>
      <c r="V727" s="51">
        <f>S727-R727+T727</f>
        <v/>
      </c>
    </row>
    <row r="728">
      <c r="A728" s="50" t="n">
        <v>14</v>
      </c>
      <c r="B728" s="50" t="n">
        <v>35</v>
      </c>
      <c r="C728" s="51">
        <f>INDEX(Employees!$B$5:$B$29,$A728)&amp;""</f>
        <v/>
      </c>
      <c r="D728" s="52">
        <f>INDEX(Periods!$B$5:$B$57,$B728)</f>
        <v/>
      </c>
      <c r="E728" s="52">
        <f>INDEX(Periods!$C$5:$C$57,$B728)</f>
        <v/>
      </c>
      <c r="F728" s="50">
        <f>IF(AND($C728&lt;&gt;"",INDEX(Periods!$D$5:$D$57,$B728)=1),1,0)</f>
        <v/>
      </c>
      <c r="G728" s="50">
        <f>IF($F728=0,0,IF(AND(OR(INDEX(Employees!$D$5:$D$29,$A728)="",$E728&gt;=INDEX(Employees!$D$5:$D$29,$A728)+N(INDEX(Employees!$U$5:$U$29,$A728))),OR(INDEX(Employees!$E$5:$E$29,$A728)="",$D728&lt;=INDEX(Employees!$E$5:$E$29,$A728))),1,0))</f>
        <v/>
      </c>
      <c r="H728" s="50">
        <f>IF($G728=0,0,IF(INDEX(Employees!$D$5:$D$29,$A728)="",0,DATEDIF(INDEX(Employees!$D$5:$D$29,$A728),$E728,"y")))</f>
        <v/>
      </c>
      <c r="I728" s="51">
        <f>IF($G728=0,0,IF(INDEX('Hours Worked'!$D$5:$BD$29,$A728,$B728)="",N(INDEX(Employees!$H$5:$H$29,$A728)),INDEX('Hours Worked'!$D$5:$BD$29,$A728,$B728)))</f>
        <v/>
      </c>
      <c r="J728" s="51">
        <f>IF(OR($G728=0,INDEX(Employees!$O$5:$O$29,$A728)&lt;&gt;"Yes"),0,IF(COUNTIF(Settings!$D$4:$D$9,"&lt;="&amp;$H728)=0,0,INDEX(Settings!$E$4:$E$9,COUNTIF(Settings!$D$4:$D$9,"&lt;="&amp;$H728))))</f>
        <v/>
      </c>
      <c r="K728" s="51">
        <f>IF($G728=0,0,IF(INDEX(Employees!$I$5:$I$29,$A728)="Per pay period",(N(INDEX(Employees!$J$5:$J$29,$A728))+$J728)/Settings!$B$13,IF(INDEX(Employees!$I$5:$I$29,$A728)="Per hour worked",N(INDEX(Employees!$K$5:$K$29,$A728))*$I728,IF(INDEX(Employees!$I$5:$I$29,$A728)="Front-loaded",IF(OR($B728=1,N($G727)=0),N(INDEX(Employees!$J$5:$J$29,$A728))+$J728,0),0))))</f>
        <v/>
      </c>
      <c r="L728" s="51">
        <f>IF($F728=0,0,SUMIFS('Time Off Log'!$H$5:$H$504,'Time Off Log'!$A$5:$A$504,$C728,'Time Off Log'!$B$5:$B$504,"PTO",'Time Off Log'!$E$5:$E$504,"Approved",'Time Off Log'!$C$5:$C$504,"&gt;="&amp;INDEX(Periods!$E$5:$E$57,$B728),'Time Off Log'!$C$5:$C$504,"&lt;="&amp;INDEX(Periods!$F$5:$F$57,$B728)))</f>
        <v/>
      </c>
      <c r="M728" s="51">
        <f>IF($B728=1,N(INDEX(Employees!$N$5:$N$29,$A728)),P727)</f>
        <v/>
      </c>
      <c r="N728" s="51">
        <f>IF(INDEX(Employees!$L$5:$L$29,$A728)="",K728,MAX(0,MIN(K728,INDEX(Employees!$L$5:$L$29,$A728)-(M728-L728))))</f>
        <v/>
      </c>
      <c r="O728" s="51">
        <f>K728-N728</f>
        <v/>
      </c>
      <c r="P728" s="51">
        <f>M728-L728+N728</f>
        <v/>
      </c>
      <c r="Q728" s="51">
        <f>IF($G728=0,0,IF(INDEX(Employees!$P$5:$P$29,$A728)="Per pay period",(N(INDEX(Employees!$Q$5:$Q$29,$A728)))/Settings!$B$13,IF(INDEX(Employees!$P$5:$P$29,$A728)="Per hour worked",N(INDEX(Employees!$R$5:$R$29,$A728))*$I728,IF(INDEX(Employees!$P$5:$P$29,$A728)="Front-loaded",IF(OR($B728=1,N($G727)=0),N(INDEX(Employees!$Q$5:$Q$29,$A728)),0),0))))</f>
        <v/>
      </c>
      <c r="R728" s="51">
        <f>IF($F728=0,0,SUMIFS('Time Off Log'!$H$5:$H$504,'Time Off Log'!$A$5:$A$504,$C728,'Time Off Log'!$B$5:$B$504,"Sick",'Time Off Log'!$E$5:$E$504,"Approved",'Time Off Log'!$C$5:$C$504,"&gt;="&amp;INDEX(Periods!$E$5:$E$57,$B728),'Time Off Log'!$C$5:$C$504,"&lt;="&amp;INDEX(Periods!$F$5:$F$57,$B728)))</f>
        <v/>
      </c>
      <c r="S728" s="51">
        <f>IF($B728=1,N(INDEX(Employees!$T$5:$T$29,$A728)),V727)</f>
        <v/>
      </c>
      <c r="T728" s="51">
        <f>IF(INDEX(Employees!$S$5:$S$29,$A728)="",Q728,MAX(0,MIN(Q728,INDEX(Employees!$S$5:$S$29,$A728)-(S728-R728))))</f>
        <v/>
      </c>
      <c r="U728" s="51">
        <f>Q728-T728</f>
        <v/>
      </c>
      <c r="V728" s="51">
        <f>S728-R728+T728</f>
        <v/>
      </c>
    </row>
    <row r="729">
      <c r="A729" s="50" t="n">
        <v>14</v>
      </c>
      <c r="B729" s="50" t="n">
        <v>36</v>
      </c>
      <c r="C729" s="51">
        <f>INDEX(Employees!$B$5:$B$29,$A729)&amp;""</f>
        <v/>
      </c>
      <c r="D729" s="52">
        <f>INDEX(Periods!$B$5:$B$57,$B729)</f>
        <v/>
      </c>
      <c r="E729" s="52">
        <f>INDEX(Periods!$C$5:$C$57,$B729)</f>
        <v/>
      </c>
      <c r="F729" s="50">
        <f>IF(AND($C729&lt;&gt;"",INDEX(Periods!$D$5:$D$57,$B729)=1),1,0)</f>
        <v/>
      </c>
      <c r="G729" s="50">
        <f>IF($F729=0,0,IF(AND(OR(INDEX(Employees!$D$5:$D$29,$A729)="",$E729&gt;=INDEX(Employees!$D$5:$D$29,$A729)+N(INDEX(Employees!$U$5:$U$29,$A729))),OR(INDEX(Employees!$E$5:$E$29,$A729)="",$D729&lt;=INDEX(Employees!$E$5:$E$29,$A729))),1,0))</f>
        <v/>
      </c>
      <c r="H729" s="50">
        <f>IF($G729=0,0,IF(INDEX(Employees!$D$5:$D$29,$A729)="",0,DATEDIF(INDEX(Employees!$D$5:$D$29,$A729),$E729,"y")))</f>
        <v/>
      </c>
      <c r="I729" s="51">
        <f>IF($G729=0,0,IF(INDEX('Hours Worked'!$D$5:$BD$29,$A729,$B729)="",N(INDEX(Employees!$H$5:$H$29,$A729)),INDEX('Hours Worked'!$D$5:$BD$29,$A729,$B729)))</f>
        <v/>
      </c>
      <c r="J729" s="51">
        <f>IF(OR($G729=0,INDEX(Employees!$O$5:$O$29,$A729)&lt;&gt;"Yes"),0,IF(COUNTIF(Settings!$D$4:$D$9,"&lt;="&amp;$H729)=0,0,INDEX(Settings!$E$4:$E$9,COUNTIF(Settings!$D$4:$D$9,"&lt;="&amp;$H729))))</f>
        <v/>
      </c>
      <c r="K729" s="51">
        <f>IF($G729=0,0,IF(INDEX(Employees!$I$5:$I$29,$A729)="Per pay period",(N(INDEX(Employees!$J$5:$J$29,$A729))+$J729)/Settings!$B$13,IF(INDEX(Employees!$I$5:$I$29,$A729)="Per hour worked",N(INDEX(Employees!$K$5:$K$29,$A729))*$I729,IF(INDEX(Employees!$I$5:$I$29,$A729)="Front-loaded",IF(OR($B729=1,N($G728)=0),N(INDEX(Employees!$J$5:$J$29,$A729))+$J729,0),0))))</f>
        <v/>
      </c>
      <c r="L729" s="51">
        <f>IF($F729=0,0,SUMIFS('Time Off Log'!$H$5:$H$504,'Time Off Log'!$A$5:$A$504,$C729,'Time Off Log'!$B$5:$B$504,"PTO",'Time Off Log'!$E$5:$E$504,"Approved",'Time Off Log'!$C$5:$C$504,"&gt;="&amp;INDEX(Periods!$E$5:$E$57,$B729),'Time Off Log'!$C$5:$C$504,"&lt;="&amp;INDEX(Periods!$F$5:$F$57,$B729)))</f>
        <v/>
      </c>
      <c r="M729" s="51">
        <f>IF($B729=1,N(INDEX(Employees!$N$5:$N$29,$A729)),P728)</f>
        <v/>
      </c>
      <c r="N729" s="51">
        <f>IF(INDEX(Employees!$L$5:$L$29,$A729)="",K729,MAX(0,MIN(K729,INDEX(Employees!$L$5:$L$29,$A729)-(M729-L729))))</f>
        <v/>
      </c>
      <c r="O729" s="51">
        <f>K729-N729</f>
        <v/>
      </c>
      <c r="P729" s="51">
        <f>M729-L729+N729</f>
        <v/>
      </c>
      <c r="Q729" s="51">
        <f>IF($G729=0,0,IF(INDEX(Employees!$P$5:$P$29,$A729)="Per pay period",(N(INDEX(Employees!$Q$5:$Q$29,$A729)))/Settings!$B$13,IF(INDEX(Employees!$P$5:$P$29,$A729)="Per hour worked",N(INDEX(Employees!$R$5:$R$29,$A729))*$I729,IF(INDEX(Employees!$P$5:$P$29,$A729)="Front-loaded",IF(OR($B729=1,N($G728)=0),N(INDEX(Employees!$Q$5:$Q$29,$A729)),0),0))))</f>
        <v/>
      </c>
      <c r="R729" s="51">
        <f>IF($F729=0,0,SUMIFS('Time Off Log'!$H$5:$H$504,'Time Off Log'!$A$5:$A$504,$C729,'Time Off Log'!$B$5:$B$504,"Sick",'Time Off Log'!$E$5:$E$504,"Approved",'Time Off Log'!$C$5:$C$504,"&gt;="&amp;INDEX(Periods!$E$5:$E$57,$B729),'Time Off Log'!$C$5:$C$504,"&lt;="&amp;INDEX(Periods!$F$5:$F$57,$B729)))</f>
        <v/>
      </c>
      <c r="S729" s="51">
        <f>IF($B729=1,N(INDEX(Employees!$T$5:$T$29,$A729)),V728)</f>
        <v/>
      </c>
      <c r="T729" s="51">
        <f>IF(INDEX(Employees!$S$5:$S$29,$A729)="",Q729,MAX(0,MIN(Q729,INDEX(Employees!$S$5:$S$29,$A729)-(S729-R729))))</f>
        <v/>
      </c>
      <c r="U729" s="51">
        <f>Q729-T729</f>
        <v/>
      </c>
      <c r="V729" s="51">
        <f>S729-R729+T729</f>
        <v/>
      </c>
    </row>
    <row r="730">
      <c r="A730" s="50" t="n">
        <v>14</v>
      </c>
      <c r="B730" s="50" t="n">
        <v>37</v>
      </c>
      <c r="C730" s="51">
        <f>INDEX(Employees!$B$5:$B$29,$A730)&amp;""</f>
        <v/>
      </c>
      <c r="D730" s="52">
        <f>INDEX(Periods!$B$5:$B$57,$B730)</f>
        <v/>
      </c>
      <c r="E730" s="52">
        <f>INDEX(Periods!$C$5:$C$57,$B730)</f>
        <v/>
      </c>
      <c r="F730" s="50">
        <f>IF(AND($C730&lt;&gt;"",INDEX(Periods!$D$5:$D$57,$B730)=1),1,0)</f>
        <v/>
      </c>
      <c r="G730" s="50">
        <f>IF($F730=0,0,IF(AND(OR(INDEX(Employees!$D$5:$D$29,$A730)="",$E730&gt;=INDEX(Employees!$D$5:$D$29,$A730)+N(INDEX(Employees!$U$5:$U$29,$A730))),OR(INDEX(Employees!$E$5:$E$29,$A730)="",$D730&lt;=INDEX(Employees!$E$5:$E$29,$A730))),1,0))</f>
        <v/>
      </c>
      <c r="H730" s="50">
        <f>IF($G730=0,0,IF(INDEX(Employees!$D$5:$D$29,$A730)="",0,DATEDIF(INDEX(Employees!$D$5:$D$29,$A730),$E730,"y")))</f>
        <v/>
      </c>
      <c r="I730" s="51">
        <f>IF($G730=0,0,IF(INDEX('Hours Worked'!$D$5:$BD$29,$A730,$B730)="",N(INDEX(Employees!$H$5:$H$29,$A730)),INDEX('Hours Worked'!$D$5:$BD$29,$A730,$B730)))</f>
        <v/>
      </c>
      <c r="J730" s="51">
        <f>IF(OR($G730=0,INDEX(Employees!$O$5:$O$29,$A730)&lt;&gt;"Yes"),0,IF(COUNTIF(Settings!$D$4:$D$9,"&lt;="&amp;$H730)=0,0,INDEX(Settings!$E$4:$E$9,COUNTIF(Settings!$D$4:$D$9,"&lt;="&amp;$H730))))</f>
        <v/>
      </c>
      <c r="K730" s="51">
        <f>IF($G730=0,0,IF(INDEX(Employees!$I$5:$I$29,$A730)="Per pay period",(N(INDEX(Employees!$J$5:$J$29,$A730))+$J730)/Settings!$B$13,IF(INDEX(Employees!$I$5:$I$29,$A730)="Per hour worked",N(INDEX(Employees!$K$5:$K$29,$A730))*$I730,IF(INDEX(Employees!$I$5:$I$29,$A730)="Front-loaded",IF(OR($B730=1,N($G729)=0),N(INDEX(Employees!$J$5:$J$29,$A730))+$J730,0),0))))</f>
        <v/>
      </c>
      <c r="L730" s="51">
        <f>IF($F730=0,0,SUMIFS('Time Off Log'!$H$5:$H$504,'Time Off Log'!$A$5:$A$504,$C730,'Time Off Log'!$B$5:$B$504,"PTO",'Time Off Log'!$E$5:$E$504,"Approved",'Time Off Log'!$C$5:$C$504,"&gt;="&amp;INDEX(Periods!$E$5:$E$57,$B730),'Time Off Log'!$C$5:$C$504,"&lt;="&amp;INDEX(Periods!$F$5:$F$57,$B730)))</f>
        <v/>
      </c>
      <c r="M730" s="51">
        <f>IF($B730=1,N(INDEX(Employees!$N$5:$N$29,$A730)),P729)</f>
        <v/>
      </c>
      <c r="N730" s="51">
        <f>IF(INDEX(Employees!$L$5:$L$29,$A730)="",K730,MAX(0,MIN(K730,INDEX(Employees!$L$5:$L$29,$A730)-(M730-L730))))</f>
        <v/>
      </c>
      <c r="O730" s="51">
        <f>K730-N730</f>
        <v/>
      </c>
      <c r="P730" s="51">
        <f>M730-L730+N730</f>
        <v/>
      </c>
      <c r="Q730" s="51">
        <f>IF($G730=0,0,IF(INDEX(Employees!$P$5:$P$29,$A730)="Per pay period",(N(INDEX(Employees!$Q$5:$Q$29,$A730)))/Settings!$B$13,IF(INDEX(Employees!$P$5:$P$29,$A730)="Per hour worked",N(INDEX(Employees!$R$5:$R$29,$A730))*$I730,IF(INDEX(Employees!$P$5:$P$29,$A730)="Front-loaded",IF(OR($B730=1,N($G729)=0),N(INDEX(Employees!$Q$5:$Q$29,$A730)),0),0))))</f>
        <v/>
      </c>
      <c r="R730" s="51">
        <f>IF($F730=0,0,SUMIFS('Time Off Log'!$H$5:$H$504,'Time Off Log'!$A$5:$A$504,$C730,'Time Off Log'!$B$5:$B$504,"Sick",'Time Off Log'!$E$5:$E$504,"Approved",'Time Off Log'!$C$5:$C$504,"&gt;="&amp;INDEX(Periods!$E$5:$E$57,$B730),'Time Off Log'!$C$5:$C$504,"&lt;="&amp;INDEX(Periods!$F$5:$F$57,$B730)))</f>
        <v/>
      </c>
      <c r="S730" s="51">
        <f>IF($B730=1,N(INDEX(Employees!$T$5:$T$29,$A730)),V729)</f>
        <v/>
      </c>
      <c r="T730" s="51">
        <f>IF(INDEX(Employees!$S$5:$S$29,$A730)="",Q730,MAX(0,MIN(Q730,INDEX(Employees!$S$5:$S$29,$A730)-(S730-R730))))</f>
        <v/>
      </c>
      <c r="U730" s="51">
        <f>Q730-T730</f>
        <v/>
      </c>
      <c r="V730" s="51">
        <f>S730-R730+T730</f>
        <v/>
      </c>
    </row>
    <row r="731">
      <c r="A731" s="50" t="n">
        <v>14</v>
      </c>
      <c r="B731" s="50" t="n">
        <v>38</v>
      </c>
      <c r="C731" s="51">
        <f>INDEX(Employees!$B$5:$B$29,$A731)&amp;""</f>
        <v/>
      </c>
      <c r="D731" s="52">
        <f>INDEX(Periods!$B$5:$B$57,$B731)</f>
        <v/>
      </c>
      <c r="E731" s="52">
        <f>INDEX(Periods!$C$5:$C$57,$B731)</f>
        <v/>
      </c>
      <c r="F731" s="50">
        <f>IF(AND($C731&lt;&gt;"",INDEX(Periods!$D$5:$D$57,$B731)=1),1,0)</f>
        <v/>
      </c>
      <c r="G731" s="50">
        <f>IF($F731=0,0,IF(AND(OR(INDEX(Employees!$D$5:$D$29,$A731)="",$E731&gt;=INDEX(Employees!$D$5:$D$29,$A731)+N(INDEX(Employees!$U$5:$U$29,$A731))),OR(INDEX(Employees!$E$5:$E$29,$A731)="",$D731&lt;=INDEX(Employees!$E$5:$E$29,$A731))),1,0))</f>
        <v/>
      </c>
      <c r="H731" s="50">
        <f>IF($G731=0,0,IF(INDEX(Employees!$D$5:$D$29,$A731)="",0,DATEDIF(INDEX(Employees!$D$5:$D$29,$A731),$E731,"y")))</f>
        <v/>
      </c>
      <c r="I731" s="51">
        <f>IF($G731=0,0,IF(INDEX('Hours Worked'!$D$5:$BD$29,$A731,$B731)="",N(INDEX(Employees!$H$5:$H$29,$A731)),INDEX('Hours Worked'!$D$5:$BD$29,$A731,$B731)))</f>
        <v/>
      </c>
      <c r="J731" s="51">
        <f>IF(OR($G731=0,INDEX(Employees!$O$5:$O$29,$A731)&lt;&gt;"Yes"),0,IF(COUNTIF(Settings!$D$4:$D$9,"&lt;="&amp;$H731)=0,0,INDEX(Settings!$E$4:$E$9,COUNTIF(Settings!$D$4:$D$9,"&lt;="&amp;$H731))))</f>
        <v/>
      </c>
      <c r="K731" s="51">
        <f>IF($G731=0,0,IF(INDEX(Employees!$I$5:$I$29,$A731)="Per pay period",(N(INDEX(Employees!$J$5:$J$29,$A731))+$J731)/Settings!$B$13,IF(INDEX(Employees!$I$5:$I$29,$A731)="Per hour worked",N(INDEX(Employees!$K$5:$K$29,$A731))*$I731,IF(INDEX(Employees!$I$5:$I$29,$A731)="Front-loaded",IF(OR($B731=1,N($G730)=0),N(INDEX(Employees!$J$5:$J$29,$A731))+$J731,0),0))))</f>
        <v/>
      </c>
      <c r="L731" s="51">
        <f>IF($F731=0,0,SUMIFS('Time Off Log'!$H$5:$H$504,'Time Off Log'!$A$5:$A$504,$C731,'Time Off Log'!$B$5:$B$504,"PTO",'Time Off Log'!$E$5:$E$504,"Approved",'Time Off Log'!$C$5:$C$504,"&gt;="&amp;INDEX(Periods!$E$5:$E$57,$B731),'Time Off Log'!$C$5:$C$504,"&lt;="&amp;INDEX(Periods!$F$5:$F$57,$B731)))</f>
        <v/>
      </c>
      <c r="M731" s="51">
        <f>IF($B731=1,N(INDEX(Employees!$N$5:$N$29,$A731)),P730)</f>
        <v/>
      </c>
      <c r="N731" s="51">
        <f>IF(INDEX(Employees!$L$5:$L$29,$A731)="",K731,MAX(0,MIN(K731,INDEX(Employees!$L$5:$L$29,$A731)-(M731-L731))))</f>
        <v/>
      </c>
      <c r="O731" s="51">
        <f>K731-N731</f>
        <v/>
      </c>
      <c r="P731" s="51">
        <f>M731-L731+N731</f>
        <v/>
      </c>
      <c r="Q731" s="51">
        <f>IF($G731=0,0,IF(INDEX(Employees!$P$5:$P$29,$A731)="Per pay period",(N(INDEX(Employees!$Q$5:$Q$29,$A731)))/Settings!$B$13,IF(INDEX(Employees!$P$5:$P$29,$A731)="Per hour worked",N(INDEX(Employees!$R$5:$R$29,$A731))*$I731,IF(INDEX(Employees!$P$5:$P$29,$A731)="Front-loaded",IF(OR($B731=1,N($G730)=0),N(INDEX(Employees!$Q$5:$Q$29,$A731)),0),0))))</f>
        <v/>
      </c>
      <c r="R731" s="51">
        <f>IF($F731=0,0,SUMIFS('Time Off Log'!$H$5:$H$504,'Time Off Log'!$A$5:$A$504,$C731,'Time Off Log'!$B$5:$B$504,"Sick",'Time Off Log'!$E$5:$E$504,"Approved",'Time Off Log'!$C$5:$C$504,"&gt;="&amp;INDEX(Periods!$E$5:$E$57,$B731),'Time Off Log'!$C$5:$C$504,"&lt;="&amp;INDEX(Periods!$F$5:$F$57,$B731)))</f>
        <v/>
      </c>
      <c r="S731" s="51">
        <f>IF($B731=1,N(INDEX(Employees!$T$5:$T$29,$A731)),V730)</f>
        <v/>
      </c>
      <c r="T731" s="51">
        <f>IF(INDEX(Employees!$S$5:$S$29,$A731)="",Q731,MAX(0,MIN(Q731,INDEX(Employees!$S$5:$S$29,$A731)-(S731-R731))))</f>
        <v/>
      </c>
      <c r="U731" s="51">
        <f>Q731-T731</f>
        <v/>
      </c>
      <c r="V731" s="51">
        <f>S731-R731+T731</f>
        <v/>
      </c>
    </row>
    <row r="732">
      <c r="A732" s="50" t="n">
        <v>14</v>
      </c>
      <c r="B732" s="50" t="n">
        <v>39</v>
      </c>
      <c r="C732" s="51">
        <f>INDEX(Employees!$B$5:$B$29,$A732)&amp;""</f>
        <v/>
      </c>
      <c r="D732" s="52">
        <f>INDEX(Periods!$B$5:$B$57,$B732)</f>
        <v/>
      </c>
      <c r="E732" s="52">
        <f>INDEX(Periods!$C$5:$C$57,$B732)</f>
        <v/>
      </c>
      <c r="F732" s="50">
        <f>IF(AND($C732&lt;&gt;"",INDEX(Periods!$D$5:$D$57,$B732)=1),1,0)</f>
        <v/>
      </c>
      <c r="G732" s="50">
        <f>IF($F732=0,0,IF(AND(OR(INDEX(Employees!$D$5:$D$29,$A732)="",$E732&gt;=INDEX(Employees!$D$5:$D$29,$A732)+N(INDEX(Employees!$U$5:$U$29,$A732))),OR(INDEX(Employees!$E$5:$E$29,$A732)="",$D732&lt;=INDEX(Employees!$E$5:$E$29,$A732))),1,0))</f>
        <v/>
      </c>
      <c r="H732" s="50">
        <f>IF($G732=0,0,IF(INDEX(Employees!$D$5:$D$29,$A732)="",0,DATEDIF(INDEX(Employees!$D$5:$D$29,$A732),$E732,"y")))</f>
        <v/>
      </c>
      <c r="I732" s="51">
        <f>IF($G732=0,0,IF(INDEX('Hours Worked'!$D$5:$BD$29,$A732,$B732)="",N(INDEX(Employees!$H$5:$H$29,$A732)),INDEX('Hours Worked'!$D$5:$BD$29,$A732,$B732)))</f>
        <v/>
      </c>
      <c r="J732" s="51">
        <f>IF(OR($G732=0,INDEX(Employees!$O$5:$O$29,$A732)&lt;&gt;"Yes"),0,IF(COUNTIF(Settings!$D$4:$D$9,"&lt;="&amp;$H732)=0,0,INDEX(Settings!$E$4:$E$9,COUNTIF(Settings!$D$4:$D$9,"&lt;="&amp;$H732))))</f>
        <v/>
      </c>
      <c r="K732" s="51">
        <f>IF($G732=0,0,IF(INDEX(Employees!$I$5:$I$29,$A732)="Per pay period",(N(INDEX(Employees!$J$5:$J$29,$A732))+$J732)/Settings!$B$13,IF(INDEX(Employees!$I$5:$I$29,$A732)="Per hour worked",N(INDEX(Employees!$K$5:$K$29,$A732))*$I732,IF(INDEX(Employees!$I$5:$I$29,$A732)="Front-loaded",IF(OR($B732=1,N($G731)=0),N(INDEX(Employees!$J$5:$J$29,$A732))+$J732,0),0))))</f>
        <v/>
      </c>
      <c r="L732" s="51">
        <f>IF($F732=0,0,SUMIFS('Time Off Log'!$H$5:$H$504,'Time Off Log'!$A$5:$A$504,$C732,'Time Off Log'!$B$5:$B$504,"PTO",'Time Off Log'!$E$5:$E$504,"Approved",'Time Off Log'!$C$5:$C$504,"&gt;="&amp;INDEX(Periods!$E$5:$E$57,$B732),'Time Off Log'!$C$5:$C$504,"&lt;="&amp;INDEX(Periods!$F$5:$F$57,$B732)))</f>
        <v/>
      </c>
      <c r="M732" s="51">
        <f>IF($B732=1,N(INDEX(Employees!$N$5:$N$29,$A732)),P731)</f>
        <v/>
      </c>
      <c r="N732" s="51">
        <f>IF(INDEX(Employees!$L$5:$L$29,$A732)="",K732,MAX(0,MIN(K732,INDEX(Employees!$L$5:$L$29,$A732)-(M732-L732))))</f>
        <v/>
      </c>
      <c r="O732" s="51">
        <f>K732-N732</f>
        <v/>
      </c>
      <c r="P732" s="51">
        <f>M732-L732+N732</f>
        <v/>
      </c>
      <c r="Q732" s="51">
        <f>IF($G732=0,0,IF(INDEX(Employees!$P$5:$P$29,$A732)="Per pay period",(N(INDEX(Employees!$Q$5:$Q$29,$A732)))/Settings!$B$13,IF(INDEX(Employees!$P$5:$P$29,$A732)="Per hour worked",N(INDEX(Employees!$R$5:$R$29,$A732))*$I732,IF(INDEX(Employees!$P$5:$P$29,$A732)="Front-loaded",IF(OR($B732=1,N($G731)=0),N(INDEX(Employees!$Q$5:$Q$29,$A732)),0),0))))</f>
        <v/>
      </c>
      <c r="R732" s="51">
        <f>IF($F732=0,0,SUMIFS('Time Off Log'!$H$5:$H$504,'Time Off Log'!$A$5:$A$504,$C732,'Time Off Log'!$B$5:$B$504,"Sick",'Time Off Log'!$E$5:$E$504,"Approved",'Time Off Log'!$C$5:$C$504,"&gt;="&amp;INDEX(Periods!$E$5:$E$57,$B732),'Time Off Log'!$C$5:$C$504,"&lt;="&amp;INDEX(Periods!$F$5:$F$57,$B732)))</f>
        <v/>
      </c>
      <c r="S732" s="51">
        <f>IF($B732=1,N(INDEX(Employees!$T$5:$T$29,$A732)),V731)</f>
        <v/>
      </c>
      <c r="T732" s="51">
        <f>IF(INDEX(Employees!$S$5:$S$29,$A732)="",Q732,MAX(0,MIN(Q732,INDEX(Employees!$S$5:$S$29,$A732)-(S732-R732))))</f>
        <v/>
      </c>
      <c r="U732" s="51">
        <f>Q732-T732</f>
        <v/>
      </c>
      <c r="V732" s="51">
        <f>S732-R732+T732</f>
        <v/>
      </c>
    </row>
    <row r="733">
      <c r="A733" s="50" t="n">
        <v>14</v>
      </c>
      <c r="B733" s="50" t="n">
        <v>40</v>
      </c>
      <c r="C733" s="51">
        <f>INDEX(Employees!$B$5:$B$29,$A733)&amp;""</f>
        <v/>
      </c>
      <c r="D733" s="52">
        <f>INDEX(Periods!$B$5:$B$57,$B733)</f>
        <v/>
      </c>
      <c r="E733" s="52">
        <f>INDEX(Periods!$C$5:$C$57,$B733)</f>
        <v/>
      </c>
      <c r="F733" s="50">
        <f>IF(AND($C733&lt;&gt;"",INDEX(Periods!$D$5:$D$57,$B733)=1),1,0)</f>
        <v/>
      </c>
      <c r="G733" s="50">
        <f>IF($F733=0,0,IF(AND(OR(INDEX(Employees!$D$5:$D$29,$A733)="",$E733&gt;=INDEX(Employees!$D$5:$D$29,$A733)+N(INDEX(Employees!$U$5:$U$29,$A733))),OR(INDEX(Employees!$E$5:$E$29,$A733)="",$D733&lt;=INDEX(Employees!$E$5:$E$29,$A733))),1,0))</f>
        <v/>
      </c>
      <c r="H733" s="50">
        <f>IF($G733=0,0,IF(INDEX(Employees!$D$5:$D$29,$A733)="",0,DATEDIF(INDEX(Employees!$D$5:$D$29,$A733),$E733,"y")))</f>
        <v/>
      </c>
      <c r="I733" s="51">
        <f>IF($G733=0,0,IF(INDEX('Hours Worked'!$D$5:$BD$29,$A733,$B733)="",N(INDEX(Employees!$H$5:$H$29,$A733)),INDEX('Hours Worked'!$D$5:$BD$29,$A733,$B733)))</f>
        <v/>
      </c>
      <c r="J733" s="51">
        <f>IF(OR($G733=0,INDEX(Employees!$O$5:$O$29,$A733)&lt;&gt;"Yes"),0,IF(COUNTIF(Settings!$D$4:$D$9,"&lt;="&amp;$H733)=0,0,INDEX(Settings!$E$4:$E$9,COUNTIF(Settings!$D$4:$D$9,"&lt;="&amp;$H733))))</f>
        <v/>
      </c>
      <c r="K733" s="51">
        <f>IF($G733=0,0,IF(INDEX(Employees!$I$5:$I$29,$A733)="Per pay period",(N(INDEX(Employees!$J$5:$J$29,$A733))+$J733)/Settings!$B$13,IF(INDEX(Employees!$I$5:$I$29,$A733)="Per hour worked",N(INDEX(Employees!$K$5:$K$29,$A733))*$I733,IF(INDEX(Employees!$I$5:$I$29,$A733)="Front-loaded",IF(OR($B733=1,N($G732)=0),N(INDEX(Employees!$J$5:$J$29,$A733))+$J733,0),0))))</f>
        <v/>
      </c>
      <c r="L733" s="51">
        <f>IF($F733=0,0,SUMIFS('Time Off Log'!$H$5:$H$504,'Time Off Log'!$A$5:$A$504,$C733,'Time Off Log'!$B$5:$B$504,"PTO",'Time Off Log'!$E$5:$E$504,"Approved",'Time Off Log'!$C$5:$C$504,"&gt;="&amp;INDEX(Periods!$E$5:$E$57,$B733),'Time Off Log'!$C$5:$C$504,"&lt;="&amp;INDEX(Periods!$F$5:$F$57,$B733)))</f>
        <v/>
      </c>
      <c r="M733" s="51">
        <f>IF($B733=1,N(INDEX(Employees!$N$5:$N$29,$A733)),P732)</f>
        <v/>
      </c>
      <c r="N733" s="51">
        <f>IF(INDEX(Employees!$L$5:$L$29,$A733)="",K733,MAX(0,MIN(K733,INDEX(Employees!$L$5:$L$29,$A733)-(M733-L733))))</f>
        <v/>
      </c>
      <c r="O733" s="51">
        <f>K733-N733</f>
        <v/>
      </c>
      <c r="P733" s="51">
        <f>M733-L733+N733</f>
        <v/>
      </c>
      <c r="Q733" s="51">
        <f>IF($G733=0,0,IF(INDEX(Employees!$P$5:$P$29,$A733)="Per pay period",(N(INDEX(Employees!$Q$5:$Q$29,$A733)))/Settings!$B$13,IF(INDEX(Employees!$P$5:$P$29,$A733)="Per hour worked",N(INDEX(Employees!$R$5:$R$29,$A733))*$I733,IF(INDEX(Employees!$P$5:$P$29,$A733)="Front-loaded",IF(OR($B733=1,N($G732)=0),N(INDEX(Employees!$Q$5:$Q$29,$A733)),0),0))))</f>
        <v/>
      </c>
      <c r="R733" s="51">
        <f>IF($F733=0,0,SUMIFS('Time Off Log'!$H$5:$H$504,'Time Off Log'!$A$5:$A$504,$C733,'Time Off Log'!$B$5:$B$504,"Sick",'Time Off Log'!$E$5:$E$504,"Approved",'Time Off Log'!$C$5:$C$504,"&gt;="&amp;INDEX(Periods!$E$5:$E$57,$B733),'Time Off Log'!$C$5:$C$504,"&lt;="&amp;INDEX(Periods!$F$5:$F$57,$B733)))</f>
        <v/>
      </c>
      <c r="S733" s="51">
        <f>IF($B733=1,N(INDEX(Employees!$T$5:$T$29,$A733)),V732)</f>
        <v/>
      </c>
      <c r="T733" s="51">
        <f>IF(INDEX(Employees!$S$5:$S$29,$A733)="",Q733,MAX(0,MIN(Q733,INDEX(Employees!$S$5:$S$29,$A733)-(S733-R733))))</f>
        <v/>
      </c>
      <c r="U733" s="51">
        <f>Q733-T733</f>
        <v/>
      </c>
      <c r="V733" s="51">
        <f>S733-R733+T733</f>
        <v/>
      </c>
    </row>
    <row r="734">
      <c r="A734" s="50" t="n">
        <v>14</v>
      </c>
      <c r="B734" s="50" t="n">
        <v>41</v>
      </c>
      <c r="C734" s="51">
        <f>INDEX(Employees!$B$5:$B$29,$A734)&amp;""</f>
        <v/>
      </c>
      <c r="D734" s="52">
        <f>INDEX(Periods!$B$5:$B$57,$B734)</f>
        <v/>
      </c>
      <c r="E734" s="52">
        <f>INDEX(Periods!$C$5:$C$57,$B734)</f>
        <v/>
      </c>
      <c r="F734" s="50">
        <f>IF(AND($C734&lt;&gt;"",INDEX(Periods!$D$5:$D$57,$B734)=1),1,0)</f>
        <v/>
      </c>
      <c r="G734" s="50">
        <f>IF($F734=0,0,IF(AND(OR(INDEX(Employees!$D$5:$D$29,$A734)="",$E734&gt;=INDEX(Employees!$D$5:$D$29,$A734)+N(INDEX(Employees!$U$5:$U$29,$A734))),OR(INDEX(Employees!$E$5:$E$29,$A734)="",$D734&lt;=INDEX(Employees!$E$5:$E$29,$A734))),1,0))</f>
        <v/>
      </c>
      <c r="H734" s="50">
        <f>IF($G734=0,0,IF(INDEX(Employees!$D$5:$D$29,$A734)="",0,DATEDIF(INDEX(Employees!$D$5:$D$29,$A734),$E734,"y")))</f>
        <v/>
      </c>
      <c r="I734" s="51">
        <f>IF($G734=0,0,IF(INDEX('Hours Worked'!$D$5:$BD$29,$A734,$B734)="",N(INDEX(Employees!$H$5:$H$29,$A734)),INDEX('Hours Worked'!$D$5:$BD$29,$A734,$B734)))</f>
        <v/>
      </c>
      <c r="J734" s="51">
        <f>IF(OR($G734=0,INDEX(Employees!$O$5:$O$29,$A734)&lt;&gt;"Yes"),0,IF(COUNTIF(Settings!$D$4:$D$9,"&lt;="&amp;$H734)=0,0,INDEX(Settings!$E$4:$E$9,COUNTIF(Settings!$D$4:$D$9,"&lt;="&amp;$H734))))</f>
        <v/>
      </c>
      <c r="K734" s="51">
        <f>IF($G734=0,0,IF(INDEX(Employees!$I$5:$I$29,$A734)="Per pay period",(N(INDEX(Employees!$J$5:$J$29,$A734))+$J734)/Settings!$B$13,IF(INDEX(Employees!$I$5:$I$29,$A734)="Per hour worked",N(INDEX(Employees!$K$5:$K$29,$A734))*$I734,IF(INDEX(Employees!$I$5:$I$29,$A734)="Front-loaded",IF(OR($B734=1,N($G733)=0),N(INDEX(Employees!$J$5:$J$29,$A734))+$J734,0),0))))</f>
        <v/>
      </c>
      <c r="L734" s="51">
        <f>IF($F734=0,0,SUMIFS('Time Off Log'!$H$5:$H$504,'Time Off Log'!$A$5:$A$504,$C734,'Time Off Log'!$B$5:$B$504,"PTO",'Time Off Log'!$E$5:$E$504,"Approved",'Time Off Log'!$C$5:$C$504,"&gt;="&amp;INDEX(Periods!$E$5:$E$57,$B734),'Time Off Log'!$C$5:$C$504,"&lt;="&amp;INDEX(Periods!$F$5:$F$57,$B734)))</f>
        <v/>
      </c>
      <c r="M734" s="51">
        <f>IF($B734=1,N(INDEX(Employees!$N$5:$N$29,$A734)),P733)</f>
        <v/>
      </c>
      <c r="N734" s="51">
        <f>IF(INDEX(Employees!$L$5:$L$29,$A734)="",K734,MAX(0,MIN(K734,INDEX(Employees!$L$5:$L$29,$A734)-(M734-L734))))</f>
        <v/>
      </c>
      <c r="O734" s="51">
        <f>K734-N734</f>
        <v/>
      </c>
      <c r="P734" s="51">
        <f>M734-L734+N734</f>
        <v/>
      </c>
      <c r="Q734" s="51">
        <f>IF($G734=0,0,IF(INDEX(Employees!$P$5:$P$29,$A734)="Per pay period",(N(INDEX(Employees!$Q$5:$Q$29,$A734)))/Settings!$B$13,IF(INDEX(Employees!$P$5:$P$29,$A734)="Per hour worked",N(INDEX(Employees!$R$5:$R$29,$A734))*$I734,IF(INDEX(Employees!$P$5:$P$29,$A734)="Front-loaded",IF(OR($B734=1,N($G733)=0),N(INDEX(Employees!$Q$5:$Q$29,$A734)),0),0))))</f>
        <v/>
      </c>
      <c r="R734" s="51">
        <f>IF($F734=0,0,SUMIFS('Time Off Log'!$H$5:$H$504,'Time Off Log'!$A$5:$A$504,$C734,'Time Off Log'!$B$5:$B$504,"Sick",'Time Off Log'!$E$5:$E$504,"Approved",'Time Off Log'!$C$5:$C$504,"&gt;="&amp;INDEX(Periods!$E$5:$E$57,$B734),'Time Off Log'!$C$5:$C$504,"&lt;="&amp;INDEX(Periods!$F$5:$F$57,$B734)))</f>
        <v/>
      </c>
      <c r="S734" s="51">
        <f>IF($B734=1,N(INDEX(Employees!$T$5:$T$29,$A734)),V733)</f>
        <v/>
      </c>
      <c r="T734" s="51">
        <f>IF(INDEX(Employees!$S$5:$S$29,$A734)="",Q734,MAX(0,MIN(Q734,INDEX(Employees!$S$5:$S$29,$A734)-(S734-R734))))</f>
        <v/>
      </c>
      <c r="U734" s="51">
        <f>Q734-T734</f>
        <v/>
      </c>
      <c r="V734" s="51">
        <f>S734-R734+T734</f>
        <v/>
      </c>
    </row>
    <row r="735">
      <c r="A735" s="50" t="n">
        <v>14</v>
      </c>
      <c r="B735" s="50" t="n">
        <v>42</v>
      </c>
      <c r="C735" s="51">
        <f>INDEX(Employees!$B$5:$B$29,$A735)&amp;""</f>
        <v/>
      </c>
      <c r="D735" s="52">
        <f>INDEX(Periods!$B$5:$B$57,$B735)</f>
        <v/>
      </c>
      <c r="E735" s="52">
        <f>INDEX(Periods!$C$5:$C$57,$B735)</f>
        <v/>
      </c>
      <c r="F735" s="50">
        <f>IF(AND($C735&lt;&gt;"",INDEX(Periods!$D$5:$D$57,$B735)=1),1,0)</f>
        <v/>
      </c>
      <c r="G735" s="50">
        <f>IF($F735=0,0,IF(AND(OR(INDEX(Employees!$D$5:$D$29,$A735)="",$E735&gt;=INDEX(Employees!$D$5:$D$29,$A735)+N(INDEX(Employees!$U$5:$U$29,$A735))),OR(INDEX(Employees!$E$5:$E$29,$A735)="",$D735&lt;=INDEX(Employees!$E$5:$E$29,$A735))),1,0))</f>
        <v/>
      </c>
      <c r="H735" s="50">
        <f>IF($G735=0,0,IF(INDEX(Employees!$D$5:$D$29,$A735)="",0,DATEDIF(INDEX(Employees!$D$5:$D$29,$A735),$E735,"y")))</f>
        <v/>
      </c>
      <c r="I735" s="51">
        <f>IF($G735=0,0,IF(INDEX('Hours Worked'!$D$5:$BD$29,$A735,$B735)="",N(INDEX(Employees!$H$5:$H$29,$A735)),INDEX('Hours Worked'!$D$5:$BD$29,$A735,$B735)))</f>
        <v/>
      </c>
      <c r="J735" s="51">
        <f>IF(OR($G735=0,INDEX(Employees!$O$5:$O$29,$A735)&lt;&gt;"Yes"),0,IF(COUNTIF(Settings!$D$4:$D$9,"&lt;="&amp;$H735)=0,0,INDEX(Settings!$E$4:$E$9,COUNTIF(Settings!$D$4:$D$9,"&lt;="&amp;$H735))))</f>
        <v/>
      </c>
      <c r="K735" s="51">
        <f>IF($G735=0,0,IF(INDEX(Employees!$I$5:$I$29,$A735)="Per pay period",(N(INDEX(Employees!$J$5:$J$29,$A735))+$J735)/Settings!$B$13,IF(INDEX(Employees!$I$5:$I$29,$A735)="Per hour worked",N(INDEX(Employees!$K$5:$K$29,$A735))*$I735,IF(INDEX(Employees!$I$5:$I$29,$A735)="Front-loaded",IF(OR($B735=1,N($G734)=0),N(INDEX(Employees!$J$5:$J$29,$A735))+$J735,0),0))))</f>
        <v/>
      </c>
      <c r="L735" s="51">
        <f>IF($F735=0,0,SUMIFS('Time Off Log'!$H$5:$H$504,'Time Off Log'!$A$5:$A$504,$C735,'Time Off Log'!$B$5:$B$504,"PTO",'Time Off Log'!$E$5:$E$504,"Approved",'Time Off Log'!$C$5:$C$504,"&gt;="&amp;INDEX(Periods!$E$5:$E$57,$B735),'Time Off Log'!$C$5:$C$504,"&lt;="&amp;INDEX(Periods!$F$5:$F$57,$B735)))</f>
        <v/>
      </c>
      <c r="M735" s="51">
        <f>IF($B735=1,N(INDEX(Employees!$N$5:$N$29,$A735)),P734)</f>
        <v/>
      </c>
      <c r="N735" s="51">
        <f>IF(INDEX(Employees!$L$5:$L$29,$A735)="",K735,MAX(0,MIN(K735,INDEX(Employees!$L$5:$L$29,$A735)-(M735-L735))))</f>
        <v/>
      </c>
      <c r="O735" s="51">
        <f>K735-N735</f>
        <v/>
      </c>
      <c r="P735" s="51">
        <f>M735-L735+N735</f>
        <v/>
      </c>
      <c r="Q735" s="51">
        <f>IF($G735=0,0,IF(INDEX(Employees!$P$5:$P$29,$A735)="Per pay period",(N(INDEX(Employees!$Q$5:$Q$29,$A735)))/Settings!$B$13,IF(INDEX(Employees!$P$5:$P$29,$A735)="Per hour worked",N(INDEX(Employees!$R$5:$R$29,$A735))*$I735,IF(INDEX(Employees!$P$5:$P$29,$A735)="Front-loaded",IF(OR($B735=1,N($G734)=0),N(INDEX(Employees!$Q$5:$Q$29,$A735)),0),0))))</f>
        <v/>
      </c>
      <c r="R735" s="51">
        <f>IF($F735=0,0,SUMIFS('Time Off Log'!$H$5:$H$504,'Time Off Log'!$A$5:$A$504,$C735,'Time Off Log'!$B$5:$B$504,"Sick",'Time Off Log'!$E$5:$E$504,"Approved",'Time Off Log'!$C$5:$C$504,"&gt;="&amp;INDEX(Periods!$E$5:$E$57,$B735),'Time Off Log'!$C$5:$C$504,"&lt;="&amp;INDEX(Periods!$F$5:$F$57,$B735)))</f>
        <v/>
      </c>
      <c r="S735" s="51">
        <f>IF($B735=1,N(INDEX(Employees!$T$5:$T$29,$A735)),V734)</f>
        <v/>
      </c>
      <c r="T735" s="51">
        <f>IF(INDEX(Employees!$S$5:$S$29,$A735)="",Q735,MAX(0,MIN(Q735,INDEX(Employees!$S$5:$S$29,$A735)-(S735-R735))))</f>
        <v/>
      </c>
      <c r="U735" s="51">
        <f>Q735-T735</f>
        <v/>
      </c>
      <c r="V735" s="51">
        <f>S735-R735+T735</f>
        <v/>
      </c>
    </row>
    <row r="736">
      <c r="A736" s="50" t="n">
        <v>14</v>
      </c>
      <c r="B736" s="50" t="n">
        <v>43</v>
      </c>
      <c r="C736" s="51">
        <f>INDEX(Employees!$B$5:$B$29,$A736)&amp;""</f>
        <v/>
      </c>
      <c r="D736" s="52">
        <f>INDEX(Periods!$B$5:$B$57,$B736)</f>
        <v/>
      </c>
      <c r="E736" s="52">
        <f>INDEX(Periods!$C$5:$C$57,$B736)</f>
        <v/>
      </c>
      <c r="F736" s="50">
        <f>IF(AND($C736&lt;&gt;"",INDEX(Periods!$D$5:$D$57,$B736)=1),1,0)</f>
        <v/>
      </c>
      <c r="G736" s="50">
        <f>IF($F736=0,0,IF(AND(OR(INDEX(Employees!$D$5:$D$29,$A736)="",$E736&gt;=INDEX(Employees!$D$5:$D$29,$A736)+N(INDEX(Employees!$U$5:$U$29,$A736))),OR(INDEX(Employees!$E$5:$E$29,$A736)="",$D736&lt;=INDEX(Employees!$E$5:$E$29,$A736))),1,0))</f>
        <v/>
      </c>
      <c r="H736" s="50">
        <f>IF($G736=0,0,IF(INDEX(Employees!$D$5:$D$29,$A736)="",0,DATEDIF(INDEX(Employees!$D$5:$D$29,$A736),$E736,"y")))</f>
        <v/>
      </c>
      <c r="I736" s="51">
        <f>IF($G736=0,0,IF(INDEX('Hours Worked'!$D$5:$BD$29,$A736,$B736)="",N(INDEX(Employees!$H$5:$H$29,$A736)),INDEX('Hours Worked'!$D$5:$BD$29,$A736,$B736)))</f>
        <v/>
      </c>
      <c r="J736" s="51">
        <f>IF(OR($G736=0,INDEX(Employees!$O$5:$O$29,$A736)&lt;&gt;"Yes"),0,IF(COUNTIF(Settings!$D$4:$D$9,"&lt;="&amp;$H736)=0,0,INDEX(Settings!$E$4:$E$9,COUNTIF(Settings!$D$4:$D$9,"&lt;="&amp;$H736))))</f>
        <v/>
      </c>
      <c r="K736" s="51">
        <f>IF($G736=0,0,IF(INDEX(Employees!$I$5:$I$29,$A736)="Per pay period",(N(INDEX(Employees!$J$5:$J$29,$A736))+$J736)/Settings!$B$13,IF(INDEX(Employees!$I$5:$I$29,$A736)="Per hour worked",N(INDEX(Employees!$K$5:$K$29,$A736))*$I736,IF(INDEX(Employees!$I$5:$I$29,$A736)="Front-loaded",IF(OR($B736=1,N($G735)=0),N(INDEX(Employees!$J$5:$J$29,$A736))+$J736,0),0))))</f>
        <v/>
      </c>
      <c r="L736" s="51">
        <f>IF($F736=0,0,SUMIFS('Time Off Log'!$H$5:$H$504,'Time Off Log'!$A$5:$A$504,$C736,'Time Off Log'!$B$5:$B$504,"PTO",'Time Off Log'!$E$5:$E$504,"Approved",'Time Off Log'!$C$5:$C$504,"&gt;="&amp;INDEX(Periods!$E$5:$E$57,$B736),'Time Off Log'!$C$5:$C$504,"&lt;="&amp;INDEX(Periods!$F$5:$F$57,$B736)))</f>
        <v/>
      </c>
      <c r="M736" s="51">
        <f>IF($B736=1,N(INDEX(Employees!$N$5:$N$29,$A736)),P735)</f>
        <v/>
      </c>
      <c r="N736" s="51">
        <f>IF(INDEX(Employees!$L$5:$L$29,$A736)="",K736,MAX(0,MIN(K736,INDEX(Employees!$L$5:$L$29,$A736)-(M736-L736))))</f>
        <v/>
      </c>
      <c r="O736" s="51">
        <f>K736-N736</f>
        <v/>
      </c>
      <c r="P736" s="51">
        <f>M736-L736+N736</f>
        <v/>
      </c>
      <c r="Q736" s="51">
        <f>IF($G736=0,0,IF(INDEX(Employees!$P$5:$P$29,$A736)="Per pay period",(N(INDEX(Employees!$Q$5:$Q$29,$A736)))/Settings!$B$13,IF(INDEX(Employees!$P$5:$P$29,$A736)="Per hour worked",N(INDEX(Employees!$R$5:$R$29,$A736))*$I736,IF(INDEX(Employees!$P$5:$P$29,$A736)="Front-loaded",IF(OR($B736=1,N($G735)=0),N(INDEX(Employees!$Q$5:$Q$29,$A736)),0),0))))</f>
        <v/>
      </c>
      <c r="R736" s="51">
        <f>IF($F736=0,0,SUMIFS('Time Off Log'!$H$5:$H$504,'Time Off Log'!$A$5:$A$504,$C736,'Time Off Log'!$B$5:$B$504,"Sick",'Time Off Log'!$E$5:$E$504,"Approved",'Time Off Log'!$C$5:$C$504,"&gt;="&amp;INDEX(Periods!$E$5:$E$57,$B736),'Time Off Log'!$C$5:$C$504,"&lt;="&amp;INDEX(Periods!$F$5:$F$57,$B736)))</f>
        <v/>
      </c>
      <c r="S736" s="51">
        <f>IF($B736=1,N(INDEX(Employees!$T$5:$T$29,$A736)),V735)</f>
        <v/>
      </c>
      <c r="T736" s="51">
        <f>IF(INDEX(Employees!$S$5:$S$29,$A736)="",Q736,MAX(0,MIN(Q736,INDEX(Employees!$S$5:$S$29,$A736)-(S736-R736))))</f>
        <v/>
      </c>
      <c r="U736" s="51">
        <f>Q736-T736</f>
        <v/>
      </c>
      <c r="V736" s="51">
        <f>S736-R736+T736</f>
        <v/>
      </c>
    </row>
    <row r="737">
      <c r="A737" s="50" t="n">
        <v>14</v>
      </c>
      <c r="B737" s="50" t="n">
        <v>44</v>
      </c>
      <c r="C737" s="51">
        <f>INDEX(Employees!$B$5:$B$29,$A737)&amp;""</f>
        <v/>
      </c>
      <c r="D737" s="52">
        <f>INDEX(Periods!$B$5:$B$57,$B737)</f>
        <v/>
      </c>
      <c r="E737" s="52">
        <f>INDEX(Periods!$C$5:$C$57,$B737)</f>
        <v/>
      </c>
      <c r="F737" s="50">
        <f>IF(AND($C737&lt;&gt;"",INDEX(Periods!$D$5:$D$57,$B737)=1),1,0)</f>
        <v/>
      </c>
      <c r="G737" s="50">
        <f>IF($F737=0,0,IF(AND(OR(INDEX(Employees!$D$5:$D$29,$A737)="",$E737&gt;=INDEX(Employees!$D$5:$D$29,$A737)+N(INDEX(Employees!$U$5:$U$29,$A737))),OR(INDEX(Employees!$E$5:$E$29,$A737)="",$D737&lt;=INDEX(Employees!$E$5:$E$29,$A737))),1,0))</f>
        <v/>
      </c>
      <c r="H737" s="50">
        <f>IF($G737=0,0,IF(INDEX(Employees!$D$5:$D$29,$A737)="",0,DATEDIF(INDEX(Employees!$D$5:$D$29,$A737),$E737,"y")))</f>
        <v/>
      </c>
      <c r="I737" s="51">
        <f>IF($G737=0,0,IF(INDEX('Hours Worked'!$D$5:$BD$29,$A737,$B737)="",N(INDEX(Employees!$H$5:$H$29,$A737)),INDEX('Hours Worked'!$D$5:$BD$29,$A737,$B737)))</f>
        <v/>
      </c>
      <c r="J737" s="51">
        <f>IF(OR($G737=0,INDEX(Employees!$O$5:$O$29,$A737)&lt;&gt;"Yes"),0,IF(COUNTIF(Settings!$D$4:$D$9,"&lt;="&amp;$H737)=0,0,INDEX(Settings!$E$4:$E$9,COUNTIF(Settings!$D$4:$D$9,"&lt;="&amp;$H737))))</f>
        <v/>
      </c>
      <c r="K737" s="51">
        <f>IF($G737=0,0,IF(INDEX(Employees!$I$5:$I$29,$A737)="Per pay period",(N(INDEX(Employees!$J$5:$J$29,$A737))+$J737)/Settings!$B$13,IF(INDEX(Employees!$I$5:$I$29,$A737)="Per hour worked",N(INDEX(Employees!$K$5:$K$29,$A737))*$I737,IF(INDEX(Employees!$I$5:$I$29,$A737)="Front-loaded",IF(OR($B737=1,N($G736)=0),N(INDEX(Employees!$J$5:$J$29,$A737))+$J737,0),0))))</f>
        <v/>
      </c>
      <c r="L737" s="51">
        <f>IF($F737=0,0,SUMIFS('Time Off Log'!$H$5:$H$504,'Time Off Log'!$A$5:$A$504,$C737,'Time Off Log'!$B$5:$B$504,"PTO",'Time Off Log'!$E$5:$E$504,"Approved",'Time Off Log'!$C$5:$C$504,"&gt;="&amp;INDEX(Periods!$E$5:$E$57,$B737),'Time Off Log'!$C$5:$C$504,"&lt;="&amp;INDEX(Periods!$F$5:$F$57,$B737)))</f>
        <v/>
      </c>
      <c r="M737" s="51">
        <f>IF($B737=1,N(INDEX(Employees!$N$5:$N$29,$A737)),P736)</f>
        <v/>
      </c>
      <c r="N737" s="51">
        <f>IF(INDEX(Employees!$L$5:$L$29,$A737)="",K737,MAX(0,MIN(K737,INDEX(Employees!$L$5:$L$29,$A737)-(M737-L737))))</f>
        <v/>
      </c>
      <c r="O737" s="51">
        <f>K737-N737</f>
        <v/>
      </c>
      <c r="P737" s="51">
        <f>M737-L737+N737</f>
        <v/>
      </c>
      <c r="Q737" s="51">
        <f>IF($G737=0,0,IF(INDEX(Employees!$P$5:$P$29,$A737)="Per pay period",(N(INDEX(Employees!$Q$5:$Q$29,$A737)))/Settings!$B$13,IF(INDEX(Employees!$P$5:$P$29,$A737)="Per hour worked",N(INDEX(Employees!$R$5:$R$29,$A737))*$I737,IF(INDEX(Employees!$P$5:$P$29,$A737)="Front-loaded",IF(OR($B737=1,N($G736)=0),N(INDEX(Employees!$Q$5:$Q$29,$A737)),0),0))))</f>
        <v/>
      </c>
      <c r="R737" s="51">
        <f>IF($F737=0,0,SUMIFS('Time Off Log'!$H$5:$H$504,'Time Off Log'!$A$5:$A$504,$C737,'Time Off Log'!$B$5:$B$504,"Sick",'Time Off Log'!$E$5:$E$504,"Approved",'Time Off Log'!$C$5:$C$504,"&gt;="&amp;INDEX(Periods!$E$5:$E$57,$B737),'Time Off Log'!$C$5:$C$504,"&lt;="&amp;INDEX(Periods!$F$5:$F$57,$B737)))</f>
        <v/>
      </c>
      <c r="S737" s="51">
        <f>IF($B737=1,N(INDEX(Employees!$T$5:$T$29,$A737)),V736)</f>
        <v/>
      </c>
      <c r="T737" s="51">
        <f>IF(INDEX(Employees!$S$5:$S$29,$A737)="",Q737,MAX(0,MIN(Q737,INDEX(Employees!$S$5:$S$29,$A737)-(S737-R737))))</f>
        <v/>
      </c>
      <c r="U737" s="51">
        <f>Q737-T737</f>
        <v/>
      </c>
      <c r="V737" s="51">
        <f>S737-R737+T737</f>
        <v/>
      </c>
    </row>
    <row r="738">
      <c r="A738" s="50" t="n">
        <v>14</v>
      </c>
      <c r="B738" s="50" t="n">
        <v>45</v>
      </c>
      <c r="C738" s="51">
        <f>INDEX(Employees!$B$5:$B$29,$A738)&amp;""</f>
        <v/>
      </c>
      <c r="D738" s="52">
        <f>INDEX(Periods!$B$5:$B$57,$B738)</f>
        <v/>
      </c>
      <c r="E738" s="52">
        <f>INDEX(Periods!$C$5:$C$57,$B738)</f>
        <v/>
      </c>
      <c r="F738" s="50">
        <f>IF(AND($C738&lt;&gt;"",INDEX(Periods!$D$5:$D$57,$B738)=1),1,0)</f>
        <v/>
      </c>
      <c r="G738" s="50">
        <f>IF($F738=0,0,IF(AND(OR(INDEX(Employees!$D$5:$D$29,$A738)="",$E738&gt;=INDEX(Employees!$D$5:$D$29,$A738)+N(INDEX(Employees!$U$5:$U$29,$A738))),OR(INDEX(Employees!$E$5:$E$29,$A738)="",$D738&lt;=INDEX(Employees!$E$5:$E$29,$A738))),1,0))</f>
        <v/>
      </c>
      <c r="H738" s="50">
        <f>IF($G738=0,0,IF(INDEX(Employees!$D$5:$D$29,$A738)="",0,DATEDIF(INDEX(Employees!$D$5:$D$29,$A738),$E738,"y")))</f>
        <v/>
      </c>
      <c r="I738" s="51">
        <f>IF($G738=0,0,IF(INDEX('Hours Worked'!$D$5:$BD$29,$A738,$B738)="",N(INDEX(Employees!$H$5:$H$29,$A738)),INDEX('Hours Worked'!$D$5:$BD$29,$A738,$B738)))</f>
        <v/>
      </c>
      <c r="J738" s="51">
        <f>IF(OR($G738=0,INDEX(Employees!$O$5:$O$29,$A738)&lt;&gt;"Yes"),0,IF(COUNTIF(Settings!$D$4:$D$9,"&lt;="&amp;$H738)=0,0,INDEX(Settings!$E$4:$E$9,COUNTIF(Settings!$D$4:$D$9,"&lt;="&amp;$H738))))</f>
        <v/>
      </c>
      <c r="K738" s="51">
        <f>IF($G738=0,0,IF(INDEX(Employees!$I$5:$I$29,$A738)="Per pay period",(N(INDEX(Employees!$J$5:$J$29,$A738))+$J738)/Settings!$B$13,IF(INDEX(Employees!$I$5:$I$29,$A738)="Per hour worked",N(INDEX(Employees!$K$5:$K$29,$A738))*$I738,IF(INDEX(Employees!$I$5:$I$29,$A738)="Front-loaded",IF(OR($B738=1,N($G737)=0),N(INDEX(Employees!$J$5:$J$29,$A738))+$J738,0),0))))</f>
        <v/>
      </c>
      <c r="L738" s="51">
        <f>IF($F738=0,0,SUMIFS('Time Off Log'!$H$5:$H$504,'Time Off Log'!$A$5:$A$504,$C738,'Time Off Log'!$B$5:$B$504,"PTO",'Time Off Log'!$E$5:$E$504,"Approved",'Time Off Log'!$C$5:$C$504,"&gt;="&amp;INDEX(Periods!$E$5:$E$57,$B738),'Time Off Log'!$C$5:$C$504,"&lt;="&amp;INDEX(Periods!$F$5:$F$57,$B738)))</f>
        <v/>
      </c>
      <c r="M738" s="51">
        <f>IF($B738=1,N(INDEX(Employees!$N$5:$N$29,$A738)),P737)</f>
        <v/>
      </c>
      <c r="N738" s="51">
        <f>IF(INDEX(Employees!$L$5:$L$29,$A738)="",K738,MAX(0,MIN(K738,INDEX(Employees!$L$5:$L$29,$A738)-(M738-L738))))</f>
        <v/>
      </c>
      <c r="O738" s="51">
        <f>K738-N738</f>
        <v/>
      </c>
      <c r="P738" s="51">
        <f>M738-L738+N738</f>
        <v/>
      </c>
      <c r="Q738" s="51">
        <f>IF($G738=0,0,IF(INDEX(Employees!$P$5:$P$29,$A738)="Per pay period",(N(INDEX(Employees!$Q$5:$Q$29,$A738)))/Settings!$B$13,IF(INDEX(Employees!$P$5:$P$29,$A738)="Per hour worked",N(INDEX(Employees!$R$5:$R$29,$A738))*$I738,IF(INDEX(Employees!$P$5:$P$29,$A738)="Front-loaded",IF(OR($B738=1,N($G737)=0),N(INDEX(Employees!$Q$5:$Q$29,$A738)),0),0))))</f>
        <v/>
      </c>
      <c r="R738" s="51">
        <f>IF($F738=0,0,SUMIFS('Time Off Log'!$H$5:$H$504,'Time Off Log'!$A$5:$A$504,$C738,'Time Off Log'!$B$5:$B$504,"Sick",'Time Off Log'!$E$5:$E$504,"Approved",'Time Off Log'!$C$5:$C$504,"&gt;="&amp;INDEX(Periods!$E$5:$E$57,$B738),'Time Off Log'!$C$5:$C$504,"&lt;="&amp;INDEX(Periods!$F$5:$F$57,$B738)))</f>
        <v/>
      </c>
      <c r="S738" s="51">
        <f>IF($B738=1,N(INDEX(Employees!$T$5:$T$29,$A738)),V737)</f>
        <v/>
      </c>
      <c r="T738" s="51">
        <f>IF(INDEX(Employees!$S$5:$S$29,$A738)="",Q738,MAX(0,MIN(Q738,INDEX(Employees!$S$5:$S$29,$A738)-(S738-R738))))</f>
        <v/>
      </c>
      <c r="U738" s="51">
        <f>Q738-T738</f>
        <v/>
      </c>
      <c r="V738" s="51">
        <f>S738-R738+T738</f>
        <v/>
      </c>
    </row>
    <row r="739">
      <c r="A739" s="50" t="n">
        <v>14</v>
      </c>
      <c r="B739" s="50" t="n">
        <v>46</v>
      </c>
      <c r="C739" s="51">
        <f>INDEX(Employees!$B$5:$B$29,$A739)&amp;""</f>
        <v/>
      </c>
      <c r="D739" s="52">
        <f>INDEX(Periods!$B$5:$B$57,$B739)</f>
        <v/>
      </c>
      <c r="E739" s="52">
        <f>INDEX(Periods!$C$5:$C$57,$B739)</f>
        <v/>
      </c>
      <c r="F739" s="50">
        <f>IF(AND($C739&lt;&gt;"",INDEX(Periods!$D$5:$D$57,$B739)=1),1,0)</f>
        <v/>
      </c>
      <c r="G739" s="50">
        <f>IF($F739=0,0,IF(AND(OR(INDEX(Employees!$D$5:$D$29,$A739)="",$E739&gt;=INDEX(Employees!$D$5:$D$29,$A739)+N(INDEX(Employees!$U$5:$U$29,$A739))),OR(INDEX(Employees!$E$5:$E$29,$A739)="",$D739&lt;=INDEX(Employees!$E$5:$E$29,$A739))),1,0))</f>
        <v/>
      </c>
      <c r="H739" s="50">
        <f>IF($G739=0,0,IF(INDEX(Employees!$D$5:$D$29,$A739)="",0,DATEDIF(INDEX(Employees!$D$5:$D$29,$A739),$E739,"y")))</f>
        <v/>
      </c>
      <c r="I739" s="51">
        <f>IF($G739=0,0,IF(INDEX('Hours Worked'!$D$5:$BD$29,$A739,$B739)="",N(INDEX(Employees!$H$5:$H$29,$A739)),INDEX('Hours Worked'!$D$5:$BD$29,$A739,$B739)))</f>
        <v/>
      </c>
      <c r="J739" s="51">
        <f>IF(OR($G739=0,INDEX(Employees!$O$5:$O$29,$A739)&lt;&gt;"Yes"),0,IF(COUNTIF(Settings!$D$4:$D$9,"&lt;="&amp;$H739)=0,0,INDEX(Settings!$E$4:$E$9,COUNTIF(Settings!$D$4:$D$9,"&lt;="&amp;$H739))))</f>
        <v/>
      </c>
      <c r="K739" s="51">
        <f>IF($G739=0,0,IF(INDEX(Employees!$I$5:$I$29,$A739)="Per pay period",(N(INDEX(Employees!$J$5:$J$29,$A739))+$J739)/Settings!$B$13,IF(INDEX(Employees!$I$5:$I$29,$A739)="Per hour worked",N(INDEX(Employees!$K$5:$K$29,$A739))*$I739,IF(INDEX(Employees!$I$5:$I$29,$A739)="Front-loaded",IF(OR($B739=1,N($G738)=0),N(INDEX(Employees!$J$5:$J$29,$A739))+$J739,0),0))))</f>
        <v/>
      </c>
      <c r="L739" s="51">
        <f>IF($F739=0,0,SUMIFS('Time Off Log'!$H$5:$H$504,'Time Off Log'!$A$5:$A$504,$C739,'Time Off Log'!$B$5:$B$504,"PTO",'Time Off Log'!$E$5:$E$504,"Approved",'Time Off Log'!$C$5:$C$504,"&gt;="&amp;INDEX(Periods!$E$5:$E$57,$B739),'Time Off Log'!$C$5:$C$504,"&lt;="&amp;INDEX(Periods!$F$5:$F$57,$B739)))</f>
        <v/>
      </c>
      <c r="M739" s="51">
        <f>IF($B739=1,N(INDEX(Employees!$N$5:$N$29,$A739)),P738)</f>
        <v/>
      </c>
      <c r="N739" s="51">
        <f>IF(INDEX(Employees!$L$5:$L$29,$A739)="",K739,MAX(0,MIN(K739,INDEX(Employees!$L$5:$L$29,$A739)-(M739-L739))))</f>
        <v/>
      </c>
      <c r="O739" s="51">
        <f>K739-N739</f>
        <v/>
      </c>
      <c r="P739" s="51">
        <f>M739-L739+N739</f>
        <v/>
      </c>
      <c r="Q739" s="51">
        <f>IF($G739=0,0,IF(INDEX(Employees!$P$5:$P$29,$A739)="Per pay period",(N(INDEX(Employees!$Q$5:$Q$29,$A739)))/Settings!$B$13,IF(INDEX(Employees!$P$5:$P$29,$A739)="Per hour worked",N(INDEX(Employees!$R$5:$R$29,$A739))*$I739,IF(INDEX(Employees!$P$5:$P$29,$A739)="Front-loaded",IF(OR($B739=1,N($G738)=0),N(INDEX(Employees!$Q$5:$Q$29,$A739)),0),0))))</f>
        <v/>
      </c>
      <c r="R739" s="51">
        <f>IF($F739=0,0,SUMIFS('Time Off Log'!$H$5:$H$504,'Time Off Log'!$A$5:$A$504,$C739,'Time Off Log'!$B$5:$B$504,"Sick",'Time Off Log'!$E$5:$E$504,"Approved",'Time Off Log'!$C$5:$C$504,"&gt;="&amp;INDEX(Periods!$E$5:$E$57,$B739),'Time Off Log'!$C$5:$C$504,"&lt;="&amp;INDEX(Periods!$F$5:$F$57,$B739)))</f>
        <v/>
      </c>
      <c r="S739" s="51">
        <f>IF($B739=1,N(INDEX(Employees!$T$5:$T$29,$A739)),V738)</f>
        <v/>
      </c>
      <c r="T739" s="51">
        <f>IF(INDEX(Employees!$S$5:$S$29,$A739)="",Q739,MAX(0,MIN(Q739,INDEX(Employees!$S$5:$S$29,$A739)-(S739-R739))))</f>
        <v/>
      </c>
      <c r="U739" s="51">
        <f>Q739-T739</f>
        <v/>
      </c>
      <c r="V739" s="51">
        <f>S739-R739+T739</f>
        <v/>
      </c>
    </row>
    <row r="740">
      <c r="A740" s="50" t="n">
        <v>14</v>
      </c>
      <c r="B740" s="50" t="n">
        <v>47</v>
      </c>
      <c r="C740" s="51">
        <f>INDEX(Employees!$B$5:$B$29,$A740)&amp;""</f>
        <v/>
      </c>
      <c r="D740" s="52">
        <f>INDEX(Periods!$B$5:$B$57,$B740)</f>
        <v/>
      </c>
      <c r="E740" s="52">
        <f>INDEX(Periods!$C$5:$C$57,$B740)</f>
        <v/>
      </c>
      <c r="F740" s="50">
        <f>IF(AND($C740&lt;&gt;"",INDEX(Periods!$D$5:$D$57,$B740)=1),1,0)</f>
        <v/>
      </c>
      <c r="G740" s="50">
        <f>IF($F740=0,0,IF(AND(OR(INDEX(Employees!$D$5:$D$29,$A740)="",$E740&gt;=INDEX(Employees!$D$5:$D$29,$A740)+N(INDEX(Employees!$U$5:$U$29,$A740))),OR(INDEX(Employees!$E$5:$E$29,$A740)="",$D740&lt;=INDEX(Employees!$E$5:$E$29,$A740))),1,0))</f>
        <v/>
      </c>
      <c r="H740" s="50">
        <f>IF($G740=0,0,IF(INDEX(Employees!$D$5:$D$29,$A740)="",0,DATEDIF(INDEX(Employees!$D$5:$D$29,$A740),$E740,"y")))</f>
        <v/>
      </c>
      <c r="I740" s="51">
        <f>IF($G740=0,0,IF(INDEX('Hours Worked'!$D$5:$BD$29,$A740,$B740)="",N(INDEX(Employees!$H$5:$H$29,$A740)),INDEX('Hours Worked'!$D$5:$BD$29,$A740,$B740)))</f>
        <v/>
      </c>
      <c r="J740" s="51">
        <f>IF(OR($G740=0,INDEX(Employees!$O$5:$O$29,$A740)&lt;&gt;"Yes"),0,IF(COUNTIF(Settings!$D$4:$D$9,"&lt;="&amp;$H740)=0,0,INDEX(Settings!$E$4:$E$9,COUNTIF(Settings!$D$4:$D$9,"&lt;="&amp;$H740))))</f>
        <v/>
      </c>
      <c r="K740" s="51">
        <f>IF($G740=0,0,IF(INDEX(Employees!$I$5:$I$29,$A740)="Per pay period",(N(INDEX(Employees!$J$5:$J$29,$A740))+$J740)/Settings!$B$13,IF(INDEX(Employees!$I$5:$I$29,$A740)="Per hour worked",N(INDEX(Employees!$K$5:$K$29,$A740))*$I740,IF(INDEX(Employees!$I$5:$I$29,$A740)="Front-loaded",IF(OR($B740=1,N($G739)=0),N(INDEX(Employees!$J$5:$J$29,$A740))+$J740,0),0))))</f>
        <v/>
      </c>
      <c r="L740" s="51">
        <f>IF($F740=0,0,SUMIFS('Time Off Log'!$H$5:$H$504,'Time Off Log'!$A$5:$A$504,$C740,'Time Off Log'!$B$5:$B$504,"PTO",'Time Off Log'!$E$5:$E$504,"Approved",'Time Off Log'!$C$5:$C$504,"&gt;="&amp;INDEX(Periods!$E$5:$E$57,$B740),'Time Off Log'!$C$5:$C$504,"&lt;="&amp;INDEX(Periods!$F$5:$F$57,$B740)))</f>
        <v/>
      </c>
      <c r="M740" s="51">
        <f>IF($B740=1,N(INDEX(Employees!$N$5:$N$29,$A740)),P739)</f>
        <v/>
      </c>
      <c r="N740" s="51">
        <f>IF(INDEX(Employees!$L$5:$L$29,$A740)="",K740,MAX(0,MIN(K740,INDEX(Employees!$L$5:$L$29,$A740)-(M740-L740))))</f>
        <v/>
      </c>
      <c r="O740" s="51">
        <f>K740-N740</f>
        <v/>
      </c>
      <c r="P740" s="51">
        <f>M740-L740+N740</f>
        <v/>
      </c>
      <c r="Q740" s="51">
        <f>IF($G740=0,0,IF(INDEX(Employees!$P$5:$P$29,$A740)="Per pay period",(N(INDEX(Employees!$Q$5:$Q$29,$A740)))/Settings!$B$13,IF(INDEX(Employees!$P$5:$P$29,$A740)="Per hour worked",N(INDEX(Employees!$R$5:$R$29,$A740))*$I740,IF(INDEX(Employees!$P$5:$P$29,$A740)="Front-loaded",IF(OR($B740=1,N($G739)=0),N(INDEX(Employees!$Q$5:$Q$29,$A740)),0),0))))</f>
        <v/>
      </c>
      <c r="R740" s="51">
        <f>IF($F740=0,0,SUMIFS('Time Off Log'!$H$5:$H$504,'Time Off Log'!$A$5:$A$504,$C740,'Time Off Log'!$B$5:$B$504,"Sick",'Time Off Log'!$E$5:$E$504,"Approved",'Time Off Log'!$C$5:$C$504,"&gt;="&amp;INDEX(Periods!$E$5:$E$57,$B740),'Time Off Log'!$C$5:$C$504,"&lt;="&amp;INDEX(Periods!$F$5:$F$57,$B740)))</f>
        <v/>
      </c>
      <c r="S740" s="51">
        <f>IF($B740=1,N(INDEX(Employees!$T$5:$T$29,$A740)),V739)</f>
        <v/>
      </c>
      <c r="T740" s="51">
        <f>IF(INDEX(Employees!$S$5:$S$29,$A740)="",Q740,MAX(0,MIN(Q740,INDEX(Employees!$S$5:$S$29,$A740)-(S740-R740))))</f>
        <v/>
      </c>
      <c r="U740" s="51">
        <f>Q740-T740</f>
        <v/>
      </c>
      <c r="V740" s="51">
        <f>S740-R740+T740</f>
        <v/>
      </c>
    </row>
    <row r="741">
      <c r="A741" s="50" t="n">
        <v>14</v>
      </c>
      <c r="B741" s="50" t="n">
        <v>48</v>
      </c>
      <c r="C741" s="51">
        <f>INDEX(Employees!$B$5:$B$29,$A741)&amp;""</f>
        <v/>
      </c>
      <c r="D741" s="52">
        <f>INDEX(Periods!$B$5:$B$57,$B741)</f>
        <v/>
      </c>
      <c r="E741" s="52">
        <f>INDEX(Periods!$C$5:$C$57,$B741)</f>
        <v/>
      </c>
      <c r="F741" s="50">
        <f>IF(AND($C741&lt;&gt;"",INDEX(Periods!$D$5:$D$57,$B741)=1),1,0)</f>
        <v/>
      </c>
      <c r="G741" s="50">
        <f>IF($F741=0,0,IF(AND(OR(INDEX(Employees!$D$5:$D$29,$A741)="",$E741&gt;=INDEX(Employees!$D$5:$D$29,$A741)+N(INDEX(Employees!$U$5:$U$29,$A741))),OR(INDEX(Employees!$E$5:$E$29,$A741)="",$D741&lt;=INDEX(Employees!$E$5:$E$29,$A741))),1,0))</f>
        <v/>
      </c>
      <c r="H741" s="50">
        <f>IF($G741=0,0,IF(INDEX(Employees!$D$5:$D$29,$A741)="",0,DATEDIF(INDEX(Employees!$D$5:$D$29,$A741),$E741,"y")))</f>
        <v/>
      </c>
      <c r="I741" s="51">
        <f>IF($G741=0,0,IF(INDEX('Hours Worked'!$D$5:$BD$29,$A741,$B741)="",N(INDEX(Employees!$H$5:$H$29,$A741)),INDEX('Hours Worked'!$D$5:$BD$29,$A741,$B741)))</f>
        <v/>
      </c>
      <c r="J741" s="51">
        <f>IF(OR($G741=0,INDEX(Employees!$O$5:$O$29,$A741)&lt;&gt;"Yes"),0,IF(COUNTIF(Settings!$D$4:$D$9,"&lt;="&amp;$H741)=0,0,INDEX(Settings!$E$4:$E$9,COUNTIF(Settings!$D$4:$D$9,"&lt;="&amp;$H741))))</f>
        <v/>
      </c>
      <c r="K741" s="51">
        <f>IF($G741=0,0,IF(INDEX(Employees!$I$5:$I$29,$A741)="Per pay period",(N(INDEX(Employees!$J$5:$J$29,$A741))+$J741)/Settings!$B$13,IF(INDEX(Employees!$I$5:$I$29,$A741)="Per hour worked",N(INDEX(Employees!$K$5:$K$29,$A741))*$I741,IF(INDEX(Employees!$I$5:$I$29,$A741)="Front-loaded",IF(OR($B741=1,N($G740)=0),N(INDEX(Employees!$J$5:$J$29,$A741))+$J741,0),0))))</f>
        <v/>
      </c>
      <c r="L741" s="51">
        <f>IF($F741=0,0,SUMIFS('Time Off Log'!$H$5:$H$504,'Time Off Log'!$A$5:$A$504,$C741,'Time Off Log'!$B$5:$B$504,"PTO",'Time Off Log'!$E$5:$E$504,"Approved",'Time Off Log'!$C$5:$C$504,"&gt;="&amp;INDEX(Periods!$E$5:$E$57,$B741),'Time Off Log'!$C$5:$C$504,"&lt;="&amp;INDEX(Periods!$F$5:$F$57,$B741)))</f>
        <v/>
      </c>
      <c r="M741" s="51">
        <f>IF($B741=1,N(INDEX(Employees!$N$5:$N$29,$A741)),P740)</f>
        <v/>
      </c>
      <c r="N741" s="51">
        <f>IF(INDEX(Employees!$L$5:$L$29,$A741)="",K741,MAX(0,MIN(K741,INDEX(Employees!$L$5:$L$29,$A741)-(M741-L741))))</f>
        <v/>
      </c>
      <c r="O741" s="51">
        <f>K741-N741</f>
        <v/>
      </c>
      <c r="P741" s="51">
        <f>M741-L741+N741</f>
        <v/>
      </c>
      <c r="Q741" s="51">
        <f>IF($G741=0,0,IF(INDEX(Employees!$P$5:$P$29,$A741)="Per pay period",(N(INDEX(Employees!$Q$5:$Q$29,$A741)))/Settings!$B$13,IF(INDEX(Employees!$P$5:$P$29,$A741)="Per hour worked",N(INDEX(Employees!$R$5:$R$29,$A741))*$I741,IF(INDEX(Employees!$P$5:$P$29,$A741)="Front-loaded",IF(OR($B741=1,N($G740)=0),N(INDEX(Employees!$Q$5:$Q$29,$A741)),0),0))))</f>
        <v/>
      </c>
      <c r="R741" s="51">
        <f>IF($F741=0,0,SUMIFS('Time Off Log'!$H$5:$H$504,'Time Off Log'!$A$5:$A$504,$C741,'Time Off Log'!$B$5:$B$504,"Sick",'Time Off Log'!$E$5:$E$504,"Approved",'Time Off Log'!$C$5:$C$504,"&gt;="&amp;INDEX(Periods!$E$5:$E$57,$B741),'Time Off Log'!$C$5:$C$504,"&lt;="&amp;INDEX(Periods!$F$5:$F$57,$B741)))</f>
        <v/>
      </c>
      <c r="S741" s="51">
        <f>IF($B741=1,N(INDEX(Employees!$T$5:$T$29,$A741)),V740)</f>
        <v/>
      </c>
      <c r="T741" s="51">
        <f>IF(INDEX(Employees!$S$5:$S$29,$A741)="",Q741,MAX(0,MIN(Q741,INDEX(Employees!$S$5:$S$29,$A741)-(S741-R741))))</f>
        <v/>
      </c>
      <c r="U741" s="51">
        <f>Q741-T741</f>
        <v/>
      </c>
      <c r="V741" s="51">
        <f>S741-R741+T741</f>
        <v/>
      </c>
    </row>
    <row r="742">
      <c r="A742" s="50" t="n">
        <v>14</v>
      </c>
      <c r="B742" s="50" t="n">
        <v>49</v>
      </c>
      <c r="C742" s="51">
        <f>INDEX(Employees!$B$5:$B$29,$A742)&amp;""</f>
        <v/>
      </c>
      <c r="D742" s="52">
        <f>INDEX(Periods!$B$5:$B$57,$B742)</f>
        <v/>
      </c>
      <c r="E742" s="52">
        <f>INDEX(Periods!$C$5:$C$57,$B742)</f>
        <v/>
      </c>
      <c r="F742" s="50">
        <f>IF(AND($C742&lt;&gt;"",INDEX(Periods!$D$5:$D$57,$B742)=1),1,0)</f>
        <v/>
      </c>
      <c r="G742" s="50">
        <f>IF($F742=0,0,IF(AND(OR(INDEX(Employees!$D$5:$D$29,$A742)="",$E742&gt;=INDEX(Employees!$D$5:$D$29,$A742)+N(INDEX(Employees!$U$5:$U$29,$A742))),OR(INDEX(Employees!$E$5:$E$29,$A742)="",$D742&lt;=INDEX(Employees!$E$5:$E$29,$A742))),1,0))</f>
        <v/>
      </c>
      <c r="H742" s="50">
        <f>IF($G742=0,0,IF(INDEX(Employees!$D$5:$D$29,$A742)="",0,DATEDIF(INDEX(Employees!$D$5:$D$29,$A742),$E742,"y")))</f>
        <v/>
      </c>
      <c r="I742" s="51">
        <f>IF($G742=0,0,IF(INDEX('Hours Worked'!$D$5:$BD$29,$A742,$B742)="",N(INDEX(Employees!$H$5:$H$29,$A742)),INDEX('Hours Worked'!$D$5:$BD$29,$A742,$B742)))</f>
        <v/>
      </c>
      <c r="J742" s="51">
        <f>IF(OR($G742=0,INDEX(Employees!$O$5:$O$29,$A742)&lt;&gt;"Yes"),0,IF(COUNTIF(Settings!$D$4:$D$9,"&lt;="&amp;$H742)=0,0,INDEX(Settings!$E$4:$E$9,COUNTIF(Settings!$D$4:$D$9,"&lt;="&amp;$H742))))</f>
        <v/>
      </c>
      <c r="K742" s="51">
        <f>IF($G742=0,0,IF(INDEX(Employees!$I$5:$I$29,$A742)="Per pay period",(N(INDEX(Employees!$J$5:$J$29,$A742))+$J742)/Settings!$B$13,IF(INDEX(Employees!$I$5:$I$29,$A742)="Per hour worked",N(INDEX(Employees!$K$5:$K$29,$A742))*$I742,IF(INDEX(Employees!$I$5:$I$29,$A742)="Front-loaded",IF(OR($B742=1,N($G741)=0),N(INDEX(Employees!$J$5:$J$29,$A742))+$J742,0),0))))</f>
        <v/>
      </c>
      <c r="L742" s="51">
        <f>IF($F742=0,0,SUMIFS('Time Off Log'!$H$5:$H$504,'Time Off Log'!$A$5:$A$504,$C742,'Time Off Log'!$B$5:$B$504,"PTO",'Time Off Log'!$E$5:$E$504,"Approved",'Time Off Log'!$C$5:$C$504,"&gt;="&amp;INDEX(Periods!$E$5:$E$57,$B742),'Time Off Log'!$C$5:$C$504,"&lt;="&amp;INDEX(Periods!$F$5:$F$57,$B742)))</f>
        <v/>
      </c>
      <c r="M742" s="51">
        <f>IF($B742=1,N(INDEX(Employees!$N$5:$N$29,$A742)),P741)</f>
        <v/>
      </c>
      <c r="N742" s="51">
        <f>IF(INDEX(Employees!$L$5:$L$29,$A742)="",K742,MAX(0,MIN(K742,INDEX(Employees!$L$5:$L$29,$A742)-(M742-L742))))</f>
        <v/>
      </c>
      <c r="O742" s="51">
        <f>K742-N742</f>
        <v/>
      </c>
      <c r="P742" s="51">
        <f>M742-L742+N742</f>
        <v/>
      </c>
      <c r="Q742" s="51">
        <f>IF($G742=0,0,IF(INDEX(Employees!$P$5:$P$29,$A742)="Per pay period",(N(INDEX(Employees!$Q$5:$Q$29,$A742)))/Settings!$B$13,IF(INDEX(Employees!$P$5:$P$29,$A742)="Per hour worked",N(INDEX(Employees!$R$5:$R$29,$A742))*$I742,IF(INDEX(Employees!$P$5:$P$29,$A742)="Front-loaded",IF(OR($B742=1,N($G741)=0),N(INDEX(Employees!$Q$5:$Q$29,$A742)),0),0))))</f>
        <v/>
      </c>
      <c r="R742" s="51">
        <f>IF($F742=0,0,SUMIFS('Time Off Log'!$H$5:$H$504,'Time Off Log'!$A$5:$A$504,$C742,'Time Off Log'!$B$5:$B$504,"Sick",'Time Off Log'!$E$5:$E$504,"Approved",'Time Off Log'!$C$5:$C$504,"&gt;="&amp;INDEX(Periods!$E$5:$E$57,$B742),'Time Off Log'!$C$5:$C$504,"&lt;="&amp;INDEX(Periods!$F$5:$F$57,$B742)))</f>
        <v/>
      </c>
      <c r="S742" s="51">
        <f>IF($B742=1,N(INDEX(Employees!$T$5:$T$29,$A742)),V741)</f>
        <v/>
      </c>
      <c r="T742" s="51">
        <f>IF(INDEX(Employees!$S$5:$S$29,$A742)="",Q742,MAX(0,MIN(Q742,INDEX(Employees!$S$5:$S$29,$A742)-(S742-R742))))</f>
        <v/>
      </c>
      <c r="U742" s="51">
        <f>Q742-T742</f>
        <v/>
      </c>
      <c r="V742" s="51">
        <f>S742-R742+T742</f>
        <v/>
      </c>
    </row>
    <row r="743">
      <c r="A743" s="50" t="n">
        <v>14</v>
      </c>
      <c r="B743" s="50" t="n">
        <v>50</v>
      </c>
      <c r="C743" s="51">
        <f>INDEX(Employees!$B$5:$B$29,$A743)&amp;""</f>
        <v/>
      </c>
      <c r="D743" s="52">
        <f>INDEX(Periods!$B$5:$B$57,$B743)</f>
        <v/>
      </c>
      <c r="E743" s="52">
        <f>INDEX(Periods!$C$5:$C$57,$B743)</f>
        <v/>
      </c>
      <c r="F743" s="50">
        <f>IF(AND($C743&lt;&gt;"",INDEX(Periods!$D$5:$D$57,$B743)=1),1,0)</f>
        <v/>
      </c>
      <c r="G743" s="50">
        <f>IF($F743=0,0,IF(AND(OR(INDEX(Employees!$D$5:$D$29,$A743)="",$E743&gt;=INDEX(Employees!$D$5:$D$29,$A743)+N(INDEX(Employees!$U$5:$U$29,$A743))),OR(INDEX(Employees!$E$5:$E$29,$A743)="",$D743&lt;=INDEX(Employees!$E$5:$E$29,$A743))),1,0))</f>
        <v/>
      </c>
      <c r="H743" s="50">
        <f>IF($G743=0,0,IF(INDEX(Employees!$D$5:$D$29,$A743)="",0,DATEDIF(INDEX(Employees!$D$5:$D$29,$A743),$E743,"y")))</f>
        <v/>
      </c>
      <c r="I743" s="51">
        <f>IF($G743=0,0,IF(INDEX('Hours Worked'!$D$5:$BD$29,$A743,$B743)="",N(INDEX(Employees!$H$5:$H$29,$A743)),INDEX('Hours Worked'!$D$5:$BD$29,$A743,$B743)))</f>
        <v/>
      </c>
      <c r="J743" s="51">
        <f>IF(OR($G743=0,INDEX(Employees!$O$5:$O$29,$A743)&lt;&gt;"Yes"),0,IF(COUNTIF(Settings!$D$4:$D$9,"&lt;="&amp;$H743)=0,0,INDEX(Settings!$E$4:$E$9,COUNTIF(Settings!$D$4:$D$9,"&lt;="&amp;$H743))))</f>
        <v/>
      </c>
      <c r="K743" s="51">
        <f>IF($G743=0,0,IF(INDEX(Employees!$I$5:$I$29,$A743)="Per pay period",(N(INDEX(Employees!$J$5:$J$29,$A743))+$J743)/Settings!$B$13,IF(INDEX(Employees!$I$5:$I$29,$A743)="Per hour worked",N(INDEX(Employees!$K$5:$K$29,$A743))*$I743,IF(INDEX(Employees!$I$5:$I$29,$A743)="Front-loaded",IF(OR($B743=1,N($G742)=0),N(INDEX(Employees!$J$5:$J$29,$A743))+$J743,0),0))))</f>
        <v/>
      </c>
      <c r="L743" s="51">
        <f>IF($F743=0,0,SUMIFS('Time Off Log'!$H$5:$H$504,'Time Off Log'!$A$5:$A$504,$C743,'Time Off Log'!$B$5:$B$504,"PTO",'Time Off Log'!$E$5:$E$504,"Approved",'Time Off Log'!$C$5:$C$504,"&gt;="&amp;INDEX(Periods!$E$5:$E$57,$B743),'Time Off Log'!$C$5:$C$504,"&lt;="&amp;INDEX(Periods!$F$5:$F$57,$B743)))</f>
        <v/>
      </c>
      <c r="M743" s="51">
        <f>IF($B743=1,N(INDEX(Employees!$N$5:$N$29,$A743)),P742)</f>
        <v/>
      </c>
      <c r="N743" s="51">
        <f>IF(INDEX(Employees!$L$5:$L$29,$A743)="",K743,MAX(0,MIN(K743,INDEX(Employees!$L$5:$L$29,$A743)-(M743-L743))))</f>
        <v/>
      </c>
      <c r="O743" s="51">
        <f>K743-N743</f>
        <v/>
      </c>
      <c r="P743" s="51">
        <f>M743-L743+N743</f>
        <v/>
      </c>
      <c r="Q743" s="51">
        <f>IF($G743=0,0,IF(INDEX(Employees!$P$5:$P$29,$A743)="Per pay period",(N(INDEX(Employees!$Q$5:$Q$29,$A743)))/Settings!$B$13,IF(INDEX(Employees!$P$5:$P$29,$A743)="Per hour worked",N(INDEX(Employees!$R$5:$R$29,$A743))*$I743,IF(INDEX(Employees!$P$5:$P$29,$A743)="Front-loaded",IF(OR($B743=1,N($G742)=0),N(INDEX(Employees!$Q$5:$Q$29,$A743)),0),0))))</f>
        <v/>
      </c>
      <c r="R743" s="51">
        <f>IF($F743=0,0,SUMIFS('Time Off Log'!$H$5:$H$504,'Time Off Log'!$A$5:$A$504,$C743,'Time Off Log'!$B$5:$B$504,"Sick",'Time Off Log'!$E$5:$E$504,"Approved",'Time Off Log'!$C$5:$C$504,"&gt;="&amp;INDEX(Periods!$E$5:$E$57,$B743),'Time Off Log'!$C$5:$C$504,"&lt;="&amp;INDEX(Periods!$F$5:$F$57,$B743)))</f>
        <v/>
      </c>
      <c r="S743" s="51">
        <f>IF($B743=1,N(INDEX(Employees!$T$5:$T$29,$A743)),V742)</f>
        <v/>
      </c>
      <c r="T743" s="51">
        <f>IF(INDEX(Employees!$S$5:$S$29,$A743)="",Q743,MAX(0,MIN(Q743,INDEX(Employees!$S$5:$S$29,$A743)-(S743-R743))))</f>
        <v/>
      </c>
      <c r="U743" s="51">
        <f>Q743-T743</f>
        <v/>
      </c>
      <c r="V743" s="51">
        <f>S743-R743+T743</f>
        <v/>
      </c>
    </row>
    <row r="744">
      <c r="A744" s="50" t="n">
        <v>14</v>
      </c>
      <c r="B744" s="50" t="n">
        <v>51</v>
      </c>
      <c r="C744" s="51">
        <f>INDEX(Employees!$B$5:$B$29,$A744)&amp;""</f>
        <v/>
      </c>
      <c r="D744" s="52">
        <f>INDEX(Periods!$B$5:$B$57,$B744)</f>
        <v/>
      </c>
      <c r="E744" s="52">
        <f>INDEX(Periods!$C$5:$C$57,$B744)</f>
        <v/>
      </c>
      <c r="F744" s="50">
        <f>IF(AND($C744&lt;&gt;"",INDEX(Periods!$D$5:$D$57,$B744)=1),1,0)</f>
        <v/>
      </c>
      <c r="G744" s="50">
        <f>IF($F744=0,0,IF(AND(OR(INDEX(Employees!$D$5:$D$29,$A744)="",$E744&gt;=INDEX(Employees!$D$5:$D$29,$A744)+N(INDEX(Employees!$U$5:$U$29,$A744))),OR(INDEX(Employees!$E$5:$E$29,$A744)="",$D744&lt;=INDEX(Employees!$E$5:$E$29,$A744))),1,0))</f>
        <v/>
      </c>
      <c r="H744" s="50">
        <f>IF($G744=0,0,IF(INDEX(Employees!$D$5:$D$29,$A744)="",0,DATEDIF(INDEX(Employees!$D$5:$D$29,$A744),$E744,"y")))</f>
        <v/>
      </c>
      <c r="I744" s="51">
        <f>IF($G744=0,0,IF(INDEX('Hours Worked'!$D$5:$BD$29,$A744,$B744)="",N(INDEX(Employees!$H$5:$H$29,$A744)),INDEX('Hours Worked'!$D$5:$BD$29,$A744,$B744)))</f>
        <v/>
      </c>
      <c r="J744" s="51">
        <f>IF(OR($G744=0,INDEX(Employees!$O$5:$O$29,$A744)&lt;&gt;"Yes"),0,IF(COUNTIF(Settings!$D$4:$D$9,"&lt;="&amp;$H744)=0,0,INDEX(Settings!$E$4:$E$9,COUNTIF(Settings!$D$4:$D$9,"&lt;="&amp;$H744))))</f>
        <v/>
      </c>
      <c r="K744" s="51">
        <f>IF($G744=0,0,IF(INDEX(Employees!$I$5:$I$29,$A744)="Per pay period",(N(INDEX(Employees!$J$5:$J$29,$A744))+$J744)/Settings!$B$13,IF(INDEX(Employees!$I$5:$I$29,$A744)="Per hour worked",N(INDEX(Employees!$K$5:$K$29,$A744))*$I744,IF(INDEX(Employees!$I$5:$I$29,$A744)="Front-loaded",IF(OR($B744=1,N($G743)=0),N(INDEX(Employees!$J$5:$J$29,$A744))+$J744,0),0))))</f>
        <v/>
      </c>
      <c r="L744" s="51">
        <f>IF($F744=0,0,SUMIFS('Time Off Log'!$H$5:$H$504,'Time Off Log'!$A$5:$A$504,$C744,'Time Off Log'!$B$5:$B$504,"PTO",'Time Off Log'!$E$5:$E$504,"Approved",'Time Off Log'!$C$5:$C$504,"&gt;="&amp;INDEX(Periods!$E$5:$E$57,$B744),'Time Off Log'!$C$5:$C$504,"&lt;="&amp;INDEX(Periods!$F$5:$F$57,$B744)))</f>
        <v/>
      </c>
      <c r="M744" s="51">
        <f>IF($B744=1,N(INDEX(Employees!$N$5:$N$29,$A744)),P743)</f>
        <v/>
      </c>
      <c r="N744" s="51">
        <f>IF(INDEX(Employees!$L$5:$L$29,$A744)="",K744,MAX(0,MIN(K744,INDEX(Employees!$L$5:$L$29,$A744)-(M744-L744))))</f>
        <v/>
      </c>
      <c r="O744" s="51">
        <f>K744-N744</f>
        <v/>
      </c>
      <c r="P744" s="51">
        <f>M744-L744+N744</f>
        <v/>
      </c>
      <c r="Q744" s="51">
        <f>IF($G744=0,0,IF(INDEX(Employees!$P$5:$P$29,$A744)="Per pay period",(N(INDEX(Employees!$Q$5:$Q$29,$A744)))/Settings!$B$13,IF(INDEX(Employees!$P$5:$P$29,$A744)="Per hour worked",N(INDEX(Employees!$R$5:$R$29,$A744))*$I744,IF(INDEX(Employees!$P$5:$P$29,$A744)="Front-loaded",IF(OR($B744=1,N($G743)=0),N(INDEX(Employees!$Q$5:$Q$29,$A744)),0),0))))</f>
        <v/>
      </c>
      <c r="R744" s="51">
        <f>IF($F744=0,0,SUMIFS('Time Off Log'!$H$5:$H$504,'Time Off Log'!$A$5:$A$504,$C744,'Time Off Log'!$B$5:$B$504,"Sick",'Time Off Log'!$E$5:$E$504,"Approved",'Time Off Log'!$C$5:$C$504,"&gt;="&amp;INDEX(Periods!$E$5:$E$57,$B744),'Time Off Log'!$C$5:$C$504,"&lt;="&amp;INDEX(Periods!$F$5:$F$57,$B744)))</f>
        <v/>
      </c>
      <c r="S744" s="51">
        <f>IF($B744=1,N(INDEX(Employees!$T$5:$T$29,$A744)),V743)</f>
        <v/>
      </c>
      <c r="T744" s="51">
        <f>IF(INDEX(Employees!$S$5:$S$29,$A744)="",Q744,MAX(0,MIN(Q744,INDEX(Employees!$S$5:$S$29,$A744)-(S744-R744))))</f>
        <v/>
      </c>
      <c r="U744" s="51">
        <f>Q744-T744</f>
        <v/>
      </c>
      <c r="V744" s="51">
        <f>S744-R744+T744</f>
        <v/>
      </c>
    </row>
    <row r="745">
      <c r="A745" s="50" t="n">
        <v>14</v>
      </c>
      <c r="B745" s="50" t="n">
        <v>52</v>
      </c>
      <c r="C745" s="51">
        <f>INDEX(Employees!$B$5:$B$29,$A745)&amp;""</f>
        <v/>
      </c>
      <c r="D745" s="52">
        <f>INDEX(Periods!$B$5:$B$57,$B745)</f>
        <v/>
      </c>
      <c r="E745" s="52">
        <f>INDEX(Periods!$C$5:$C$57,$B745)</f>
        <v/>
      </c>
      <c r="F745" s="50">
        <f>IF(AND($C745&lt;&gt;"",INDEX(Periods!$D$5:$D$57,$B745)=1),1,0)</f>
        <v/>
      </c>
      <c r="G745" s="50">
        <f>IF($F745=0,0,IF(AND(OR(INDEX(Employees!$D$5:$D$29,$A745)="",$E745&gt;=INDEX(Employees!$D$5:$D$29,$A745)+N(INDEX(Employees!$U$5:$U$29,$A745))),OR(INDEX(Employees!$E$5:$E$29,$A745)="",$D745&lt;=INDEX(Employees!$E$5:$E$29,$A745))),1,0))</f>
        <v/>
      </c>
      <c r="H745" s="50">
        <f>IF($G745=0,0,IF(INDEX(Employees!$D$5:$D$29,$A745)="",0,DATEDIF(INDEX(Employees!$D$5:$D$29,$A745),$E745,"y")))</f>
        <v/>
      </c>
      <c r="I745" s="51">
        <f>IF($G745=0,0,IF(INDEX('Hours Worked'!$D$5:$BD$29,$A745,$B745)="",N(INDEX(Employees!$H$5:$H$29,$A745)),INDEX('Hours Worked'!$D$5:$BD$29,$A745,$B745)))</f>
        <v/>
      </c>
      <c r="J745" s="51">
        <f>IF(OR($G745=0,INDEX(Employees!$O$5:$O$29,$A745)&lt;&gt;"Yes"),0,IF(COUNTIF(Settings!$D$4:$D$9,"&lt;="&amp;$H745)=0,0,INDEX(Settings!$E$4:$E$9,COUNTIF(Settings!$D$4:$D$9,"&lt;="&amp;$H745))))</f>
        <v/>
      </c>
      <c r="K745" s="51">
        <f>IF($G745=0,0,IF(INDEX(Employees!$I$5:$I$29,$A745)="Per pay period",(N(INDEX(Employees!$J$5:$J$29,$A745))+$J745)/Settings!$B$13,IF(INDEX(Employees!$I$5:$I$29,$A745)="Per hour worked",N(INDEX(Employees!$K$5:$K$29,$A745))*$I745,IF(INDEX(Employees!$I$5:$I$29,$A745)="Front-loaded",IF(OR($B745=1,N($G744)=0),N(INDEX(Employees!$J$5:$J$29,$A745))+$J745,0),0))))</f>
        <v/>
      </c>
      <c r="L745" s="51">
        <f>IF($F745=0,0,SUMIFS('Time Off Log'!$H$5:$H$504,'Time Off Log'!$A$5:$A$504,$C745,'Time Off Log'!$B$5:$B$504,"PTO",'Time Off Log'!$E$5:$E$504,"Approved",'Time Off Log'!$C$5:$C$504,"&gt;="&amp;INDEX(Periods!$E$5:$E$57,$B745),'Time Off Log'!$C$5:$C$504,"&lt;="&amp;INDEX(Periods!$F$5:$F$57,$B745)))</f>
        <v/>
      </c>
      <c r="M745" s="51">
        <f>IF($B745=1,N(INDEX(Employees!$N$5:$N$29,$A745)),P744)</f>
        <v/>
      </c>
      <c r="N745" s="51">
        <f>IF(INDEX(Employees!$L$5:$L$29,$A745)="",K745,MAX(0,MIN(K745,INDEX(Employees!$L$5:$L$29,$A745)-(M745-L745))))</f>
        <v/>
      </c>
      <c r="O745" s="51">
        <f>K745-N745</f>
        <v/>
      </c>
      <c r="P745" s="51">
        <f>M745-L745+N745</f>
        <v/>
      </c>
      <c r="Q745" s="51">
        <f>IF($G745=0,0,IF(INDEX(Employees!$P$5:$P$29,$A745)="Per pay period",(N(INDEX(Employees!$Q$5:$Q$29,$A745)))/Settings!$B$13,IF(INDEX(Employees!$P$5:$P$29,$A745)="Per hour worked",N(INDEX(Employees!$R$5:$R$29,$A745))*$I745,IF(INDEX(Employees!$P$5:$P$29,$A745)="Front-loaded",IF(OR($B745=1,N($G744)=0),N(INDEX(Employees!$Q$5:$Q$29,$A745)),0),0))))</f>
        <v/>
      </c>
      <c r="R745" s="51">
        <f>IF($F745=0,0,SUMIFS('Time Off Log'!$H$5:$H$504,'Time Off Log'!$A$5:$A$504,$C745,'Time Off Log'!$B$5:$B$504,"Sick",'Time Off Log'!$E$5:$E$504,"Approved",'Time Off Log'!$C$5:$C$504,"&gt;="&amp;INDEX(Periods!$E$5:$E$57,$B745),'Time Off Log'!$C$5:$C$504,"&lt;="&amp;INDEX(Periods!$F$5:$F$57,$B745)))</f>
        <v/>
      </c>
      <c r="S745" s="51">
        <f>IF($B745=1,N(INDEX(Employees!$T$5:$T$29,$A745)),V744)</f>
        <v/>
      </c>
      <c r="T745" s="51">
        <f>IF(INDEX(Employees!$S$5:$S$29,$A745)="",Q745,MAX(0,MIN(Q745,INDEX(Employees!$S$5:$S$29,$A745)-(S745-R745))))</f>
        <v/>
      </c>
      <c r="U745" s="51">
        <f>Q745-T745</f>
        <v/>
      </c>
      <c r="V745" s="51">
        <f>S745-R745+T745</f>
        <v/>
      </c>
    </row>
    <row r="746">
      <c r="A746" s="50" t="n">
        <v>14</v>
      </c>
      <c r="B746" s="50" t="n">
        <v>53</v>
      </c>
      <c r="C746" s="51">
        <f>INDEX(Employees!$B$5:$B$29,$A746)&amp;""</f>
        <v/>
      </c>
      <c r="D746" s="52">
        <f>INDEX(Periods!$B$5:$B$57,$B746)</f>
        <v/>
      </c>
      <c r="E746" s="52">
        <f>INDEX(Periods!$C$5:$C$57,$B746)</f>
        <v/>
      </c>
      <c r="F746" s="50">
        <f>IF(AND($C746&lt;&gt;"",INDEX(Periods!$D$5:$D$57,$B746)=1),1,0)</f>
        <v/>
      </c>
      <c r="G746" s="50">
        <f>IF($F746=0,0,IF(AND(OR(INDEX(Employees!$D$5:$D$29,$A746)="",$E746&gt;=INDEX(Employees!$D$5:$D$29,$A746)+N(INDEX(Employees!$U$5:$U$29,$A746))),OR(INDEX(Employees!$E$5:$E$29,$A746)="",$D746&lt;=INDEX(Employees!$E$5:$E$29,$A746))),1,0))</f>
        <v/>
      </c>
      <c r="H746" s="50">
        <f>IF($G746=0,0,IF(INDEX(Employees!$D$5:$D$29,$A746)="",0,DATEDIF(INDEX(Employees!$D$5:$D$29,$A746),$E746,"y")))</f>
        <v/>
      </c>
      <c r="I746" s="51">
        <f>IF($G746=0,0,IF(INDEX('Hours Worked'!$D$5:$BD$29,$A746,$B746)="",N(INDEX(Employees!$H$5:$H$29,$A746)),INDEX('Hours Worked'!$D$5:$BD$29,$A746,$B746)))</f>
        <v/>
      </c>
      <c r="J746" s="51">
        <f>IF(OR($G746=0,INDEX(Employees!$O$5:$O$29,$A746)&lt;&gt;"Yes"),0,IF(COUNTIF(Settings!$D$4:$D$9,"&lt;="&amp;$H746)=0,0,INDEX(Settings!$E$4:$E$9,COUNTIF(Settings!$D$4:$D$9,"&lt;="&amp;$H746))))</f>
        <v/>
      </c>
      <c r="K746" s="51">
        <f>IF($G746=0,0,IF(INDEX(Employees!$I$5:$I$29,$A746)="Per pay period",(N(INDEX(Employees!$J$5:$J$29,$A746))+$J746)/Settings!$B$13,IF(INDEX(Employees!$I$5:$I$29,$A746)="Per hour worked",N(INDEX(Employees!$K$5:$K$29,$A746))*$I746,IF(INDEX(Employees!$I$5:$I$29,$A746)="Front-loaded",IF(OR($B746=1,N($G745)=0),N(INDEX(Employees!$J$5:$J$29,$A746))+$J746,0),0))))</f>
        <v/>
      </c>
      <c r="L746" s="51">
        <f>IF($F746=0,0,SUMIFS('Time Off Log'!$H$5:$H$504,'Time Off Log'!$A$5:$A$504,$C746,'Time Off Log'!$B$5:$B$504,"PTO",'Time Off Log'!$E$5:$E$504,"Approved",'Time Off Log'!$C$5:$C$504,"&gt;="&amp;INDEX(Periods!$E$5:$E$57,$B746),'Time Off Log'!$C$5:$C$504,"&lt;="&amp;INDEX(Periods!$F$5:$F$57,$B746)))</f>
        <v/>
      </c>
      <c r="M746" s="51">
        <f>IF($B746=1,N(INDEX(Employees!$N$5:$N$29,$A746)),P745)</f>
        <v/>
      </c>
      <c r="N746" s="51">
        <f>IF(INDEX(Employees!$L$5:$L$29,$A746)="",K746,MAX(0,MIN(K746,INDEX(Employees!$L$5:$L$29,$A746)-(M746-L746))))</f>
        <v/>
      </c>
      <c r="O746" s="51">
        <f>K746-N746</f>
        <v/>
      </c>
      <c r="P746" s="51">
        <f>M746-L746+N746</f>
        <v/>
      </c>
      <c r="Q746" s="51">
        <f>IF($G746=0,0,IF(INDEX(Employees!$P$5:$P$29,$A746)="Per pay period",(N(INDEX(Employees!$Q$5:$Q$29,$A746)))/Settings!$B$13,IF(INDEX(Employees!$P$5:$P$29,$A746)="Per hour worked",N(INDEX(Employees!$R$5:$R$29,$A746))*$I746,IF(INDEX(Employees!$P$5:$P$29,$A746)="Front-loaded",IF(OR($B746=1,N($G745)=0),N(INDEX(Employees!$Q$5:$Q$29,$A746)),0),0))))</f>
        <v/>
      </c>
      <c r="R746" s="51">
        <f>IF($F746=0,0,SUMIFS('Time Off Log'!$H$5:$H$504,'Time Off Log'!$A$5:$A$504,$C746,'Time Off Log'!$B$5:$B$504,"Sick",'Time Off Log'!$E$5:$E$504,"Approved",'Time Off Log'!$C$5:$C$504,"&gt;="&amp;INDEX(Periods!$E$5:$E$57,$B746),'Time Off Log'!$C$5:$C$504,"&lt;="&amp;INDEX(Periods!$F$5:$F$57,$B746)))</f>
        <v/>
      </c>
      <c r="S746" s="51">
        <f>IF($B746=1,N(INDEX(Employees!$T$5:$T$29,$A746)),V745)</f>
        <v/>
      </c>
      <c r="T746" s="51">
        <f>IF(INDEX(Employees!$S$5:$S$29,$A746)="",Q746,MAX(0,MIN(Q746,INDEX(Employees!$S$5:$S$29,$A746)-(S746-R746))))</f>
        <v/>
      </c>
      <c r="U746" s="51">
        <f>Q746-T746</f>
        <v/>
      </c>
      <c r="V746" s="51">
        <f>S746-R746+T746</f>
        <v/>
      </c>
    </row>
    <row r="747">
      <c r="A747" s="47" t="n">
        <v>15</v>
      </c>
      <c r="B747" s="47" t="n">
        <v>1</v>
      </c>
      <c r="C747" s="48">
        <f>INDEX(Employees!$B$5:$B$29,$A747)&amp;""</f>
        <v/>
      </c>
      <c r="D747" s="49">
        <f>INDEX(Periods!$B$5:$B$57,$B747)</f>
        <v/>
      </c>
      <c r="E747" s="49">
        <f>INDEX(Periods!$C$5:$C$57,$B747)</f>
        <v/>
      </c>
      <c r="F747" s="47">
        <f>IF(AND($C747&lt;&gt;"",INDEX(Periods!$D$5:$D$57,$B747)=1),1,0)</f>
        <v/>
      </c>
      <c r="G747" s="47">
        <f>IF($F747=0,0,IF(AND(OR(INDEX(Employees!$D$5:$D$29,$A747)="",$E747&gt;=INDEX(Employees!$D$5:$D$29,$A747)+N(INDEX(Employees!$U$5:$U$29,$A747))),OR(INDEX(Employees!$E$5:$E$29,$A747)="",$D747&lt;=INDEX(Employees!$E$5:$E$29,$A747))),1,0))</f>
        <v/>
      </c>
      <c r="H747" s="47">
        <f>IF($G747=0,0,IF(INDEX(Employees!$D$5:$D$29,$A747)="",0,DATEDIF(INDEX(Employees!$D$5:$D$29,$A747),$E747,"y")))</f>
        <v/>
      </c>
      <c r="I747" s="48">
        <f>IF($G747=0,0,IF(INDEX('Hours Worked'!$D$5:$BD$29,$A747,$B747)="",N(INDEX(Employees!$H$5:$H$29,$A747)),INDEX('Hours Worked'!$D$5:$BD$29,$A747,$B747)))</f>
        <v/>
      </c>
      <c r="J747" s="48">
        <f>IF(OR($G747=0,INDEX(Employees!$O$5:$O$29,$A747)&lt;&gt;"Yes"),0,IF(COUNTIF(Settings!$D$4:$D$9,"&lt;="&amp;$H747)=0,0,INDEX(Settings!$E$4:$E$9,COUNTIF(Settings!$D$4:$D$9,"&lt;="&amp;$H747))))</f>
        <v/>
      </c>
      <c r="K747" s="48">
        <f>IF($G747=0,0,IF(INDEX(Employees!$I$5:$I$29,$A747)="Per pay period",(N(INDEX(Employees!$J$5:$J$29,$A747))+$J747)/Settings!$B$13,IF(INDEX(Employees!$I$5:$I$29,$A747)="Per hour worked",N(INDEX(Employees!$K$5:$K$29,$A747))*$I747,IF(INDEX(Employees!$I$5:$I$29,$A747)="Front-loaded",IF(OR($B747=1,N($G746)=0),N(INDEX(Employees!$J$5:$J$29,$A747))+$J747,0),0))))</f>
        <v/>
      </c>
      <c r="L747" s="48">
        <f>IF($F747=0,0,SUMIFS('Time Off Log'!$H$5:$H$504,'Time Off Log'!$A$5:$A$504,$C747,'Time Off Log'!$B$5:$B$504,"PTO",'Time Off Log'!$E$5:$E$504,"Approved",'Time Off Log'!$C$5:$C$504,"&gt;="&amp;INDEX(Periods!$E$5:$E$57,$B747),'Time Off Log'!$C$5:$C$504,"&lt;="&amp;INDEX(Periods!$F$5:$F$57,$B747)))</f>
        <v/>
      </c>
      <c r="M747" s="48">
        <f>N(INDEX(Employees!$N$5:$N$29,$A747))</f>
        <v/>
      </c>
      <c r="N747" s="48">
        <f>IF(INDEX(Employees!$L$5:$L$29,$A747)="",K747,MAX(0,MIN(K747,INDEX(Employees!$L$5:$L$29,$A747)-(M747-L747))))</f>
        <v/>
      </c>
      <c r="O747" s="48">
        <f>K747-N747</f>
        <v/>
      </c>
      <c r="P747" s="48">
        <f>M747-L747+N747</f>
        <v/>
      </c>
      <c r="Q747" s="48">
        <f>IF($G747=0,0,IF(INDEX(Employees!$P$5:$P$29,$A747)="Per pay period",(N(INDEX(Employees!$Q$5:$Q$29,$A747)))/Settings!$B$13,IF(INDEX(Employees!$P$5:$P$29,$A747)="Per hour worked",N(INDEX(Employees!$R$5:$R$29,$A747))*$I747,IF(INDEX(Employees!$P$5:$P$29,$A747)="Front-loaded",IF(OR($B747=1,N($G746)=0),N(INDEX(Employees!$Q$5:$Q$29,$A747)),0),0))))</f>
        <v/>
      </c>
      <c r="R747" s="48">
        <f>IF($F747=0,0,SUMIFS('Time Off Log'!$H$5:$H$504,'Time Off Log'!$A$5:$A$504,$C747,'Time Off Log'!$B$5:$B$504,"Sick",'Time Off Log'!$E$5:$E$504,"Approved",'Time Off Log'!$C$5:$C$504,"&gt;="&amp;INDEX(Periods!$E$5:$E$57,$B747),'Time Off Log'!$C$5:$C$504,"&lt;="&amp;INDEX(Periods!$F$5:$F$57,$B747)))</f>
        <v/>
      </c>
      <c r="S747" s="48">
        <f>N(INDEX(Employees!$T$5:$T$29,$A747))</f>
        <v/>
      </c>
      <c r="T747" s="48">
        <f>IF(INDEX(Employees!$S$5:$S$29,$A747)="",Q747,MAX(0,MIN(Q747,INDEX(Employees!$S$5:$S$29,$A747)-(S747-R747))))</f>
        <v/>
      </c>
      <c r="U747" s="48">
        <f>Q747-T747</f>
        <v/>
      </c>
      <c r="V747" s="48">
        <f>S747-R747+T747</f>
        <v/>
      </c>
    </row>
    <row r="748">
      <c r="A748" s="47" t="n">
        <v>15</v>
      </c>
      <c r="B748" s="47" t="n">
        <v>2</v>
      </c>
      <c r="C748" s="48">
        <f>INDEX(Employees!$B$5:$B$29,$A748)&amp;""</f>
        <v/>
      </c>
      <c r="D748" s="49">
        <f>INDEX(Periods!$B$5:$B$57,$B748)</f>
        <v/>
      </c>
      <c r="E748" s="49">
        <f>INDEX(Periods!$C$5:$C$57,$B748)</f>
        <v/>
      </c>
      <c r="F748" s="47">
        <f>IF(AND($C748&lt;&gt;"",INDEX(Periods!$D$5:$D$57,$B748)=1),1,0)</f>
        <v/>
      </c>
      <c r="G748" s="47">
        <f>IF($F748=0,0,IF(AND(OR(INDEX(Employees!$D$5:$D$29,$A748)="",$E748&gt;=INDEX(Employees!$D$5:$D$29,$A748)+N(INDEX(Employees!$U$5:$U$29,$A748))),OR(INDEX(Employees!$E$5:$E$29,$A748)="",$D748&lt;=INDEX(Employees!$E$5:$E$29,$A748))),1,0))</f>
        <v/>
      </c>
      <c r="H748" s="47">
        <f>IF($G748=0,0,IF(INDEX(Employees!$D$5:$D$29,$A748)="",0,DATEDIF(INDEX(Employees!$D$5:$D$29,$A748),$E748,"y")))</f>
        <v/>
      </c>
      <c r="I748" s="48">
        <f>IF($G748=0,0,IF(INDEX('Hours Worked'!$D$5:$BD$29,$A748,$B748)="",N(INDEX(Employees!$H$5:$H$29,$A748)),INDEX('Hours Worked'!$D$5:$BD$29,$A748,$B748)))</f>
        <v/>
      </c>
      <c r="J748" s="48">
        <f>IF(OR($G748=0,INDEX(Employees!$O$5:$O$29,$A748)&lt;&gt;"Yes"),0,IF(COUNTIF(Settings!$D$4:$D$9,"&lt;="&amp;$H748)=0,0,INDEX(Settings!$E$4:$E$9,COUNTIF(Settings!$D$4:$D$9,"&lt;="&amp;$H748))))</f>
        <v/>
      </c>
      <c r="K748" s="48">
        <f>IF($G748=0,0,IF(INDEX(Employees!$I$5:$I$29,$A748)="Per pay period",(N(INDEX(Employees!$J$5:$J$29,$A748))+$J748)/Settings!$B$13,IF(INDEX(Employees!$I$5:$I$29,$A748)="Per hour worked",N(INDEX(Employees!$K$5:$K$29,$A748))*$I748,IF(INDEX(Employees!$I$5:$I$29,$A748)="Front-loaded",IF(OR($B748=1,N($G747)=0),N(INDEX(Employees!$J$5:$J$29,$A748))+$J748,0),0))))</f>
        <v/>
      </c>
      <c r="L748" s="48">
        <f>IF($F748=0,0,SUMIFS('Time Off Log'!$H$5:$H$504,'Time Off Log'!$A$5:$A$504,$C748,'Time Off Log'!$B$5:$B$504,"PTO",'Time Off Log'!$E$5:$E$504,"Approved",'Time Off Log'!$C$5:$C$504,"&gt;="&amp;INDEX(Periods!$E$5:$E$57,$B748),'Time Off Log'!$C$5:$C$504,"&lt;="&amp;INDEX(Periods!$F$5:$F$57,$B748)))</f>
        <v/>
      </c>
      <c r="M748" s="48">
        <f>IF($B748=1,N(INDEX(Employees!$N$5:$N$29,$A748)),P747)</f>
        <v/>
      </c>
      <c r="N748" s="48">
        <f>IF(INDEX(Employees!$L$5:$L$29,$A748)="",K748,MAX(0,MIN(K748,INDEX(Employees!$L$5:$L$29,$A748)-(M748-L748))))</f>
        <v/>
      </c>
      <c r="O748" s="48">
        <f>K748-N748</f>
        <v/>
      </c>
      <c r="P748" s="48">
        <f>M748-L748+N748</f>
        <v/>
      </c>
      <c r="Q748" s="48">
        <f>IF($G748=0,0,IF(INDEX(Employees!$P$5:$P$29,$A748)="Per pay period",(N(INDEX(Employees!$Q$5:$Q$29,$A748)))/Settings!$B$13,IF(INDEX(Employees!$P$5:$P$29,$A748)="Per hour worked",N(INDEX(Employees!$R$5:$R$29,$A748))*$I748,IF(INDEX(Employees!$P$5:$P$29,$A748)="Front-loaded",IF(OR($B748=1,N($G747)=0),N(INDEX(Employees!$Q$5:$Q$29,$A748)),0),0))))</f>
        <v/>
      </c>
      <c r="R748" s="48">
        <f>IF($F748=0,0,SUMIFS('Time Off Log'!$H$5:$H$504,'Time Off Log'!$A$5:$A$504,$C748,'Time Off Log'!$B$5:$B$504,"Sick",'Time Off Log'!$E$5:$E$504,"Approved",'Time Off Log'!$C$5:$C$504,"&gt;="&amp;INDEX(Periods!$E$5:$E$57,$B748),'Time Off Log'!$C$5:$C$504,"&lt;="&amp;INDEX(Periods!$F$5:$F$57,$B748)))</f>
        <v/>
      </c>
      <c r="S748" s="48">
        <f>IF($B748=1,N(INDEX(Employees!$T$5:$T$29,$A748)),V747)</f>
        <v/>
      </c>
      <c r="T748" s="48">
        <f>IF(INDEX(Employees!$S$5:$S$29,$A748)="",Q748,MAX(0,MIN(Q748,INDEX(Employees!$S$5:$S$29,$A748)-(S748-R748))))</f>
        <v/>
      </c>
      <c r="U748" s="48">
        <f>Q748-T748</f>
        <v/>
      </c>
      <c r="V748" s="48">
        <f>S748-R748+T748</f>
        <v/>
      </c>
    </row>
    <row r="749">
      <c r="A749" s="47" t="n">
        <v>15</v>
      </c>
      <c r="B749" s="47" t="n">
        <v>3</v>
      </c>
      <c r="C749" s="48">
        <f>INDEX(Employees!$B$5:$B$29,$A749)&amp;""</f>
        <v/>
      </c>
      <c r="D749" s="49">
        <f>INDEX(Periods!$B$5:$B$57,$B749)</f>
        <v/>
      </c>
      <c r="E749" s="49">
        <f>INDEX(Periods!$C$5:$C$57,$B749)</f>
        <v/>
      </c>
      <c r="F749" s="47">
        <f>IF(AND($C749&lt;&gt;"",INDEX(Periods!$D$5:$D$57,$B749)=1),1,0)</f>
        <v/>
      </c>
      <c r="G749" s="47">
        <f>IF($F749=0,0,IF(AND(OR(INDEX(Employees!$D$5:$D$29,$A749)="",$E749&gt;=INDEX(Employees!$D$5:$D$29,$A749)+N(INDEX(Employees!$U$5:$U$29,$A749))),OR(INDEX(Employees!$E$5:$E$29,$A749)="",$D749&lt;=INDEX(Employees!$E$5:$E$29,$A749))),1,0))</f>
        <v/>
      </c>
      <c r="H749" s="47">
        <f>IF($G749=0,0,IF(INDEX(Employees!$D$5:$D$29,$A749)="",0,DATEDIF(INDEX(Employees!$D$5:$D$29,$A749),$E749,"y")))</f>
        <v/>
      </c>
      <c r="I749" s="48">
        <f>IF($G749=0,0,IF(INDEX('Hours Worked'!$D$5:$BD$29,$A749,$B749)="",N(INDEX(Employees!$H$5:$H$29,$A749)),INDEX('Hours Worked'!$D$5:$BD$29,$A749,$B749)))</f>
        <v/>
      </c>
      <c r="J749" s="48">
        <f>IF(OR($G749=0,INDEX(Employees!$O$5:$O$29,$A749)&lt;&gt;"Yes"),0,IF(COUNTIF(Settings!$D$4:$D$9,"&lt;="&amp;$H749)=0,0,INDEX(Settings!$E$4:$E$9,COUNTIF(Settings!$D$4:$D$9,"&lt;="&amp;$H749))))</f>
        <v/>
      </c>
      <c r="K749" s="48">
        <f>IF($G749=0,0,IF(INDEX(Employees!$I$5:$I$29,$A749)="Per pay period",(N(INDEX(Employees!$J$5:$J$29,$A749))+$J749)/Settings!$B$13,IF(INDEX(Employees!$I$5:$I$29,$A749)="Per hour worked",N(INDEX(Employees!$K$5:$K$29,$A749))*$I749,IF(INDEX(Employees!$I$5:$I$29,$A749)="Front-loaded",IF(OR($B749=1,N($G748)=0),N(INDEX(Employees!$J$5:$J$29,$A749))+$J749,0),0))))</f>
        <v/>
      </c>
      <c r="L749" s="48">
        <f>IF($F749=0,0,SUMIFS('Time Off Log'!$H$5:$H$504,'Time Off Log'!$A$5:$A$504,$C749,'Time Off Log'!$B$5:$B$504,"PTO",'Time Off Log'!$E$5:$E$504,"Approved",'Time Off Log'!$C$5:$C$504,"&gt;="&amp;INDEX(Periods!$E$5:$E$57,$B749),'Time Off Log'!$C$5:$C$504,"&lt;="&amp;INDEX(Periods!$F$5:$F$57,$B749)))</f>
        <v/>
      </c>
      <c r="M749" s="48">
        <f>IF($B749=1,N(INDEX(Employees!$N$5:$N$29,$A749)),P748)</f>
        <v/>
      </c>
      <c r="N749" s="48">
        <f>IF(INDEX(Employees!$L$5:$L$29,$A749)="",K749,MAX(0,MIN(K749,INDEX(Employees!$L$5:$L$29,$A749)-(M749-L749))))</f>
        <v/>
      </c>
      <c r="O749" s="48">
        <f>K749-N749</f>
        <v/>
      </c>
      <c r="P749" s="48">
        <f>M749-L749+N749</f>
        <v/>
      </c>
      <c r="Q749" s="48">
        <f>IF($G749=0,0,IF(INDEX(Employees!$P$5:$P$29,$A749)="Per pay period",(N(INDEX(Employees!$Q$5:$Q$29,$A749)))/Settings!$B$13,IF(INDEX(Employees!$P$5:$P$29,$A749)="Per hour worked",N(INDEX(Employees!$R$5:$R$29,$A749))*$I749,IF(INDEX(Employees!$P$5:$P$29,$A749)="Front-loaded",IF(OR($B749=1,N($G748)=0),N(INDEX(Employees!$Q$5:$Q$29,$A749)),0),0))))</f>
        <v/>
      </c>
      <c r="R749" s="48">
        <f>IF($F749=0,0,SUMIFS('Time Off Log'!$H$5:$H$504,'Time Off Log'!$A$5:$A$504,$C749,'Time Off Log'!$B$5:$B$504,"Sick",'Time Off Log'!$E$5:$E$504,"Approved",'Time Off Log'!$C$5:$C$504,"&gt;="&amp;INDEX(Periods!$E$5:$E$57,$B749),'Time Off Log'!$C$5:$C$504,"&lt;="&amp;INDEX(Periods!$F$5:$F$57,$B749)))</f>
        <v/>
      </c>
      <c r="S749" s="48">
        <f>IF($B749=1,N(INDEX(Employees!$T$5:$T$29,$A749)),V748)</f>
        <v/>
      </c>
      <c r="T749" s="48">
        <f>IF(INDEX(Employees!$S$5:$S$29,$A749)="",Q749,MAX(0,MIN(Q749,INDEX(Employees!$S$5:$S$29,$A749)-(S749-R749))))</f>
        <v/>
      </c>
      <c r="U749" s="48">
        <f>Q749-T749</f>
        <v/>
      </c>
      <c r="V749" s="48">
        <f>S749-R749+T749</f>
        <v/>
      </c>
    </row>
    <row r="750">
      <c r="A750" s="47" t="n">
        <v>15</v>
      </c>
      <c r="B750" s="47" t="n">
        <v>4</v>
      </c>
      <c r="C750" s="48">
        <f>INDEX(Employees!$B$5:$B$29,$A750)&amp;""</f>
        <v/>
      </c>
      <c r="D750" s="49">
        <f>INDEX(Periods!$B$5:$B$57,$B750)</f>
        <v/>
      </c>
      <c r="E750" s="49">
        <f>INDEX(Periods!$C$5:$C$57,$B750)</f>
        <v/>
      </c>
      <c r="F750" s="47">
        <f>IF(AND($C750&lt;&gt;"",INDEX(Periods!$D$5:$D$57,$B750)=1),1,0)</f>
        <v/>
      </c>
      <c r="G750" s="47">
        <f>IF($F750=0,0,IF(AND(OR(INDEX(Employees!$D$5:$D$29,$A750)="",$E750&gt;=INDEX(Employees!$D$5:$D$29,$A750)+N(INDEX(Employees!$U$5:$U$29,$A750))),OR(INDEX(Employees!$E$5:$E$29,$A750)="",$D750&lt;=INDEX(Employees!$E$5:$E$29,$A750))),1,0))</f>
        <v/>
      </c>
      <c r="H750" s="47">
        <f>IF($G750=0,0,IF(INDEX(Employees!$D$5:$D$29,$A750)="",0,DATEDIF(INDEX(Employees!$D$5:$D$29,$A750),$E750,"y")))</f>
        <v/>
      </c>
      <c r="I750" s="48">
        <f>IF($G750=0,0,IF(INDEX('Hours Worked'!$D$5:$BD$29,$A750,$B750)="",N(INDEX(Employees!$H$5:$H$29,$A750)),INDEX('Hours Worked'!$D$5:$BD$29,$A750,$B750)))</f>
        <v/>
      </c>
      <c r="J750" s="48">
        <f>IF(OR($G750=0,INDEX(Employees!$O$5:$O$29,$A750)&lt;&gt;"Yes"),0,IF(COUNTIF(Settings!$D$4:$D$9,"&lt;="&amp;$H750)=0,0,INDEX(Settings!$E$4:$E$9,COUNTIF(Settings!$D$4:$D$9,"&lt;="&amp;$H750))))</f>
        <v/>
      </c>
      <c r="K750" s="48">
        <f>IF($G750=0,0,IF(INDEX(Employees!$I$5:$I$29,$A750)="Per pay period",(N(INDEX(Employees!$J$5:$J$29,$A750))+$J750)/Settings!$B$13,IF(INDEX(Employees!$I$5:$I$29,$A750)="Per hour worked",N(INDEX(Employees!$K$5:$K$29,$A750))*$I750,IF(INDEX(Employees!$I$5:$I$29,$A750)="Front-loaded",IF(OR($B750=1,N($G749)=0),N(INDEX(Employees!$J$5:$J$29,$A750))+$J750,0),0))))</f>
        <v/>
      </c>
      <c r="L750" s="48">
        <f>IF($F750=0,0,SUMIFS('Time Off Log'!$H$5:$H$504,'Time Off Log'!$A$5:$A$504,$C750,'Time Off Log'!$B$5:$B$504,"PTO",'Time Off Log'!$E$5:$E$504,"Approved",'Time Off Log'!$C$5:$C$504,"&gt;="&amp;INDEX(Periods!$E$5:$E$57,$B750),'Time Off Log'!$C$5:$C$504,"&lt;="&amp;INDEX(Periods!$F$5:$F$57,$B750)))</f>
        <v/>
      </c>
      <c r="M750" s="48">
        <f>IF($B750=1,N(INDEX(Employees!$N$5:$N$29,$A750)),P749)</f>
        <v/>
      </c>
      <c r="N750" s="48">
        <f>IF(INDEX(Employees!$L$5:$L$29,$A750)="",K750,MAX(0,MIN(K750,INDEX(Employees!$L$5:$L$29,$A750)-(M750-L750))))</f>
        <v/>
      </c>
      <c r="O750" s="48">
        <f>K750-N750</f>
        <v/>
      </c>
      <c r="P750" s="48">
        <f>M750-L750+N750</f>
        <v/>
      </c>
      <c r="Q750" s="48">
        <f>IF($G750=0,0,IF(INDEX(Employees!$P$5:$P$29,$A750)="Per pay period",(N(INDEX(Employees!$Q$5:$Q$29,$A750)))/Settings!$B$13,IF(INDEX(Employees!$P$5:$P$29,$A750)="Per hour worked",N(INDEX(Employees!$R$5:$R$29,$A750))*$I750,IF(INDEX(Employees!$P$5:$P$29,$A750)="Front-loaded",IF(OR($B750=1,N($G749)=0),N(INDEX(Employees!$Q$5:$Q$29,$A750)),0),0))))</f>
        <v/>
      </c>
      <c r="R750" s="48">
        <f>IF($F750=0,0,SUMIFS('Time Off Log'!$H$5:$H$504,'Time Off Log'!$A$5:$A$504,$C750,'Time Off Log'!$B$5:$B$504,"Sick",'Time Off Log'!$E$5:$E$504,"Approved",'Time Off Log'!$C$5:$C$504,"&gt;="&amp;INDEX(Periods!$E$5:$E$57,$B750),'Time Off Log'!$C$5:$C$504,"&lt;="&amp;INDEX(Periods!$F$5:$F$57,$B750)))</f>
        <v/>
      </c>
      <c r="S750" s="48">
        <f>IF($B750=1,N(INDEX(Employees!$T$5:$T$29,$A750)),V749)</f>
        <v/>
      </c>
      <c r="T750" s="48">
        <f>IF(INDEX(Employees!$S$5:$S$29,$A750)="",Q750,MAX(0,MIN(Q750,INDEX(Employees!$S$5:$S$29,$A750)-(S750-R750))))</f>
        <v/>
      </c>
      <c r="U750" s="48">
        <f>Q750-T750</f>
        <v/>
      </c>
      <c r="V750" s="48">
        <f>S750-R750+T750</f>
        <v/>
      </c>
    </row>
    <row r="751">
      <c r="A751" s="47" t="n">
        <v>15</v>
      </c>
      <c r="B751" s="47" t="n">
        <v>5</v>
      </c>
      <c r="C751" s="48">
        <f>INDEX(Employees!$B$5:$B$29,$A751)&amp;""</f>
        <v/>
      </c>
      <c r="D751" s="49">
        <f>INDEX(Periods!$B$5:$B$57,$B751)</f>
        <v/>
      </c>
      <c r="E751" s="49">
        <f>INDEX(Periods!$C$5:$C$57,$B751)</f>
        <v/>
      </c>
      <c r="F751" s="47">
        <f>IF(AND($C751&lt;&gt;"",INDEX(Periods!$D$5:$D$57,$B751)=1),1,0)</f>
        <v/>
      </c>
      <c r="G751" s="47">
        <f>IF($F751=0,0,IF(AND(OR(INDEX(Employees!$D$5:$D$29,$A751)="",$E751&gt;=INDEX(Employees!$D$5:$D$29,$A751)+N(INDEX(Employees!$U$5:$U$29,$A751))),OR(INDEX(Employees!$E$5:$E$29,$A751)="",$D751&lt;=INDEX(Employees!$E$5:$E$29,$A751))),1,0))</f>
        <v/>
      </c>
      <c r="H751" s="47">
        <f>IF($G751=0,0,IF(INDEX(Employees!$D$5:$D$29,$A751)="",0,DATEDIF(INDEX(Employees!$D$5:$D$29,$A751),$E751,"y")))</f>
        <v/>
      </c>
      <c r="I751" s="48">
        <f>IF($G751=0,0,IF(INDEX('Hours Worked'!$D$5:$BD$29,$A751,$B751)="",N(INDEX(Employees!$H$5:$H$29,$A751)),INDEX('Hours Worked'!$D$5:$BD$29,$A751,$B751)))</f>
        <v/>
      </c>
      <c r="J751" s="48">
        <f>IF(OR($G751=0,INDEX(Employees!$O$5:$O$29,$A751)&lt;&gt;"Yes"),0,IF(COUNTIF(Settings!$D$4:$D$9,"&lt;="&amp;$H751)=0,0,INDEX(Settings!$E$4:$E$9,COUNTIF(Settings!$D$4:$D$9,"&lt;="&amp;$H751))))</f>
        <v/>
      </c>
      <c r="K751" s="48">
        <f>IF($G751=0,0,IF(INDEX(Employees!$I$5:$I$29,$A751)="Per pay period",(N(INDEX(Employees!$J$5:$J$29,$A751))+$J751)/Settings!$B$13,IF(INDEX(Employees!$I$5:$I$29,$A751)="Per hour worked",N(INDEX(Employees!$K$5:$K$29,$A751))*$I751,IF(INDEX(Employees!$I$5:$I$29,$A751)="Front-loaded",IF(OR($B751=1,N($G750)=0),N(INDEX(Employees!$J$5:$J$29,$A751))+$J751,0),0))))</f>
        <v/>
      </c>
      <c r="L751" s="48">
        <f>IF($F751=0,0,SUMIFS('Time Off Log'!$H$5:$H$504,'Time Off Log'!$A$5:$A$504,$C751,'Time Off Log'!$B$5:$B$504,"PTO",'Time Off Log'!$E$5:$E$504,"Approved",'Time Off Log'!$C$5:$C$504,"&gt;="&amp;INDEX(Periods!$E$5:$E$57,$B751),'Time Off Log'!$C$5:$C$504,"&lt;="&amp;INDEX(Periods!$F$5:$F$57,$B751)))</f>
        <v/>
      </c>
      <c r="M751" s="48">
        <f>IF($B751=1,N(INDEX(Employees!$N$5:$N$29,$A751)),P750)</f>
        <v/>
      </c>
      <c r="N751" s="48">
        <f>IF(INDEX(Employees!$L$5:$L$29,$A751)="",K751,MAX(0,MIN(K751,INDEX(Employees!$L$5:$L$29,$A751)-(M751-L751))))</f>
        <v/>
      </c>
      <c r="O751" s="48">
        <f>K751-N751</f>
        <v/>
      </c>
      <c r="P751" s="48">
        <f>M751-L751+N751</f>
        <v/>
      </c>
      <c r="Q751" s="48">
        <f>IF($G751=0,0,IF(INDEX(Employees!$P$5:$P$29,$A751)="Per pay period",(N(INDEX(Employees!$Q$5:$Q$29,$A751)))/Settings!$B$13,IF(INDEX(Employees!$P$5:$P$29,$A751)="Per hour worked",N(INDEX(Employees!$R$5:$R$29,$A751))*$I751,IF(INDEX(Employees!$P$5:$P$29,$A751)="Front-loaded",IF(OR($B751=1,N($G750)=0),N(INDEX(Employees!$Q$5:$Q$29,$A751)),0),0))))</f>
        <v/>
      </c>
      <c r="R751" s="48">
        <f>IF($F751=0,0,SUMIFS('Time Off Log'!$H$5:$H$504,'Time Off Log'!$A$5:$A$504,$C751,'Time Off Log'!$B$5:$B$504,"Sick",'Time Off Log'!$E$5:$E$504,"Approved",'Time Off Log'!$C$5:$C$504,"&gt;="&amp;INDEX(Periods!$E$5:$E$57,$B751),'Time Off Log'!$C$5:$C$504,"&lt;="&amp;INDEX(Periods!$F$5:$F$57,$B751)))</f>
        <v/>
      </c>
      <c r="S751" s="48">
        <f>IF($B751=1,N(INDEX(Employees!$T$5:$T$29,$A751)),V750)</f>
        <v/>
      </c>
      <c r="T751" s="48">
        <f>IF(INDEX(Employees!$S$5:$S$29,$A751)="",Q751,MAX(0,MIN(Q751,INDEX(Employees!$S$5:$S$29,$A751)-(S751-R751))))</f>
        <v/>
      </c>
      <c r="U751" s="48">
        <f>Q751-T751</f>
        <v/>
      </c>
      <c r="V751" s="48">
        <f>S751-R751+T751</f>
        <v/>
      </c>
    </row>
    <row r="752">
      <c r="A752" s="47" t="n">
        <v>15</v>
      </c>
      <c r="B752" s="47" t="n">
        <v>6</v>
      </c>
      <c r="C752" s="48">
        <f>INDEX(Employees!$B$5:$B$29,$A752)&amp;""</f>
        <v/>
      </c>
      <c r="D752" s="49">
        <f>INDEX(Periods!$B$5:$B$57,$B752)</f>
        <v/>
      </c>
      <c r="E752" s="49">
        <f>INDEX(Periods!$C$5:$C$57,$B752)</f>
        <v/>
      </c>
      <c r="F752" s="47">
        <f>IF(AND($C752&lt;&gt;"",INDEX(Periods!$D$5:$D$57,$B752)=1),1,0)</f>
        <v/>
      </c>
      <c r="G752" s="47">
        <f>IF($F752=0,0,IF(AND(OR(INDEX(Employees!$D$5:$D$29,$A752)="",$E752&gt;=INDEX(Employees!$D$5:$D$29,$A752)+N(INDEX(Employees!$U$5:$U$29,$A752))),OR(INDEX(Employees!$E$5:$E$29,$A752)="",$D752&lt;=INDEX(Employees!$E$5:$E$29,$A752))),1,0))</f>
        <v/>
      </c>
      <c r="H752" s="47">
        <f>IF($G752=0,0,IF(INDEX(Employees!$D$5:$D$29,$A752)="",0,DATEDIF(INDEX(Employees!$D$5:$D$29,$A752),$E752,"y")))</f>
        <v/>
      </c>
      <c r="I752" s="48">
        <f>IF($G752=0,0,IF(INDEX('Hours Worked'!$D$5:$BD$29,$A752,$B752)="",N(INDEX(Employees!$H$5:$H$29,$A752)),INDEX('Hours Worked'!$D$5:$BD$29,$A752,$B752)))</f>
        <v/>
      </c>
      <c r="J752" s="48">
        <f>IF(OR($G752=0,INDEX(Employees!$O$5:$O$29,$A752)&lt;&gt;"Yes"),0,IF(COUNTIF(Settings!$D$4:$D$9,"&lt;="&amp;$H752)=0,0,INDEX(Settings!$E$4:$E$9,COUNTIF(Settings!$D$4:$D$9,"&lt;="&amp;$H752))))</f>
        <v/>
      </c>
      <c r="K752" s="48">
        <f>IF($G752=0,0,IF(INDEX(Employees!$I$5:$I$29,$A752)="Per pay period",(N(INDEX(Employees!$J$5:$J$29,$A752))+$J752)/Settings!$B$13,IF(INDEX(Employees!$I$5:$I$29,$A752)="Per hour worked",N(INDEX(Employees!$K$5:$K$29,$A752))*$I752,IF(INDEX(Employees!$I$5:$I$29,$A752)="Front-loaded",IF(OR($B752=1,N($G751)=0),N(INDEX(Employees!$J$5:$J$29,$A752))+$J752,0),0))))</f>
        <v/>
      </c>
      <c r="L752" s="48">
        <f>IF($F752=0,0,SUMIFS('Time Off Log'!$H$5:$H$504,'Time Off Log'!$A$5:$A$504,$C752,'Time Off Log'!$B$5:$B$504,"PTO",'Time Off Log'!$E$5:$E$504,"Approved",'Time Off Log'!$C$5:$C$504,"&gt;="&amp;INDEX(Periods!$E$5:$E$57,$B752),'Time Off Log'!$C$5:$C$504,"&lt;="&amp;INDEX(Periods!$F$5:$F$57,$B752)))</f>
        <v/>
      </c>
      <c r="M752" s="48">
        <f>IF($B752=1,N(INDEX(Employees!$N$5:$N$29,$A752)),P751)</f>
        <v/>
      </c>
      <c r="N752" s="48">
        <f>IF(INDEX(Employees!$L$5:$L$29,$A752)="",K752,MAX(0,MIN(K752,INDEX(Employees!$L$5:$L$29,$A752)-(M752-L752))))</f>
        <v/>
      </c>
      <c r="O752" s="48">
        <f>K752-N752</f>
        <v/>
      </c>
      <c r="P752" s="48">
        <f>M752-L752+N752</f>
        <v/>
      </c>
      <c r="Q752" s="48">
        <f>IF($G752=0,0,IF(INDEX(Employees!$P$5:$P$29,$A752)="Per pay period",(N(INDEX(Employees!$Q$5:$Q$29,$A752)))/Settings!$B$13,IF(INDEX(Employees!$P$5:$P$29,$A752)="Per hour worked",N(INDEX(Employees!$R$5:$R$29,$A752))*$I752,IF(INDEX(Employees!$P$5:$P$29,$A752)="Front-loaded",IF(OR($B752=1,N($G751)=0),N(INDEX(Employees!$Q$5:$Q$29,$A752)),0),0))))</f>
        <v/>
      </c>
      <c r="R752" s="48">
        <f>IF($F752=0,0,SUMIFS('Time Off Log'!$H$5:$H$504,'Time Off Log'!$A$5:$A$504,$C752,'Time Off Log'!$B$5:$B$504,"Sick",'Time Off Log'!$E$5:$E$504,"Approved",'Time Off Log'!$C$5:$C$504,"&gt;="&amp;INDEX(Periods!$E$5:$E$57,$B752),'Time Off Log'!$C$5:$C$504,"&lt;="&amp;INDEX(Periods!$F$5:$F$57,$B752)))</f>
        <v/>
      </c>
      <c r="S752" s="48">
        <f>IF($B752=1,N(INDEX(Employees!$T$5:$T$29,$A752)),V751)</f>
        <v/>
      </c>
      <c r="T752" s="48">
        <f>IF(INDEX(Employees!$S$5:$S$29,$A752)="",Q752,MAX(0,MIN(Q752,INDEX(Employees!$S$5:$S$29,$A752)-(S752-R752))))</f>
        <v/>
      </c>
      <c r="U752" s="48">
        <f>Q752-T752</f>
        <v/>
      </c>
      <c r="V752" s="48">
        <f>S752-R752+T752</f>
        <v/>
      </c>
    </row>
    <row r="753">
      <c r="A753" s="47" t="n">
        <v>15</v>
      </c>
      <c r="B753" s="47" t="n">
        <v>7</v>
      </c>
      <c r="C753" s="48">
        <f>INDEX(Employees!$B$5:$B$29,$A753)&amp;""</f>
        <v/>
      </c>
      <c r="D753" s="49">
        <f>INDEX(Periods!$B$5:$B$57,$B753)</f>
        <v/>
      </c>
      <c r="E753" s="49">
        <f>INDEX(Periods!$C$5:$C$57,$B753)</f>
        <v/>
      </c>
      <c r="F753" s="47">
        <f>IF(AND($C753&lt;&gt;"",INDEX(Periods!$D$5:$D$57,$B753)=1),1,0)</f>
        <v/>
      </c>
      <c r="G753" s="47">
        <f>IF($F753=0,0,IF(AND(OR(INDEX(Employees!$D$5:$D$29,$A753)="",$E753&gt;=INDEX(Employees!$D$5:$D$29,$A753)+N(INDEX(Employees!$U$5:$U$29,$A753))),OR(INDEX(Employees!$E$5:$E$29,$A753)="",$D753&lt;=INDEX(Employees!$E$5:$E$29,$A753))),1,0))</f>
        <v/>
      </c>
      <c r="H753" s="47">
        <f>IF($G753=0,0,IF(INDEX(Employees!$D$5:$D$29,$A753)="",0,DATEDIF(INDEX(Employees!$D$5:$D$29,$A753),$E753,"y")))</f>
        <v/>
      </c>
      <c r="I753" s="48">
        <f>IF($G753=0,0,IF(INDEX('Hours Worked'!$D$5:$BD$29,$A753,$B753)="",N(INDEX(Employees!$H$5:$H$29,$A753)),INDEX('Hours Worked'!$D$5:$BD$29,$A753,$B753)))</f>
        <v/>
      </c>
      <c r="J753" s="48">
        <f>IF(OR($G753=0,INDEX(Employees!$O$5:$O$29,$A753)&lt;&gt;"Yes"),0,IF(COUNTIF(Settings!$D$4:$D$9,"&lt;="&amp;$H753)=0,0,INDEX(Settings!$E$4:$E$9,COUNTIF(Settings!$D$4:$D$9,"&lt;="&amp;$H753))))</f>
        <v/>
      </c>
      <c r="K753" s="48">
        <f>IF($G753=0,0,IF(INDEX(Employees!$I$5:$I$29,$A753)="Per pay period",(N(INDEX(Employees!$J$5:$J$29,$A753))+$J753)/Settings!$B$13,IF(INDEX(Employees!$I$5:$I$29,$A753)="Per hour worked",N(INDEX(Employees!$K$5:$K$29,$A753))*$I753,IF(INDEX(Employees!$I$5:$I$29,$A753)="Front-loaded",IF(OR($B753=1,N($G752)=0),N(INDEX(Employees!$J$5:$J$29,$A753))+$J753,0),0))))</f>
        <v/>
      </c>
      <c r="L753" s="48">
        <f>IF($F753=0,0,SUMIFS('Time Off Log'!$H$5:$H$504,'Time Off Log'!$A$5:$A$504,$C753,'Time Off Log'!$B$5:$B$504,"PTO",'Time Off Log'!$E$5:$E$504,"Approved",'Time Off Log'!$C$5:$C$504,"&gt;="&amp;INDEX(Periods!$E$5:$E$57,$B753),'Time Off Log'!$C$5:$C$504,"&lt;="&amp;INDEX(Periods!$F$5:$F$57,$B753)))</f>
        <v/>
      </c>
      <c r="M753" s="48">
        <f>IF($B753=1,N(INDEX(Employees!$N$5:$N$29,$A753)),P752)</f>
        <v/>
      </c>
      <c r="N753" s="48">
        <f>IF(INDEX(Employees!$L$5:$L$29,$A753)="",K753,MAX(0,MIN(K753,INDEX(Employees!$L$5:$L$29,$A753)-(M753-L753))))</f>
        <v/>
      </c>
      <c r="O753" s="48">
        <f>K753-N753</f>
        <v/>
      </c>
      <c r="P753" s="48">
        <f>M753-L753+N753</f>
        <v/>
      </c>
      <c r="Q753" s="48">
        <f>IF($G753=0,0,IF(INDEX(Employees!$P$5:$P$29,$A753)="Per pay period",(N(INDEX(Employees!$Q$5:$Q$29,$A753)))/Settings!$B$13,IF(INDEX(Employees!$P$5:$P$29,$A753)="Per hour worked",N(INDEX(Employees!$R$5:$R$29,$A753))*$I753,IF(INDEX(Employees!$P$5:$P$29,$A753)="Front-loaded",IF(OR($B753=1,N($G752)=0),N(INDEX(Employees!$Q$5:$Q$29,$A753)),0),0))))</f>
        <v/>
      </c>
      <c r="R753" s="48">
        <f>IF($F753=0,0,SUMIFS('Time Off Log'!$H$5:$H$504,'Time Off Log'!$A$5:$A$504,$C753,'Time Off Log'!$B$5:$B$504,"Sick",'Time Off Log'!$E$5:$E$504,"Approved",'Time Off Log'!$C$5:$C$504,"&gt;="&amp;INDEX(Periods!$E$5:$E$57,$B753),'Time Off Log'!$C$5:$C$504,"&lt;="&amp;INDEX(Periods!$F$5:$F$57,$B753)))</f>
        <v/>
      </c>
      <c r="S753" s="48">
        <f>IF($B753=1,N(INDEX(Employees!$T$5:$T$29,$A753)),V752)</f>
        <v/>
      </c>
      <c r="T753" s="48">
        <f>IF(INDEX(Employees!$S$5:$S$29,$A753)="",Q753,MAX(0,MIN(Q753,INDEX(Employees!$S$5:$S$29,$A753)-(S753-R753))))</f>
        <v/>
      </c>
      <c r="U753" s="48">
        <f>Q753-T753</f>
        <v/>
      </c>
      <c r="V753" s="48">
        <f>S753-R753+T753</f>
        <v/>
      </c>
    </row>
    <row r="754">
      <c r="A754" s="47" t="n">
        <v>15</v>
      </c>
      <c r="B754" s="47" t="n">
        <v>8</v>
      </c>
      <c r="C754" s="48">
        <f>INDEX(Employees!$B$5:$B$29,$A754)&amp;""</f>
        <v/>
      </c>
      <c r="D754" s="49">
        <f>INDEX(Periods!$B$5:$B$57,$B754)</f>
        <v/>
      </c>
      <c r="E754" s="49">
        <f>INDEX(Periods!$C$5:$C$57,$B754)</f>
        <v/>
      </c>
      <c r="F754" s="47">
        <f>IF(AND($C754&lt;&gt;"",INDEX(Periods!$D$5:$D$57,$B754)=1),1,0)</f>
        <v/>
      </c>
      <c r="G754" s="47">
        <f>IF($F754=0,0,IF(AND(OR(INDEX(Employees!$D$5:$D$29,$A754)="",$E754&gt;=INDEX(Employees!$D$5:$D$29,$A754)+N(INDEX(Employees!$U$5:$U$29,$A754))),OR(INDEX(Employees!$E$5:$E$29,$A754)="",$D754&lt;=INDEX(Employees!$E$5:$E$29,$A754))),1,0))</f>
        <v/>
      </c>
      <c r="H754" s="47">
        <f>IF($G754=0,0,IF(INDEX(Employees!$D$5:$D$29,$A754)="",0,DATEDIF(INDEX(Employees!$D$5:$D$29,$A754),$E754,"y")))</f>
        <v/>
      </c>
      <c r="I754" s="48">
        <f>IF($G754=0,0,IF(INDEX('Hours Worked'!$D$5:$BD$29,$A754,$B754)="",N(INDEX(Employees!$H$5:$H$29,$A754)),INDEX('Hours Worked'!$D$5:$BD$29,$A754,$B754)))</f>
        <v/>
      </c>
      <c r="J754" s="48">
        <f>IF(OR($G754=0,INDEX(Employees!$O$5:$O$29,$A754)&lt;&gt;"Yes"),0,IF(COUNTIF(Settings!$D$4:$D$9,"&lt;="&amp;$H754)=0,0,INDEX(Settings!$E$4:$E$9,COUNTIF(Settings!$D$4:$D$9,"&lt;="&amp;$H754))))</f>
        <v/>
      </c>
      <c r="K754" s="48">
        <f>IF($G754=0,0,IF(INDEX(Employees!$I$5:$I$29,$A754)="Per pay period",(N(INDEX(Employees!$J$5:$J$29,$A754))+$J754)/Settings!$B$13,IF(INDEX(Employees!$I$5:$I$29,$A754)="Per hour worked",N(INDEX(Employees!$K$5:$K$29,$A754))*$I754,IF(INDEX(Employees!$I$5:$I$29,$A754)="Front-loaded",IF(OR($B754=1,N($G753)=0),N(INDEX(Employees!$J$5:$J$29,$A754))+$J754,0),0))))</f>
        <v/>
      </c>
      <c r="L754" s="48">
        <f>IF($F754=0,0,SUMIFS('Time Off Log'!$H$5:$H$504,'Time Off Log'!$A$5:$A$504,$C754,'Time Off Log'!$B$5:$B$504,"PTO",'Time Off Log'!$E$5:$E$504,"Approved",'Time Off Log'!$C$5:$C$504,"&gt;="&amp;INDEX(Periods!$E$5:$E$57,$B754),'Time Off Log'!$C$5:$C$504,"&lt;="&amp;INDEX(Periods!$F$5:$F$57,$B754)))</f>
        <v/>
      </c>
      <c r="M754" s="48">
        <f>IF($B754=1,N(INDEX(Employees!$N$5:$N$29,$A754)),P753)</f>
        <v/>
      </c>
      <c r="N754" s="48">
        <f>IF(INDEX(Employees!$L$5:$L$29,$A754)="",K754,MAX(0,MIN(K754,INDEX(Employees!$L$5:$L$29,$A754)-(M754-L754))))</f>
        <v/>
      </c>
      <c r="O754" s="48">
        <f>K754-N754</f>
        <v/>
      </c>
      <c r="P754" s="48">
        <f>M754-L754+N754</f>
        <v/>
      </c>
      <c r="Q754" s="48">
        <f>IF($G754=0,0,IF(INDEX(Employees!$P$5:$P$29,$A754)="Per pay period",(N(INDEX(Employees!$Q$5:$Q$29,$A754)))/Settings!$B$13,IF(INDEX(Employees!$P$5:$P$29,$A754)="Per hour worked",N(INDEX(Employees!$R$5:$R$29,$A754))*$I754,IF(INDEX(Employees!$P$5:$P$29,$A754)="Front-loaded",IF(OR($B754=1,N($G753)=0),N(INDEX(Employees!$Q$5:$Q$29,$A754)),0),0))))</f>
        <v/>
      </c>
      <c r="R754" s="48">
        <f>IF($F754=0,0,SUMIFS('Time Off Log'!$H$5:$H$504,'Time Off Log'!$A$5:$A$504,$C754,'Time Off Log'!$B$5:$B$504,"Sick",'Time Off Log'!$E$5:$E$504,"Approved",'Time Off Log'!$C$5:$C$504,"&gt;="&amp;INDEX(Periods!$E$5:$E$57,$B754),'Time Off Log'!$C$5:$C$504,"&lt;="&amp;INDEX(Periods!$F$5:$F$57,$B754)))</f>
        <v/>
      </c>
      <c r="S754" s="48">
        <f>IF($B754=1,N(INDEX(Employees!$T$5:$T$29,$A754)),V753)</f>
        <v/>
      </c>
      <c r="T754" s="48">
        <f>IF(INDEX(Employees!$S$5:$S$29,$A754)="",Q754,MAX(0,MIN(Q754,INDEX(Employees!$S$5:$S$29,$A754)-(S754-R754))))</f>
        <v/>
      </c>
      <c r="U754" s="48">
        <f>Q754-T754</f>
        <v/>
      </c>
      <c r="V754" s="48">
        <f>S754-R754+T754</f>
        <v/>
      </c>
    </row>
    <row r="755">
      <c r="A755" s="47" t="n">
        <v>15</v>
      </c>
      <c r="B755" s="47" t="n">
        <v>9</v>
      </c>
      <c r="C755" s="48">
        <f>INDEX(Employees!$B$5:$B$29,$A755)&amp;""</f>
        <v/>
      </c>
      <c r="D755" s="49">
        <f>INDEX(Periods!$B$5:$B$57,$B755)</f>
        <v/>
      </c>
      <c r="E755" s="49">
        <f>INDEX(Periods!$C$5:$C$57,$B755)</f>
        <v/>
      </c>
      <c r="F755" s="47">
        <f>IF(AND($C755&lt;&gt;"",INDEX(Periods!$D$5:$D$57,$B755)=1),1,0)</f>
        <v/>
      </c>
      <c r="G755" s="47">
        <f>IF($F755=0,0,IF(AND(OR(INDEX(Employees!$D$5:$D$29,$A755)="",$E755&gt;=INDEX(Employees!$D$5:$D$29,$A755)+N(INDEX(Employees!$U$5:$U$29,$A755))),OR(INDEX(Employees!$E$5:$E$29,$A755)="",$D755&lt;=INDEX(Employees!$E$5:$E$29,$A755))),1,0))</f>
        <v/>
      </c>
      <c r="H755" s="47">
        <f>IF($G755=0,0,IF(INDEX(Employees!$D$5:$D$29,$A755)="",0,DATEDIF(INDEX(Employees!$D$5:$D$29,$A755),$E755,"y")))</f>
        <v/>
      </c>
      <c r="I755" s="48">
        <f>IF($G755=0,0,IF(INDEX('Hours Worked'!$D$5:$BD$29,$A755,$B755)="",N(INDEX(Employees!$H$5:$H$29,$A755)),INDEX('Hours Worked'!$D$5:$BD$29,$A755,$B755)))</f>
        <v/>
      </c>
      <c r="J755" s="48">
        <f>IF(OR($G755=0,INDEX(Employees!$O$5:$O$29,$A755)&lt;&gt;"Yes"),0,IF(COUNTIF(Settings!$D$4:$D$9,"&lt;="&amp;$H755)=0,0,INDEX(Settings!$E$4:$E$9,COUNTIF(Settings!$D$4:$D$9,"&lt;="&amp;$H755))))</f>
        <v/>
      </c>
      <c r="K755" s="48">
        <f>IF($G755=0,0,IF(INDEX(Employees!$I$5:$I$29,$A755)="Per pay period",(N(INDEX(Employees!$J$5:$J$29,$A755))+$J755)/Settings!$B$13,IF(INDEX(Employees!$I$5:$I$29,$A755)="Per hour worked",N(INDEX(Employees!$K$5:$K$29,$A755))*$I755,IF(INDEX(Employees!$I$5:$I$29,$A755)="Front-loaded",IF(OR($B755=1,N($G754)=0),N(INDEX(Employees!$J$5:$J$29,$A755))+$J755,0),0))))</f>
        <v/>
      </c>
      <c r="L755" s="48">
        <f>IF($F755=0,0,SUMIFS('Time Off Log'!$H$5:$H$504,'Time Off Log'!$A$5:$A$504,$C755,'Time Off Log'!$B$5:$B$504,"PTO",'Time Off Log'!$E$5:$E$504,"Approved",'Time Off Log'!$C$5:$C$504,"&gt;="&amp;INDEX(Periods!$E$5:$E$57,$B755),'Time Off Log'!$C$5:$C$504,"&lt;="&amp;INDEX(Periods!$F$5:$F$57,$B755)))</f>
        <v/>
      </c>
      <c r="M755" s="48">
        <f>IF($B755=1,N(INDEX(Employees!$N$5:$N$29,$A755)),P754)</f>
        <v/>
      </c>
      <c r="N755" s="48">
        <f>IF(INDEX(Employees!$L$5:$L$29,$A755)="",K755,MAX(0,MIN(K755,INDEX(Employees!$L$5:$L$29,$A755)-(M755-L755))))</f>
        <v/>
      </c>
      <c r="O755" s="48">
        <f>K755-N755</f>
        <v/>
      </c>
      <c r="P755" s="48">
        <f>M755-L755+N755</f>
        <v/>
      </c>
      <c r="Q755" s="48">
        <f>IF($G755=0,0,IF(INDEX(Employees!$P$5:$P$29,$A755)="Per pay period",(N(INDEX(Employees!$Q$5:$Q$29,$A755)))/Settings!$B$13,IF(INDEX(Employees!$P$5:$P$29,$A755)="Per hour worked",N(INDEX(Employees!$R$5:$R$29,$A755))*$I755,IF(INDEX(Employees!$P$5:$P$29,$A755)="Front-loaded",IF(OR($B755=1,N($G754)=0),N(INDEX(Employees!$Q$5:$Q$29,$A755)),0),0))))</f>
        <v/>
      </c>
      <c r="R755" s="48">
        <f>IF($F755=0,0,SUMIFS('Time Off Log'!$H$5:$H$504,'Time Off Log'!$A$5:$A$504,$C755,'Time Off Log'!$B$5:$B$504,"Sick",'Time Off Log'!$E$5:$E$504,"Approved",'Time Off Log'!$C$5:$C$504,"&gt;="&amp;INDEX(Periods!$E$5:$E$57,$B755),'Time Off Log'!$C$5:$C$504,"&lt;="&amp;INDEX(Periods!$F$5:$F$57,$B755)))</f>
        <v/>
      </c>
      <c r="S755" s="48">
        <f>IF($B755=1,N(INDEX(Employees!$T$5:$T$29,$A755)),V754)</f>
        <v/>
      </c>
      <c r="T755" s="48">
        <f>IF(INDEX(Employees!$S$5:$S$29,$A755)="",Q755,MAX(0,MIN(Q755,INDEX(Employees!$S$5:$S$29,$A755)-(S755-R755))))</f>
        <v/>
      </c>
      <c r="U755" s="48">
        <f>Q755-T755</f>
        <v/>
      </c>
      <c r="V755" s="48">
        <f>S755-R755+T755</f>
        <v/>
      </c>
    </row>
    <row r="756">
      <c r="A756" s="47" t="n">
        <v>15</v>
      </c>
      <c r="B756" s="47" t="n">
        <v>10</v>
      </c>
      <c r="C756" s="48">
        <f>INDEX(Employees!$B$5:$B$29,$A756)&amp;""</f>
        <v/>
      </c>
      <c r="D756" s="49">
        <f>INDEX(Periods!$B$5:$B$57,$B756)</f>
        <v/>
      </c>
      <c r="E756" s="49">
        <f>INDEX(Periods!$C$5:$C$57,$B756)</f>
        <v/>
      </c>
      <c r="F756" s="47">
        <f>IF(AND($C756&lt;&gt;"",INDEX(Periods!$D$5:$D$57,$B756)=1),1,0)</f>
        <v/>
      </c>
      <c r="G756" s="47">
        <f>IF($F756=0,0,IF(AND(OR(INDEX(Employees!$D$5:$D$29,$A756)="",$E756&gt;=INDEX(Employees!$D$5:$D$29,$A756)+N(INDEX(Employees!$U$5:$U$29,$A756))),OR(INDEX(Employees!$E$5:$E$29,$A756)="",$D756&lt;=INDEX(Employees!$E$5:$E$29,$A756))),1,0))</f>
        <v/>
      </c>
      <c r="H756" s="47">
        <f>IF($G756=0,0,IF(INDEX(Employees!$D$5:$D$29,$A756)="",0,DATEDIF(INDEX(Employees!$D$5:$D$29,$A756),$E756,"y")))</f>
        <v/>
      </c>
      <c r="I756" s="48">
        <f>IF($G756=0,0,IF(INDEX('Hours Worked'!$D$5:$BD$29,$A756,$B756)="",N(INDEX(Employees!$H$5:$H$29,$A756)),INDEX('Hours Worked'!$D$5:$BD$29,$A756,$B756)))</f>
        <v/>
      </c>
      <c r="J756" s="48">
        <f>IF(OR($G756=0,INDEX(Employees!$O$5:$O$29,$A756)&lt;&gt;"Yes"),0,IF(COUNTIF(Settings!$D$4:$D$9,"&lt;="&amp;$H756)=0,0,INDEX(Settings!$E$4:$E$9,COUNTIF(Settings!$D$4:$D$9,"&lt;="&amp;$H756))))</f>
        <v/>
      </c>
      <c r="K756" s="48">
        <f>IF($G756=0,0,IF(INDEX(Employees!$I$5:$I$29,$A756)="Per pay period",(N(INDEX(Employees!$J$5:$J$29,$A756))+$J756)/Settings!$B$13,IF(INDEX(Employees!$I$5:$I$29,$A756)="Per hour worked",N(INDEX(Employees!$K$5:$K$29,$A756))*$I756,IF(INDEX(Employees!$I$5:$I$29,$A756)="Front-loaded",IF(OR($B756=1,N($G755)=0),N(INDEX(Employees!$J$5:$J$29,$A756))+$J756,0),0))))</f>
        <v/>
      </c>
      <c r="L756" s="48">
        <f>IF($F756=0,0,SUMIFS('Time Off Log'!$H$5:$H$504,'Time Off Log'!$A$5:$A$504,$C756,'Time Off Log'!$B$5:$B$504,"PTO",'Time Off Log'!$E$5:$E$504,"Approved",'Time Off Log'!$C$5:$C$504,"&gt;="&amp;INDEX(Periods!$E$5:$E$57,$B756),'Time Off Log'!$C$5:$C$504,"&lt;="&amp;INDEX(Periods!$F$5:$F$57,$B756)))</f>
        <v/>
      </c>
      <c r="M756" s="48">
        <f>IF($B756=1,N(INDEX(Employees!$N$5:$N$29,$A756)),P755)</f>
        <v/>
      </c>
      <c r="N756" s="48">
        <f>IF(INDEX(Employees!$L$5:$L$29,$A756)="",K756,MAX(0,MIN(K756,INDEX(Employees!$L$5:$L$29,$A756)-(M756-L756))))</f>
        <v/>
      </c>
      <c r="O756" s="48">
        <f>K756-N756</f>
        <v/>
      </c>
      <c r="P756" s="48">
        <f>M756-L756+N756</f>
        <v/>
      </c>
      <c r="Q756" s="48">
        <f>IF($G756=0,0,IF(INDEX(Employees!$P$5:$P$29,$A756)="Per pay period",(N(INDEX(Employees!$Q$5:$Q$29,$A756)))/Settings!$B$13,IF(INDEX(Employees!$P$5:$P$29,$A756)="Per hour worked",N(INDEX(Employees!$R$5:$R$29,$A756))*$I756,IF(INDEX(Employees!$P$5:$P$29,$A756)="Front-loaded",IF(OR($B756=1,N($G755)=0),N(INDEX(Employees!$Q$5:$Q$29,$A756)),0),0))))</f>
        <v/>
      </c>
      <c r="R756" s="48">
        <f>IF($F756=0,0,SUMIFS('Time Off Log'!$H$5:$H$504,'Time Off Log'!$A$5:$A$504,$C756,'Time Off Log'!$B$5:$B$504,"Sick",'Time Off Log'!$E$5:$E$504,"Approved",'Time Off Log'!$C$5:$C$504,"&gt;="&amp;INDEX(Periods!$E$5:$E$57,$B756),'Time Off Log'!$C$5:$C$504,"&lt;="&amp;INDEX(Periods!$F$5:$F$57,$B756)))</f>
        <v/>
      </c>
      <c r="S756" s="48">
        <f>IF($B756=1,N(INDEX(Employees!$T$5:$T$29,$A756)),V755)</f>
        <v/>
      </c>
      <c r="T756" s="48">
        <f>IF(INDEX(Employees!$S$5:$S$29,$A756)="",Q756,MAX(0,MIN(Q756,INDEX(Employees!$S$5:$S$29,$A756)-(S756-R756))))</f>
        <v/>
      </c>
      <c r="U756" s="48">
        <f>Q756-T756</f>
        <v/>
      </c>
      <c r="V756" s="48">
        <f>S756-R756+T756</f>
        <v/>
      </c>
    </row>
    <row r="757">
      <c r="A757" s="47" t="n">
        <v>15</v>
      </c>
      <c r="B757" s="47" t="n">
        <v>11</v>
      </c>
      <c r="C757" s="48">
        <f>INDEX(Employees!$B$5:$B$29,$A757)&amp;""</f>
        <v/>
      </c>
      <c r="D757" s="49">
        <f>INDEX(Periods!$B$5:$B$57,$B757)</f>
        <v/>
      </c>
      <c r="E757" s="49">
        <f>INDEX(Periods!$C$5:$C$57,$B757)</f>
        <v/>
      </c>
      <c r="F757" s="47">
        <f>IF(AND($C757&lt;&gt;"",INDEX(Periods!$D$5:$D$57,$B757)=1),1,0)</f>
        <v/>
      </c>
      <c r="G757" s="47">
        <f>IF($F757=0,0,IF(AND(OR(INDEX(Employees!$D$5:$D$29,$A757)="",$E757&gt;=INDEX(Employees!$D$5:$D$29,$A757)+N(INDEX(Employees!$U$5:$U$29,$A757))),OR(INDEX(Employees!$E$5:$E$29,$A757)="",$D757&lt;=INDEX(Employees!$E$5:$E$29,$A757))),1,0))</f>
        <v/>
      </c>
      <c r="H757" s="47">
        <f>IF($G757=0,0,IF(INDEX(Employees!$D$5:$D$29,$A757)="",0,DATEDIF(INDEX(Employees!$D$5:$D$29,$A757),$E757,"y")))</f>
        <v/>
      </c>
      <c r="I757" s="48">
        <f>IF($G757=0,0,IF(INDEX('Hours Worked'!$D$5:$BD$29,$A757,$B757)="",N(INDEX(Employees!$H$5:$H$29,$A757)),INDEX('Hours Worked'!$D$5:$BD$29,$A757,$B757)))</f>
        <v/>
      </c>
      <c r="J757" s="48">
        <f>IF(OR($G757=0,INDEX(Employees!$O$5:$O$29,$A757)&lt;&gt;"Yes"),0,IF(COUNTIF(Settings!$D$4:$D$9,"&lt;="&amp;$H757)=0,0,INDEX(Settings!$E$4:$E$9,COUNTIF(Settings!$D$4:$D$9,"&lt;="&amp;$H757))))</f>
        <v/>
      </c>
      <c r="K757" s="48">
        <f>IF($G757=0,0,IF(INDEX(Employees!$I$5:$I$29,$A757)="Per pay period",(N(INDEX(Employees!$J$5:$J$29,$A757))+$J757)/Settings!$B$13,IF(INDEX(Employees!$I$5:$I$29,$A757)="Per hour worked",N(INDEX(Employees!$K$5:$K$29,$A757))*$I757,IF(INDEX(Employees!$I$5:$I$29,$A757)="Front-loaded",IF(OR($B757=1,N($G756)=0),N(INDEX(Employees!$J$5:$J$29,$A757))+$J757,0),0))))</f>
        <v/>
      </c>
      <c r="L757" s="48">
        <f>IF($F757=0,0,SUMIFS('Time Off Log'!$H$5:$H$504,'Time Off Log'!$A$5:$A$504,$C757,'Time Off Log'!$B$5:$B$504,"PTO",'Time Off Log'!$E$5:$E$504,"Approved",'Time Off Log'!$C$5:$C$504,"&gt;="&amp;INDEX(Periods!$E$5:$E$57,$B757),'Time Off Log'!$C$5:$C$504,"&lt;="&amp;INDEX(Periods!$F$5:$F$57,$B757)))</f>
        <v/>
      </c>
      <c r="M757" s="48">
        <f>IF($B757=1,N(INDEX(Employees!$N$5:$N$29,$A757)),P756)</f>
        <v/>
      </c>
      <c r="N757" s="48">
        <f>IF(INDEX(Employees!$L$5:$L$29,$A757)="",K757,MAX(0,MIN(K757,INDEX(Employees!$L$5:$L$29,$A757)-(M757-L757))))</f>
        <v/>
      </c>
      <c r="O757" s="48">
        <f>K757-N757</f>
        <v/>
      </c>
      <c r="P757" s="48">
        <f>M757-L757+N757</f>
        <v/>
      </c>
      <c r="Q757" s="48">
        <f>IF($G757=0,0,IF(INDEX(Employees!$P$5:$P$29,$A757)="Per pay period",(N(INDEX(Employees!$Q$5:$Q$29,$A757)))/Settings!$B$13,IF(INDEX(Employees!$P$5:$P$29,$A757)="Per hour worked",N(INDEX(Employees!$R$5:$R$29,$A757))*$I757,IF(INDEX(Employees!$P$5:$P$29,$A757)="Front-loaded",IF(OR($B757=1,N($G756)=0),N(INDEX(Employees!$Q$5:$Q$29,$A757)),0),0))))</f>
        <v/>
      </c>
      <c r="R757" s="48">
        <f>IF($F757=0,0,SUMIFS('Time Off Log'!$H$5:$H$504,'Time Off Log'!$A$5:$A$504,$C757,'Time Off Log'!$B$5:$B$504,"Sick",'Time Off Log'!$E$5:$E$504,"Approved",'Time Off Log'!$C$5:$C$504,"&gt;="&amp;INDEX(Periods!$E$5:$E$57,$B757),'Time Off Log'!$C$5:$C$504,"&lt;="&amp;INDEX(Periods!$F$5:$F$57,$B757)))</f>
        <v/>
      </c>
      <c r="S757" s="48">
        <f>IF($B757=1,N(INDEX(Employees!$T$5:$T$29,$A757)),V756)</f>
        <v/>
      </c>
      <c r="T757" s="48">
        <f>IF(INDEX(Employees!$S$5:$S$29,$A757)="",Q757,MAX(0,MIN(Q757,INDEX(Employees!$S$5:$S$29,$A757)-(S757-R757))))</f>
        <v/>
      </c>
      <c r="U757" s="48">
        <f>Q757-T757</f>
        <v/>
      </c>
      <c r="V757" s="48">
        <f>S757-R757+T757</f>
        <v/>
      </c>
    </row>
    <row r="758">
      <c r="A758" s="47" t="n">
        <v>15</v>
      </c>
      <c r="B758" s="47" t="n">
        <v>12</v>
      </c>
      <c r="C758" s="48">
        <f>INDEX(Employees!$B$5:$B$29,$A758)&amp;""</f>
        <v/>
      </c>
      <c r="D758" s="49">
        <f>INDEX(Periods!$B$5:$B$57,$B758)</f>
        <v/>
      </c>
      <c r="E758" s="49">
        <f>INDEX(Periods!$C$5:$C$57,$B758)</f>
        <v/>
      </c>
      <c r="F758" s="47">
        <f>IF(AND($C758&lt;&gt;"",INDEX(Periods!$D$5:$D$57,$B758)=1),1,0)</f>
        <v/>
      </c>
      <c r="G758" s="47">
        <f>IF($F758=0,0,IF(AND(OR(INDEX(Employees!$D$5:$D$29,$A758)="",$E758&gt;=INDEX(Employees!$D$5:$D$29,$A758)+N(INDEX(Employees!$U$5:$U$29,$A758))),OR(INDEX(Employees!$E$5:$E$29,$A758)="",$D758&lt;=INDEX(Employees!$E$5:$E$29,$A758))),1,0))</f>
        <v/>
      </c>
      <c r="H758" s="47">
        <f>IF($G758=0,0,IF(INDEX(Employees!$D$5:$D$29,$A758)="",0,DATEDIF(INDEX(Employees!$D$5:$D$29,$A758),$E758,"y")))</f>
        <v/>
      </c>
      <c r="I758" s="48">
        <f>IF($G758=0,0,IF(INDEX('Hours Worked'!$D$5:$BD$29,$A758,$B758)="",N(INDEX(Employees!$H$5:$H$29,$A758)),INDEX('Hours Worked'!$D$5:$BD$29,$A758,$B758)))</f>
        <v/>
      </c>
      <c r="J758" s="48">
        <f>IF(OR($G758=0,INDEX(Employees!$O$5:$O$29,$A758)&lt;&gt;"Yes"),0,IF(COUNTIF(Settings!$D$4:$D$9,"&lt;="&amp;$H758)=0,0,INDEX(Settings!$E$4:$E$9,COUNTIF(Settings!$D$4:$D$9,"&lt;="&amp;$H758))))</f>
        <v/>
      </c>
      <c r="K758" s="48">
        <f>IF($G758=0,0,IF(INDEX(Employees!$I$5:$I$29,$A758)="Per pay period",(N(INDEX(Employees!$J$5:$J$29,$A758))+$J758)/Settings!$B$13,IF(INDEX(Employees!$I$5:$I$29,$A758)="Per hour worked",N(INDEX(Employees!$K$5:$K$29,$A758))*$I758,IF(INDEX(Employees!$I$5:$I$29,$A758)="Front-loaded",IF(OR($B758=1,N($G757)=0),N(INDEX(Employees!$J$5:$J$29,$A758))+$J758,0),0))))</f>
        <v/>
      </c>
      <c r="L758" s="48">
        <f>IF($F758=0,0,SUMIFS('Time Off Log'!$H$5:$H$504,'Time Off Log'!$A$5:$A$504,$C758,'Time Off Log'!$B$5:$B$504,"PTO",'Time Off Log'!$E$5:$E$504,"Approved",'Time Off Log'!$C$5:$C$504,"&gt;="&amp;INDEX(Periods!$E$5:$E$57,$B758),'Time Off Log'!$C$5:$C$504,"&lt;="&amp;INDEX(Periods!$F$5:$F$57,$B758)))</f>
        <v/>
      </c>
      <c r="M758" s="48">
        <f>IF($B758=1,N(INDEX(Employees!$N$5:$N$29,$A758)),P757)</f>
        <v/>
      </c>
      <c r="N758" s="48">
        <f>IF(INDEX(Employees!$L$5:$L$29,$A758)="",K758,MAX(0,MIN(K758,INDEX(Employees!$L$5:$L$29,$A758)-(M758-L758))))</f>
        <v/>
      </c>
      <c r="O758" s="48">
        <f>K758-N758</f>
        <v/>
      </c>
      <c r="P758" s="48">
        <f>M758-L758+N758</f>
        <v/>
      </c>
      <c r="Q758" s="48">
        <f>IF($G758=0,0,IF(INDEX(Employees!$P$5:$P$29,$A758)="Per pay period",(N(INDEX(Employees!$Q$5:$Q$29,$A758)))/Settings!$B$13,IF(INDEX(Employees!$P$5:$P$29,$A758)="Per hour worked",N(INDEX(Employees!$R$5:$R$29,$A758))*$I758,IF(INDEX(Employees!$P$5:$P$29,$A758)="Front-loaded",IF(OR($B758=1,N($G757)=0),N(INDEX(Employees!$Q$5:$Q$29,$A758)),0),0))))</f>
        <v/>
      </c>
      <c r="R758" s="48">
        <f>IF($F758=0,0,SUMIFS('Time Off Log'!$H$5:$H$504,'Time Off Log'!$A$5:$A$504,$C758,'Time Off Log'!$B$5:$B$504,"Sick",'Time Off Log'!$E$5:$E$504,"Approved",'Time Off Log'!$C$5:$C$504,"&gt;="&amp;INDEX(Periods!$E$5:$E$57,$B758),'Time Off Log'!$C$5:$C$504,"&lt;="&amp;INDEX(Periods!$F$5:$F$57,$B758)))</f>
        <v/>
      </c>
      <c r="S758" s="48">
        <f>IF($B758=1,N(INDEX(Employees!$T$5:$T$29,$A758)),V757)</f>
        <v/>
      </c>
      <c r="T758" s="48">
        <f>IF(INDEX(Employees!$S$5:$S$29,$A758)="",Q758,MAX(0,MIN(Q758,INDEX(Employees!$S$5:$S$29,$A758)-(S758-R758))))</f>
        <v/>
      </c>
      <c r="U758" s="48">
        <f>Q758-T758</f>
        <v/>
      </c>
      <c r="V758" s="48">
        <f>S758-R758+T758</f>
        <v/>
      </c>
    </row>
    <row r="759">
      <c r="A759" s="47" t="n">
        <v>15</v>
      </c>
      <c r="B759" s="47" t="n">
        <v>13</v>
      </c>
      <c r="C759" s="48">
        <f>INDEX(Employees!$B$5:$B$29,$A759)&amp;""</f>
        <v/>
      </c>
      <c r="D759" s="49">
        <f>INDEX(Periods!$B$5:$B$57,$B759)</f>
        <v/>
      </c>
      <c r="E759" s="49">
        <f>INDEX(Periods!$C$5:$C$57,$B759)</f>
        <v/>
      </c>
      <c r="F759" s="47">
        <f>IF(AND($C759&lt;&gt;"",INDEX(Periods!$D$5:$D$57,$B759)=1),1,0)</f>
        <v/>
      </c>
      <c r="G759" s="47">
        <f>IF($F759=0,0,IF(AND(OR(INDEX(Employees!$D$5:$D$29,$A759)="",$E759&gt;=INDEX(Employees!$D$5:$D$29,$A759)+N(INDEX(Employees!$U$5:$U$29,$A759))),OR(INDEX(Employees!$E$5:$E$29,$A759)="",$D759&lt;=INDEX(Employees!$E$5:$E$29,$A759))),1,0))</f>
        <v/>
      </c>
      <c r="H759" s="47">
        <f>IF($G759=0,0,IF(INDEX(Employees!$D$5:$D$29,$A759)="",0,DATEDIF(INDEX(Employees!$D$5:$D$29,$A759),$E759,"y")))</f>
        <v/>
      </c>
      <c r="I759" s="48">
        <f>IF($G759=0,0,IF(INDEX('Hours Worked'!$D$5:$BD$29,$A759,$B759)="",N(INDEX(Employees!$H$5:$H$29,$A759)),INDEX('Hours Worked'!$D$5:$BD$29,$A759,$B759)))</f>
        <v/>
      </c>
      <c r="J759" s="48">
        <f>IF(OR($G759=0,INDEX(Employees!$O$5:$O$29,$A759)&lt;&gt;"Yes"),0,IF(COUNTIF(Settings!$D$4:$D$9,"&lt;="&amp;$H759)=0,0,INDEX(Settings!$E$4:$E$9,COUNTIF(Settings!$D$4:$D$9,"&lt;="&amp;$H759))))</f>
        <v/>
      </c>
      <c r="K759" s="48">
        <f>IF($G759=0,0,IF(INDEX(Employees!$I$5:$I$29,$A759)="Per pay period",(N(INDEX(Employees!$J$5:$J$29,$A759))+$J759)/Settings!$B$13,IF(INDEX(Employees!$I$5:$I$29,$A759)="Per hour worked",N(INDEX(Employees!$K$5:$K$29,$A759))*$I759,IF(INDEX(Employees!$I$5:$I$29,$A759)="Front-loaded",IF(OR($B759=1,N($G758)=0),N(INDEX(Employees!$J$5:$J$29,$A759))+$J759,0),0))))</f>
        <v/>
      </c>
      <c r="L759" s="48">
        <f>IF($F759=0,0,SUMIFS('Time Off Log'!$H$5:$H$504,'Time Off Log'!$A$5:$A$504,$C759,'Time Off Log'!$B$5:$B$504,"PTO",'Time Off Log'!$E$5:$E$504,"Approved",'Time Off Log'!$C$5:$C$504,"&gt;="&amp;INDEX(Periods!$E$5:$E$57,$B759),'Time Off Log'!$C$5:$C$504,"&lt;="&amp;INDEX(Periods!$F$5:$F$57,$B759)))</f>
        <v/>
      </c>
      <c r="M759" s="48">
        <f>IF($B759=1,N(INDEX(Employees!$N$5:$N$29,$A759)),P758)</f>
        <v/>
      </c>
      <c r="N759" s="48">
        <f>IF(INDEX(Employees!$L$5:$L$29,$A759)="",K759,MAX(0,MIN(K759,INDEX(Employees!$L$5:$L$29,$A759)-(M759-L759))))</f>
        <v/>
      </c>
      <c r="O759" s="48">
        <f>K759-N759</f>
        <v/>
      </c>
      <c r="P759" s="48">
        <f>M759-L759+N759</f>
        <v/>
      </c>
      <c r="Q759" s="48">
        <f>IF($G759=0,0,IF(INDEX(Employees!$P$5:$P$29,$A759)="Per pay period",(N(INDEX(Employees!$Q$5:$Q$29,$A759)))/Settings!$B$13,IF(INDEX(Employees!$P$5:$P$29,$A759)="Per hour worked",N(INDEX(Employees!$R$5:$R$29,$A759))*$I759,IF(INDEX(Employees!$P$5:$P$29,$A759)="Front-loaded",IF(OR($B759=1,N($G758)=0),N(INDEX(Employees!$Q$5:$Q$29,$A759)),0),0))))</f>
        <v/>
      </c>
      <c r="R759" s="48">
        <f>IF($F759=0,0,SUMIFS('Time Off Log'!$H$5:$H$504,'Time Off Log'!$A$5:$A$504,$C759,'Time Off Log'!$B$5:$B$504,"Sick",'Time Off Log'!$E$5:$E$504,"Approved",'Time Off Log'!$C$5:$C$504,"&gt;="&amp;INDEX(Periods!$E$5:$E$57,$B759),'Time Off Log'!$C$5:$C$504,"&lt;="&amp;INDEX(Periods!$F$5:$F$57,$B759)))</f>
        <v/>
      </c>
      <c r="S759" s="48">
        <f>IF($B759=1,N(INDEX(Employees!$T$5:$T$29,$A759)),V758)</f>
        <v/>
      </c>
      <c r="T759" s="48">
        <f>IF(INDEX(Employees!$S$5:$S$29,$A759)="",Q759,MAX(0,MIN(Q759,INDEX(Employees!$S$5:$S$29,$A759)-(S759-R759))))</f>
        <v/>
      </c>
      <c r="U759" s="48">
        <f>Q759-T759</f>
        <v/>
      </c>
      <c r="V759" s="48">
        <f>S759-R759+T759</f>
        <v/>
      </c>
    </row>
    <row r="760">
      <c r="A760" s="47" t="n">
        <v>15</v>
      </c>
      <c r="B760" s="47" t="n">
        <v>14</v>
      </c>
      <c r="C760" s="48">
        <f>INDEX(Employees!$B$5:$B$29,$A760)&amp;""</f>
        <v/>
      </c>
      <c r="D760" s="49">
        <f>INDEX(Periods!$B$5:$B$57,$B760)</f>
        <v/>
      </c>
      <c r="E760" s="49">
        <f>INDEX(Periods!$C$5:$C$57,$B760)</f>
        <v/>
      </c>
      <c r="F760" s="47">
        <f>IF(AND($C760&lt;&gt;"",INDEX(Periods!$D$5:$D$57,$B760)=1),1,0)</f>
        <v/>
      </c>
      <c r="G760" s="47">
        <f>IF($F760=0,0,IF(AND(OR(INDEX(Employees!$D$5:$D$29,$A760)="",$E760&gt;=INDEX(Employees!$D$5:$D$29,$A760)+N(INDEX(Employees!$U$5:$U$29,$A760))),OR(INDEX(Employees!$E$5:$E$29,$A760)="",$D760&lt;=INDEX(Employees!$E$5:$E$29,$A760))),1,0))</f>
        <v/>
      </c>
      <c r="H760" s="47">
        <f>IF($G760=0,0,IF(INDEX(Employees!$D$5:$D$29,$A760)="",0,DATEDIF(INDEX(Employees!$D$5:$D$29,$A760),$E760,"y")))</f>
        <v/>
      </c>
      <c r="I760" s="48">
        <f>IF($G760=0,0,IF(INDEX('Hours Worked'!$D$5:$BD$29,$A760,$B760)="",N(INDEX(Employees!$H$5:$H$29,$A760)),INDEX('Hours Worked'!$D$5:$BD$29,$A760,$B760)))</f>
        <v/>
      </c>
      <c r="J760" s="48">
        <f>IF(OR($G760=0,INDEX(Employees!$O$5:$O$29,$A760)&lt;&gt;"Yes"),0,IF(COUNTIF(Settings!$D$4:$D$9,"&lt;="&amp;$H760)=0,0,INDEX(Settings!$E$4:$E$9,COUNTIF(Settings!$D$4:$D$9,"&lt;="&amp;$H760))))</f>
        <v/>
      </c>
      <c r="K760" s="48">
        <f>IF($G760=0,0,IF(INDEX(Employees!$I$5:$I$29,$A760)="Per pay period",(N(INDEX(Employees!$J$5:$J$29,$A760))+$J760)/Settings!$B$13,IF(INDEX(Employees!$I$5:$I$29,$A760)="Per hour worked",N(INDEX(Employees!$K$5:$K$29,$A760))*$I760,IF(INDEX(Employees!$I$5:$I$29,$A760)="Front-loaded",IF(OR($B760=1,N($G759)=0),N(INDEX(Employees!$J$5:$J$29,$A760))+$J760,0),0))))</f>
        <v/>
      </c>
      <c r="L760" s="48">
        <f>IF($F760=0,0,SUMIFS('Time Off Log'!$H$5:$H$504,'Time Off Log'!$A$5:$A$504,$C760,'Time Off Log'!$B$5:$B$504,"PTO",'Time Off Log'!$E$5:$E$504,"Approved",'Time Off Log'!$C$5:$C$504,"&gt;="&amp;INDEX(Periods!$E$5:$E$57,$B760),'Time Off Log'!$C$5:$C$504,"&lt;="&amp;INDEX(Periods!$F$5:$F$57,$B760)))</f>
        <v/>
      </c>
      <c r="M760" s="48">
        <f>IF($B760=1,N(INDEX(Employees!$N$5:$N$29,$A760)),P759)</f>
        <v/>
      </c>
      <c r="N760" s="48">
        <f>IF(INDEX(Employees!$L$5:$L$29,$A760)="",K760,MAX(0,MIN(K760,INDEX(Employees!$L$5:$L$29,$A760)-(M760-L760))))</f>
        <v/>
      </c>
      <c r="O760" s="48">
        <f>K760-N760</f>
        <v/>
      </c>
      <c r="P760" s="48">
        <f>M760-L760+N760</f>
        <v/>
      </c>
      <c r="Q760" s="48">
        <f>IF($G760=0,0,IF(INDEX(Employees!$P$5:$P$29,$A760)="Per pay period",(N(INDEX(Employees!$Q$5:$Q$29,$A760)))/Settings!$B$13,IF(INDEX(Employees!$P$5:$P$29,$A760)="Per hour worked",N(INDEX(Employees!$R$5:$R$29,$A760))*$I760,IF(INDEX(Employees!$P$5:$P$29,$A760)="Front-loaded",IF(OR($B760=1,N($G759)=0),N(INDEX(Employees!$Q$5:$Q$29,$A760)),0),0))))</f>
        <v/>
      </c>
      <c r="R760" s="48">
        <f>IF($F760=0,0,SUMIFS('Time Off Log'!$H$5:$H$504,'Time Off Log'!$A$5:$A$504,$C760,'Time Off Log'!$B$5:$B$504,"Sick",'Time Off Log'!$E$5:$E$504,"Approved",'Time Off Log'!$C$5:$C$504,"&gt;="&amp;INDEX(Periods!$E$5:$E$57,$B760),'Time Off Log'!$C$5:$C$504,"&lt;="&amp;INDEX(Periods!$F$5:$F$57,$B760)))</f>
        <v/>
      </c>
      <c r="S760" s="48">
        <f>IF($B760=1,N(INDEX(Employees!$T$5:$T$29,$A760)),V759)</f>
        <v/>
      </c>
      <c r="T760" s="48">
        <f>IF(INDEX(Employees!$S$5:$S$29,$A760)="",Q760,MAX(0,MIN(Q760,INDEX(Employees!$S$5:$S$29,$A760)-(S760-R760))))</f>
        <v/>
      </c>
      <c r="U760" s="48">
        <f>Q760-T760</f>
        <v/>
      </c>
      <c r="V760" s="48">
        <f>S760-R760+T760</f>
        <v/>
      </c>
    </row>
    <row r="761">
      <c r="A761" s="47" t="n">
        <v>15</v>
      </c>
      <c r="B761" s="47" t="n">
        <v>15</v>
      </c>
      <c r="C761" s="48">
        <f>INDEX(Employees!$B$5:$B$29,$A761)&amp;""</f>
        <v/>
      </c>
      <c r="D761" s="49">
        <f>INDEX(Periods!$B$5:$B$57,$B761)</f>
        <v/>
      </c>
      <c r="E761" s="49">
        <f>INDEX(Periods!$C$5:$C$57,$B761)</f>
        <v/>
      </c>
      <c r="F761" s="47">
        <f>IF(AND($C761&lt;&gt;"",INDEX(Periods!$D$5:$D$57,$B761)=1),1,0)</f>
        <v/>
      </c>
      <c r="G761" s="47">
        <f>IF($F761=0,0,IF(AND(OR(INDEX(Employees!$D$5:$D$29,$A761)="",$E761&gt;=INDEX(Employees!$D$5:$D$29,$A761)+N(INDEX(Employees!$U$5:$U$29,$A761))),OR(INDEX(Employees!$E$5:$E$29,$A761)="",$D761&lt;=INDEX(Employees!$E$5:$E$29,$A761))),1,0))</f>
        <v/>
      </c>
      <c r="H761" s="47">
        <f>IF($G761=0,0,IF(INDEX(Employees!$D$5:$D$29,$A761)="",0,DATEDIF(INDEX(Employees!$D$5:$D$29,$A761),$E761,"y")))</f>
        <v/>
      </c>
      <c r="I761" s="48">
        <f>IF($G761=0,0,IF(INDEX('Hours Worked'!$D$5:$BD$29,$A761,$B761)="",N(INDEX(Employees!$H$5:$H$29,$A761)),INDEX('Hours Worked'!$D$5:$BD$29,$A761,$B761)))</f>
        <v/>
      </c>
      <c r="J761" s="48">
        <f>IF(OR($G761=0,INDEX(Employees!$O$5:$O$29,$A761)&lt;&gt;"Yes"),0,IF(COUNTIF(Settings!$D$4:$D$9,"&lt;="&amp;$H761)=0,0,INDEX(Settings!$E$4:$E$9,COUNTIF(Settings!$D$4:$D$9,"&lt;="&amp;$H761))))</f>
        <v/>
      </c>
      <c r="K761" s="48">
        <f>IF($G761=0,0,IF(INDEX(Employees!$I$5:$I$29,$A761)="Per pay period",(N(INDEX(Employees!$J$5:$J$29,$A761))+$J761)/Settings!$B$13,IF(INDEX(Employees!$I$5:$I$29,$A761)="Per hour worked",N(INDEX(Employees!$K$5:$K$29,$A761))*$I761,IF(INDEX(Employees!$I$5:$I$29,$A761)="Front-loaded",IF(OR($B761=1,N($G760)=0),N(INDEX(Employees!$J$5:$J$29,$A761))+$J761,0),0))))</f>
        <v/>
      </c>
      <c r="L761" s="48">
        <f>IF($F761=0,0,SUMIFS('Time Off Log'!$H$5:$H$504,'Time Off Log'!$A$5:$A$504,$C761,'Time Off Log'!$B$5:$B$504,"PTO",'Time Off Log'!$E$5:$E$504,"Approved",'Time Off Log'!$C$5:$C$504,"&gt;="&amp;INDEX(Periods!$E$5:$E$57,$B761),'Time Off Log'!$C$5:$C$504,"&lt;="&amp;INDEX(Periods!$F$5:$F$57,$B761)))</f>
        <v/>
      </c>
      <c r="M761" s="48">
        <f>IF($B761=1,N(INDEX(Employees!$N$5:$N$29,$A761)),P760)</f>
        <v/>
      </c>
      <c r="N761" s="48">
        <f>IF(INDEX(Employees!$L$5:$L$29,$A761)="",K761,MAX(0,MIN(K761,INDEX(Employees!$L$5:$L$29,$A761)-(M761-L761))))</f>
        <v/>
      </c>
      <c r="O761" s="48">
        <f>K761-N761</f>
        <v/>
      </c>
      <c r="P761" s="48">
        <f>M761-L761+N761</f>
        <v/>
      </c>
      <c r="Q761" s="48">
        <f>IF($G761=0,0,IF(INDEX(Employees!$P$5:$P$29,$A761)="Per pay period",(N(INDEX(Employees!$Q$5:$Q$29,$A761)))/Settings!$B$13,IF(INDEX(Employees!$P$5:$P$29,$A761)="Per hour worked",N(INDEX(Employees!$R$5:$R$29,$A761))*$I761,IF(INDEX(Employees!$P$5:$P$29,$A761)="Front-loaded",IF(OR($B761=1,N($G760)=0),N(INDEX(Employees!$Q$5:$Q$29,$A761)),0),0))))</f>
        <v/>
      </c>
      <c r="R761" s="48">
        <f>IF($F761=0,0,SUMIFS('Time Off Log'!$H$5:$H$504,'Time Off Log'!$A$5:$A$504,$C761,'Time Off Log'!$B$5:$B$504,"Sick",'Time Off Log'!$E$5:$E$504,"Approved",'Time Off Log'!$C$5:$C$504,"&gt;="&amp;INDEX(Periods!$E$5:$E$57,$B761),'Time Off Log'!$C$5:$C$504,"&lt;="&amp;INDEX(Periods!$F$5:$F$57,$B761)))</f>
        <v/>
      </c>
      <c r="S761" s="48">
        <f>IF($B761=1,N(INDEX(Employees!$T$5:$T$29,$A761)),V760)</f>
        <v/>
      </c>
      <c r="T761" s="48">
        <f>IF(INDEX(Employees!$S$5:$S$29,$A761)="",Q761,MAX(0,MIN(Q761,INDEX(Employees!$S$5:$S$29,$A761)-(S761-R761))))</f>
        <v/>
      </c>
      <c r="U761" s="48">
        <f>Q761-T761</f>
        <v/>
      </c>
      <c r="V761" s="48">
        <f>S761-R761+T761</f>
        <v/>
      </c>
    </row>
    <row r="762">
      <c r="A762" s="47" t="n">
        <v>15</v>
      </c>
      <c r="B762" s="47" t="n">
        <v>16</v>
      </c>
      <c r="C762" s="48">
        <f>INDEX(Employees!$B$5:$B$29,$A762)&amp;""</f>
        <v/>
      </c>
      <c r="D762" s="49">
        <f>INDEX(Periods!$B$5:$B$57,$B762)</f>
        <v/>
      </c>
      <c r="E762" s="49">
        <f>INDEX(Periods!$C$5:$C$57,$B762)</f>
        <v/>
      </c>
      <c r="F762" s="47">
        <f>IF(AND($C762&lt;&gt;"",INDEX(Periods!$D$5:$D$57,$B762)=1),1,0)</f>
        <v/>
      </c>
      <c r="G762" s="47">
        <f>IF($F762=0,0,IF(AND(OR(INDEX(Employees!$D$5:$D$29,$A762)="",$E762&gt;=INDEX(Employees!$D$5:$D$29,$A762)+N(INDEX(Employees!$U$5:$U$29,$A762))),OR(INDEX(Employees!$E$5:$E$29,$A762)="",$D762&lt;=INDEX(Employees!$E$5:$E$29,$A762))),1,0))</f>
        <v/>
      </c>
      <c r="H762" s="47">
        <f>IF($G762=0,0,IF(INDEX(Employees!$D$5:$D$29,$A762)="",0,DATEDIF(INDEX(Employees!$D$5:$D$29,$A762),$E762,"y")))</f>
        <v/>
      </c>
      <c r="I762" s="48">
        <f>IF($G762=0,0,IF(INDEX('Hours Worked'!$D$5:$BD$29,$A762,$B762)="",N(INDEX(Employees!$H$5:$H$29,$A762)),INDEX('Hours Worked'!$D$5:$BD$29,$A762,$B762)))</f>
        <v/>
      </c>
      <c r="J762" s="48">
        <f>IF(OR($G762=0,INDEX(Employees!$O$5:$O$29,$A762)&lt;&gt;"Yes"),0,IF(COUNTIF(Settings!$D$4:$D$9,"&lt;="&amp;$H762)=0,0,INDEX(Settings!$E$4:$E$9,COUNTIF(Settings!$D$4:$D$9,"&lt;="&amp;$H762))))</f>
        <v/>
      </c>
      <c r="K762" s="48">
        <f>IF($G762=0,0,IF(INDEX(Employees!$I$5:$I$29,$A762)="Per pay period",(N(INDEX(Employees!$J$5:$J$29,$A762))+$J762)/Settings!$B$13,IF(INDEX(Employees!$I$5:$I$29,$A762)="Per hour worked",N(INDEX(Employees!$K$5:$K$29,$A762))*$I762,IF(INDEX(Employees!$I$5:$I$29,$A762)="Front-loaded",IF(OR($B762=1,N($G761)=0),N(INDEX(Employees!$J$5:$J$29,$A762))+$J762,0),0))))</f>
        <v/>
      </c>
      <c r="L762" s="48">
        <f>IF($F762=0,0,SUMIFS('Time Off Log'!$H$5:$H$504,'Time Off Log'!$A$5:$A$504,$C762,'Time Off Log'!$B$5:$B$504,"PTO",'Time Off Log'!$E$5:$E$504,"Approved",'Time Off Log'!$C$5:$C$504,"&gt;="&amp;INDEX(Periods!$E$5:$E$57,$B762),'Time Off Log'!$C$5:$C$504,"&lt;="&amp;INDEX(Periods!$F$5:$F$57,$B762)))</f>
        <v/>
      </c>
      <c r="M762" s="48">
        <f>IF($B762=1,N(INDEX(Employees!$N$5:$N$29,$A762)),P761)</f>
        <v/>
      </c>
      <c r="N762" s="48">
        <f>IF(INDEX(Employees!$L$5:$L$29,$A762)="",K762,MAX(0,MIN(K762,INDEX(Employees!$L$5:$L$29,$A762)-(M762-L762))))</f>
        <v/>
      </c>
      <c r="O762" s="48">
        <f>K762-N762</f>
        <v/>
      </c>
      <c r="P762" s="48">
        <f>M762-L762+N762</f>
        <v/>
      </c>
      <c r="Q762" s="48">
        <f>IF($G762=0,0,IF(INDEX(Employees!$P$5:$P$29,$A762)="Per pay period",(N(INDEX(Employees!$Q$5:$Q$29,$A762)))/Settings!$B$13,IF(INDEX(Employees!$P$5:$P$29,$A762)="Per hour worked",N(INDEX(Employees!$R$5:$R$29,$A762))*$I762,IF(INDEX(Employees!$P$5:$P$29,$A762)="Front-loaded",IF(OR($B762=1,N($G761)=0),N(INDEX(Employees!$Q$5:$Q$29,$A762)),0),0))))</f>
        <v/>
      </c>
      <c r="R762" s="48">
        <f>IF($F762=0,0,SUMIFS('Time Off Log'!$H$5:$H$504,'Time Off Log'!$A$5:$A$504,$C762,'Time Off Log'!$B$5:$B$504,"Sick",'Time Off Log'!$E$5:$E$504,"Approved",'Time Off Log'!$C$5:$C$504,"&gt;="&amp;INDEX(Periods!$E$5:$E$57,$B762),'Time Off Log'!$C$5:$C$504,"&lt;="&amp;INDEX(Periods!$F$5:$F$57,$B762)))</f>
        <v/>
      </c>
      <c r="S762" s="48">
        <f>IF($B762=1,N(INDEX(Employees!$T$5:$T$29,$A762)),V761)</f>
        <v/>
      </c>
      <c r="T762" s="48">
        <f>IF(INDEX(Employees!$S$5:$S$29,$A762)="",Q762,MAX(0,MIN(Q762,INDEX(Employees!$S$5:$S$29,$A762)-(S762-R762))))</f>
        <v/>
      </c>
      <c r="U762" s="48">
        <f>Q762-T762</f>
        <v/>
      </c>
      <c r="V762" s="48">
        <f>S762-R762+T762</f>
        <v/>
      </c>
    </row>
    <row r="763">
      <c r="A763" s="47" t="n">
        <v>15</v>
      </c>
      <c r="B763" s="47" t="n">
        <v>17</v>
      </c>
      <c r="C763" s="48">
        <f>INDEX(Employees!$B$5:$B$29,$A763)&amp;""</f>
        <v/>
      </c>
      <c r="D763" s="49">
        <f>INDEX(Periods!$B$5:$B$57,$B763)</f>
        <v/>
      </c>
      <c r="E763" s="49">
        <f>INDEX(Periods!$C$5:$C$57,$B763)</f>
        <v/>
      </c>
      <c r="F763" s="47">
        <f>IF(AND($C763&lt;&gt;"",INDEX(Periods!$D$5:$D$57,$B763)=1),1,0)</f>
        <v/>
      </c>
      <c r="G763" s="47">
        <f>IF($F763=0,0,IF(AND(OR(INDEX(Employees!$D$5:$D$29,$A763)="",$E763&gt;=INDEX(Employees!$D$5:$D$29,$A763)+N(INDEX(Employees!$U$5:$U$29,$A763))),OR(INDEX(Employees!$E$5:$E$29,$A763)="",$D763&lt;=INDEX(Employees!$E$5:$E$29,$A763))),1,0))</f>
        <v/>
      </c>
      <c r="H763" s="47">
        <f>IF($G763=0,0,IF(INDEX(Employees!$D$5:$D$29,$A763)="",0,DATEDIF(INDEX(Employees!$D$5:$D$29,$A763),$E763,"y")))</f>
        <v/>
      </c>
      <c r="I763" s="48">
        <f>IF($G763=0,0,IF(INDEX('Hours Worked'!$D$5:$BD$29,$A763,$B763)="",N(INDEX(Employees!$H$5:$H$29,$A763)),INDEX('Hours Worked'!$D$5:$BD$29,$A763,$B763)))</f>
        <v/>
      </c>
      <c r="J763" s="48">
        <f>IF(OR($G763=0,INDEX(Employees!$O$5:$O$29,$A763)&lt;&gt;"Yes"),0,IF(COUNTIF(Settings!$D$4:$D$9,"&lt;="&amp;$H763)=0,0,INDEX(Settings!$E$4:$E$9,COUNTIF(Settings!$D$4:$D$9,"&lt;="&amp;$H763))))</f>
        <v/>
      </c>
      <c r="K763" s="48">
        <f>IF($G763=0,0,IF(INDEX(Employees!$I$5:$I$29,$A763)="Per pay period",(N(INDEX(Employees!$J$5:$J$29,$A763))+$J763)/Settings!$B$13,IF(INDEX(Employees!$I$5:$I$29,$A763)="Per hour worked",N(INDEX(Employees!$K$5:$K$29,$A763))*$I763,IF(INDEX(Employees!$I$5:$I$29,$A763)="Front-loaded",IF(OR($B763=1,N($G762)=0),N(INDEX(Employees!$J$5:$J$29,$A763))+$J763,0),0))))</f>
        <v/>
      </c>
      <c r="L763" s="48">
        <f>IF($F763=0,0,SUMIFS('Time Off Log'!$H$5:$H$504,'Time Off Log'!$A$5:$A$504,$C763,'Time Off Log'!$B$5:$B$504,"PTO",'Time Off Log'!$E$5:$E$504,"Approved",'Time Off Log'!$C$5:$C$504,"&gt;="&amp;INDEX(Periods!$E$5:$E$57,$B763),'Time Off Log'!$C$5:$C$504,"&lt;="&amp;INDEX(Periods!$F$5:$F$57,$B763)))</f>
        <v/>
      </c>
      <c r="M763" s="48">
        <f>IF($B763=1,N(INDEX(Employees!$N$5:$N$29,$A763)),P762)</f>
        <v/>
      </c>
      <c r="N763" s="48">
        <f>IF(INDEX(Employees!$L$5:$L$29,$A763)="",K763,MAX(0,MIN(K763,INDEX(Employees!$L$5:$L$29,$A763)-(M763-L763))))</f>
        <v/>
      </c>
      <c r="O763" s="48">
        <f>K763-N763</f>
        <v/>
      </c>
      <c r="P763" s="48">
        <f>M763-L763+N763</f>
        <v/>
      </c>
      <c r="Q763" s="48">
        <f>IF($G763=0,0,IF(INDEX(Employees!$P$5:$P$29,$A763)="Per pay period",(N(INDEX(Employees!$Q$5:$Q$29,$A763)))/Settings!$B$13,IF(INDEX(Employees!$P$5:$P$29,$A763)="Per hour worked",N(INDEX(Employees!$R$5:$R$29,$A763))*$I763,IF(INDEX(Employees!$P$5:$P$29,$A763)="Front-loaded",IF(OR($B763=1,N($G762)=0),N(INDEX(Employees!$Q$5:$Q$29,$A763)),0),0))))</f>
        <v/>
      </c>
      <c r="R763" s="48">
        <f>IF($F763=0,0,SUMIFS('Time Off Log'!$H$5:$H$504,'Time Off Log'!$A$5:$A$504,$C763,'Time Off Log'!$B$5:$B$504,"Sick",'Time Off Log'!$E$5:$E$504,"Approved",'Time Off Log'!$C$5:$C$504,"&gt;="&amp;INDEX(Periods!$E$5:$E$57,$B763),'Time Off Log'!$C$5:$C$504,"&lt;="&amp;INDEX(Periods!$F$5:$F$57,$B763)))</f>
        <v/>
      </c>
      <c r="S763" s="48">
        <f>IF($B763=1,N(INDEX(Employees!$T$5:$T$29,$A763)),V762)</f>
        <v/>
      </c>
      <c r="T763" s="48">
        <f>IF(INDEX(Employees!$S$5:$S$29,$A763)="",Q763,MAX(0,MIN(Q763,INDEX(Employees!$S$5:$S$29,$A763)-(S763-R763))))</f>
        <v/>
      </c>
      <c r="U763" s="48">
        <f>Q763-T763</f>
        <v/>
      </c>
      <c r="V763" s="48">
        <f>S763-R763+T763</f>
        <v/>
      </c>
    </row>
    <row r="764">
      <c r="A764" s="47" t="n">
        <v>15</v>
      </c>
      <c r="B764" s="47" t="n">
        <v>18</v>
      </c>
      <c r="C764" s="48">
        <f>INDEX(Employees!$B$5:$B$29,$A764)&amp;""</f>
        <v/>
      </c>
      <c r="D764" s="49">
        <f>INDEX(Periods!$B$5:$B$57,$B764)</f>
        <v/>
      </c>
      <c r="E764" s="49">
        <f>INDEX(Periods!$C$5:$C$57,$B764)</f>
        <v/>
      </c>
      <c r="F764" s="47">
        <f>IF(AND($C764&lt;&gt;"",INDEX(Periods!$D$5:$D$57,$B764)=1),1,0)</f>
        <v/>
      </c>
      <c r="G764" s="47">
        <f>IF($F764=0,0,IF(AND(OR(INDEX(Employees!$D$5:$D$29,$A764)="",$E764&gt;=INDEX(Employees!$D$5:$D$29,$A764)+N(INDEX(Employees!$U$5:$U$29,$A764))),OR(INDEX(Employees!$E$5:$E$29,$A764)="",$D764&lt;=INDEX(Employees!$E$5:$E$29,$A764))),1,0))</f>
        <v/>
      </c>
      <c r="H764" s="47">
        <f>IF($G764=0,0,IF(INDEX(Employees!$D$5:$D$29,$A764)="",0,DATEDIF(INDEX(Employees!$D$5:$D$29,$A764),$E764,"y")))</f>
        <v/>
      </c>
      <c r="I764" s="48">
        <f>IF($G764=0,0,IF(INDEX('Hours Worked'!$D$5:$BD$29,$A764,$B764)="",N(INDEX(Employees!$H$5:$H$29,$A764)),INDEX('Hours Worked'!$D$5:$BD$29,$A764,$B764)))</f>
        <v/>
      </c>
      <c r="J764" s="48">
        <f>IF(OR($G764=0,INDEX(Employees!$O$5:$O$29,$A764)&lt;&gt;"Yes"),0,IF(COUNTIF(Settings!$D$4:$D$9,"&lt;="&amp;$H764)=0,0,INDEX(Settings!$E$4:$E$9,COUNTIF(Settings!$D$4:$D$9,"&lt;="&amp;$H764))))</f>
        <v/>
      </c>
      <c r="K764" s="48">
        <f>IF($G764=0,0,IF(INDEX(Employees!$I$5:$I$29,$A764)="Per pay period",(N(INDEX(Employees!$J$5:$J$29,$A764))+$J764)/Settings!$B$13,IF(INDEX(Employees!$I$5:$I$29,$A764)="Per hour worked",N(INDEX(Employees!$K$5:$K$29,$A764))*$I764,IF(INDEX(Employees!$I$5:$I$29,$A764)="Front-loaded",IF(OR($B764=1,N($G763)=0),N(INDEX(Employees!$J$5:$J$29,$A764))+$J764,0),0))))</f>
        <v/>
      </c>
      <c r="L764" s="48">
        <f>IF($F764=0,0,SUMIFS('Time Off Log'!$H$5:$H$504,'Time Off Log'!$A$5:$A$504,$C764,'Time Off Log'!$B$5:$B$504,"PTO",'Time Off Log'!$E$5:$E$504,"Approved",'Time Off Log'!$C$5:$C$504,"&gt;="&amp;INDEX(Periods!$E$5:$E$57,$B764),'Time Off Log'!$C$5:$C$504,"&lt;="&amp;INDEX(Periods!$F$5:$F$57,$B764)))</f>
        <v/>
      </c>
      <c r="M764" s="48">
        <f>IF($B764=1,N(INDEX(Employees!$N$5:$N$29,$A764)),P763)</f>
        <v/>
      </c>
      <c r="N764" s="48">
        <f>IF(INDEX(Employees!$L$5:$L$29,$A764)="",K764,MAX(0,MIN(K764,INDEX(Employees!$L$5:$L$29,$A764)-(M764-L764))))</f>
        <v/>
      </c>
      <c r="O764" s="48">
        <f>K764-N764</f>
        <v/>
      </c>
      <c r="P764" s="48">
        <f>M764-L764+N764</f>
        <v/>
      </c>
      <c r="Q764" s="48">
        <f>IF($G764=0,0,IF(INDEX(Employees!$P$5:$P$29,$A764)="Per pay period",(N(INDEX(Employees!$Q$5:$Q$29,$A764)))/Settings!$B$13,IF(INDEX(Employees!$P$5:$P$29,$A764)="Per hour worked",N(INDEX(Employees!$R$5:$R$29,$A764))*$I764,IF(INDEX(Employees!$P$5:$P$29,$A764)="Front-loaded",IF(OR($B764=1,N($G763)=0),N(INDEX(Employees!$Q$5:$Q$29,$A764)),0),0))))</f>
        <v/>
      </c>
      <c r="R764" s="48">
        <f>IF($F764=0,0,SUMIFS('Time Off Log'!$H$5:$H$504,'Time Off Log'!$A$5:$A$504,$C764,'Time Off Log'!$B$5:$B$504,"Sick",'Time Off Log'!$E$5:$E$504,"Approved",'Time Off Log'!$C$5:$C$504,"&gt;="&amp;INDEX(Periods!$E$5:$E$57,$B764),'Time Off Log'!$C$5:$C$504,"&lt;="&amp;INDEX(Periods!$F$5:$F$57,$B764)))</f>
        <v/>
      </c>
      <c r="S764" s="48">
        <f>IF($B764=1,N(INDEX(Employees!$T$5:$T$29,$A764)),V763)</f>
        <v/>
      </c>
      <c r="T764" s="48">
        <f>IF(INDEX(Employees!$S$5:$S$29,$A764)="",Q764,MAX(0,MIN(Q764,INDEX(Employees!$S$5:$S$29,$A764)-(S764-R764))))</f>
        <v/>
      </c>
      <c r="U764" s="48">
        <f>Q764-T764</f>
        <v/>
      </c>
      <c r="V764" s="48">
        <f>S764-R764+T764</f>
        <v/>
      </c>
    </row>
    <row r="765">
      <c r="A765" s="47" t="n">
        <v>15</v>
      </c>
      <c r="B765" s="47" t="n">
        <v>19</v>
      </c>
      <c r="C765" s="48">
        <f>INDEX(Employees!$B$5:$B$29,$A765)&amp;""</f>
        <v/>
      </c>
      <c r="D765" s="49">
        <f>INDEX(Periods!$B$5:$B$57,$B765)</f>
        <v/>
      </c>
      <c r="E765" s="49">
        <f>INDEX(Periods!$C$5:$C$57,$B765)</f>
        <v/>
      </c>
      <c r="F765" s="47">
        <f>IF(AND($C765&lt;&gt;"",INDEX(Periods!$D$5:$D$57,$B765)=1),1,0)</f>
        <v/>
      </c>
      <c r="G765" s="47">
        <f>IF($F765=0,0,IF(AND(OR(INDEX(Employees!$D$5:$D$29,$A765)="",$E765&gt;=INDEX(Employees!$D$5:$D$29,$A765)+N(INDEX(Employees!$U$5:$U$29,$A765))),OR(INDEX(Employees!$E$5:$E$29,$A765)="",$D765&lt;=INDEX(Employees!$E$5:$E$29,$A765))),1,0))</f>
        <v/>
      </c>
      <c r="H765" s="47">
        <f>IF($G765=0,0,IF(INDEX(Employees!$D$5:$D$29,$A765)="",0,DATEDIF(INDEX(Employees!$D$5:$D$29,$A765),$E765,"y")))</f>
        <v/>
      </c>
      <c r="I765" s="48">
        <f>IF($G765=0,0,IF(INDEX('Hours Worked'!$D$5:$BD$29,$A765,$B765)="",N(INDEX(Employees!$H$5:$H$29,$A765)),INDEX('Hours Worked'!$D$5:$BD$29,$A765,$B765)))</f>
        <v/>
      </c>
      <c r="J765" s="48">
        <f>IF(OR($G765=0,INDEX(Employees!$O$5:$O$29,$A765)&lt;&gt;"Yes"),0,IF(COUNTIF(Settings!$D$4:$D$9,"&lt;="&amp;$H765)=0,0,INDEX(Settings!$E$4:$E$9,COUNTIF(Settings!$D$4:$D$9,"&lt;="&amp;$H765))))</f>
        <v/>
      </c>
      <c r="K765" s="48">
        <f>IF($G765=0,0,IF(INDEX(Employees!$I$5:$I$29,$A765)="Per pay period",(N(INDEX(Employees!$J$5:$J$29,$A765))+$J765)/Settings!$B$13,IF(INDEX(Employees!$I$5:$I$29,$A765)="Per hour worked",N(INDEX(Employees!$K$5:$K$29,$A765))*$I765,IF(INDEX(Employees!$I$5:$I$29,$A765)="Front-loaded",IF(OR($B765=1,N($G764)=0),N(INDEX(Employees!$J$5:$J$29,$A765))+$J765,0),0))))</f>
        <v/>
      </c>
      <c r="L765" s="48">
        <f>IF($F765=0,0,SUMIFS('Time Off Log'!$H$5:$H$504,'Time Off Log'!$A$5:$A$504,$C765,'Time Off Log'!$B$5:$B$504,"PTO",'Time Off Log'!$E$5:$E$504,"Approved",'Time Off Log'!$C$5:$C$504,"&gt;="&amp;INDEX(Periods!$E$5:$E$57,$B765),'Time Off Log'!$C$5:$C$504,"&lt;="&amp;INDEX(Periods!$F$5:$F$57,$B765)))</f>
        <v/>
      </c>
      <c r="M765" s="48">
        <f>IF($B765=1,N(INDEX(Employees!$N$5:$N$29,$A765)),P764)</f>
        <v/>
      </c>
      <c r="N765" s="48">
        <f>IF(INDEX(Employees!$L$5:$L$29,$A765)="",K765,MAX(0,MIN(K765,INDEX(Employees!$L$5:$L$29,$A765)-(M765-L765))))</f>
        <v/>
      </c>
      <c r="O765" s="48">
        <f>K765-N765</f>
        <v/>
      </c>
      <c r="P765" s="48">
        <f>M765-L765+N765</f>
        <v/>
      </c>
      <c r="Q765" s="48">
        <f>IF($G765=0,0,IF(INDEX(Employees!$P$5:$P$29,$A765)="Per pay period",(N(INDEX(Employees!$Q$5:$Q$29,$A765)))/Settings!$B$13,IF(INDEX(Employees!$P$5:$P$29,$A765)="Per hour worked",N(INDEX(Employees!$R$5:$R$29,$A765))*$I765,IF(INDEX(Employees!$P$5:$P$29,$A765)="Front-loaded",IF(OR($B765=1,N($G764)=0),N(INDEX(Employees!$Q$5:$Q$29,$A765)),0),0))))</f>
        <v/>
      </c>
      <c r="R765" s="48">
        <f>IF($F765=0,0,SUMIFS('Time Off Log'!$H$5:$H$504,'Time Off Log'!$A$5:$A$504,$C765,'Time Off Log'!$B$5:$B$504,"Sick",'Time Off Log'!$E$5:$E$504,"Approved",'Time Off Log'!$C$5:$C$504,"&gt;="&amp;INDEX(Periods!$E$5:$E$57,$B765),'Time Off Log'!$C$5:$C$504,"&lt;="&amp;INDEX(Periods!$F$5:$F$57,$B765)))</f>
        <v/>
      </c>
      <c r="S765" s="48">
        <f>IF($B765=1,N(INDEX(Employees!$T$5:$T$29,$A765)),V764)</f>
        <v/>
      </c>
      <c r="T765" s="48">
        <f>IF(INDEX(Employees!$S$5:$S$29,$A765)="",Q765,MAX(0,MIN(Q765,INDEX(Employees!$S$5:$S$29,$A765)-(S765-R765))))</f>
        <v/>
      </c>
      <c r="U765" s="48">
        <f>Q765-T765</f>
        <v/>
      </c>
      <c r="V765" s="48">
        <f>S765-R765+T765</f>
        <v/>
      </c>
    </row>
    <row r="766">
      <c r="A766" s="47" t="n">
        <v>15</v>
      </c>
      <c r="B766" s="47" t="n">
        <v>20</v>
      </c>
      <c r="C766" s="48">
        <f>INDEX(Employees!$B$5:$B$29,$A766)&amp;""</f>
        <v/>
      </c>
      <c r="D766" s="49">
        <f>INDEX(Periods!$B$5:$B$57,$B766)</f>
        <v/>
      </c>
      <c r="E766" s="49">
        <f>INDEX(Periods!$C$5:$C$57,$B766)</f>
        <v/>
      </c>
      <c r="F766" s="47">
        <f>IF(AND($C766&lt;&gt;"",INDEX(Periods!$D$5:$D$57,$B766)=1),1,0)</f>
        <v/>
      </c>
      <c r="G766" s="47">
        <f>IF($F766=0,0,IF(AND(OR(INDEX(Employees!$D$5:$D$29,$A766)="",$E766&gt;=INDEX(Employees!$D$5:$D$29,$A766)+N(INDEX(Employees!$U$5:$U$29,$A766))),OR(INDEX(Employees!$E$5:$E$29,$A766)="",$D766&lt;=INDEX(Employees!$E$5:$E$29,$A766))),1,0))</f>
        <v/>
      </c>
      <c r="H766" s="47">
        <f>IF($G766=0,0,IF(INDEX(Employees!$D$5:$D$29,$A766)="",0,DATEDIF(INDEX(Employees!$D$5:$D$29,$A766),$E766,"y")))</f>
        <v/>
      </c>
      <c r="I766" s="48">
        <f>IF($G766=0,0,IF(INDEX('Hours Worked'!$D$5:$BD$29,$A766,$B766)="",N(INDEX(Employees!$H$5:$H$29,$A766)),INDEX('Hours Worked'!$D$5:$BD$29,$A766,$B766)))</f>
        <v/>
      </c>
      <c r="J766" s="48">
        <f>IF(OR($G766=0,INDEX(Employees!$O$5:$O$29,$A766)&lt;&gt;"Yes"),0,IF(COUNTIF(Settings!$D$4:$D$9,"&lt;="&amp;$H766)=0,0,INDEX(Settings!$E$4:$E$9,COUNTIF(Settings!$D$4:$D$9,"&lt;="&amp;$H766))))</f>
        <v/>
      </c>
      <c r="K766" s="48">
        <f>IF($G766=0,0,IF(INDEX(Employees!$I$5:$I$29,$A766)="Per pay period",(N(INDEX(Employees!$J$5:$J$29,$A766))+$J766)/Settings!$B$13,IF(INDEX(Employees!$I$5:$I$29,$A766)="Per hour worked",N(INDEX(Employees!$K$5:$K$29,$A766))*$I766,IF(INDEX(Employees!$I$5:$I$29,$A766)="Front-loaded",IF(OR($B766=1,N($G765)=0),N(INDEX(Employees!$J$5:$J$29,$A766))+$J766,0),0))))</f>
        <v/>
      </c>
      <c r="L766" s="48">
        <f>IF($F766=0,0,SUMIFS('Time Off Log'!$H$5:$H$504,'Time Off Log'!$A$5:$A$504,$C766,'Time Off Log'!$B$5:$B$504,"PTO",'Time Off Log'!$E$5:$E$504,"Approved",'Time Off Log'!$C$5:$C$504,"&gt;="&amp;INDEX(Periods!$E$5:$E$57,$B766),'Time Off Log'!$C$5:$C$504,"&lt;="&amp;INDEX(Periods!$F$5:$F$57,$B766)))</f>
        <v/>
      </c>
      <c r="M766" s="48">
        <f>IF($B766=1,N(INDEX(Employees!$N$5:$N$29,$A766)),P765)</f>
        <v/>
      </c>
      <c r="N766" s="48">
        <f>IF(INDEX(Employees!$L$5:$L$29,$A766)="",K766,MAX(0,MIN(K766,INDEX(Employees!$L$5:$L$29,$A766)-(M766-L766))))</f>
        <v/>
      </c>
      <c r="O766" s="48">
        <f>K766-N766</f>
        <v/>
      </c>
      <c r="P766" s="48">
        <f>M766-L766+N766</f>
        <v/>
      </c>
      <c r="Q766" s="48">
        <f>IF($G766=0,0,IF(INDEX(Employees!$P$5:$P$29,$A766)="Per pay period",(N(INDEX(Employees!$Q$5:$Q$29,$A766)))/Settings!$B$13,IF(INDEX(Employees!$P$5:$P$29,$A766)="Per hour worked",N(INDEX(Employees!$R$5:$R$29,$A766))*$I766,IF(INDEX(Employees!$P$5:$P$29,$A766)="Front-loaded",IF(OR($B766=1,N($G765)=0),N(INDEX(Employees!$Q$5:$Q$29,$A766)),0),0))))</f>
        <v/>
      </c>
      <c r="R766" s="48">
        <f>IF($F766=0,0,SUMIFS('Time Off Log'!$H$5:$H$504,'Time Off Log'!$A$5:$A$504,$C766,'Time Off Log'!$B$5:$B$504,"Sick",'Time Off Log'!$E$5:$E$504,"Approved",'Time Off Log'!$C$5:$C$504,"&gt;="&amp;INDEX(Periods!$E$5:$E$57,$B766),'Time Off Log'!$C$5:$C$504,"&lt;="&amp;INDEX(Periods!$F$5:$F$57,$B766)))</f>
        <v/>
      </c>
      <c r="S766" s="48">
        <f>IF($B766=1,N(INDEX(Employees!$T$5:$T$29,$A766)),V765)</f>
        <v/>
      </c>
      <c r="T766" s="48">
        <f>IF(INDEX(Employees!$S$5:$S$29,$A766)="",Q766,MAX(0,MIN(Q766,INDEX(Employees!$S$5:$S$29,$A766)-(S766-R766))))</f>
        <v/>
      </c>
      <c r="U766" s="48">
        <f>Q766-T766</f>
        <v/>
      </c>
      <c r="V766" s="48">
        <f>S766-R766+T766</f>
        <v/>
      </c>
    </row>
    <row r="767">
      <c r="A767" s="47" t="n">
        <v>15</v>
      </c>
      <c r="B767" s="47" t="n">
        <v>21</v>
      </c>
      <c r="C767" s="48">
        <f>INDEX(Employees!$B$5:$B$29,$A767)&amp;""</f>
        <v/>
      </c>
      <c r="D767" s="49">
        <f>INDEX(Periods!$B$5:$B$57,$B767)</f>
        <v/>
      </c>
      <c r="E767" s="49">
        <f>INDEX(Periods!$C$5:$C$57,$B767)</f>
        <v/>
      </c>
      <c r="F767" s="47">
        <f>IF(AND($C767&lt;&gt;"",INDEX(Periods!$D$5:$D$57,$B767)=1),1,0)</f>
        <v/>
      </c>
      <c r="G767" s="47">
        <f>IF($F767=0,0,IF(AND(OR(INDEX(Employees!$D$5:$D$29,$A767)="",$E767&gt;=INDEX(Employees!$D$5:$D$29,$A767)+N(INDEX(Employees!$U$5:$U$29,$A767))),OR(INDEX(Employees!$E$5:$E$29,$A767)="",$D767&lt;=INDEX(Employees!$E$5:$E$29,$A767))),1,0))</f>
        <v/>
      </c>
      <c r="H767" s="47">
        <f>IF($G767=0,0,IF(INDEX(Employees!$D$5:$D$29,$A767)="",0,DATEDIF(INDEX(Employees!$D$5:$D$29,$A767),$E767,"y")))</f>
        <v/>
      </c>
      <c r="I767" s="48">
        <f>IF($G767=0,0,IF(INDEX('Hours Worked'!$D$5:$BD$29,$A767,$B767)="",N(INDEX(Employees!$H$5:$H$29,$A767)),INDEX('Hours Worked'!$D$5:$BD$29,$A767,$B767)))</f>
        <v/>
      </c>
      <c r="J767" s="48">
        <f>IF(OR($G767=0,INDEX(Employees!$O$5:$O$29,$A767)&lt;&gt;"Yes"),0,IF(COUNTIF(Settings!$D$4:$D$9,"&lt;="&amp;$H767)=0,0,INDEX(Settings!$E$4:$E$9,COUNTIF(Settings!$D$4:$D$9,"&lt;="&amp;$H767))))</f>
        <v/>
      </c>
      <c r="K767" s="48">
        <f>IF($G767=0,0,IF(INDEX(Employees!$I$5:$I$29,$A767)="Per pay period",(N(INDEX(Employees!$J$5:$J$29,$A767))+$J767)/Settings!$B$13,IF(INDEX(Employees!$I$5:$I$29,$A767)="Per hour worked",N(INDEX(Employees!$K$5:$K$29,$A767))*$I767,IF(INDEX(Employees!$I$5:$I$29,$A767)="Front-loaded",IF(OR($B767=1,N($G766)=0),N(INDEX(Employees!$J$5:$J$29,$A767))+$J767,0),0))))</f>
        <v/>
      </c>
      <c r="L767" s="48">
        <f>IF($F767=0,0,SUMIFS('Time Off Log'!$H$5:$H$504,'Time Off Log'!$A$5:$A$504,$C767,'Time Off Log'!$B$5:$B$504,"PTO",'Time Off Log'!$E$5:$E$504,"Approved",'Time Off Log'!$C$5:$C$504,"&gt;="&amp;INDEX(Periods!$E$5:$E$57,$B767),'Time Off Log'!$C$5:$C$504,"&lt;="&amp;INDEX(Periods!$F$5:$F$57,$B767)))</f>
        <v/>
      </c>
      <c r="M767" s="48">
        <f>IF($B767=1,N(INDEX(Employees!$N$5:$N$29,$A767)),P766)</f>
        <v/>
      </c>
      <c r="N767" s="48">
        <f>IF(INDEX(Employees!$L$5:$L$29,$A767)="",K767,MAX(0,MIN(K767,INDEX(Employees!$L$5:$L$29,$A767)-(M767-L767))))</f>
        <v/>
      </c>
      <c r="O767" s="48">
        <f>K767-N767</f>
        <v/>
      </c>
      <c r="P767" s="48">
        <f>M767-L767+N767</f>
        <v/>
      </c>
      <c r="Q767" s="48">
        <f>IF($G767=0,0,IF(INDEX(Employees!$P$5:$P$29,$A767)="Per pay period",(N(INDEX(Employees!$Q$5:$Q$29,$A767)))/Settings!$B$13,IF(INDEX(Employees!$P$5:$P$29,$A767)="Per hour worked",N(INDEX(Employees!$R$5:$R$29,$A767))*$I767,IF(INDEX(Employees!$P$5:$P$29,$A767)="Front-loaded",IF(OR($B767=1,N($G766)=0),N(INDEX(Employees!$Q$5:$Q$29,$A767)),0),0))))</f>
        <v/>
      </c>
      <c r="R767" s="48">
        <f>IF($F767=0,0,SUMIFS('Time Off Log'!$H$5:$H$504,'Time Off Log'!$A$5:$A$504,$C767,'Time Off Log'!$B$5:$B$504,"Sick",'Time Off Log'!$E$5:$E$504,"Approved",'Time Off Log'!$C$5:$C$504,"&gt;="&amp;INDEX(Periods!$E$5:$E$57,$B767),'Time Off Log'!$C$5:$C$504,"&lt;="&amp;INDEX(Periods!$F$5:$F$57,$B767)))</f>
        <v/>
      </c>
      <c r="S767" s="48">
        <f>IF($B767=1,N(INDEX(Employees!$T$5:$T$29,$A767)),V766)</f>
        <v/>
      </c>
      <c r="T767" s="48">
        <f>IF(INDEX(Employees!$S$5:$S$29,$A767)="",Q767,MAX(0,MIN(Q767,INDEX(Employees!$S$5:$S$29,$A767)-(S767-R767))))</f>
        <v/>
      </c>
      <c r="U767" s="48">
        <f>Q767-T767</f>
        <v/>
      </c>
      <c r="V767" s="48">
        <f>S767-R767+T767</f>
        <v/>
      </c>
    </row>
    <row r="768">
      <c r="A768" s="47" t="n">
        <v>15</v>
      </c>
      <c r="B768" s="47" t="n">
        <v>22</v>
      </c>
      <c r="C768" s="48">
        <f>INDEX(Employees!$B$5:$B$29,$A768)&amp;""</f>
        <v/>
      </c>
      <c r="D768" s="49">
        <f>INDEX(Periods!$B$5:$B$57,$B768)</f>
        <v/>
      </c>
      <c r="E768" s="49">
        <f>INDEX(Periods!$C$5:$C$57,$B768)</f>
        <v/>
      </c>
      <c r="F768" s="47">
        <f>IF(AND($C768&lt;&gt;"",INDEX(Periods!$D$5:$D$57,$B768)=1),1,0)</f>
        <v/>
      </c>
      <c r="G768" s="47">
        <f>IF($F768=0,0,IF(AND(OR(INDEX(Employees!$D$5:$D$29,$A768)="",$E768&gt;=INDEX(Employees!$D$5:$D$29,$A768)+N(INDEX(Employees!$U$5:$U$29,$A768))),OR(INDEX(Employees!$E$5:$E$29,$A768)="",$D768&lt;=INDEX(Employees!$E$5:$E$29,$A768))),1,0))</f>
        <v/>
      </c>
      <c r="H768" s="47">
        <f>IF($G768=0,0,IF(INDEX(Employees!$D$5:$D$29,$A768)="",0,DATEDIF(INDEX(Employees!$D$5:$D$29,$A768),$E768,"y")))</f>
        <v/>
      </c>
      <c r="I768" s="48">
        <f>IF($G768=0,0,IF(INDEX('Hours Worked'!$D$5:$BD$29,$A768,$B768)="",N(INDEX(Employees!$H$5:$H$29,$A768)),INDEX('Hours Worked'!$D$5:$BD$29,$A768,$B768)))</f>
        <v/>
      </c>
      <c r="J768" s="48">
        <f>IF(OR($G768=0,INDEX(Employees!$O$5:$O$29,$A768)&lt;&gt;"Yes"),0,IF(COUNTIF(Settings!$D$4:$D$9,"&lt;="&amp;$H768)=0,0,INDEX(Settings!$E$4:$E$9,COUNTIF(Settings!$D$4:$D$9,"&lt;="&amp;$H768))))</f>
        <v/>
      </c>
      <c r="K768" s="48">
        <f>IF($G768=0,0,IF(INDEX(Employees!$I$5:$I$29,$A768)="Per pay period",(N(INDEX(Employees!$J$5:$J$29,$A768))+$J768)/Settings!$B$13,IF(INDEX(Employees!$I$5:$I$29,$A768)="Per hour worked",N(INDEX(Employees!$K$5:$K$29,$A768))*$I768,IF(INDEX(Employees!$I$5:$I$29,$A768)="Front-loaded",IF(OR($B768=1,N($G767)=0),N(INDEX(Employees!$J$5:$J$29,$A768))+$J768,0),0))))</f>
        <v/>
      </c>
      <c r="L768" s="48">
        <f>IF($F768=0,0,SUMIFS('Time Off Log'!$H$5:$H$504,'Time Off Log'!$A$5:$A$504,$C768,'Time Off Log'!$B$5:$B$504,"PTO",'Time Off Log'!$E$5:$E$504,"Approved",'Time Off Log'!$C$5:$C$504,"&gt;="&amp;INDEX(Periods!$E$5:$E$57,$B768),'Time Off Log'!$C$5:$C$504,"&lt;="&amp;INDEX(Periods!$F$5:$F$57,$B768)))</f>
        <v/>
      </c>
      <c r="M768" s="48">
        <f>IF($B768=1,N(INDEX(Employees!$N$5:$N$29,$A768)),P767)</f>
        <v/>
      </c>
      <c r="N768" s="48">
        <f>IF(INDEX(Employees!$L$5:$L$29,$A768)="",K768,MAX(0,MIN(K768,INDEX(Employees!$L$5:$L$29,$A768)-(M768-L768))))</f>
        <v/>
      </c>
      <c r="O768" s="48">
        <f>K768-N768</f>
        <v/>
      </c>
      <c r="P768" s="48">
        <f>M768-L768+N768</f>
        <v/>
      </c>
      <c r="Q768" s="48">
        <f>IF($G768=0,0,IF(INDEX(Employees!$P$5:$P$29,$A768)="Per pay period",(N(INDEX(Employees!$Q$5:$Q$29,$A768)))/Settings!$B$13,IF(INDEX(Employees!$P$5:$P$29,$A768)="Per hour worked",N(INDEX(Employees!$R$5:$R$29,$A768))*$I768,IF(INDEX(Employees!$P$5:$P$29,$A768)="Front-loaded",IF(OR($B768=1,N($G767)=0),N(INDEX(Employees!$Q$5:$Q$29,$A768)),0),0))))</f>
        <v/>
      </c>
      <c r="R768" s="48">
        <f>IF($F768=0,0,SUMIFS('Time Off Log'!$H$5:$H$504,'Time Off Log'!$A$5:$A$504,$C768,'Time Off Log'!$B$5:$B$504,"Sick",'Time Off Log'!$E$5:$E$504,"Approved",'Time Off Log'!$C$5:$C$504,"&gt;="&amp;INDEX(Periods!$E$5:$E$57,$B768),'Time Off Log'!$C$5:$C$504,"&lt;="&amp;INDEX(Periods!$F$5:$F$57,$B768)))</f>
        <v/>
      </c>
      <c r="S768" s="48">
        <f>IF($B768=1,N(INDEX(Employees!$T$5:$T$29,$A768)),V767)</f>
        <v/>
      </c>
      <c r="T768" s="48">
        <f>IF(INDEX(Employees!$S$5:$S$29,$A768)="",Q768,MAX(0,MIN(Q768,INDEX(Employees!$S$5:$S$29,$A768)-(S768-R768))))</f>
        <v/>
      </c>
      <c r="U768" s="48">
        <f>Q768-T768</f>
        <v/>
      </c>
      <c r="V768" s="48">
        <f>S768-R768+T768</f>
        <v/>
      </c>
    </row>
    <row r="769">
      <c r="A769" s="47" t="n">
        <v>15</v>
      </c>
      <c r="B769" s="47" t="n">
        <v>23</v>
      </c>
      <c r="C769" s="48">
        <f>INDEX(Employees!$B$5:$B$29,$A769)&amp;""</f>
        <v/>
      </c>
      <c r="D769" s="49">
        <f>INDEX(Periods!$B$5:$B$57,$B769)</f>
        <v/>
      </c>
      <c r="E769" s="49">
        <f>INDEX(Periods!$C$5:$C$57,$B769)</f>
        <v/>
      </c>
      <c r="F769" s="47">
        <f>IF(AND($C769&lt;&gt;"",INDEX(Periods!$D$5:$D$57,$B769)=1),1,0)</f>
        <v/>
      </c>
      <c r="G769" s="47">
        <f>IF($F769=0,0,IF(AND(OR(INDEX(Employees!$D$5:$D$29,$A769)="",$E769&gt;=INDEX(Employees!$D$5:$D$29,$A769)+N(INDEX(Employees!$U$5:$U$29,$A769))),OR(INDEX(Employees!$E$5:$E$29,$A769)="",$D769&lt;=INDEX(Employees!$E$5:$E$29,$A769))),1,0))</f>
        <v/>
      </c>
      <c r="H769" s="47">
        <f>IF($G769=0,0,IF(INDEX(Employees!$D$5:$D$29,$A769)="",0,DATEDIF(INDEX(Employees!$D$5:$D$29,$A769),$E769,"y")))</f>
        <v/>
      </c>
      <c r="I769" s="48">
        <f>IF($G769=0,0,IF(INDEX('Hours Worked'!$D$5:$BD$29,$A769,$B769)="",N(INDEX(Employees!$H$5:$H$29,$A769)),INDEX('Hours Worked'!$D$5:$BD$29,$A769,$B769)))</f>
        <v/>
      </c>
      <c r="J769" s="48">
        <f>IF(OR($G769=0,INDEX(Employees!$O$5:$O$29,$A769)&lt;&gt;"Yes"),0,IF(COUNTIF(Settings!$D$4:$D$9,"&lt;="&amp;$H769)=0,0,INDEX(Settings!$E$4:$E$9,COUNTIF(Settings!$D$4:$D$9,"&lt;="&amp;$H769))))</f>
        <v/>
      </c>
      <c r="K769" s="48">
        <f>IF($G769=0,0,IF(INDEX(Employees!$I$5:$I$29,$A769)="Per pay period",(N(INDEX(Employees!$J$5:$J$29,$A769))+$J769)/Settings!$B$13,IF(INDEX(Employees!$I$5:$I$29,$A769)="Per hour worked",N(INDEX(Employees!$K$5:$K$29,$A769))*$I769,IF(INDEX(Employees!$I$5:$I$29,$A769)="Front-loaded",IF(OR($B769=1,N($G768)=0),N(INDEX(Employees!$J$5:$J$29,$A769))+$J769,0),0))))</f>
        <v/>
      </c>
      <c r="L769" s="48">
        <f>IF($F769=0,0,SUMIFS('Time Off Log'!$H$5:$H$504,'Time Off Log'!$A$5:$A$504,$C769,'Time Off Log'!$B$5:$B$504,"PTO",'Time Off Log'!$E$5:$E$504,"Approved",'Time Off Log'!$C$5:$C$504,"&gt;="&amp;INDEX(Periods!$E$5:$E$57,$B769),'Time Off Log'!$C$5:$C$504,"&lt;="&amp;INDEX(Periods!$F$5:$F$57,$B769)))</f>
        <v/>
      </c>
      <c r="M769" s="48">
        <f>IF($B769=1,N(INDEX(Employees!$N$5:$N$29,$A769)),P768)</f>
        <v/>
      </c>
      <c r="N769" s="48">
        <f>IF(INDEX(Employees!$L$5:$L$29,$A769)="",K769,MAX(0,MIN(K769,INDEX(Employees!$L$5:$L$29,$A769)-(M769-L769))))</f>
        <v/>
      </c>
      <c r="O769" s="48">
        <f>K769-N769</f>
        <v/>
      </c>
      <c r="P769" s="48">
        <f>M769-L769+N769</f>
        <v/>
      </c>
      <c r="Q769" s="48">
        <f>IF($G769=0,0,IF(INDEX(Employees!$P$5:$P$29,$A769)="Per pay period",(N(INDEX(Employees!$Q$5:$Q$29,$A769)))/Settings!$B$13,IF(INDEX(Employees!$P$5:$P$29,$A769)="Per hour worked",N(INDEX(Employees!$R$5:$R$29,$A769))*$I769,IF(INDEX(Employees!$P$5:$P$29,$A769)="Front-loaded",IF(OR($B769=1,N($G768)=0),N(INDEX(Employees!$Q$5:$Q$29,$A769)),0),0))))</f>
        <v/>
      </c>
      <c r="R769" s="48">
        <f>IF($F769=0,0,SUMIFS('Time Off Log'!$H$5:$H$504,'Time Off Log'!$A$5:$A$504,$C769,'Time Off Log'!$B$5:$B$504,"Sick",'Time Off Log'!$E$5:$E$504,"Approved",'Time Off Log'!$C$5:$C$504,"&gt;="&amp;INDEX(Periods!$E$5:$E$57,$B769),'Time Off Log'!$C$5:$C$504,"&lt;="&amp;INDEX(Periods!$F$5:$F$57,$B769)))</f>
        <v/>
      </c>
      <c r="S769" s="48">
        <f>IF($B769=1,N(INDEX(Employees!$T$5:$T$29,$A769)),V768)</f>
        <v/>
      </c>
      <c r="T769" s="48">
        <f>IF(INDEX(Employees!$S$5:$S$29,$A769)="",Q769,MAX(0,MIN(Q769,INDEX(Employees!$S$5:$S$29,$A769)-(S769-R769))))</f>
        <v/>
      </c>
      <c r="U769" s="48">
        <f>Q769-T769</f>
        <v/>
      </c>
      <c r="V769" s="48">
        <f>S769-R769+T769</f>
        <v/>
      </c>
    </row>
    <row r="770">
      <c r="A770" s="47" t="n">
        <v>15</v>
      </c>
      <c r="B770" s="47" t="n">
        <v>24</v>
      </c>
      <c r="C770" s="48">
        <f>INDEX(Employees!$B$5:$B$29,$A770)&amp;""</f>
        <v/>
      </c>
      <c r="D770" s="49">
        <f>INDEX(Periods!$B$5:$B$57,$B770)</f>
        <v/>
      </c>
      <c r="E770" s="49">
        <f>INDEX(Periods!$C$5:$C$57,$B770)</f>
        <v/>
      </c>
      <c r="F770" s="47">
        <f>IF(AND($C770&lt;&gt;"",INDEX(Periods!$D$5:$D$57,$B770)=1),1,0)</f>
        <v/>
      </c>
      <c r="G770" s="47">
        <f>IF($F770=0,0,IF(AND(OR(INDEX(Employees!$D$5:$D$29,$A770)="",$E770&gt;=INDEX(Employees!$D$5:$D$29,$A770)+N(INDEX(Employees!$U$5:$U$29,$A770))),OR(INDEX(Employees!$E$5:$E$29,$A770)="",$D770&lt;=INDEX(Employees!$E$5:$E$29,$A770))),1,0))</f>
        <v/>
      </c>
      <c r="H770" s="47">
        <f>IF($G770=0,0,IF(INDEX(Employees!$D$5:$D$29,$A770)="",0,DATEDIF(INDEX(Employees!$D$5:$D$29,$A770),$E770,"y")))</f>
        <v/>
      </c>
      <c r="I770" s="48">
        <f>IF($G770=0,0,IF(INDEX('Hours Worked'!$D$5:$BD$29,$A770,$B770)="",N(INDEX(Employees!$H$5:$H$29,$A770)),INDEX('Hours Worked'!$D$5:$BD$29,$A770,$B770)))</f>
        <v/>
      </c>
      <c r="J770" s="48">
        <f>IF(OR($G770=0,INDEX(Employees!$O$5:$O$29,$A770)&lt;&gt;"Yes"),0,IF(COUNTIF(Settings!$D$4:$D$9,"&lt;="&amp;$H770)=0,0,INDEX(Settings!$E$4:$E$9,COUNTIF(Settings!$D$4:$D$9,"&lt;="&amp;$H770))))</f>
        <v/>
      </c>
      <c r="K770" s="48">
        <f>IF($G770=0,0,IF(INDEX(Employees!$I$5:$I$29,$A770)="Per pay period",(N(INDEX(Employees!$J$5:$J$29,$A770))+$J770)/Settings!$B$13,IF(INDEX(Employees!$I$5:$I$29,$A770)="Per hour worked",N(INDEX(Employees!$K$5:$K$29,$A770))*$I770,IF(INDEX(Employees!$I$5:$I$29,$A770)="Front-loaded",IF(OR($B770=1,N($G769)=0),N(INDEX(Employees!$J$5:$J$29,$A770))+$J770,0),0))))</f>
        <v/>
      </c>
      <c r="L770" s="48">
        <f>IF($F770=0,0,SUMIFS('Time Off Log'!$H$5:$H$504,'Time Off Log'!$A$5:$A$504,$C770,'Time Off Log'!$B$5:$B$504,"PTO",'Time Off Log'!$E$5:$E$504,"Approved",'Time Off Log'!$C$5:$C$504,"&gt;="&amp;INDEX(Periods!$E$5:$E$57,$B770),'Time Off Log'!$C$5:$C$504,"&lt;="&amp;INDEX(Periods!$F$5:$F$57,$B770)))</f>
        <v/>
      </c>
      <c r="M770" s="48">
        <f>IF($B770=1,N(INDEX(Employees!$N$5:$N$29,$A770)),P769)</f>
        <v/>
      </c>
      <c r="N770" s="48">
        <f>IF(INDEX(Employees!$L$5:$L$29,$A770)="",K770,MAX(0,MIN(K770,INDEX(Employees!$L$5:$L$29,$A770)-(M770-L770))))</f>
        <v/>
      </c>
      <c r="O770" s="48">
        <f>K770-N770</f>
        <v/>
      </c>
      <c r="P770" s="48">
        <f>M770-L770+N770</f>
        <v/>
      </c>
      <c r="Q770" s="48">
        <f>IF($G770=0,0,IF(INDEX(Employees!$P$5:$P$29,$A770)="Per pay period",(N(INDEX(Employees!$Q$5:$Q$29,$A770)))/Settings!$B$13,IF(INDEX(Employees!$P$5:$P$29,$A770)="Per hour worked",N(INDEX(Employees!$R$5:$R$29,$A770))*$I770,IF(INDEX(Employees!$P$5:$P$29,$A770)="Front-loaded",IF(OR($B770=1,N($G769)=0),N(INDEX(Employees!$Q$5:$Q$29,$A770)),0),0))))</f>
        <v/>
      </c>
      <c r="R770" s="48">
        <f>IF($F770=0,0,SUMIFS('Time Off Log'!$H$5:$H$504,'Time Off Log'!$A$5:$A$504,$C770,'Time Off Log'!$B$5:$B$504,"Sick",'Time Off Log'!$E$5:$E$504,"Approved",'Time Off Log'!$C$5:$C$504,"&gt;="&amp;INDEX(Periods!$E$5:$E$57,$B770),'Time Off Log'!$C$5:$C$504,"&lt;="&amp;INDEX(Periods!$F$5:$F$57,$B770)))</f>
        <v/>
      </c>
      <c r="S770" s="48">
        <f>IF($B770=1,N(INDEX(Employees!$T$5:$T$29,$A770)),V769)</f>
        <v/>
      </c>
      <c r="T770" s="48">
        <f>IF(INDEX(Employees!$S$5:$S$29,$A770)="",Q770,MAX(0,MIN(Q770,INDEX(Employees!$S$5:$S$29,$A770)-(S770-R770))))</f>
        <v/>
      </c>
      <c r="U770" s="48">
        <f>Q770-T770</f>
        <v/>
      </c>
      <c r="V770" s="48">
        <f>S770-R770+T770</f>
        <v/>
      </c>
    </row>
    <row r="771">
      <c r="A771" s="47" t="n">
        <v>15</v>
      </c>
      <c r="B771" s="47" t="n">
        <v>25</v>
      </c>
      <c r="C771" s="48">
        <f>INDEX(Employees!$B$5:$B$29,$A771)&amp;""</f>
        <v/>
      </c>
      <c r="D771" s="49">
        <f>INDEX(Periods!$B$5:$B$57,$B771)</f>
        <v/>
      </c>
      <c r="E771" s="49">
        <f>INDEX(Periods!$C$5:$C$57,$B771)</f>
        <v/>
      </c>
      <c r="F771" s="47">
        <f>IF(AND($C771&lt;&gt;"",INDEX(Periods!$D$5:$D$57,$B771)=1),1,0)</f>
        <v/>
      </c>
      <c r="G771" s="47">
        <f>IF($F771=0,0,IF(AND(OR(INDEX(Employees!$D$5:$D$29,$A771)="",$E771&gt;=INDEX(Employees!$D$5:$D$29,$A771)+N(INDEX(Employees!$U$5:$U$29,$A771))),OR(INDEX(Employees!$E$5:$E$29,$A771)="",$D771&lt;=INDEX(Employees!$E$5:$E$29,$A771))),1,0))</f>
        <v/>
      </c>
      <c r="H771" s="47">
        <f>IF($G771=0,0,IF(INDEX(Employees!$D$5:$D$29,$A771)="",0,DATEDIF(INDEX(Employees!$D$5:$D$29,$A771),$E771,"y")))</f>
        <v/>
      </c>
      <c r="I771" s="48">
        <f>IF($G771=0,0,IF(INDEX('Hours Worked'!$D$5:$BD$29,$A771,$B771)="",N(INDEX(Employees!$H$5:$H$29,$A771)),INDEX('Hours Worked'!$D$5:$BD$29,$A771,$B771)))</f>
        <v/>
      </c>
      <c r="J771" s="48">
        <f>IF(OR($G771=0,INDEX(Employees!$O$5:$O$29,$A771)&lt;&gt;"Yes"),0,IF(COUNTIF(Settings!$D$4:$D$9,"&lt;="&amp;$H771)=0,0,INDEX(Settings!$E$4:$E$9,COUNTIF(Settings!$D$4:$D$9,"&lt;="&amp;$H771))))</f>
        <v/>
      </c>
      <c r="K771" s="48">
        <f>IF($G771=0,0,IF(INDEX(Employees!$I$5:$I$29,$A771)="Per pay period",(N(INDEX(Employees!$J$5:$J$29,$A771))+$J771)/Settings!$B$13,IF(INDEX(Employees!$I$5:$I$29,$A771)="Per hour worked",N(INDEX(Employees!$K$5:$K$29,$A771))*$I771,IF(INDEX(Employees!$I$5:$I$29,$A771)="Front-loaded",IF(OR($B771=1,N($G770)=0),N(INDEX(Employees!$J$5:$J$29,$A771))+$J771,0),0))))</f>
        <v/>
      </c>
      <c r="L771" s="48">
        <f>IF($F771=0,0,SUMIFS('Time Off Log'!$H$5:$H$504,'Time Off Log'!$A$5:$A$504,$C771,'Time Off Log'!$B$5:$B$504,"PTO",'Time Off Log'!$E$5:$E$504,"Approved",'Time Off Log'!$C$5:$C$504,"&gt;="&amp;INDEX(Periods!$E$5:$E$57,$B771),'Time Off Log'!$C$5:$C$504,"&lt;="&amp;INDEX(Periods!$F$5:$F$57,$B771)))</f>
        <v/>
      </c>
      <c r="M771" s="48">
        <f>IF($B771=1,N(INDEX(Employees!$N$5:$N$29,$A771)),P770)</f>
        <v/>
      </c>
      <c r="N771" s="48">
        <f>IF(INDEX(Employees!$L$5:$L$29,$A771)="",K771,MAX(0,MIN(K771,INDEX(Employees!$L$5:$L$29,$A771)-(M771-L771))))</f>
        <v/>
      </c>
      <c r="O771" s="48">
        <f>K771-N771</f>
        <v/>
      </c>
      <c r="P771" s="48">
        <f>M771-L771+N771</f>
        <v/>
      </c>
      <c r="Q771" s="48">
        <f>IF($G771=0,0,IF(INDEX(Employees!$P$5:$P$29,$A771)="Per pay period",(N(INDEX(Employees!$Q$5:$Q$29,$A771)))/Settings!$B$13,IF(INDEX(Employees!$P$5:$P$29,$A771)="Per hour worked",N(INDEX(Employees!$R$5:$R$29,$A771))*$I771,IF(INDEX(Employees!$P$5:$P$29,$A771)="Front-loaded",IF(OR($B771=1,N($G770)=0),N(INDEX(Employees!$Q$5:$Q$29,$A771)),0),0))))</f>
        <v/>
      </c>
      <c r="R771" s="48">
        <f>IF($F771=0,0,SUMIFS('Time Off Log'!$H$5:$H$504,'Time Off Log'!$A$5:$A$504,$C771,'Time Off Log'!$B$5:$B$504,"Sick",'Time Off Log'!$E$5:$E$504,"Approved",'Time Off Log'!$C$5:$C$504,"&gt;="&amp;INDEX(Periods!$E$5:$E$57,$B771),'Time Off Log'!$C$5:$C$504,"&lt;="&amp;INDEX(Periods!$F$5:$F$57,$B771)))</f>
        <v/>
      </c>
      <c r="S771" s="48">
        <f>IF($B771=1,N(INDEX(Employees!$T$5:$T$29,$A771)),V770)</f>
        <v/>
      </c>
      <c r="T771" s="48">
        <f>IF(INDEX(Employees!$S$5:$S$29,$A771)="",Q771,MAX(0,MIN(Q771,INDEX(Employees!$S$5:$S$29,$A771)-(S771-R771))))</f>
        <v/>
      </c>
      <c r="U771" s="48">
        <f>Q771-T771</f>
        <v/>
      </c>
      <c r="V771" s="48">
        <f>S771-R771+T771</f>
        <v/>
      </c>
    </row>
    <row r="772">
      <c r="A772" s="47" t="n">
        <v>15</v>
      </c>
      <c r="B772" s="47" t="n">
        <v>26</v>
      </c>
      <c r="C772" s="48">
        <f>INDEX(Employees!$B$5:$B$29,$A772)&amp;""</f>
        <v/>
      </c>
      <c r="D772" s="49">
        <f>INDEX(Periods!$B$5:$B$57,$B772)</f>
        <v/>
      </c>
      <c r="E772" s="49">
        <f>INDEX(Periods!$C$5:$C$57,$B772)</f>
        <v/>
      </c>
      <c r="F772" s="47">
        <f>IF(AND($C772&lt;&gt;"",INDEX(Periods!$D$5:$D$57,$B772)=1),1,0)</f>
        <v/>
      </c>
      <c r="G772" s="47">
        <f>IF($F772=0,0,IF(AND(OR(INDEX(Employees!$D$5:$D$29,$A772)="",$E772&gt;=INDEX(Employees!$D$5:$D$29,$A772)+N(INDEX(Employees!$U$5:$U$29,$A772))),OR(INDEX(Employees!$E$5:$E$29,$A772)="",$D772&lt;=INDEX(Employees!$E$5:$E$29,$A772))),1,0))</f>
        <v/>
      </c>
      <c r="H772" s="47">
        <f>IF($G772=0,0,IF(INDEX(Employees!$D$5:$D$29,$A772)="",0,DATEDIF(INDEX(Employees!$D$5:$D$29,$A772),$E772,"y")))</f>
        <v/>
      </c>
      <c r="I772" s="48">
        <f>IF($G772=0,0,IF(INDEX('Hours Worked'!$D$5:$BD$29,$A772,$B772)="",N(INDEX(Employees!$H$5:$H$29,$A772)),INDEX('Hours Worked'!$D$5:$BD$29,$A772,$B772)))</f>
        <v/>
      </c>
      <c r="J772" s="48">
        <f>IF(OR($G772=0,INDEX(Employees!$O$5:$O$29,$A772)&lt;&gt;"Yes"),0,IF(COUNTIF(Settings!$D$4:$D$9,"&lt;="&amp;$H772)=0,0,INDEX(Settings!$E$4:$E$9,COUNTIF(Settings!$D$4:$D$9,"&lt;="&amp;$H772))))</f>
        <v/>
      </c>
      <c r="K772" s="48">
        <f>IF($G772=0,0,IF(INDEX(Employees!$I$5:$I$29,$A772)="Per pay period",(N(INDEX(Employees!$J$5:$J$29,$A772))+$J772)/Settings!$B$13,IF(INDEX(Employees!$I$5:$I$29,$A772)="Per hour worked",N(INDEX(Employees!$K$5:$K$29,$A772))*$I772,IF(INDEX(Employees!$I$5:$I$29,$A772)="Front-loaded",IF(OR($B772=1,N($G771)=0),N(INDEX(Employees!$J$5:$J$29,$A772))+$J772,0),0))))</f>
        <v/>
      </c>
      <c r="L772" s="48">
        <f>IF($F772=0,0,SUMIFS('Time Off Log'!$H$5:$H$504,'Time Off Log'!$A$5:$A$504,$C772,'Time Off Log'!$B$5:$B$504,"PTO",'Time Off Log'!$E$5:$E$504,"Approved",'Time Off Log'!$C$5:$C$504,"&gt;="&amp;INDEX(Periods!$E$5:$E$57,$B772),'Time Off Log'!$C$5:$C$504,"&lt;="&amp;INDEX(Periods!$F$5:$F$57,$B772)))</f>
        <v/>
      </c>
      <c r="M772" s="48">
        <f>IF($B772=1,N(INDEX(Employees!$N$5:$N$29,$A772)),P771)</f>
        <v/>
      </c>
      <c r="N772" s="48">
        <f>IF(INDEX(Employees!$L$5:$L$29,$A772)="",K772,MAX(0,MIN(K772,INDEX(Employees!$L$5:$L$29,$A772)-(M772-L772))))</f>
        <v/>
      </c>
      <c r="O772" s="48">
        <f>K772-N772</f>
        <v/>
      </c>
      <c r="P772" s="48">
        <f>M772-L772+N772</f>
        <v/>
      </c>
      <c r="Q772" s="48">
        <f>IF($G772=0,0,IF(INDEX(Employees!$P$5:$P$29,$A772)="Per pay period",(N(INDEX(Employees!$Q$5:$Q$29,$A772)))/Settings!$B$13,IF(INDEX(Employees!$P$5:$P$29,$A772)="Per hour worked",N(INDEX(Employees!$R$5:$R$29,$A772))*$I772,IF(INDEX(Employees!$P$5:$P$29,$A772)="Front-loaded",IF(OR($B772=1,N($G771)=0),N(INDEX(Employees!$Q$5:$Q$29,$A772)),0),0))))</f>
        <v/>
      </c>
      <c r="R772" s="48">
        <f>IF($F772=0,0,SUMIFS('Time Off Log'!$H$5:$H$504,'Time Off Log'!$A$5:$A$504,$C772,'Time Off Log'!$B$5:$B$504,"Sick",'Time Off Log'!$E$5:$E$504,"Approved",'Time Off Log'!$C$5:$C$504,"&gt;="&amp;INDEX(Periods!$E$5:$E$57,$B772),'Time Off Log'!$C$5:$C$504,"&lt;="&amp;INDEX(Periods!$F$5:$F$57,$B772)))</f>
        <v/>
      </c>
      <c r="S772" s="48">
        <f>IF($B772=1,N(INDEX(Employees!$T$5:$T$29,$A772)),V771)</f>
        <v/>
      </c>
      <c r="T772" s="48">
        <f>IF(INDEX(Employees!$S$5:$S$29,$A772)="",Q772,MAX(0,MIN(Q772,INDEX(Employees!$S$5:$S$29,$A772)-(S772-R772))))</f>
        <v/>
      </c>
      <c r="U772" s="48">
        <f>Q772-T772</f>
        <v/>
      </c>
      <c r="V772" s="48">
        <f>S772-R772+T772</f>
        <v/>
      </c>
    </row>
    <row r="773">
      <c r="A773" s="47" t="n">
        <v>15</v>
      </c>
      <c r="B773" s="47" t="n">
        <v>27</v>
      </c>
      <c r="C773" s="48">
        <f>INDEX(Employees!$B$5:$B$29,$A773)&amp;""</f>
        <v/>
      </c>
      <c r="D773" s="49">
        <f>INDEX(Periods!$B$5:$B$57,$B773)</f>
        <v/>
      </c>
      <c r="E773" s="49">
        <f>INDEX(Periods!$C$5:$C$57,$B773)</f>
        <v/>
      </c>
      <c r="F773" s="47">
        <f>IF(AND($C773&lt;&gt;"",INDEX(Periods!$D$5:$D$57,$B773)=1),1,0)</f>
        <v/>
      </c>
      <c r="G773" s="47">
        <f>IF($F773=0,0,IF(AND(OR(INDEX(Employees!$D$5:$D$29,$A773)="",$E773&gt;=INDEX(Employees!$D$5:$D$29,$A773)+N(INDEX(Employees!$U$5:$U$29,$A773))),OR(INDEX(Employees!$E$5:$E$29,$A773)="",$D773&lt;=INDEX(Employees!$E$5:$E$29,$A773))),1,0))</f>
        <v/>
      </c>
      <c r="H773" s="47">
        <f>IF($G773=0,0,IF(INDEX(Employees!$D$5:$D$29,$A773)="",0,DATEDIF(INDEX(Employees!$D$5:$D$29,$A773),$E773,"y")))</f>
        <v/>
      </c>
      <c r="I773" s="48">
        <f>IF($G773=0,0,IF(INDEX('Hours Worked'!$D$5:$BD$29,$A773,$B773)="",N(INDEX(Employees!$H$5:$H$29,$A773)),INDEX('Hours Worked'!$D$5:$BD$29,$A773,$B773)))</f>
        <v/>
      </c>
      <c r="J773" s="48">
        <f>IF(OR($G773=0,INDEX(Employees!$O$5:$O$29,$A773)&lt;&gt;"Yes"),0,IF(COUNTIF(Settings!$D$4:$D$9,"&lt;="&amp;$H773)=0,0,INDEX(Settings!$E$4:$E$9,COUNTIF(Settings!$D$4:$D$9,"&lt;="&amp;$H773))))</f>
        <v/>
      </c>
      <c r="K773" s="48">
        <f>IF($G773=0,0,IF(INDEX(Employees!$I$5:$I$29,$A773)="Per pay period",(N(INDEX(Employees!$J$5:$J$29,$A773))+$J773)/Settings!$B$13,IF(INDEX(Employees!$I$5:$I$29,$A773)="Per hour worked",N(INDEX(Employees!$K$5:$K$29,$A773))*$I773,IF(INDEX(Employees!$I$5:$I$29,$A773)="Front-loaded",IF(OR($B773=1,N($G772)=0),N(INDEX(Employees!$J$5:$J$29,$A773))+$J773,0),0))))</f>
        <v/>
      </c>
      <c r="L773" s="48">
        <f>IF($F773=0,0,SUMIFS('Time Off Log'!$H$5:$H$504,'Time Off Log'!$A$5:$A$504,$C773,'Time Off Log'!$B$5:$B$504,"PTO",'Time Off Log'!$E$5:$E$504,"Approved",'Time Off Log'!$C$5:$C$504,"&gt;="&amp;INDEX(Periods!$E$5:$E$57,$B773),'Time Off Log'!$C$5:$C$504,"&lt;="&amp;INDEX(Periods!$F$5:$F$57,$B773)))</f>
        <v/>
      </c>
      <c r="M773" s="48">
        <f>IF($B773=1,N(INDEX(Employees!$N$5:$N$29,$A773)),P772)</f>
        <v/>
      </c>
      <c r="N773" s="48">
        <f>IF(INDEX(Employees!$L$5:$L$29,$A773)="",K773,MAX(0,MIN(K773,INDEX(Employees!$L$5:$L$29,$A773)-(M773-L773))))</f>
        <v/>
      </c>
      <c r="O773" s="48">
        <f>K773-N773</f>
        <v/>
      </c>
      <c r="P773" s="48">
        <f>M773-L773+N773</f>
        <v/>
      </c>
      <c r="Q773" s="48">
        <f>IF($G773=0,0,IF(INDEX(Employees!$P$5:$P$29,$A773)="Per pay period",(N(INDEX(Employees!$Q$5:$Q$29,$A773)))/Settings!$B$13,IF(INDEX(Employees!$P$5:$P$29,$A773)="Per hour worked",N(INDEX(Employees!$R$5:$R$29,$A773))*$I773,IF(INDEX(Employees!$P$5:$P$29,$A773)="Front-loaded",IF(OR($B773=1,N($G772)=0),N(INDEX(Employees!$Q$5:$Q$29,$A773)),0),0))))</f>
        <v/>
      </c>
      <c r="R773" s="48">
        <f>IF($F773=0,0,SUMIFS('Time Off Log'!$H$5:$H$504,'Time Off Log'!$A$5:$A$504,$C773,'Time Off Log'!$B$5:$B$504,"Sick",'Time Off Log'!$E$5:$E$504,"Approved",'Time Off Log'!$C$5:$C$504,"&gt;="&amp;INDEX(Periods!$E$5:$E$57,$B773),'Time Off Log'!$C$5:$C$504,"&lt;="&amp;INDEX(Periods!$F$5:$F$57,$B773)))</f>
        <v/>
      </c>
      <c r="S773" s="48">
        <f>IF($B773=1,N(INDEX(Employees!$T$5:$T$29,$A773)),V772)</f>
        <v/>
      </c>
      <c r="T773" s="48">
        <f>IF(INDEX(Employees!$S$5:$S$29,$A773)="",Q773,MAX(0,MIN(Q773,INDEX(Employees!$S$5:$S$29,$A773)-(S773-R773))))</f>
        <v/>
      </c>
      <c r="U773" s="48">
        <f>Q773-T773</f>
        <v/>
      </c>
      <c r="V773" s="48">
        <f>S773-R773+T773</f>
        <v/>
      </c>
    </row>
    <row r="774">
      <c r="A774" s="47" t="n">
        <v>15</v>
      </c>
      <c r="B774" s="47" t="n">
        <v>28</v>
      </c>
      <c r="C774" s="48">
        <f>INDEX(Employees!$B$5:$B$29,$A774)&amp;""</f>
        <v/>
      </c>
      <c r="D774" s="49">
        <f>INDEX(Periods!$B$5:$B$57,$B774)</f>
        <v/>
      </c>
      <c r="E774" s="49">
        <f>INDEX(Periods!$C$5:$C$57,$B774)</f>
        <v/>
      </c>
      <c r="F774" s="47">
        <f>IF(AND($C774&lt;&gt;"",INDEX(Periods!$D$5:$D$57,$B774)=1),1,0)</f>
        <v/>
      </c>
      <c r="G774" s="47">
        <f>IF($F774=0,0,IF(AND(OR(INDEX(Employees!$D$5:$D$29,$A774)="",$E774&gt;=INDEX(Employees!$D$5:$D$29,$A774)+N(INDEX(Employees!$U$5:$U$29,$A774))),OR(INDEX(Employees!$E$5:$E$29,$A774)="",$D774&lt;=INDEX(Employees!$E$5:$E$29,$A774))),1,0))</f>
        <v/>
      </c>
      <c r="H774" s="47">
        <f>IF($G774=0,0,IF(INDEX(Employees!$D$5:$D$29,$A774)="",0,DATEDIF(INDEX(Employees!$D$5:$D$29,$A774),$E774,"y")))</f>
        <v/>
      </c>
      <c r="I774" s="48">
        <f>IF($G774=0,0,IF(INDEX('Hours Worked'!$D$5:$BD$29,$A774,$B774)="",N(INDEX(Employees!$H$5:$H$29,$A774)),INDEX('Hours Worked'!$D$5:$BD$29,$A774,$B774)))</f>
        <v/>
      </c>
      <c r="J774" s="48">
        <f>IF(OR($G774=0,INDEX(Employees!$O$5:$O$29,$A774)&lt;&gt;"Yes"),0,IF(COUNTIF(Settings!$D$4:$D$9,"&lt;="&amp;$H774)=0,0,INDEX(Settings!$E$4:$E$9,COUNTIF(Settings!$D$4:$D$9,"&lt;="&amp;$H774))))</f>
        <v/>
      </c>
      <c r="K774" s="48">
        <f>IF($G774=0,0,IF(INDEX(Employees!$I$5:$I$29,$A774)="Per pay period",(N(INDEX(Employees!$J$5:$J$29,$A774))+$J774)/Settings!$B$13,IF(INDEX(Employees!$I$5:$I$29,$A774)="Per hour worked",N(INDEX(Employees!$K$5:$K$29,$A774))*$I774,IF(INDEX(Employees!$I$5:$I$29,$A774)="Front-loaded",IF(OR($B774=1,N($G773)=0),N(INDEX(Employees!$J$5:$J$29,$A774))+$J774,0),0))))</f>
        <v/>
      </c>
      <c r="L774" s="48">
        <f>IF($F774=0,0,SUMIFS('Time Off Log'!$H$5:$H$504,'Time Off Log'!$A$5:$A$504,$C774,'Time Off Log'!$B$5:$B$504,"PTO",'Time Off Log'!$E$5:$E$504,"Approved",'Time Off Log'!$C$5:$C$504,"&gt;="&amp;INDEX(Periods!$E$5:$E$57,$B774),'Time Off Log'!$C$5:$C$504,"&lt;="&amp;INDEX(Periods!$F$5:$F$57,$B774)))</f>
        <v/>
      </c>
      <c r="M774" s="48">
        <f>IF($B774=1,N(INDEX(Employees!$N$5:$N$29,$A774)),P773)</f>
        <v/>
      </c>
      <c r="N774" s="48">
        <f>IF(INDEX(Employees!$L$5:$L$29,$A774)="",K774,MAX(0,MIN(K774,INDEX(Employees!$L$5:$L$29,$A774)-(M774-L774))))</f>
        <v/>
      </c>
      <c r="O774" s="48">
        <f>K774-N774</f>
        <v/>
      </c>
      <c r="P774" s="48">
        <f>M774-L774+N774</f>
        <v/>
      </c>
      <c r="Q774" s="48">
        <f>IF($G774=0,0,IF(INDEX(Employees!$P$5:$P$29,$A774)="Per pay period",(N(INDEX(Employees!$Q$5:$Q$29,$A774)))/Settings!$B$13,IF(INDEX(Employees!$P$5:$P$29,$A774)="Per hour worked",N(INDEX(Employees!$R$5:$R$29,$A774))*$I774,IF(INDEX(Employees!$P$5:$P$29,$A774)="Front-loaded",IF(OR($B774=1,N($G773)=0),N(INDEX(Employees!$Q$5:$Q$29,$A774)),0),0))))</f>
        <v/>
      </c>
      <c r="R774" s="48">
        <f>IF($F774=0,0,SUMIFS('Time Off Log'!$H$5:$H$504,'Time Off Log'!$A$5:$A$504,$C774,'Time Off Log'!$B$5:$B$504,"Sick",'Time Off Log'!$E$5:$E$504,"Approved",'Time Off Log'!$C$5:$C$504,"&gt;="&amp;INDEX(Periods!$E$5:$E$57,$B774),'Time Off Log'!$C$5:$C$504,"&lt;="&amp;INDEX(Periods!$F$5:$F$57,$B774)))</f>
        <v/>
      </c>
      <c r="S774" s="48">
        <f>IF($B774=1,N(INDEX(Employees!$T$5:$T$29,$A774)),V773)</f>
        <v/>
      </c>
      <c r="T774" s="48">
        <f>IF(INDEX(Employees!$S$5:$S$29,$A774)="",Q774,MAX(0,MIN(Q774,INDEX(Employees!$S$5:$S$29,$A774)-(S774-R774))))</f>
        <v/>
      </c>
      <c r="U774" s="48">
        <f>Q774-T774</f>
        <v/>
      </c>
      <c r="V774" s="48">
        <f>S774-R774+T774</f>
        <v/>
      </c>
    </row>
    <row r="775">
      <c r="A775" s="47" t="n">
        <v>15</v>
      </c>
      <c r="B775" s="47" t="n">
        <v>29</v>
      </c>
      <c r="C775" s="48">
        <f>INDEX(Employees!$B$5:$B$29,$A775)&amp;""</f>
        <v/>
      </c>
      <c r="D775" s="49">
        <f>INDEX(Periods!$B$5:$B$57,$B775)</f>
        <v/>
      </c>
      <c r="E775" s="49">
        <f>INDEX(Periods!$C$5:$C$57,$B775)</f>
        <v/>
      </c>
      <c r="F775" s="47">
        <f>IF(AND($C775&lt;&gt;"",INDEX(Periods!$D$5:$D$57,$B775)=1),1,0)</f>
        <v/>
      </c>
      <c r="G775" s="47">
        <f>IF($F775=0,0,IF(AND(OR(INDEX(Employees!$D$5:$D$29,$A775)="",$E775&gt;=INDEX(Employees!$D$5:$D$29,$A775)+N(INDEX(Employees!$U$5:$U$29,$A775))),OR(INDEX(Employees!$E$5:$E$29,$A775)="",$D775&lt;=INDEX(Employees!$E$5:$E$29,$A775))),1,0))</f>
        <v/>
      </c>
      <c r="H775" s="47">
        <f>IF($G775=0,0,IF(INDEX(Employees!$D$5:$D$29,$A775)="",0,DATEDIF(INDEX(Employees!$D$5:$D$29,$A775),$E775,"y")))</f>
        <v/>
      </c>
      <c r="I775" s="48">
        <f>IF($G775=0,0,IF(INDEX('Hours Worked'!$D$5:$BD$29,$A775,$B775)="",N(INDEX(Employees!$H$5:$H$29,$A775)),INDEX('Hours Worked'!$D$5:$BD$29,$A775,$B775)))</f>
        <v/>
      </c>
      <c r="J775" s="48">
        <f>IF(OR($G775=0,INDEX(Employees!$O$5:$O$29,$A775)&lt;&gt;"Yes"),0,IF(COUNTIF(Settings!$D$4:$D$9,"&lt;="&amp;$H775)=0,0,INDEX(Settings!$E$4:$E$9,COUNTIF(Settings!$D$4:$D$9,"&lt;="&amp;$H775))))</f>
        <v/>
      </c>
      <c r="K775" s="48">
        <f>IF($G775=0,0,IF(INDEX(Employees!$I$5:$I$29,$A775)="Per pay period",(N(INDEX(Employees!$J$5:$J$29,$A775))+$J775)/Settings!$B$13,IF(INDEX(Employees!$I$5:$I$29,$A775)="Per hour worked",N(INDEX(Employees!$K$5:$K$29,$A775))*$I775,IF(INDEX(Employees!$I$5:$I$29,$A775)="Front-loaded",IF(OR($B775=1,N($G774)=0),N(INDEX(Employees!$J$5:$J$29,$A775))+$J775,0),0))))</f>
        <v/>
      </c>
      <c r="L775" s="48">
        <f>IF($F775=0,0,SUMIFS('Time Off Log'!$H$5:$H$504,'Time Off Log'!$A$5:$A$504,$C775,'Time Off Log'!$B$5:$B$504,"PTO",'Time Off Log'!$E$5:$E$504,"Approved",'Time Off Log'!$C$5:$C$504,"&gt;="&amp;INDEX(Periods!$E$5:$E$57,$B775),'Time Off Log'!$C$5:$C$504,"&lt;="&amp;INDEX(Periods!$F$5:$F$57,$B775)))</f>
        <v/>
      </c>
      <c r="M775" s="48">
        <f>IF($B775=1,N(INDEX(Employees!$N$5:$N$29,$A775)),P774)</f>
        <v/>
      </c>
      <c r="N775" s="48">
        <f>IF(INDEX(Employees!$L$5:$L$29,$A775)="",K775,MAX(0,MIN(K775,INDEX(Employees!$L$5:$L$29,$A775)-(M775-L775))))</f>
        <v/>
      </c>
      <c r="O775" s="48">
        <f>K775-N775</f>
        <v/>
      </c>
      <c r="P775" s="48">
        <f>M775-L775+N775</f>
        <v/>
      </c>
      <c r="Q775" s="48">
        <f>IF($G775=0,0,IF(INDEX(Employees!$P$5:$P$29,$A775)="Per pay period",(N(INDEX(Employees!$Q$5:$Q$29,$A775)))/Settings!$B$13,IF(INDEX(Employees!$P$5:$P$29,$A775)="Per hour worked",N(INDEX(Employees!$R$5:$R$29,$A775))*$I775,IF(INDEX(Employees!$P$5:$P$29,$A775)="Front-loaded",IF(OR($B775=1,N($G774)=0),N(INDEX(Employees!$Q$5:$Q$29,$A775)),0),0))))</f>
        <v/>
      </c>
      <c r="R775" s="48">
        <f>IF($F775=0,0,SUMIFS('Time Off Log'!$H$5:$H$504,'Time Off Log'!$A$5:$A$504,$C775,'Time Off Log'!$B$5:$B$504,"Sick",'Time Off Log'!$E$5:$E$504,"Approved",'Time Off Log'!$C$5:$C$504,"&gt;="&amp;INDEX(Periods!$E$5:$E$57,$B775),'Time Off Log'!$C$5:$C$504,"&lt;="&amp;INDEX(Periods!$F$5:$F$57,$B775)))</f>
        <v/>
      </c>
      <c r="S775" s="48">
        <f>IF($B775=1,N(INDEX(Employees!$T$5:$T$29,$A775)),V774)</f>
        <v/>
      </c>
      <c r="T775" s="48">
        <f>IF(INDEX(Employees!$S$5:$S$29,$A775)="",Q775,MAX(0,MIN(Q775,INDEX(Employees!$S$5:$S$29,$A775)-(S775-R775))))</f>
        <v/>
      </c>
      <c r="U775" s="48">
        <f>Q775-T775</f>
        <v/>
      </c>
      <c r="V775" s="48">
        <f>S775-R775+T775</f>
        <v/>
      </c>
    </row>
    <row r="776">
      <c r="A776" s="47" t="n">
        <v>15</v>
      </c>
      <c r="B776" s="47" t="n">
        <v>30</v>
      </c>
      <c r="C776" s="48">
        <f>INDEX(Employees!$B$5:$B$29,$A776)&amp;""</f>
        <v/>
      </c>
      <c r="D776" s="49">
        <f>INDEX(Periods!$B$5:$B$57,$B776)</f>
        <v/>
      </c>
      <c r="E776" s="49">
        <f>INDEX(Periods!$C$5:$C$57,$B776)</f>
        <v/>
      </c>
      <c r="F776" s="47">
        <f>IF(AND($C776&lt;&gt;"",INDEX(Periods!$D$5:$D$57,$B776)=1),1,0)</f>
        <v/>
      </c>
      <c r="G776" s="47">
        <f>IF($F776=0,0,IF(AND(OR(INDEX(Employees!$D$5:$D$29,$A776)="",$E776&gt;=INDEX(Employees!$D$5:$D$29,$A776)+N(INDEX(Employees!$U$5:$U$29,$A776))),OR(INDEX(Employees!$E$5:$E$29,$A776)="",$D776&lt;=INDEX(Employees!$E$5:$E$29,$A776))),1,0))</f>
        <v/>
      </c>
      <c r="H776" s="47">
        <f>IF($G776=0,0,IF(INDEX(Employees!$D$5:$D$29,$A776)="",0,DATEDIF(INDEX(Employees!$D$5:$D$29,$A776),$E776,"y")))</f>
        <v/>
      </c>
      <c r="I776" s="48">
        <f>IF($G776=0,0,IF(INDEX('Hours Worked'!$D$5:$BD$29,$A776,$B776)="",N(INDEX(Employees!$H$5:$H$29,$A776)),INDEX('Hours Worked'!$D$5:$BD$29,$A776,$B776)))</f>
        <v/>
      </c>
      <c r="J776" s="48">
        <f>IF(OR($G776=0,INDEX(Employees!$O$5:$O$29,$A776)&lt;&gt;"Yes"),0,IF(COUNTIF(Settings!$D$4:$D$9,"&lt;="&amp;$H776)=0,0,INDEX(Settings!$E$4:$E$9,COUNTIF(Settings!$D$4:$D$9,"&lt;="&amp;$H776))))</f>
        <v/>
      </c>
      <c r="K776" s="48">
        <f>IF($G776=0,0,IF(INDEX(Employees!$I$5:$I$29,$A776)="Per pay period",(N(INDEX(Employees!$J$5:$J$29,$A776))+$J776)/Settings!$B$13,IF(INDEX(Employees!$I$5:$I$29,$A776)="Per hour worked",N(INDEX(Employees!$K$5:$K$29,$A776))*$I776,IF(INDEX(Employees!$I$5:$I$29,$A776)="Front-loaded",IF(OR($B776=1,N($G775)=0),N(INDEX(Employees!$J$5:$J$29,$A776))+$J776,0),0))))</f>
        <v/>
      </c>
      <c r="L776" s="48">
        <f>IF($F776=0,0,SUMIFS('Time Off Log'!$H$5:$H$504,'Time Off Log'!$A$5:$A$504,$C776,'Time Off Log'!$B$5:$B$504,"PTO",'Time Off Log'!$E$5:$E$504,"Approved",'Time Off Log'!$C$5:$C$504,"&gt;="&amp;INDEX(Periods!$E$5:$E$57,$B776),'Time Off Log'!$C$5:$C$504,"&lt;="&amp;INDEX(Periods!$F$5:$F$57,$B776)))</f>
        <v/>
      </c>
      <c r="M776" s="48">
        <f>IF($B776=1,N(INDEX(Employees!$N$5:$N$29,$A776)),P775)</f>
        <v/>
      </c>
      <c r="N776" s="48">
        <f>IF(INDEX(Employees!$L$5:$L$29,$A776)="",K776,MAX(0,MIN(K776,INDEX(Employees!$L$5:$L$29,$A776)-(M776-L776))))</f>
        <v/>
      </c>
      <c r="O776" s="48">
        <f>K776-N776</f>
        <v/>
      </c>
      <c r="P776" s="48">
        <f>M776-L776+N776</f>
        <v/>
      </c>
      <c r="Q776" s="48">
        <f>IF($G776=0,0,IF(INDEX(Employees!$P$5:$P$29,$A776)="Per pay period",(N(INDEX(Employees!$Q$5:$Q$29,$A776)))/Settings!$B$13,IF(INDEX(Employees!$P$5:$P$29,$A776)="Per hour worked",N(INDEX(Employees!$R$5:$R$29,$A776))*$I776,IF(INDEX(Employees!$P$5:$P$29,$A776)="Front-loaded",IF(OR($B776=1,N($G775)=0),N(INDEX(Employees!$Q$5:$Q$29,$A776)),0),0))))</f>
        <v/>
      </c>
      <c r="R776" s="48">
        <f>IF($F776=0,0,SUMIFS('Time Off Log'!$H$5:$H$504,'Time Off Log'!$A$5:$A$504,$C776,'Time Off Log'!$B$5:$B$504,"Sick",'Time Off Log'!$E$5:$E$504,"Approved",'Time Off Log'!$C$5:$C$504,"&gt;="&amp;INDEX(Periods!$E$5:$E$57,$B776),'Time Off Log'!$C$5:$C$504,"&lt;="&amp;INDEX(Periods!$F$5:$F$57,$B776)))</f>
        <v/>
      </c>
      <c r="S776" s="48">
        <f>IF($B776=1,N(INDEX(Employees!$T$5:$T$29,$A776)),V775)</f>
        <v/>
      </c>
      <c r="T776" s="48">
        <f>IF(INDEX(Employees!$S$5:$S$29,$A776)="",Q776,MAX(0,MIN(Q776,INDEX(Employees!$S$5:$S$29,$A776)-(S776-R776))))</f>
        <v/>
      </c>
      <c r="U776" s="48">
        <f>Q776-T776</f>
        <v/>
      </c>
      <c r="V776" s="48">
        <f>S776-R776+T776</f>
        <v/>
      </c>
    </row>
    <row r="777">
      <c r="A777" s="47" t="n">
        <v>15</v>
      </c>
      <c r="B777" s="47" t="n">
        <v>31</v>
      </c>
      <c r="C777" s="48">
        <f>INDEX(Employees!$B$5:$B$29,$A777)&amp;""</f>
        <v/>
      </c>
      <c r="D777" s="49">
        <f>INDEX(Periods!$B$5:$B$57,$B777)</f>
        <v/>
      </c>
      <c r="E777" s="49">
        <f>INDEX(Periods!$C$5:$C$57,$B777)</f>
        <v/>
      </c>
      <c r="F777" s="47">
        <f>IF(AND($C777&lt;&gt;"",INDEX(Periods!$D$5:$D$57,$B777)=1),1,0)</f>
        <v/>
      </c>
      <c r="G777" s="47">
        <f>IF($F777=0,0,IF(AND(OR(INDEX(Employees!$D$5:$D$29,$A777)="",$E777&gt;=INDEX(Employees!$D$5:$D$29,$A777)+N(INDEX(Employees!$U$5:$U$29,$A777))),OR(INDEX(Employees!$E$5:$E$29,$A777)="",$D777&lt;=INDEX(Employees!$E$5:$E$29,$A777))),1,0))</f>
        <v/>
      </c>
      <c r="H777" s="47">
        <f>IF($G777=0,0,IF(INDEX(Employees!$D$5:$D$29,$A777)="",0,DATEDIF(INDEX(Employees!$D$5:$D$29,$A777),$E777,"y")))</f>
        <v/>
      </c>
      <c r="I777" s="48">
        <f>IF($G777=0,0,IF(INDEX('Hours Worked'!$D$5:$BD$29,$A777,$B777)="",N(INDEX(Employees!$H$5:$H$29,$A777)),INDEX('Hours Worked'!$D$5:$BD$29,$A777,$B777)))</f>
        <v/>
      </c>
      <c r="J777" s="48">
        <f>IF(OR($G777=0,INDEX(Employees!$O$5:$O$29,$A777)&lt;&gt;"Yes"),0,IF(COUNTIF(Settings!$D$4:$D$9,"&lt;="&amp;$H777)=0,0,INDEX(Settings!$E$4:$E$9,COUNTIF(Settings!$D$4:$D$9,"&lt;="&amp;$H777))))</f>
        <v/>
      </c>
      <c r="K777" s="48">
        <f>IF($G777=0,0,IF(INDEX(Employees!$I$5:$I$29,$A777)="Per pay period",(N(INDEX(Employees!$J$5:$J$29,$A777))+$J777)/Settings!$B$13,IF(INDEX(Employees!$I$5:$I$29,$A777)="Per hour worked",N(INDEX(Employees!$K$5:$K$29,$A777))*$I777,IF(INDEX(Employees!$I$5:$I$29,$A777)="Front-loaded",IF(OR($B777=1,N($G776)=0),N(INDEX(Employees!$J$5:$J$29,$A777))+$J777,0),0))))</f>
        <v/>
      </c>
      <c r="L777" s="48">
        <f>IF($F777=0,0,SUMIFS('Time Off Log'!$H$5:$H$504,'Time Off Log'!$A$5:$A$504,$C777,'Time Off Log'!$B$5:$B$504,"PTO",'Time Off Log'!$E$5:$E$504,"Approved",'Time Off Log'!$C$5:$C$504,"&gt;="&amp;INDEX(Periods!$E$5:$E$57,$B777),'Time Off Log'!$C$5:$C$504,"&lt;="&amp;INDEX(Periods!$F$5:$F$57,$B777)))</f>
        <v/>
      </c>
      <c r="M777" s="48">
        <f>IF($B777=1,N(INDEX(Employees!$N$5:$N$29,$A777)),P776)</f>
        <v/>
      </c>
      <c r="N777" s="48">
        <f>IF(INDEX(Employees!$L$5:$L$29,$A777)="",K777,MAX(0,MIN(K777,INDEX(Employees!$L$5:$L$29,$A777)-(M777-L777))))</f>
        <v/>
      </c>
      <c r="O777" s="48">
        <f>K777-N777</f>
        <v/>
      </c>
      <c r="P777" s="48">
        <f>M777-L777+N777</f>
        <v/>
      </c>
      <c r="Q777" s="48">
        <f>IF($G777=0,0,IF(INDEX(Employees!$P$5:$P$29,$A777)="Per pay period",(N(INDEX(Employees!$Q$5:$Q$29,$A777)))/Settings!$B$13,IF(INDEX(Employees!$P$5:$P$29,$A777)="Per hour worked",N(INDEX(Employees!$R$5:$R$29,$A777))*$I777,IF(INDEX(Employees!$P$5:$P$29,$A777)="Front-loaded",IF(OR($B777=1,N($G776)=0),N(INDEX(Employees!$Q$5:$Q$29,$A777)),0),0))))</f>
        <v/>
      </c>
      <c r="R777" s="48">
        <f>IF($F777=0,0,SUMIFS('Time Off Log'!$H$5:$H$504,'Time Off Log'!$A$5:$A$504,$C777,'Time Off Log'!$B$5:$B$504,"Sick",'Time Off Log'!$E$5:$E$504,"Approved",'Time Off Log'!$C$5:$C$504,"&gt;="&amp;INDEX(Periods!$E$5:$E$57,$B777),'Time Off Log'!$C$5:$C$504,"&lt;="&amp;INDEX(Periods!$F$5:$F$57,$B777)))</f>
        <v/>
      </c>
      <c r="S777" s="48">
        <f>IF($B777=1,N(INDEX(Employees!$T$5:$T$29,$A777)),V776)</f>
        <v/>
      </c>
      <c r="T777" s="48">
        <f>IF(INDEX(Employees!$S$5:$S$29,$A777)="",Q777,MAX(0,MIN(Q777,INDEX(Employees!$S$5:$S$29,$A777)-(S777-R777))))</f>
        <v/>
      </c>
      <c r="U777" s="48">
        <f>Q777-T777</f>
        <v/>
      </c>
      <c r="V777" s="48">
        <f>S777-R777+T777</f>
        <v/>
      </c>
    </row>
    <row r="778">
      <c r="A778" s="47" t="n">
        <v>15</v>
      </c>
      <c r="B778" s="47" t="n">
        <v>32</v>
      </c>
      <c r="C778" s="48">
        <f>INDEX(Employees!$B$5:$B$29,$A778)&amp;""</f>
        <v/>
      </c>
      <c r="D778" s="49">
        <f>INDEX(Periods!$B$5:$B$57,$B778)</f>
        <v/>
      </c>
      <c r="E778" s="49">
        <f>INDEX(Periods!$C$5:$C$57,$B778)</f>
        <v/>
      </c>
      <c r="F778" s="47">
        <f>IF(AND($C778&lt;&gt;"",INDEX(Periods!$D$5:$D$57,$B778)=1),1,0)</f>
        <v/>
      </c>
      <c r="G778" s="47">
        <f>IF($F778=0,0,IF(AND(OR(INDEX(Employees!$D$5:$D$29,$A778)="",$E778&gt;=INDEX(Employees!$D$5:$D$29,$A778)+N(INDEX(Employees!$U$5:$U$29,$A778))),OR(INDEX(Employees!$E$5:$E$29,$A778)="",$D778&lt;=INDEX(Employees!$E$5:$E$29,$A778))),1,0))</f>
        <v/>
      </c>
      <c r="H778" s="47">
        <f>IF($G778=0,0,IF(INDEX(Employees!$D$5:$D$29,$A778)="",0,DATEDIF(INDEX(Employees!$D$5:$D$29,$A778),$E778,"y")))</f>
        <v/>
      </c>
      <c r="I778" s="48">
        <f>IF($G778=0,0,IF(INDEX('Hours Worked'!$D$5:$BD$29,$A778,$B778)="",N(INDEX(Employees!$H$5:$H$29,$A778)),INDEX('Hours Worked'!$D$5:$BD$29,$A778,$B778)))</f>
        <v/>
      </c>
      <c r="J778" s="48">
        <f>IF(OR($G778=0,INDEX(Employees!$O$5:$O$29,$A778)&lt;&gt;"Yes"),0,IF(COUNTIF(Settings!$D$4:$D$9,"&lt;="&amp;$H778)=0,0,INDEX(Settings!$E$4:$E$9,COUNTIF(Settings!$D$4:$D$9,"&lt;="&amp;$H778))))</f>
        <v/>
      </c>
      <c r="K778" s="48">
        <f>IF($G778=0,0,IF(INDEX(Employees!$I$5:$I$29,$A778)="Per pay period",(N(INDEX(Employees!$J$5:$J$29,$A778))+$J778)/Settings!$B$13,IF(INDEX(Employees!$I$5:$I$29,$A778)="Per hour worked",N(INDEX(Employees!$K$5:$K$29,$A778))*$I778,IF(INDEX(Employees!$I$5:$I$29,$A778)="Front-loaded",IF(OR($B778=1,N($G777)=0),N(INDEX(Employees!$J$5:$J$29,$A778))+$J778,0),0))))</f>
        <v/>
      </c>
      <c r="L778" s="48">
        <f>IF($F778=0,0,SUMIFS('Time Off Log'!$H$5:$H$504,'Time Off Log'!$A$5:$A$504,$C778,'Time Off Log'!$B$5:$B$504,"PTO",'Time Off Log'!$E$5:$E$504,"Approved",'Time Off Log'!$C$5:$C$504,"&gt;="&amp;INDEX(Periods!$E$5:$E$57,$B778),'Time Off Log'!$C$5:$C$504,"&lt;="&amp;INDEX(Periods!$F$5:$F$57,$B778)))</f>
        <v/>
      </c>
      <c r="M778" s="48">
        <f>IF($B778=1,N(INDEX(Employees!$N$5:$N$29,$A778)),P777)</f>
        <v/>
      </c>
      <c r="N778" s="48">
        <f>IF(INDEX(Employees!$L$5:$L$29,$A778)="",K778,MAX(0,MIN(K778,INDEX(Employees!$L$5:$L$29,$A778)-(M778-L778))))</f>
        <v/>
      </c>
      <c r="O778" s="48">
        <f>K778-N778</f>
        <v/>
      </c>
      <c r="P778" s="48">
        <f>M778-L778+N778</f>
        <v/>
      </c>
      <c r="Q778" s="48">
        <f>IF($G778=0,0,IF(INDEX(Employees!$P$5:$P$29,$A778)="Per pay period",(N(INDEX(Employees!$Q$5:$Q$29,$A778)))/Settings!$B$13,IF(INDEX(Employees!$P$5:$P$29,$A778)="Per hour worked",N(INDEX(Employees!$R$5:$R$29,$A778))*$I778,IF(INDEX(Employees!$P$5:$P$29,$A778)="Front-loaded",IF(OR($B778=1,N($G777)=0),N(INDEX(Employees!$Q$5:$Q$29,$A778)),0),0))))</f>
        <v/>
      </c>
      <c r="R778" s="48">
        <f>IF($F778=0,0,SUMIFS('Time Off Log'!$H$5:$H$504,'Time Off Log'!$A$5:$A$504,$C778,'Time Off Log'!$B$5:$B$504,"Sick",'Time Off Log'!$E$5:$E$504,"Approved",'Time Off Log'!$C$5:$C$504,"&gt;="&amp;INDEX(Periods!$E$5:$E$57,$B778),'Time Off Log'!$C$5:$C$504,"&lt;="&amp;INDEX(Periods!$F$5:$F$57,$B778)))</f>
        <v/>
      </c>
      <c r="S778" s="48">
        <f>IF($B778=1,N(INDEX(Employees!$T$5:$T$29,$A778)),V777)</f>
        <v/>
      </c>
      <c r="T778" s="48">
        <f>IF(INDEX(Employees!$S$5:$S$29,$A778)="",Q778,MAX(0,MIN(Q778,INDEX(Employees!$S$5:$S$29,$A778)-(S778-R778))))</f>
        <v/>
      </c>
      <c r="U778" s="48">
        <f>Q778-T778</f>
        <v/>
      </c>
      <c r="V778" s="48">
        <f>S778-R778+T778</f>
        <v/>
      </c>
    </row>
    <row r="779">
      <c r="A779" s="47" t="n">
        <v>15</v>
      </c>
      <c r="B779" s="47" t="n">
        <v>33</v>
      </c>
      <c r="C779" s="48">
        <f>INDEX(Employees!$B$5:$B$29,$A779)&amp;""</f>
        <v/>
      </c>
      <c r="D779" s="49">
        <f>INDEX(Periods!$B$5:$B$57,$B779)</f>
        <v/>
      </c>
      <c r="E779" s="49">
        <f>INDEX(Periods!$C$5:$C$57,$B779)</f>
        <v/>
      </c>
      <c r="F779" s="47">
        <f>IF(AND($C779&lt;&gt;"",INDEX(Periods!$D$5:$D$57,$B779)=1),1,0)</f>
        <v/>
      </c>
      <c r="G779" s="47">
        <f>IF($F779=0,0,IF(AND(OR(INDEX(Employees!$D$5:$D$29,$A779)="",$E779&gt;=INDEX(Employees!$D$5:$D$29,$A779)+N(INDEX(Employees!$U$5:$U$29,$A779))),OR(INDEX(Employees!$E$5:$E$29,$A779)="",$D779&lt;=INDEX(Employees!$E$5:$E$29,$A779))),1,0))</f>
        <v/>
      </c>
      <c r="H779" s="47">
        <f>IF($G779=0,0,IF(INDEX(Employees!$D$5:$D$29,$A779)="",0,DATEDIF(INDEX(Employees!$D$5:$D$29,$A779),$E779,"y")))</f>
        <v/>
      </c>
      <c r="I779" s="48">
        <f>IF($G779=0,0,IF(INDEX('Hours Worked'!$D$5:$BD$29,$A779,$B779)="",N(INDEX(Employees!$H$5:$H$29,$A779)),INDEX('Hours Worked'!$D$5:$BD$29,$A779,$B779)))</f>
        <v/>
      </c>
      <c r="J779" s="48">
        <f>IF(OR($G779=0,INDEX(Employees!$O$5:$O$29,$A779)&lt;&gt;"Yes"),0,IF(COUNTIF(Settings!$D$4:$D$9,"&lt;="&amp;$H779)=0,0,INDEX(Settings!$E$4:$E$9,COUNTIF(Settings!$D$4:$D$9,"&lt;="&amp;$H779))))</f>
        <v/>
      </c>
      <c r="K779" s="48">
        <f>IF($G779=0,0,IF(INDEX(Employees!$I$5:$I$29,$A779)="Per pay period",(N(INDEX(Employees!$J$5:$J$29,$A779))+$J779)/Settings!$B$13,IF(INDEX(Employees!$I$5:$I$29,$A779)="Per hour worked",N(INDEX(Employees!$K$5:$K$29,$A779))*$I779,IF(INDEX(Employees!$I$5:$I$29,$A779)="Front-loaded",IF(OR($B779=1,N($G778)=0),N(INDEX(Employees!$J$5:$J$29,$A779))+$J779,0),0))))</f>
        <v/>
      </c>
      <c r="L779" s="48">
        <f>IF($F779=0,0,SUMIFS('Time Off Log'!$H$5:$H$504,'Time Off Log'!$A$5:$A$504,$C779,'Time Off Log'!$B$5:$B$504,"PTO",'Time Off Log'!$E$5:$E$504,"Approved",'Time Off Log'!$C$5:$C$504,"&gt;="&amp;INDEX(Periods!$E$5:$E$57,$B779),'Time Off Log'!$C$5:$C$504,"&lt;="&amp;INDEX(Periods!$F$5:$F$57,$B779)))</f>
        <v/>
      </c>
      <c r="M779" s="48">
        <f>IF($B779=1,N(INDEX(Employees!$N$5:$N$29,$A779)),P778)</f>
        <v/>
      </c>
      <c r="N779" s="48">
        <f>IF(INDEX(Employees!$L$5:$L$29,$A779)="",K779,MAX(0,MIN(K779,INDEX(Employees!$L$5:$L$29,$A779)-(M779-L779))))</f>
        <v/>
      </c>
      <c r="O779" s="48">
        <f>K779-N779</f>
        <v/>
      </c>
      <c r="P779" s="48">
        <f>M779-L779+N779</f>
        <v/>
      </c>
      <c r="Q779" s="48">
        <f>IF($G779=0,0,IF(INDEX(Employees!$P$5:$P$29,$A779)="Per pay period",(N(INDEX(Employees!$Q$5:$Q$29,$A779)))/Settings!$B$13,IF(INDEX(Employees!$P$5:$P$29,$A779)="Per hour worked",N(INDEX(Employees!$R$5:$R$29,$A779))*$I779,IF(INDEX(Employees!$P$5:$P$29,$A779)="Front-loaded",IF(OR($B779=1,N($G778)=0),N(INDEX(Employees!$Q$5:$Q$29,$A779)),0),0))))</f>
        <v/>
      </c>
      <c r="R779" s="48">
        <f>IF($F779=0,0,SUMIFS('Time Off Log'!$H$5:$H$504,'Time Off Log'!$A$5:$A$504,$C779,'Time Off Log'!$B$5:$B$504,"Sick",'Time Off Log'!$E$5:$E$504,"Approved",'Time Off Log'!$C$5:$C$504,"&gt;="&amp;INDEX(Periods!$E$5:$E$57,$B779),'Time Off Log'!$C$5:$C$504,"&lt;="&amp;INDEX(Periods!$F$5:$F$57,$B779)))</f>
        <v/>
      </c>
      <c r="S779" s="48">
        <f>IF($B779=1,N(INDEX(Employees!$T$5:$T$29,$A779)),V778)</f>
        <v/>
      </c>
      <c r="T779" s="48">
        <f>IF(INDEX(Employees!$S$5:$S$29,$A779)="",Q779,MAX(0,MIN(Q779,INDEX(Employees!$S$5:$S$29,$A779)-(S779-R779))))</f>
        <v/>
      </c>
      <c r="U779" s="48">
        <f>Q779-T779</f>
        <v/>
      </c>
      <c r="V779" s="48">
        <f>S779-R779+T779</f>
        <v/>
      </c>
    </row>
    <row r="780">
      <c r="A780" s="47" t="n">
        <v>15</v>
      </c>
      <c r="B780" s="47" t="n">
        <v>34</v>
      </c>
      <c r="C780" s="48">
        <f>INDEX(Employees!$B$5:$B$29,$A780)&amp;""</f>
        <v/>
      </c>
      <c r="D780" s="49">
        <f>INDEX(Periods!$B$5:$B$57,$B780)</f>
        <v/>
      </c>
      <c r="E780" s="49">
        <f>INDEX(Periods!$C$5:$C$57,$B780)</f>
        <v/>
      </c>
      <c r="F780" s="47">
        <f>IF(AND($C780&lt;&gt;"",INDEX(Periods!$D$5:$D$57,$B780)=1),1,0)</f>
        <v/>
      </c>
      <c r="G780" s="47">
        <f>IF($F780=0,0,IF(AND(OR(INDEX(Employees!$D$5:$D$29,$A780)="",$E780&gt;=INDEX(Employees!$D$5:$D$29,$A780)+N(INDEX(Employees!$U$5:$U$29,$A780))),OR(INDEX(Employees!$E$5:$E$29,$A780)="",$D780&lt;=INDEX(Employees!$E$5:$E$29,$A780))),1,0))</f>
        <v/>
      </c>
      <c r="H780" s="47">
        <f>IF($G780=0,0,IF(INDEX(Employees!$D$5:$D$29,$A780)="",0,DATEDIF(INDEX(Employees!$D$5:$D$29,$A780),$E780,"y")))</f>
        <v/>
      </c>
      <c r="I780" s="48">
        <f>IF($G780=0,0,IF(INDEX('Hours Worked'!$D$5:$BD$29,$A780,$B780)="",N(INDEX(Employees!$H$5:$H$29,$A780)),INDEX('Hours Worked'!$D$5:$BD$29,$A780,$B780)))</f>
        <v/>
      </c>
      <c r="J780" s="48">
        <f>IF(OR($G780=0,INDEX(Employees!$O$5:$O$29,$A780)&lt;&gt;"Yes"),0,IF(COUNTIF(Settings!$D$4:$D$9,"&lt;="&amp;$H780)=0,0,INDEX(Settings!$E$4:$E$9,COUNTIF(Settings!$D$4:$D$9,"&lt;="&amp;$H780))))</f>
        <v/>
      </c>
      <c r="K780" s="48">
        <f>IF($G780=0,0,IF(INDEX(Employees!$I$5:$I$29,$A780)="Per pay period",(N(INDEX(Employees!$J$5:$J$29,$A780))+$J780)/Settings!$B$13,IF(INDEX(Employees!$I$5:$I$29,$A780)="Per hour worked",N(INDEX(Employees!$K$5:$K$29,$A780))*$I780,IF(INDEX(Employees!$I$5:$I$29,$A780)="Front-loaded",IF(OR($B780=1,N($G779)=0),N(INDEX(Employees!$J$5:$J$29,$A780))+$J780,0),0))))</f>
        <v/>
      </c>
      <c r="L780" s="48">
        <f>IF($F780=0,0,SUMIFS('Time Off Log'!$H$5:$H$504,'Time Off Log'!$A$5:$A$504,$C780,'Time Off Log'!$B$5:$B$504,"PTO",'Time Off Log'!$E$5:$E$504,"Approved",'Time Off Log'!$C$5:$C$504,"&gt;="&amp;INDEX(Periods!$E$5:$E$57,$B780),'Time Off Log'!$C$5:$C$504,"&lt;="&amp;INDEX(Periods!$F$5:$F$57,$B780)))</f>
        <v/>
      </c>
      <c r="M780" s="48">
        <f>IF($B780=1,N(INDEX(Employees!$N$5:$N$29,$A780)),P779)</f>
        <v/>
      </c>
      <c r="N780" s="48">
        <f>IF(INDEX(Employees!$L$5:$L$29,$A780)="",K780,MAX(0,MIN(K780,INDEX(Employees!$L$5:$L$29,$A780)-(M780-L780))))</f>
        <v/>
      </c>
      <c r="O780" s="48">
        <f>K780-N780</f>
        <v/>
      </c>
      <c r="P780" s="48">
        <f>M780-L780+N780</f>
        <v/>
      </c>
      <c r="Q780" s="48">
        <f>IF($G780=0,0,IF(INDEX(Employees!$P$5:$P$29,$A780)="Per pay period",(N(INDEX(Employees!$Q$5:$Q$29,$A780)))/Settings!$B$13,IF(INDEX(Employees!$P$5:$P$29,$A780)="Per hour worked",N(INDEX(Employees!$R$5:$R$29,$A780))*$I780,IF(INDEX(Employees!$P$5:$P$29,$A780)="Front-loaded",IF(OR($B780=1,N($G779)=0),N(INDEX(Employees!$Q$5:$Q$29,$A780)),0),0))))</f>
        <v/>
      </c>
      <c r="R780" s="48">
        <f>IF($F780=0,0,SUMIFS('Time Off Log'!$H$5:$H$504,'Time Off Log'!$A$5:$A$504,$C780,'Time Off Log'!$B$5:$B$504,"Sick",'Time Off Log'!$E$5:$E$504,"Approved",'Time Off Log'!$C$5:$C$504,"&gt;="&amp;INDEX(Periods!$E$5:$E$57,$B780),'Time Off Log'!$C$5:$C$504,"&lt;="&amp;INDEX(Periods!$F$5:$F$57,$B780)))</f>
        <v/>
      </c>
      <c r="S780" s="48">
        <f>IF($B780=1,N(INDEX(Employees!$T$5:$T$29,$A780)),V779)</f>
        <v/>
      </c>
      <c r="T780" s="48">
        <f>IF(INDEX(Employees!$S$5:$S$29,$A780)="",Q780,MAX(0,MIN(Q780,INDEX(Employees!$S$5:$S$29,$A780)-(S780-R780))))</f>
        <v/>
      </c>
      <c r="U780" s="48">
        <f>Q780-T780</f>
        <v/>
      </c>
      <c r="V780" s="48">
        <f>S780-R780+T780</f>
        <v/>
      </c>
    </row>
    <row r="781">
      <c r="A781" s="47" t="n">
        <v>15</v>
      </c>
      <c r="B781" s="47" t="n">
        <v>35</v>
      </c>
      <c r="C781" s="48">
        <f>INDEX(Employees!$B$5:$B$29,$A781)&amp;""</f>
        <v/>
      </c>
      <c r="D781" s="49">
        <f>INDEX(Periods!$B$5:$B$57,$B781)</f>
        <v/>
      </c>
      <c r="E781" s="49">
        <f>INDEX(Periods!$C$5:$C$57,$B781)</f>
        <v/>
      </c>
      <c r="F781" s="47">
        <f>IF(AND($C781&lt;&gt;"",INDEX(Periods!$D$5:$D$57,$B781)=1),1,0)</f>
        <v/>
      </c>
      <c r="G781" s="47">
        <f>IF($F781=0,0,IF(AND(OR(INDEX(Employees!$D$5:$D$29,$A781)="",$E781&gt;=INDEX(Employees!$D$5:$D$29,$A781)+N(INDEX(Employees!$U$5:$U$29,$A781))),OR(INDEX(Employees!$E$5:$E$29,$A781)="",$D781&lt;=INDEX(Employees!$E$5:$E$29,$A781))),1,0))</f>
        <v/>
      </c>
      <c r="H781" s="47">
        <f>IF($G781=0,0,IF(INDEX(Employees!$D$5:$D$29,$A781)="",0,DATEDIF(INDEX(Employees!$D$5:$D$29,$A781),$E781,"y")))</f>
        <v/>
      </c>
      <c r="I781" s="48">
        <f>IF($G781=0,0,IF(INDEX('Hours Worked'!$D$5:$BD$29,$A781,$B781)="",N(INDEX(Employees!$H$5:$H$29,$A781)),INDEX('Hours Worked'!$D$5:$BD$29,$A781,$B781)))</f>
        <v/>
      </c>
      <c r="J781" s="48">
        <f>IF(OR($G781=0,INDEX(Employees!$O$5:$O$29,$A781)&lt;&gt;"Yes"),0,IF(COUNTIF(Settings!$D$4:$D$9,"&lt;="&amp;$H781)=0,0,INDEX(Settings!$E$4:$E$9,COUNTIF(Settings!$D$4:$D$9,"&lt;="&amp;$H781))))</f>
        <v/>
      </c>
      <c r="K781" s="48">
        <f>IF($G781=0,0,IF(INDEX(Employees!$I$5:$I$29,$A781)="Per pay period",(N(INDEX(Employees!$J$5:$J$29,$A781))+$J781)/Settings!$B$13,IF(INDEX(Employees!$I$5:$I$29,$A781)="Per hour worked",N(INDEX(Employees!$K$5:$K$29,$A781))*$I781,IF(INDEX(Employees!$I$5:$I$29,$A781)="Front-loaded",IF(OR($B781=1,N($G780)=0),N(INDEX(Employees!$J$5:$J$29,$A781))+$J781,0),0))))</f>
        <v/>
      </c>
      <c r="L781" s="48">
        <f>IF($F781=0,0,SUMIFS('Time Off Log'!$H$5:$H$504,'Time Off Log'!$A$5:$A$504,$C781,'Time Off Log'!$B$5:$B$504,"PTO",'Time Off Log'!$E$5:$E$504,"Approved",'Time Off Log'!$C$5:$C$504,"&gt;="&amp;INDEX(Periods!$E$5:$E$57,$B781),'Time Off Log'!$C$5:$C$504,"&lt;="&amp;INDEX(Periods!$F$5:$F$57,$B781)))</f>
        <v/>
      </c>
      <c r="M781" s="48">
        <f>IF($B781=1,N(INDEX(Employees!$N$5:$N$29,$A781)),P780)</f>
        <v/>
      </c>
      <c r="N781" s="48">
        <f>IF(INDEX(Employees!$L$5:$L$29,$A781)="",K781,MAX(0,MIN(K781,INDEX(Employees!$L$5:$L$29,$A781)-(M781-L781))))</f>
        <v/>
      </c>
      <c r="O781" s="48">
        <f>K781-N781</f>
        <v/>
      </c>
      <c r="P781" s="48">
        <f>M781-L781+N781</f>
        <v/>
      </c>
      <c r="Q781" s="48">
        <f>IF($G781=0,0,IF(INDEX(Employees!$P$5:$P$29,$A781)="Per pay period",(N(INDEX(Employees!$Q$5:$Q$29,$A781)))/Settings!$B$13,IF(INDEX(Employees!$P$5:$P$29,$A781)="Per hour worked",N(INDEX(Employees!$R$5:$R$29,$A781))*$I781,IF(INDEX(Employees!$P$5:$P$29,$A781)="Front-loaded",IF(OR($B781=1,N($G780)=0),N(INDEX(Employees!$Q$5:$Q$29,$A781)),0),0))))</f>
        <v/>
      </c>
      <c r="R781" s="48">
        <f>IF($F781=0,0,SUMIFS('Time Off Log'!$H$5:$H$504,'Time Off Log'!$A$5:$A$504,$C781,'Time Off Log'!$B$5:$B$504,"Sick",'Time Off Log'!$E$5:$E$504,"Approved",'Time Off Log'!$C$5:$C$504,"&gt;="&amp;INDEX(Periods!$E$5:$E$57,$B781),'Time Off Log'!$C$5:$C$504,"&lt;="&amp;INDEX(Periods!$F$5:$F$57,$B781)))</f>
        <v/>
      </c>
      <c r="S781" s="48">
        <f>IF($B781=1,N(INDEX(Employees!$T$5:$T$29,$A781)),V780)</f>
        <v/>
      </c>
      <c r="T781" s="48">
        <f>IF(INDEX(Employees!$S$5:$S$29,$A781)="",Q781,MAX(0,MIN(Q781,INDEX(Employees!$S$5:$S$29,$A781)-(S781-R781))))</f>
        <v/>
      </c>
      <c r="U781" s="48">
        <f>Q781-T781</f>
        <v/>
      </c>
      <c r="V781" s="48">
        <f>S781-R781+T781</f>
        <v/>
      </c>
    </row>
    <row r="782">
      <c r="A782" s="47" t="n">
        <v>15</v>
      </c>
      <c r="B782" s="47" t="n">
        <v>36</v>
      </c>
      <c r="C782" s="48">
        <f>INDEX(Employees!$B$5:$B$29,$A782)&amp;""</f>
        <v/>
      </c>
      <c r="D782" s="49">
        <f>INDEX(Periods!$B$5:$B$57,$B782)</f>
        <v/>
      </c>
      <c r="E782" s="49">
        <f>INDEX(Periods!$C$5:$C$57,$B782)</f>
        <v/>
      </c>
      <c r="F782" s="47">
        <f>IF(AND($C782&lt;&gt;"",INDEX(Periods!$D$5:$D$57,$B782)=1),1,0)</f>
        <v/>
      </c>
      <c r="G782" s="47">
        <f>IF($F782=0,0,IF(AND(OR(INDEX(Employees!$D$5:$D$29,$A782)="",$E782&gt;=INDEX(Employees!$D$5:$D$29,$A782)+N(INDEX(Employees!$U$5:$U$29,$A782))),OR(INDEX(Employees!$E$5:$E$29,$A782)="",$D782&lt;=INDEX(Employees!$E$5:$E$29,$A782))),1,0))</f>
        <v/>
      </c>
      <c r="H782" s="47">
        <f>IF($G782=0,0,IF(INDEX(Employees!$D$5:$D$29,$A782)="",0,DATEDIF(INDEX(Employees!$D$5:$D$29,$A782),$E782,"y")))</f>
        <v/>
      </c>
      <c r="I782" s="48">
        <f>IF($G782=0,0,IF(INDEX('Hours Worked'!$D$5:$BD$29,$A782,$B782)="",N(INDEX(Employees!$H$5:$H$29,$A782)),INDEX('Hours Worked'!$D$5:$BD$29,$A782,$B782)))</f>
        <v/>
      </c>
      <c r="J782" s="48">
        <f>IF(OR($G782=0,INDEX(Employees!$O$5:$O$29,$A782)&lt;&gt;"Yes"),0,IF(COUNTIF(Settings!$D$4:$D$9,"&lt;="&amp;$H782)=0,0,INDEX(Settings!$E$4:$E$9,COUNTIF(Settings!$D$4:$D$9,"&lt;="&amp;$H782))))</f>
        <v/>
      </c>
      <c r="K782" s="48">
        <f>IF($G782=0,0,IF(INDEX(Employees!$I$5:$I$29,$A782)="Per pay period",(N(INDEX(Employees!$J$5:$J$29,$A782))+$J782)/Settings!$B$13,IF(INDEX(Employees!$I$5:$I$29,$A782)="Per hour worked",N(INDEX(Employees!$K$5:$K$29,$A782))*$I782,IF(INDEX(Employees!$I$5:$I$29,$A782)="Front-loaded",IF(OR($B782=1,N($G781)=0),N(INDEX(Employees!$J$5:$J$29,$A782))+$J782,0),0))))</f>
        <v/>
      </c>
      <c r="L782" s="48">
        <f>IF($F782=0,0,SUMIFS('Time Off Log'!$H$5:$H$504,'Time Off Log'!$A$5:$A$504,$C782,'Time Off Log'!$B$5:$B$504,"PTO",'Time Off Log'!$E$5:$E$504,"Approved",'Time Off Log'!$C$5:$C$504,"&gt;="&amp;INDEX(Periods!$E$5:$E$57,$B782),'Time Off Log'!$C$5:$C$504,"&lt;="&amp;INDEX(Periods!$F$5:$F$57,$B782)))</f>
        <v/>
      </c>
      <c r="M782" s="48">
        <f>IF($B782=1,N(INDEX(Employees!$N$5:$N$29,$A782)),P781)</f>
        <v/>
      </c>
      <c r="N782" s="48">
        <f>IF(INDEX(Employees!$L$5:$L$29,$A782)="",K782,MAX(0,MIN(K782,INDEX(Employees!$L$5:$L$29,$A782)-(M782-L782))))</f>
        <v/>
      </c>
      <c r="O782" s="48">
        <f>K782-N782</f>
        <v/>
      </c>
      <c r="P782" s="48">
        <f>M782-L782+N782</f>
        <v/>
      </c>
      <c r="Q782" s="48">
        <f>IF($G782=0,0,IF(INDEX(Employees!$P$5:$P$29,$A782)="Per pay period",(N(INDEX(Employees!$Q$5:$Q$29,$A782)))/Settings!$B$13,IF(INDEX(Employees!$P$5:$P$29,$A782)="Per hour worked",N(INDEX(Employees!$R$5:$R$29,$A782))*$I782,IF(INDEX(Employees!$P$5:$P$29,$A782)="Front-loaded",IF(OR($B782=1,N($G781)=0),N(INDEX(Employees!$Q$5:$Q$29,$A782)),0),0))))</f>
        <v/>
      </c>
      <c r="R782" s="48">
        <f>IF($F782=0,0,SUMIFS('Time Off Log'!$H$5:$H$504,'Time Off Log'!$A$5:$A$504,$C782,'Time Off Log'!$B$5:$B$504,"Sick",'Time Off Log'!$E$5:$E$504,"Approved",'Time Off Log'!$C$5:$C$504,"&gt;="&amp;INDEX(Periods!$E$5:$E$57,$B782),'Time Off Log'!$C$5:$C$504,"&lt;="&amp;INDEX(Periods!$F$5:$F$57,$B782)))</f>
        <v/>
      </c>
      <c r="S782" s="48">
        <f>IF($B782=1,N(INDEX(Employees!$T$5:$T$29,$A782)),V781)</f>
        <v/>
      </c>
      <c r="T782" s="48">
        <f>IF(INDEX(Employees!$S$5:$S$29,$A782)="",Q782,MAX(0,MIN(Q782,INDEX(Employees!$S$5:$S$29,$A782)-(S782-R782))))</f>
        <v/>
      </c>
      <c r="U782" s="48">
        <f>Q782-T782</f>
        <v/>
      </c>
      <c r="V782" s="48">
        <f>S782-R782+T782</f>
        <v/>
      </c>
    </row>
    <row r="783">
      <c r="A783" s="47" t="n">
        <v>15</v>
      </c>
      <c r="B783" s="47" t="n">
        <v>37</v>
      </c>
      <c r="C783" s="48">
        <f>INDEX(Employees!$B$5:$B$29,$A783)&amp;""</f>
        <v/>
      </c>
      <c r="D783" s="49">
        <f>INDEX(Periods!$B$5:$B$57,$B783)</f>
        <v/>
      </c>
      <c r="E783" s="49">
        <f>INDEX(Periods!$C$5:$C$57,$B783)</f>
        <v/>
      </c>
      <c r="F783" s="47">
        <f>IF(AND($C783&lt;&gt;"",INDEX(Periods!$D$5:$D$57,$B783)=1),1,0)</f>
        <v/>
      </c>
      <c r="G783" s="47">
        <f>IF($F783=0,0,IF(AND(OR(INDEX(Employees!$D$5:$D$29,$A783)="",$E783&gt;=INDEX(Employees!$D$5:$D$29,$A783)+N(INDEX(Employees!$U$5:$U$29,$A783))),OR(INDEX(Employees!$E$5:$E$29,$A783)="",$D783&lt;=INDEX(Employees!$E$5:$E$29,$A783))),1,0))</f>
        <v/>
      </c>
      <c r="H783" s="47">
        <f>IF($G783=0,0,IF(INDEX(Employees!$D$5:$D$29,$A783)="",0,DATEDIF(INDEX(Employees!$D$5:$D$29,$A783),$E783,"y")))</f>
        <v/>
      </c>
      <c r="I783" s="48">
        <f>IF($G783=0,0,IF(INDEX('Hours Worked'!$D$5:$BD$29,$A783,$B783)="",N(INDEX(Employees!$H$5:$H$29,$A783)),INDEX('Hours Worked'!$D$5:$BD$29,$A783,$B783)))</f>
        <v/>
      </c>
      <c r="J783" s="48">
        <f>IF(OR($G783=0,INDEX(Employees!$O$5:$O$29,$A783)&lt;&gt;"Yes"),0,IF(COUNTIF(Settings!$D$4:$D$9,"&lt;="&amp;$H783)=0,0,INDEX(Settings!$E$4:$E$9,COUNTIF(Settings!$D$4:$D$9,"&lt;="&amp;$H783))))</f>
        <v/>
      </c>
      <c r="K783" s="48">
        <f>IF($G783=0,0,IF(INDEX(Employees!$I$5:$I$29,$A783)="Per pay period",(N(INDEX(Employees!$J$5:$J$29,$A783))+$J783)/Settings!$B$13,IF(INDEX(Employees!$I$5:$I$29,$A783)="Per hour worked",N(INDEX(Employees!$K$5:$K$29,$A783))*$I783,IF(INDEX(Employees!$I$5:$I$29,$A783)="Front-loaded",IF(OR($B783=1,N($G782)=0),N(INDEX(Employees!$J$5:$J$29,$A783))+$J783,0),0))))</f>
        <v/>
      </c>
      <c r="L783" s="48">
        <f>IF($F783=0,0,SUMIFS('Time Off Log'!$H$5:$H$504,'Time Off Log'!$A$5:$A$504,$C783,'Time Off Log'!$B$5:$B$504,"PTO",'Time Off Log'!$E$5:$E$504,"Approved",'Time Off Log'!$C$5:$C$504,"&gt;="&amp;INDEX(Periods!$E$5:$E$57,$B783),'Time Off Log'!$C$5:$C$504,"&lt;="&amp;INDEX(Periods!$F$5:$F$57,$B783)))</f>
        <v/>
      </c>
      <c r="M783" s="48">
        <f>IF($B783=1,N(INDEX(Employees!$N$5:$N$29,$A783)),P782)</f>
        <v/>
      </c>
      <c r="N783" s="48">
        <f>IF(INDEX(Employees!$L$5:$L$29,$A783)="",K783,MAX(0,MIN(K783,INDEX(Employees!$L$5:$L$29,$A783)-(M783-L783))))</f>
        <v/>
      </c>
      <c r="O783" s="48">
        <f>K783-N783</f>
        <v/>
      </c>
      <c r="P783" s="48">
        <f>M783-L783+N783</f>
        <v/>
      </c>
      <c r="Q783" s="48">
        <f>IF($G783=0,0,IF(INDEX(Employees!$P$5:$P$29,$A783)="Per pay period",(N(INDEX(Employees!$Q$5:$Q$29,$A783)))/Settings!$B$13,IF(INDEX(Employees!$P$5:$P$29,$A783)="Per hour worked",N(INDEX(Employees!$R$5:$R$29,$A783))*$I783,IF(INDEX(Employees!$P$5:$P$29,$A783)="Front-loaded",IF(OR($B783=1,N($G782)=0),N(INDEX(Employees!$Q$5:$Q$29,$A783)),0),0))))</f>
        <v/>
      </c>
      <c r="R783" s="48">
        <f>IF($F783=0,0,SUMIFS('Time Off Log'!$H$5:$H$504,'Time Off Log'!$A$5:$A$504,$C783,'Time Off Log'!$B$5:$B$504,"Sick",'Time Off Log'!$E$5:$E$504,"Approved",'Time Off Log'!$C$5:$C$504,"&gt;="&amp;INDEX(Periods!$E$5:$E$57,$B783),'Time Off Log'!$C$5:$C$504,"&lt;="&amp;INDEX(Periods!$F$5:$F$57,$B783)))</f>
        <v/>
      </c>
      <c r="S783" s="48">
        <f>IF($B783=1,N(INDEX(Employees!$T$5:$T$29,$A783)),V782)</f>
        <v/>
      </c>
      <c r="T783" s="48">
        <f>IF(INDEX(Employees!$S$5:$S$29,$A783)="",Q783,MAX(0,MIN(Q783,INDEX(Employees!$S$5:$S$29,$A783)-(S783-R783))))</f>
        <v/>
      </c>
      <c r="U783" s="48">
        <f>Q783-T783</f>
        <v/>
      </c>
      <c r="V783" s="48">
        <f>S783-R783+T783</f>
        <v/>
      </c>
    </row>
    <row r="784">
      <c r="A784" s="47" t="n">
        <v>15</v>
      </c>
      <c r="B784" s="47" t="n">
        <v>38</v>
      </c>
      <c r="C784" s="48">
        <f>INDEX(Employees!$B$5:$B$29,$A784)&amp;""</f>
        <v/>
      </c>
      <c r="D784" s="49">
        <f>INDEX(Periods!$B$5:$B$57,$B784)</f>
        <v/>
      </c>
      <c r="E784" s="49">
        <f>INDEX(Periods!$C$5:$C$57,$B784)</f>
        <v/>
      </c>
      <c r="F784" s="47">
        <f>IF(AND($C784&lt;&gt;"",INDEX(Periods!$D$5:$D$57,$B784)=1),1,0)</f>
        <v/>
      </c>
      <c r="G784" s="47">
        <f>IF($F784=0,0,IF(AND(OR(INDEX(Employees!$D$5:$D$29,$A784)="",$E784&gt;=INDEX(Employees!$D$5:$D$29,$A784)+N(INDEX(Employees!$U$5:$U$29,$A784))),OR(INDEX(Employees!$E$5:$E$29,$A784)="",$D784&lt;=INDEX(Employees!$E$5:$E$29,$A784))),1,0))</f>
        <v/>
      </c>
      <c r="H784" s="47">
        <f>IF($G784=0,0,IF(INDEX(Employees!$D$5:$D$29,$A784)="",0,DATEDIF(INDEX(Employees!$D$5:$D$29,$A784),$E784,"y")))</f>
        <v/>
      </c>
      <c r="I784" s="48">
        <f>IF($G784=0,0,IF(INDEX('Hours Worked'!$D$5:$BD$29,$A784,$B784)="",N(INDEX(Employees!$H$5:$H$29,$A784)),INDEX('Hours Worked'!$D$5:$BD$29,$A784,$B784)))</f>
        <v/>
      </c>
      <c r="J784" s="48">
        <f>IF(OR($G784=0,INDEX(Employees!$O$5:$O$29,$A784)&lt;&gt;"Yes"),0,IF(COUNTIF(Settings!$D$4:$D$9,"&lt;="&amp;$H784)=0,0,INDEX(Settings!$E$4:$E$9,COUNTIF(Settings!$D$4:$D$9,"&lt;="&amp;$H784))))</f>
        <v/>
      </c>
      <c r="K784" s="48">
        <f>IF($G784=0,0,IF(INDEX(Employees!$I$5:$I$29,$A784)="Per pay period",(N(INDEX(Employees!$J$5:$J$29,$A784))+$J784)/Settings!$B$13,IF(INDEX(Employees!$I$5:$I$29,$A784)="Per hour worked",N(INDEX(Employees!$K$5:$K$29,$A784))*$I784,IF(INDEX(Employees!$I$5:$I$29,$A784)="Front-loaded",IF(OR($B784=1,N($G783)=0),N(INDEX(Employees!$J$5:$J$29,$A784))+$J784,0),0))))</f>
        <v/>
      </c>
      <c r="L784" s="48">
        <f>IF($F784=0,0,SUMIFS('Time Off Log'!$H$5:$H$504,'Time Off Log'!$A$5:$A$504,$C784,'Time Off Log'!$B$5:$B$504,"PTO",'Time Off Log'!$E$5:$E$504,"Approved",'Time Off Log'!$C$5:$C$504,"&gt;="&amp;INDEX(Periods!$E$5:$E$57,$B784),'Time Off Log'!$C$5:$C$504,"&lt;="&amp;INDEX(Periods!$F$5:$F$57,$B784)))</f>
        <v/>
      </c>
      <c r="M784" s="48">
        <f>IF($B784=1,N(INDEX(Employees!$N$5:$N$29,$A784)),P783)</f>
        <v/>
      </c>
      <c r="N784" s="48">
        <f>IF(INDEX(Employees!$L$5:$L$29,$A784)="",K784,MAX(0,MIN(K784,INDEX(Employees!$L$5:$L$29,$A784)-(M784-L784))))</f>
        <v/>
      </c>
      <c r="O784" s="48">
        <f>K784-N784</f>
        <v/>
      </c>
      <c r="P784" s="48">
        <f>M784-L784+N784</f>
        <v/>
      </c>
      <c r="Q784" s="48">
        <f>IF($G784=0,0,IF(INDEX(Employees!$P$5:$P$29,$A784)="Per pay period",(N(INDEX(Employees!$Q$5:$Q$29,$A784)))/Settings!$B$13,IF(INDEX(Employees!$P$5:$P$29,$A784)="Per hour worked",N(INDEX(Employees!$R$5:$R$29,$A784))*$I784,IF(INDEX(Employees!$P$5:$P$29,$A784)="Front-loaded",IF(OR($B784=1,N($G783)=0),N(INDEX(Employees!$Q$5:$Q$29,$A784)),0),0))))</f>
        <v/>
      </c>
      <c r="R784" s="48">
        <f>IF($F784=0,0,SUMIFS('Time Off Log'!$H$5:$H$504,'Time Off Log'!$A$5:$A$504,$C784,'Time Off Log'!$B$5:$B$504,"Sick",'Time Off Log'!$E$5:$E$504,"Approved",'Time Off Log'!$C$5:$C$504,"&gt;="&amp;INDEX(Periods!$E$5:$E$57,$B784),'Time Off Log'!$C$5:$C$504,"&lt;="&amp;INDEX(Periods!$F$5:$F$57,$B784)))</f>
        <v/>
      </c>
      <c r="S784" s="48">
        <f>IF($B784=1,N(INDEX(Employees!$T$5:$T$29,$A784)),V783)</f>
        <v/>
      </c>
      <c r="T784" s="48">
        <f>IF(INDEX(Employees!$S$5:$S$29,$A784)="",Q784,MAX(0,MIN(Q784,INDEX(Employees!$S$5:$S$29,$A784)-(S784-R784))))</f>
        <v/>
      </c>
      <c r="U784" s="48">
        <f>Q784-T784</f>
        <v/>
      </c>
      <c r="V784" s="48">
        <f>S784-R784+T784</f>
        <v/>
      </c>
    </row>
    <row r="785">
      <c r="A785" s="47" t="n">
        <v>15</v>
      </c>
      <c r="B785" s="47" t="n">
        <v>39</v>
      </c>
      <c r="C785" s="48">
        <f>INDEX(Employees!$B$5:$B$29,$A785)&amp;""</f>
        <v/>
      </c>
      <c r="D785" s="49">
        <f>INDEX(Periods!$B$5:$B$57,$B785)</f>
        <v/>
      </c>
      <c r="E785" s="49">
        <f>INDEX(Periods!$C$5:$C$57,$B785)</f>
        <v/>
      </c>
      <c r="F785" s="47">
        <f>IF(AND($C785&lt;&gt;"",INDEX(Periods!$D$5:$D$57,$B785)=1),1,0)</f>
        <v/>
      </c>
      <c r="G785" s="47">
        <f>IF($F785=0,0,IF(AND(OR(INDEX(Employees!$D$5:$D$29,$A785)="",$E785&gt;=INDEX(Employees!$D$5:$D$29,$A785)+N(INDEX(Employees!$U$5:$U$29,$A785))),OR(INDEX(Employees!$E$5:$E$29,$A785)="",$D785&lt;=INDEX(Employees!$E$5:$E$29,$A785))),1,0))</f>
        <v/>
      </c>
      <c r="H785" s="47">
        <f>IF($G785=0,0,IF(INDEX(Employees!$D$5:$D$29,$A785)="",0,DATEDIF(INDEX(Employees!$D$5:$D$29,$A785),$E785,"y")))</f>
        <v/>
      </c>
      <c r="I785" s="48">
        <f>IF($G785=0,0,IF(INDEX('Hours Worked'!$D$5:$BD$29,$A785,$B785)="",N(INDEX(Employees!$H$5:$H$29,$A785)),INDEX('Hours Worked'!$D$5:$BD$29,$A785,$B785)))</f>
        <v/>
      </c>
      <c r="J785" s="48">
        <f>IF(OR($G785=0,INDEX(Employees!$O$5:$O$29,$A785)&lt;&gt;"Yes"),0,IF(COUNTIF(Settings!$D$4:$D$9,"&lt;="&amp;$H785)=0,0,INDEX(Settings!$E$4:$E$9,COUNTIF(Settings!$D$4:$D$9,"&lt;="&amp;$H785))))</f>
        <v/>
      </c>
      <c r="K785" s="48">
        <f>IF($G785=0,0,IF(INDEX(Employees!$I$5:$I$29,$A785)="Per pay period",(N(INDEX(Employees!$J$5:$J$29,$A785))+$J785)/Settings!$B$13,IF(INDEX(Employees!$I$5:$I$29,$A785)="Per hour worked",N(INDEX(Employees!$K$5:$K$29,$A785))*$I785,IF(INDEX(Employees!$I$5:$I$29,$A785)="Front-loaded",IF(OR($B785=1,N($G784)=0),N(INDEX(Employees!$J$5:$J$29,$A785))+$J785,0),0))))</f>
        <v/>
      </c>
      <c r="L785" s="48">
        <f>IF($F785=0,0,SUMIFS('Time Off Log'!$H$5:$H$504,'Time Off Log'!$A$5:$A$504,$C785,'Time Off Log'!$B$5:$B$504,"PTO",'Time Off Log'!$E$5:$E$504,"Approved",'Time Off Log'!$C$5:$C$504,"&gt;="&amp;INDEX(Periods!$E$5:$E$57,$B785),'Time Off Log'!$C$5:$C$504,"&lt;="&amp;INDEX(Periods!$F$5:$F$57,$B785)))</f>
        <v/>
      </c>
      <c r="M785" s="48">
        <f>IF($B785=1,N(INDEX(Employees!$N$5:$N$29,$A785)),P784)</f>
        <v/>
      </c>
      <c r="N785" s="48">
        <f>IF(INDEX(Employees!$L$5:$L$29,$A785)="",K785,MAX(0,MIN(K785,INDEX(Employees!$L$5:$L$29,$A785)-(M785-L785))))</f>
        <v/>
      </c>
      <c r="O785" s="48">
        <f>K785-N785</f>
        <v/>
      </c>
      <c r="P785" s="48">
        <f>M785-L785+N785</f>
        <v/>
      </c>
      <c r="Q785" s="48">
        <f>IF($G785=0,0,IF(INDEX(Employees!$P$5:$P$29,$A785)="Per pay period",(N(INDEX(Employees!$Q$5:$Q$29,$A785)))/Settings!$B$13,IF(INDEX(Employees!$P$5:$P$29,$A785)="Per hour worked",N(INDEX(Employees!$R$5:$R$29,$A785))*$I785,IF(INDEX(Employees!$P$5:$P$29,$A785)="Front-loaded",IF(OR($B785=1,N($G784)=0),N(INDEX(Employees!$Q$5:$Q$29,$A785)),0),0))))</f>
        <v/>
      </c>
      <c r="R785" s="48">
        <f>IF($F785=0,0,SUMIFS('Time Off Log'!$H$5:$H$504,'Time Off Log'!$A$5:$A$504,$C785,'Time Off Log'!$B$5:$B$504,"Sick",'Time Off Log'!$E$5:$E$504,"Approved",'Time Off Log'!$C$5:$C$504,"&gt;="&amp;INDEX(Periods!$E$5:$E$57,$B785),'Time Off Log'!$C$5:$C$504,"&lt;="&amp;INDEX(Periods!$F$5:$F$57,$B785)))</f>
        <v/>
      </c>
      <c r="S785" s="48">
        <f>IF($B785=1,N(INDEX(Employees!$T$5:$T$29,$A785)),V784)</f>
        <v/>
      </c>
      <c r="T785" s="48">
        <f>IF(INDEX(Employees!$S$5:$S$29,$A785)="",Q785,MAX(0,MIN(Q785,INDEX(Employees!$S$5:$S$29,$A785)-(S785-R785))))</f>
        <v/>
      </c>
      <c r="U785" s="48">
        <f>Q785-T785</f>
        <v/>
      </c>
      <c r="V785" s="48">
        <f>S785-R785+T785</f>
        <v/>
      </c>
    </row>
    <row r="786">
      <c r="A786" s="47" t="n">
        <v>15</v>
      </c>
      <c r="B786" s="47" t="n">
        <v>40</v>
      </c>
      <c r="C786" s="48">
        <f>INDEX(Employees!$B$5:$B$29,$A786)&amp;""</f>
        <v/>
      </c>
      <c r="D786" s="49">
        <f>INDEX(Periods!$B$5:$B$57,$B786)</f>
        <v/>
      </c>
      <c r="E786" s="49">
        <f>INDEX(Periods!$C$5:$C$57,$B786)</f>
        <v/>
      </c>
      <c r="F786" s="47">
        <f>IF(AND($C786&lt;&gt;"",INDEX(Periods!$D$5:$D$57,$B786)=1),1,0)</f>
        <v/>
      </c>
      <c r="G786" s="47">
        <f>IF($F786=0,0,IF(AND(OR(INDEX(Employees!$D$5:$D$29,$A786)="",$E786&gt;=INDEX(Employees!$D$5:$D$29,$A786)+N(INDEX(Employees!$U$5:$U$29,$A786))),OR(INDEX(Employees!$E$5:$E$29,$A786)="",$D786&lt;=INDEX(Employees!$E$5:$E$29,$A786))),1,0))</f>
        <v/>
      </c>
      <c r="H786" s="47">
        <f>IF($G786=0,0,IF(INDEX(Employees!$D$5:$D$29,$A786)="",0,DATEDIF(INDEX(Employees!$D$5:$D$29,$A786),$E786,"y")))</f>
        <v/>
      </c>
      <c r="I786" s="48">
        <f>IF($G786=0,0,IF(INDEX('Hours Worked'!$D$5:$BD$29,$A786,$B786)="",N(INDEX(Employees!$H$5:$H$29,$A786)),INDEX('Hours Worked'!$D$5:$BD$29,$A786,$B786)))</f>
        <v/>
      </c>
      <c r="J786" s="48">
        <f>IF(OR($G786=0,INDEX(Employees!$O$5:$O$29,$A786)&lt;&gt;"Yes"),0,IF(COUNTIF(Settings!$D$4:$D$9,"&lt;="&amp;$H786)=0,0,INDEX(Settings!$E$4:$E$9,COUNTIF(Settings!$D$4:$D$9,"&lt;="&amp;$H786))))</f>
        <v/>
      </c>
      <c r="K786" s="48">
        <f>IF($G786=0,0,IF(INDEX(Employees!$I$5:$I$29,$A786)="Per pay period",(N(INDEX(Employees!$J$5:$J$29,$A786))+$J786)/Settings!$B$13,IF(INDEX(Employees!$I$5:$I$29,$A786)="Per hour worked",N(INDEX(Employees!$K$5:$K$29,$A786))*$I786,IF(INDEX(Employees!$I$5:$I$29,$A786)="Front-loaded",IF(OR($B786=1,N($G785)=0),N(INDEX(Employees!$J$5:$J$29,$A786))+$J786,0),0))))</f>
        <v/>
      </c>
      <c r="L786" s="48">
        <f>IF($F786=0,0,SUMIFS('Time Off Log'!$H$5:$H$504,'Time Off Log'!$A$5:$A$504,$C786,'Time Off Log'!$B$5:$B$504,"PTO",'Time Off Log'!$E$5:$E$504,"Approved",'Time Off Log'!$C$5:$C$504,"&gt;="&amp;INDEX(Periods!$E$5:$E$57,$B786),'Time Off Log'!$C$5:$C$504,"&lt;="&amp;INDEX(Periods!$F$5:$F$57,$B786)))</f>
        <v/>
      </c>
      <c r="M786" s="48">
        <f>IF($B786=1,N(INDEX(Employees!$N$5:$N$29,$A786)),P785)</f>
        <v/>
      </c>
      <c r="N786" s="48">
        <f>IF(INDEX(Employees!$L$5:$L$29,$A786)="",K786,MAX(0,MIN(K786,INDEX(Employees!$L$5:$L$29,$A786)-(M786-L786))))</f>
        <v/>
      </c>
      <c r="O786" s="48">
        <f>K786-N786</f>
        <v/>
      </c>
      <c r="P786" s="48">
        <f>M786-L786+N786</f>
        <v/>
      </c>
      <c r="Q786" s="48">
        <f>IF($G786=0,0,IF(INDEX(Employees!$P$5:$P$29,$A786)="Per pay period",(N(INDEX(Employees!$Q$5:$Q$29,$A786)))/Settings!$B$13,IF(INDEX(Employees!$P$5:$P$29,$A786)="Per hour worked",N(INDEX(Employees!$R$5:$R$29,$A786))*$I786,IF(INDEX(Employees!$P$5:$P$29,$A786)="Front-loaded",IF(OR($B786=1,N($G785)=0),N(INDEX(Employees!$Q$5:$Q$29,$A786)),0),0))))</f>
        <v/>
      </c>
      <c r="R786" s="48">
        <f>IF($F786=0,0,SUMIFS('Time Off Log'!$H$5:$H$504,'Time Off Log'!$A$5:$A$504,$C786,'Time Off Log'!$B$5:$B$504,"Sick",'Time Off Log'!$E$5:$E$504,"Approved",'Time Off Log'!$C$5:$C$504,"&gt;="&amp;INDEX(Periods!$E$5:$E$57,$B786),'Time Off Log'!$C$5:$C$504,"&lt;="&amp;INDEX(Periods!$F$5:$F$57,$B786)))</f>
        <v/>
      </c>
      <c r="S786" s="48">
        <f>IF($B786=1,N(INDEX(Employees!$T$5:$T$29,$A786)),V785)</f>
        <v/>
      </c>
      <c r="T786" s="48">
        <f>IF(INDEX(Employees!$S$5:$S$29,$A786)="",Q786,MAX(0,MIN(Q786,INDEX(Employees!$S$5:$S$29,$A786)-(S786-R786))))</f>
        <v/>
      </c>
      <c r="U786" s="48">
        <f>Q786-T786</f>
        <v/>
      </c>
      <c r="V786" s="48">
        <f>S786-R786+T786</f>
        <v/>
      </c>
    </row>
    <row r="787">
      <c r="A787" s="47" t="n">
        <v>15</v>
      </c>
      <c r="B787" s="47" t="n">
        <v>41</v>
      </c>
      <c r="C787" s="48">
        <f>INDEX(Employees!$B$5:$B$29,$A787)&amp;""</f>
        <v/>
      </c>
      <c r="D787" s="49">
        <f>INDEX(Periods!$B$5:$B$57,$B787)</f>
        <v/>
      </c>
      <c r="E787" s="49">
        <f>INDEX(Periods!$C$5:$C$57,$B787)</f>
        <v/>
      </c>
      <c r="F787" s="47">
        <f>IF(AND($C787&lt;&gt;"",INDEX(Periods!$D$5:$D$57,$B787)=1),1,0)</f>
        <v/>
      </c>
      <c r="G787" s="47">
        <f>IF($F787=0,0,IF(AND(OR(INDEX(Employees!$D$5:$D$29,$A787)="",$E787&gt;=INDEX(Employees!$D$5:$D$29,$A787)+N(INDEX(Employees!$U$5:$U$29,$A787))),OR(INDEX(Employees!$E$5:$E$29,$A787)="",$D787&lt;=INDEX(Employees!$E$5:$E$29,$A787))),1,0))</f>
        <v/>
      </c>
      <c r="H787" s="47">
        <f>IF($G787=0,0,IF(INDEX(Employees!$D$5:$D$29,$A787)="",0,DATEDIF(INDEX(Employees!$D$5:$D$29,$A787),$E787,"y")))</f>
        <v/>
      </c>
      <c r="I787" s="48">
        <f>IF($G787=0,0,IF(INDEX('Hours Worked'!$D$5:$BD$29,$A787,$B787)="",N(INDEX(Employees!$H$5:$H$29,$A787)),INDEX('Hours Worked'!$D$5:$BD$29,$A787,$B787)))</f>
        <v/>
      </c>
      <c r="J787" s="48">
        <f>IF(OR($G787=0,INDEX(Employees!$O$5:$O$29,$A787)&lt;&gt;"Yes"),0,IF(COUNTIF(Settings!$D$4:$D$9,"&lt;="&amp;$H787)=0,0,INDEX(Settings!$E$4:$E$9,COUNTIF(Settings!$D$4:$D$9,"&lt;="&amp;$H787))))</f>
        <v/>
      </c>
      <c r="K787" s="48">
        <f>IF($G787=0,0,IF(INDEX(Employees!$I$5:$I$29,$A787)="Per pay period",(N(INDEX(Employees!$J$5:$J$29,$A787))+$J787)/Settings!$B$13,IF(INDEX(Employees!$I$5:$I$29,$A787)="Per hour worked",N(INDEX(Employees!$K$5:$K$29,$A787))*$I787,IF(INDEX(Employees!$I$5:$I$29,$A787)="Front-loaded",IF(OR($B787=1,N($G786)=0),N(INDEX(Employees!$J$5:$J$29,$A787))+$J787,0),0))))</f>
        <v/>
      </c>
      <c r="L787" s="48">
        <f>IF($F787=0,0,SUMIFS('Time Off Log'!$H$5:$H$504,'Time Off Log'!$A$5:$A$504,$C787,'Time Off Log'!$B$5:$B$504,"PTO",'Time Off Log'!$E$5:$E$504,"Approved",'Time Off Log'!$C$5:$C$504,"&gt;="&amp;INDEX(Periods!$E$5:$E$57,$B787),'Time Off Log'!$C$5:$C$504,"&lt;="&amp;INDEX(Periods!$F$5:$F$57,$B787)))</f>
        <v/>
      </c>
      <c r="M787" s="48">
        <f>IF($B787=1,N(INDEX(Employees!$N$5:$N$29,$A787)),P786)</f>
        <v/>
      </c>
      <c r="N787" s="48">
        <f>IF(INDEX(Employees!$L$5:$L$29,$A787)="",K787,MAX(0,MIN(K787,INDEX(Employees!$L$5:$L$29,$A787)-(M787-L787))))</f>
        <v/>
      </c>
      <c r="O787" s="48">
        <f>K787-N787</f>
        <v/>
      </c>
      <c r="P787" s="48">
        <f>M787-L787+N787</f>
        <v/>
      </c>
      <c r="Q787" s="48">
        <f>IF($G787=0,0,IF(INDEX(Employees!$P$5:$P$29,$A787)="Per pay period",(N(INDEX(Employees!$Q$5:$Q$29,$A787)))/Settings!$B$13,IF(INDEX(Employees!$P$5:$P$29,$A787)="Per hour worked",N(INDEX(Employees!$R$5:$R$29,$A787))*$I787,IF(INDEX(Employees!$P$5:$P$29,$A787)="Front-loaded",IF(OR($B787=1,N($G786)=0),N(INDEX(Employees!$Q$5:$Q$29,$A787)),0),0))))</f>
        <v/>
      </c>
      <c r="R787" s="48">
        <f>IF($F787=0,0,SUMIFS('Time Off Log'!$H$5:$H$504,'Time Off Log'!$A$5:$A$504,$C787,'Time Off Log'!$B$5:$B$504,"Sick",'Time Off Log'!$E$5:$E$504,"Approved",'Time Off Log'!$C$5:$C$504,"&gt;="&amp;INDEX(Periods!$E$5:$E$57,$B787),'Time Off Log'!$C$5:$C$504,"&lt;="&amp;INDEX(Periods!$F$5:$F$57,$B787)))</f>
        <v/>
      </c>
      <c r="S787" s="48">
        <f>IF($B787=1,N(INDEX(Employees!$T$5:$T$29,$A787)),V786)</f>
        <v/>
      </c>
      <c r="T787" s="48">
        <f>IF(INDEX(Employees!$S$5:$S$29,$A787)="",Q787,MAX(0,MIN(Q787,INDEX(Employees!$S$5:$S$29,$A787)-(S787-R787))))</f>
        <v/>
      </c>
      <c r="U787" s="48">
        <f>Q787-T787</f>
        <v/>
      </c>
      <c r="V787" s="48">
        <f>S787-R787+T787</f>
        <v/>
      </c>
    </row>
    <row r="788">
      <c r="A788" s="47" t="n">
        <v>15</v>
      </c>
      <c r="B788" s="47" t="n">
        <v>42</v>
      </c>
      <c r="C788" s="48">
        <f>INDEX(Employees!$B$5:$B$29,$A788)&amp;""</f>
        <v/>
      </c>
      <c r="D788" s="49">
        <f>INDEX(Periods!$B$5:$B$57,$B788)</f>
        <v/>
      </c>
      <c r="E788" s="49">
        <f>INDEX(Periods!$C$5:$C$57,$B788)</f>
        <v/>
      </c>
      <c r="F788" s="47">
        <f>IF(AND($C788&lt;&gt;"",INDEX(Periods!$D$5:$D$57,$B788)=1),1,0)</f>
        <v/>
      </c>
      <c r="G788" s="47">
        <f>IF($F788=0,0,IF(AND(OR(INDEX(Employees!$D$5:$D$29,$A788)="",$E788&gt;=INDEX(Employees!$D$5:$D$29,$A788)+N(INDEX(Employees!$U$5:$U$29,$A788))),OR(INDEX(Employees!$E$5:$E$29,$A788)="",$D788&lt;=INDEX(Employees!$E$5:$E$29,$A788))),1,0))</f>
        <v/>
      </c>
      <c r="H788" s="47">
        <f>IF($G788=0,0,IF(INDEX(Employees!$D$5:$D$29,$A788)="",0,DATEDIF(INDEX(Employees!$D$5:$D$29,$A788),$E788,"y")))</f>
        <v/>
      </c>
      <c r="I788" s="48">
        <f>IF($G788=0,0,IF(INDEX('Hours Worked'!$D$5:$BD$29,$A788,$B788)="",N(INDEX(Employees!$H$5:$H$29,$A788)),INDEX('Hours Worked'!$D$5:$BD$29,$A788,$B788)))</f>
        <v/>
      </c>
      <c r="J788" s="48">
        <f>IF(OR($G788=0,INDEX(Employees!$O$5:$O$29,$A788)&lt;&gt;"Yes"),0,IF(COUNTIF(Settings!$D$4:$D$9,"&lt;="&amp;$H788)=0,0,INDEX(Settings!$E$4:$E$9,COUNTIF(Settings!$D$4:$D$9,"&lt;="&amp;$H788))))</f>
        <v/>
      </c>
      <c r="K788" s="48">
        <f>IF($G788=0,0,IF(INDEX(Employees!$I$5:$I$29,$A788)="Per pay period",(N(INDEX(Employees!$J$5:$J$29,$A788))+$J788)/Settings!$B$13,IF(INDEX(Employees!$I$5:$I$29,$A788)="Per hour worked",N(INDEX(Employees!$K$5:$K$29,$A788))*$I788,IF(INDEX(Employees!$I$5:$I$29,$A788)="Front-loaded",IF(OR($B788=1,N($G787)=0),N(INDEX(Employees!$J$5:$J$29,$A788))+$J788,0),0))))</f>
        <v/>
      </c>
      <c r="L788" s="48">
        <f>IF($F788=0,0,SUMIFS('Time Off Log'!$H$5:$H$504,'Time Off Log'!$A$5:$A$504,$C788,'Time Off Log'!$B$5:$B$504,"PTO",'Time Off Log'!$E$5:$E$504,"Approved",'Time Off Log'!$C$5:$C$504,"&gt;="&amp;INDEX(Periods!$E$5:$E$57,$B788),'Time Off Log'!$C$5:$C$504,"&lt;="&amp;INDEX(Periods!$F$5:$F$57,$B788)))</f>
        <v/>
      </c>
      <c r="M788" s="48">
        <f>IF($B788=1,N(INDEX(Employees!$N$5:$N$29,$A788)),P787)</f>
        <v/>
      </c>
      <c r="N788" s="48">
        <f>IF(INDEX(Employees!$L$5:$L$29,$A788)="",K788,MAX(0,MIN(K788,INDEX(Employees!$L$5:$L$29,$A788)-(M788-L788))))</f>
        <v/>
      </c>
      <c r="O788" s="48">
        <f>K788-N788</f>
        <v/>
      </c>
      <c r="P788" s="48">
        <f>M788-L788+N788</f>
        <v/>
      </c>
      <c r="Q788" s="48">
        <f>IF($G788=0,0,IF(INDEX(Employees!$P$5:$P$29,$A788)="Per pay period",(N(INDEX(Employees!$Q$5:$Q$29,$A788)))/Settings!$B$13,IF(INDEX(Employees!$P$5:$P$29,$A788)="Per hour worked",N(INDEX(Employees!$R$5:$R$29,$A788))*$I788,IF(INDEX(Employees!$P$5:$P$29,$A788)="Front-loaded",IF(OR($B788=1,N($G787)=0),N(INDEX(Employees!$Q$5:$Q$29,$A788)),0),0))))</f>
        <v/>
      </c>
      <c r="R788" s="48">
        <f>IF($F788=0,0,SUMIFS('Time Off Log'!$H$5:$H$504,'Time Off Log'!$A$5:$A$504,$C788,'Time Off Log'!$B$5:$B$504,"Sick",'Time Off Log'!$E$5:$E$504,"Approved",'Time Off Log'!$C$5:$C$504,"&gt;="&amp;INDEX(Periods!$E$5:$E$57,$B788),'Time Off Log'!$C$5:$C$504,"&lt;="&amp;INDEX(Periods!$F$5:$F$57,$B788)))</f>
        <v/>
      </c>
      <c r="S788" s="48">
        <f>IF($B788=1,N(INDEX(Employees!$T$5:$T$29,$A788)),V787)</f>
        <v/>
      </c>
      <c r="T788" s="48">
        <f>IF(INDEX(Employees!$S$5:$S$29,$A788)="",Q788,MAX(0,MIN(Q788,INDEX(Employees!$S$5:$S$29,$A788)-(S788-R788))))</f>
        <v/>
      </c>
      <c r="U788" s="48">
        <f>Q788-T788</f>
        <v/>
      </c>
      <c r="V788" s="48">
        <f>S788-R788+T788</f>
        <v/>
      </c>
    </row>
    <row r="789">
      <c r="A789" s="47" t="n">
        <v>15</v>
      </c>
      <c r="B789" s="47" t="n">
        <v>43</v>
      </c>
      <c r="C789" s="48">
        <f>INDEX(Employees!$B$5:$B$29,$A789)&amp;""</f>
        <v/>
      </c>
      <c r="D789" s="49">
        <f>INDEX(Periods!$B$5:$B$57,$B789)</f>
        <v/>
      </c>
      <c r="E789" s="49">
        <f>INDEX(Periods!$C$5:$C$57,$B789)</f>
        <v/>
      </c>
      <c r="F789" s="47">
        <f>IF(AND($C789&lt;&gt;"",INDEX(Periods!$D$5:$D$57,$B789)=1),1,0)</f>
        <v/>
      </c>
      <c r="G789" s="47">
        <f>IF($F789=0,0,IF(AND(OR(INDEX(Employees!$D$5:$D$29,$A789)="",$E789&gt;=INDEX(Employees!$D$5:$D$29,$A789)+N(INDEX(Employees!$U$5:$U$29,$A789))),OR(INDEX(Employees!$E$5:$E$29,$A789)="",$D789&lt;=INDEX(Employees!$E$5:$E$29,$A789))),1,0))</f>
        <v/>
      </c>
      <c r="H789" s="47">
        <f>IF($G789=0,0,IF(INDEX(Employees!$D$5:$D$29,$A789)="",0,DATEDIF(INDEX(Employees!$D$5:$D$29,$A789),$E789,"y")))</f>
        <v/>
      </c>
      <c r="I789" s="48">
        <f>IF($G789=0,0,IF(INDEX('Hours Worked'!$D$5:$BD$29,$A789,$B789)="",N(INDEX(Employees!$H$5:$H$29,$A789)),INDEX('Hours Worked'!$D$5:$BD$29,$A789,$B789)))</f>
        <v/>
      </c>
      <c r="J789" s="48">
        <f>IF(OR($G789=0,INDEX(Employees!$O$5:$O$29,$A789)&lt;&gt;"Yes"),0,IF(COUNTIF(Settings!$D$4:$D$9,"&lt;="&amp;$H789)=0,0,INDEX(Settings!$E$4:$E$9,COUNTIF(Settings!$D$4:$D$9,"&lt;="&amp;$H789))))</f>
        <v/>
      </c>
      <c r="K789" s="48">
        <f>IF($G789=0,0,IF(INDEX(Employees!$I$5:$I$29,$A789)="Per pay period",(N(INDEX(Employees!$J$5:$J$29,$A789))+$J789)/Settings!$B$13,IF(INDEX(Employees!$I$5:$I$29,$A789)="Per hour worked",N(INDEX(Employees!$K$5:$K$29,$A789))*$I789,IF(INDEX(Employees!$I$5:$I$29,$A789)="Front-loaded",IF(OR($B789=1,N($G788)=0),N(INDEX(Employees!$J$5:$J$29,$A789))+$J789,0),0))))</f>
        <v/>
      </c>
      <c r="L789" s="48">
        <f>IF($F789=0,0,SUMIFS('Time Off Log'!$H$5:$H$504,'Time Off Log'!$A$5:$A$504,$C789,'Time Off Log'!$B$5:$B$504,"PTO",'Time Off Log'!$E$5:$E$504,"Approved",'Time Off Log'!$C$5:$C$504,"&gt;="&amp;INDEX(Periods!$E$5:$E$57,$B789),'Time Off Log'!$C$5:$C$504,"&lt;="&amp;INDEX(Periods!$F$5:$F$57,$B789)))</f>
        <v/>
      </c>
      <c r="M789" s="48">
        <f>IF($B789=1,N(INDEX(Employees!$N$5:$N$29,$A789)),P788)</f>
        <v/>
      </c>
      <c r="N789" s="48">
        <f>IF(INDEX(Employees!$L$5:$L$29,$A789)="",K789,MAX(0,MIN(K789,INDEX(Employees!$L$5:$L$29,$A789)-(M789-L789))))</f>
        <v/>
      </c>
      <c r="O789" s="48">
        <f>K789-N789</f>
        <v/>
      </c>
      <c r="P789" s="48">
        <f>M789-L789+N789</f>
        <v/>
      </c>
      <c r="Q789" s="48">
        <f>IF($G789=0,0,IF(INDEX(Employees!$P$5:$P$29,$A789)="Per pay period",(N(INDEX(Employees!$Q$5:$Q$29,$A789)))/Settings!$B$13,IF(INDEX(Employees!$P$5:$P$29,$A789)="Per hour worked",N(INDEX(Employees!$R$5:$R$29,$A789))*$I789,IF(INDEX(Employees!$P$5:$P$29,$A789)="Front-loaded",IF(OR($B789=1,N($G788)=0),N(INDEX(Employees!$Q$5:$Q$29,$A789)),0),0))))</f>
        <v/>
      </c>
      <c r="R789" s="48">
        <f>IF($F789=0,0,SUMIFS('Time Off Log'!$H$5:$H$504,'Time Off Log'!$A$5:$A$504,$C789,'Time Off Log'!$B$5:$B$504,"Sick",'Time Off Log'!$E$5:$E$504,"Approved",'Time Off Log'!$C$5:$C$504,"&gt;="&amp;INDEX(Periods!$E$5:$E$57,$B789),'Time Off Log'!$C$5:$C$504,"&lt;="&amp;INDEX(Periods!$F$5:$F$57,$B789)))</f>
        <v/>
      </c>
      <c r="S789" s="48">
        <f>IF($B789=1,N(INDEX(Employees!$T$5:$T$29,$A789)),V788)</f>
        <v/>
      </c>
      <c r="T789" s="48">
        <f>IF(INDEX(Employees!$S$5:$S$29,$A789)="",Q789,MAX(0,MIN(Q789,INDEX(Employees!$S$5:$S$29,$A789)-(S789-R789))))</f>
        <v/>
      </c>
      <c r="U789" s="48">
        <f>Q789-T789</f>
        <v/>
      </c>
      <c r="V789" s="48">
        <f>S789-R789+T789</f>
        <v/>
      </c>
    </row>
    <row r="790">
      <c r="A790" s="47" t="n">
        <v>15</v>
      </c>
      <c r="B790" s="47" t="n">
        <v>44</v>
      </c>
      <c r="C790" s="48">
        <f>INDEX(Employees!$B$5:$B$29,$A790)&amp;""</f>
        <v/>
      </c>
      <c r="D790" s="49">
        <f>INDEX(Periods!$B$5:$B$57,$B790)</f>
        <v/>
      </c>
      <c r="E790" s="49">
        <f>INDEX(Periods!$C$5:$C$57,$B790)</f>
        <v/>
      </c>
      <c r="F790" s="47">
        <f>IF(AND($C790&lt;&gt;"",INDEX(Periods!$D$5:$D$57,$B790)=1),1,0)</f>
        <v/>
      </c>
      <c r="G790" s="47">
        <f>IF($F790=0,0,IF(AND(OR(INDEX(Employees!$D$5:$D$29,$A790)="",$E790&gt;=INDEX(Employees!$D$5:$D$29,$A790)+N(INDEX(Employees!$U$5:$U$29,$A790))),OR(INDEX(Employees!$E$5:$E$29,$A790)="",$D790&lt;=INDEX(Employees!$E$5:$E$29,$A790))),1,0))</f>
        <v/>
      </c>
      <c r="H790" s="47">
        <f>IF($G790=0,0,IF(INDEX(Employees!$D$5:$D$29,$A790)="",0,DATEDIF(INDEX(Employees!$D$5:$D$29,$A790),$E790,"y")))</f>
        <v/>
      </c>
      <c r="I790" s="48">
        <f>IF($G790=0,0,IF(INDEX('Hours Worked'!$D$5:$BD$29,$A790,$B790)="",N(INDEX(Employees!$H$5:$H$29,$A790)),INDEX('Hours Worked'!$D$5:$BD$29,$A790,$B790)))</f>
        <v/>
      </c>
      <c r="J790" s="48">
        <f>IF(OR($G790=0,INDEX(Employees!$O$5:$O$29,$A790)&lt;&gt;"Yes"),0,IF(COUNTIF(Settings!$D$4:$D$9,"&lt;="&amp;$H790)=0,0,INDEX(Settings!$E$4:$E$9,COUNTIF(Settings!$D$4:$D$9,"&lt;="&amp;$H790))))</f>
        <v/>
      </c>
      <c r="K790" s="48">
        <f>IF($G790=0,0,IF(INDEX(Employees!$I$5:$I$29,$A790)="Per pay period",(N(INDEX(Employees!$J$5:$J$29,$A790))+$J790)/Settings!$B$13,IF(INDEX(Employees!$I$5:$I$29,$A790)="Per hour worked",N(INDEX(Employees!$K$5:$K$29,$A790))*$I790,IF(INDEX(Employees!$I$5:$I$29,$A790)="Front-loaded",IF(OR($B790=1,N($G789)=0),N(INDEX(Employees!$J$5:$J$29,$A790))+$J790,0),0))))</f>
        <v/>
      </c>
      <c r="L790" s="48">
        <f>IF($F790=0,0,SUMIFS('Time Off Log'!$H$5:$H$504,'Time Off Log'!$A$5:$A$504,$C790,'Time Off Log'!$B$5:$B$504,"PTO",'Time Off Log'!$E$5:$E$504,"Approved",'Time Off Log'!$C$5:$C$504,"&gt;="&amp;INDEX(Periods!$E$5:$E$57,$B790),'Time Off Log'!$C$5:$C$504,"&lt;="&amp;INDEX(Periods!$F$5:$F$57,$B790)))</f>
        <v/>
      </c>
      <c r="M790" s="48">
        <f>IF($B790=1,N(INDEX(Employees!$N$5:$N$29,$A790)),P789)</f>
        <v/>
      </c>
      <c r="N790" s="48">
        <f>IF(INDEX(Employees!$L$5:$L$29,$A790)="",K790,MAX(0,MIN(K790,INDEX(Employees!$L$5:$L$29,$A790)-(M790-L790))))</f>
        <v/>
      </c>
      <c r="O790" s="48">
        <f>K790-N790</f>
        <v/>
      </c>
      <c r="P790" s="48">
        <f>M790-L790+N790</f>
        <v/>
      </c>
      <c r="Q790" s="48">
        <f>IF($G790=0,0,IF(INDEX(Employees!$P$5:$P$29,$A790)="Per pay period",(N(INDEX(Employees!$Q$5:$Q$29,$A790)))/Settings!$B$13,IF(INDEX(Employees!$P$5:$P$29,$A790)="Per hour worked",N(INDEX(Employees!$R$5:$R$29,$A790))*$I790,IF(INDEX(Employees!$P$5:$P$29,$A790)="Front-loaded",IF(OR($B790=1,N($G789)=0),N(INDEX(Employees!$Q$5:$Q$29,$A790)),0),0))))</f>
        <v/>
      </c>
      <c r="R790" s="48">
        <f>IF($F790=0,0,SUMIFS('Time Off Log'!$H$5:$H$504,'Time Off Log'!$A$5:$A$504,$C790,'Time Off Log'!$B$5:$B$504,"Sick",'Time Off Log'!$E$5:$E$504,"Approved",'Time Off Log'!$C$5:$C$504,"&gt;="&amp;INDEX(Periods!$E$5:$E$57,$B790),'Time Off Log'!$C$5:$C$504,"&lt;="&amp;INDEX(Periods!$F$5:$F$57,$B790)))</f>
        <v/>
      </c>
      <c r="S790" s="48">
        <f>IF($B790=1,N(INDEX(Employees!$T$5:$T$29,$A790)),V789)</f>
        <v/>
      </c>
      <c r="T790" s="48">
        <f>IF(INDEX(Employees!$S$5:$S$29,$A790)="",Q790,MAX(0,MIN(Q790,INDEX(Employees!$S$5:$S$29,$A790)-(S790-R790))))</f>
        <v/>
      </c>
      <c r="U790" s="48">
        <f>Q790-T790</f>
        <v/>
      </c>
      <c r="V790" s="48">
        <f>S790-R790+T790</f>
        <v/>
      </c>
    </row>
    <row r="791">
      <c r="A791" s="47" t="n">
        <v>15</v>
      </c>
      <c r="B791" s="47" t="n">
        <v>45</v>
      </c>
      <c r="C791" s="48">
        <f>INDEX(Employees!$B$5:$B$29,$A791)&amp;""</f>
        <v/>
      </c>
      <c r="D791" s="49">
        <f>INDEX(Periods!$B$5:$B$57,$B791)</f>
        <v/>
      </c>
      <c r="E791" s="49">
        <f>INDEX(Periods!$C$5:$C$57,$B791)</f>
        <v/>
      </c>
      <c r="F791" s="47">
        <f>IF(AND($C791&lt;&gt;"",INDEX(Periods!$D$5:$D$57,$B791)=1),1,0)</f>
        <v/>
      </c>
      <c r="G791" s="47">
        <f>IF($F791=0,0,IF(AND(OR(INDEX(Employees!$D$5:$D$29,$A791)="",$E791&gt;=INDEX(Employees!$D$5:$D$29,$A791)+N(INDEX(Employees!$U$5:$U$29,$A791))),OR(INDEX(Employees!$E$5:$E$29,$A791)="",$D791&lt;=INDEX(Employees!$E$5:$E$29,$A791))),1,0))</f>
        <v/>
      </c>
      <c r="H791" s="47">
        <f>IF($G791=0,0,IF(INDEX(Employees!$D$5:$D$29,$A791)="",0,DATEDIF(INDEX(Employees!$D$5:$D$29,$A791),$E791,"y")))</f>
        <v/>
      </c>
      <c r="I791" s="48">
        <f>IF($G791=0,0,IF(INDEX('Hours Worked'!$D$5:$BD$29,$A791,$B791)="",N(INDEX(Employees!$H$5:$H$29,$A791)),INDEX('Hours Worked'!$D$5:$BD$29,$A791,$B791)))</f>
        <v/>
      </c>
      <c r="J791" s="48">
        <f>IF(OR($G791=0,INDEX(Employees!$O$5:$O$29,$A791)&lt;&gt;"Yes"),0,IF(COUNTIF(Settings!$D$4:$D$9,"&lt;="&amp;$H791)=0,0,INDEX(Settings!$E$4:$E$9,COUNTIF(Settings!$D$4:$D$9,"&lt;="&amp;$H791))))</f>
        <v/>
      </c>
      <c r="K791" s="48">
        <f>IF($G791=0,0,IF(INDEX(Employees!$I$5:$I$29,$A791)="Per pay period",(N(INDEX(Employees!$J$5:$J$29,$A791))+$J791)/Settings!$B$13,IF(INDEX(Employees!$I$5:$I$29,$A791)="Per hour worked",N(INDEX(Employees!$K$5:$K$29,$A791))*$I791,IF(INDEX(Employees!$I$5:$I$29,$A791)="Front-loaded",IF(OR($B791=1,N($G790)=0),N(INDEX(Employees!$J$5:$J$29,$A791))+$J791,0),0))))</f>
        <v/>
      </c>
      <c r="L791" s="48">
        <f>IF($F791=0,0,SUMIFS('Time Off Log'!$H$5:$H$504,'Time Off Log'!$A$5:$A$504,$C791,'Time Off Log'!$B$5:$B$504,"PTO",'Time Off Log'!$E$5:$E$504,"Approved",'Time Off Log'!$C$5:$C$504,"&gt;="&amp;INDEX(Periods!$E$5:$E$57,$B791),'Time Off Log'!$C$5:$C$504,"&lt;="&amp;INDEX(Periods!$F$5:$F$57,$B791)))</f>
        <v/>
      </c>
      <c r="M791" s="48">
        <f>IF($B791=1,N(INDEX(Employees!$N$5:$N$29,$A791)),P790)</f>
        <v/>
      </c>
      <c r="N791" s="48">
        <f>IF(INDEX(Employees!$L$5:$L$29,$A791)="",K791,MAX(0,MIN(K791,INDEX(Employees!$L$5:$L$29,$A791)-(M791-L791))))</f>
        <v/>
      </c>
      <c r="O791" s="48">
        <f>K791-N791</f>
        <v/>
      </c>
      <c r="P791" s="48">
        <f>M791-L791+N791</f>
        <v/>
      </c>
      <c r="Q791" s="48">
        <f>IF($G791=0,0,IF(INDEX(Employees!$P$5:$P$29,$A791)="Per pay period",(N(INDEX(Employees!$Q$5:$Q$29,$A791)))/Settings!$B$13,IF(INDEX(Employees!$P$5:$P$29,$A791)="Per hour worked",N(INDEX(Employees!$R$5:$R$29,$A791))*$I791,IF(INDEX(Employees!$P$5:$P$29,$A791)="Front-loaded",IF(OR($B791=1,N($G790)=0),N(INDEX(Employees!$Q$5:$Q$29,$A791)),0),0))))</f>
        <v/>
      </c>
      <c r="R791" s="48">
        <f>IF($F791=0,0,SUMIFS('Time Off Log'!$H$5:$H$504,'Time Off Log'!$A$5:$A$504,$C791,'Time Off Log'!$B$5:$B$504,"Sick",'Time Off Log'!$E$5:$E$504,"Approved",'Time Off Log'!$C$5:$C$504,"&gt;="&amp;INDEX(Periods!$E$5:$E$57,$B791),'Time Off Log'!$C$5:$C$504,"&lt;="&amp;INDEX(Periods!$F$5:$F$57,$B791)))</f>
        <v/>
      </c>
      <c r="S791" s="48">
        <f>IF($B791=1,N(INDEX(Employees!$T$5:$T$29,$A791)),V790)</f>
        <v/>
      </c>
      <c r="T791" s="48">
        <f>IF(INDEX(Employees!$S$5:$S$29,$A791)="",Q791,MAX(0,MIN(Q791,INDEX(Employees!$S$5:$S$29,$A791)-(S791-R791))))</f>
        <v/>
      </c>
      <c r="U791" s="48">
        <f>Q791-T791</f>
        <v/>
      </c>
      <c r="V791" s="48">
        <f>S791-R791+T791</f>
        <v/>
      </c>
    </row>
    <row r="792">
      <c r="A792" s="47" t="n">
        <v>15</v>
      </c>
      <c r="B792" s="47" t="n">
        <v>46</v>
      </c>
      <c r="C792" s="48">
        <f>INDEX(Employees!$B$5:$B$29,$A792)&amp;""</f>
        <v/>
      </c>
      <c r="D792" s="49">
        <f>INDEX(Periods!$B$5:$B$57,$B792)</f>
        <v/>
      </c>
      <c r="E792" s="49">
        <f>INDEX(Periods!$C$5:$C$57,$B792)</f>
        <v/>
      </c>
      <c r="F792" s="47">
        <f>IF(AND($C792&lt;&gt;"",INDEX(Periods!$D$5:$D$57,$B792)=1),1,0)</f>
        <v/>
      </c>
      <c r="G792" s="47">
        <f>IF($F792=0,0,IF(AND(OR(INDEX(Employees!$D$5:$D$29,$A792)="",$E792&gt;=INDEX(Employees!$D$5:$D$29,$A792)+N(INDEX(Employees!$U$5:$U$29,$A792))),OR(INDEX(Employees!$E$5:$E$29,$A792)="",$D792&lt;=INDEX(Employees!$E$5:$E$29,$A792))),1,0))</f>
        <v/>
      </c>
      <c r="H792" s="47">
        <f>IF($G792=0,0,IF(INDEX(Employees!$D$5:$D$29,$A792)="",0,DATEDIF(INDEX(Employees!$D$5:$D$29,$A792),$E792,"y")))</f>
        <v/>
      </c>
      <c r="I792" s="48">
        <f>IF($G792=0,0,IF(INDEX('Hours Worked'!$D$5:$BD$29,$A792,$B792)="",N(INDEX(Employees!$H$5:$H$29,$A792)),INDEX('Hours Worked'!$D$5:$BD$29,$A792,$B792)))</f>
        <v/>
      </c>
      <c r="J792" s="48">
        <f>IF(OR($G792=0,INDEX(Employees!$O$5:$O$29,$A792)&lt;&gt;"Yes"),0,IF(COUNTIF(Settings!$D$4:$D$9,"&lt;="&amp;$H792)=0,0,INDEX(Settings!$E$4:$E$9,COUNTIF(Settings!$D$4:$D$9,"&lt;="&amp;$H792))))</f>
        <v/>
      </c>
      <c r="K792" s="48">
        <f>IF($G792=0,0,IF(INDEX(Employees!$I$5:$I$29,$A792)="Per pay period",(N(INDEX(Employees!$J$5:$J$29,$A792))+$J792)/Settings!$B$13,IF(INDEX(Employees!$I$5:$I$29,$A792)="Per hour worked",N(INDEX(Employees!$K$5:$K$29,$A792))*$I792,IF(INDEX(Employees!$I$5:$I$29,$A792)="Front-loaded",IF(OR($B792=1,N($G791)=0),N(INDEX(Employees!$J$5:$J$29,$A792))+$J792,0),0))))</f>
        <v/>
      </c>
      <c r="L792" s="48">
        <f>IF($F792=0,0,SUMIFS('Time Off Log'!$H$5:$H$504,'Time Off Log'!$A$5:$A$504,$C792,'Time Off Log'!$B$5:$B$504,"PTO",'Time Off Log'!$E$5:$E$504,"Approved",'Time Off Log'!$C$5:$C$504,"&gt;="&amp;INDEX(Periods!$E$5:$E$57,$B792),'Time Off Log'!$C$5:$C$504,"&lt;="&amp;INDEX(Periods!$F$5:$F$57,$B792)))</f>
        <v/>
      </c>
      <c r="M792" s="48">
        <f>IF($B792=1,N(INDEX(Employees!$N$5:$N$29,$A792)),P791)</f>
        <v/>
      </c>
      <c r="N792" s="48">
        <f>IF(INDEX(Employees!$L$5:$L$29,$A792)="",K792,MAX(0,MIN(K792,INDEX(Employees!$L$5:$L$29,$A792)-(M792-L792))))</f>
        <v/>
      </c>
      <c r="O792" s="48">
        <f>K792-N792</f>
        <v/>
      </c>
      <c r="P792" s="48">
        <f>M792-L792+N792</f>
        <v/>
      </c>
      <c r="Q792" s="48">
        <f>IF($G792=0,0,IF(INDEX(Employees!$P$5:$P$29,$A792)="Per pay period",(N(INDEX(Employees!$Q$5:$Q$29,$A792)))/Settings!$B$13,IF(INDEX(Employees!$P$5:$P$29,$A792)="Per hour worked",N(INDEX(Employees!$R$5:$R$29,$A792))*$I792,IF(INDEX(Employees!$P$5:$P$29,$A792)="Front-loaded",IF(OR($B792=1,N($G791)=0),N(INDEX(Employees!$Q$5:$Q$29,$A792)),0),0))))</f>
        <v/>
      </c>
      <c r="R792" s="48">
        <f>IF($F792=0,0,SUMIFS('Time Off Log'!$H$5:$H$504,'Time Off Log'!$A$5:$A$504,$C792,'Time Off Log'!$B$5:$B$504,"Sick",'Time Off Log'!$E$5:$E$504,"Approved",'Time Off Log'!$C$5:$C$504,"&gt;="&amp;INDEX(Periods!$E$5:$E$57,$B792),'Time Off Log'!$C$5:$C$504,"&lt;="&amp;INDEX(Periods!$F$5:$F$57,$B792)))</f>
        <v/>
      </c>
      <c r="S792" s="48">
        <f>IF($B792=1,N(INDEX(Employees!$T$5:$T$29,$A792)),V791)</f>
        <v/>
      </c>
      <c r="T792" s="48">
        <f>IF(INDEX(Employees!$S$5:$S$29,$A792)="",Q792,MAX(0,MIN(Q792,INDEX(Employees!$S$5:$S$29,$A792)-(S792-R792))))</f>
        <v/>
      </c>
      <c r="U792" s="48">
        <f>Q792-T792</f>
        <v/>
      </c>
      <c r="V792" s="48">
        <f>S792-R792+T792</f>
        <v/>
      </c>
    </row>
    <row r="793">
      <c r="A793" s="47" t="n">
        <v>15</v>
      </c>
      <c r="B793" s="47" t="n">
        <v>47</v>
      </c>
      <c r="C793" s="48">
        <f>INDEX(Employees!$B$5:$B$29,$A793)&amp;""</f>
        <v/>
      </c>
      <c r="D793" s="49">
        <f>INDEX(Periods!$B$5:$B$57,$B793)</f>
        <v/>
      </c>
      <c r="E793" s="49">
        <f>INDEX(Periods!$C$5:$C$57,$B793)</f>
        <v/>
      </c>
      <c r="F793" s="47">
        <f>IF(AND($C793&lt;&gt;"",INDEX(Periods!$D$5:$D$57,$B793)=1),1,0)</f>
        <v/>
      </c>
      <c r="G793" s="47">
        <f>IF($F793=0,0,IF(AND(OR(INDEX(Employees!$D$5:$D$29,$A793)="",$E793&gt;=INDEX(Employees!$D$5:$D$29,$A793)+N(INDEX(Employees!$U$5:$U$29,$A793))),OR(INDEX(Employees!$E$5:$E$29,$A793)="",$D793&lt;=INDEX(Employees!$E$5:$E$29,$A793))),1,0))</f>
        <v/>
      </c>
      <c r="H793" s="47">
        <f>IF($G793=0,0,IF(INDEX(Employees!$D$5:$D$29,$A793)="",0,DATEDIF(INDEX(Employees!$D$5:$D$29,$A793),$E793,"y")))</f>
        <v/>
      </c>
      <c r="I793" s="48">
        <f>IF($G793=0,0,IF(INDEX('Hours Worked'!$D$5:$BD$29,$A793,$B793)="",N(INDEX(Employees!$H$5:$H$29,$A793)),INDEX('Hours Worked'!$D$5:$BD$29,$A793,$B793)))</f>
        <v/>
      </c>
      <c r="J793" s="48">
        <f>IF(OR($G793=0,INDEX(Employees!$O$5:$O$29,$A793)&lt;&gt;"Yes"),0,IF(COUNTIF(Settings!$D$4:$D$9,"&lt;="&amp;$H793)=0,0,INDEX(Settings!$E$4:$E$9,COUNTIF(Settings!$D$4:$D$9,"&lt;="&amp;$H793))))</f>
        <v/>
      </c>
      <c r="K793" s="48">
        <f>IF($G793=0,0,IF(INDEX(Employees!$I$5:$I$29,$A793)="Per pay period",(N(INDEX(Employees!$J$5:$J$29,$A793))+$J793)/Settings!$B$13,IF(INDEX(Employees!$I$5:$I$29,$A793)="Per hour worked",N(INDEX(Employees!$K$5:$K$29,$A793))*$I793,IF(INDEX(Employees!$I$5:$I$29,$A793)="Front-loaded",IF(OR($B793=1,N($G792)=0),N(INDEX(Employees!$J$5:$J$29,$A793))+$J793,0),0))))</f>
        <v/>
      </c>
      <c r="L793" s="48">
        <f>IF($F793=0,0,SUMIFS('Time Off Log'!$H$5:$H$504,'Time Off Log'!$A$5:$A$504,$C793,'Time Off Log'!$B$5:$B$504,"PTO",'Time Off Log'!$E$5:$E$504,"Approved",'Time Off Log'!$C$5:$C$504,"&gt;="&amp;INDEX(Periods!$E$5:$E$57,$B793),'Time Off Log'!$C$5:$C$504,"&lt;="&amp;INDEX(Periods!$F$5:$F$57,$B793)))</f>
        <v/>
      </c>
      <c r="M793" s="48">
        <f>IF($B793=1,N(INDEX(Employees!$N$5:$N$29,$A793)),P792)</f>
        <v/>
      </c>
      <c r="N793" s="48">
        <f>IF(INDEX(Employees!$L$5:$L$29,$A793)="",K793,MAX(0,MIN(K793,INDEX(Employees!$L$5:$L$29,$A793)-(M793-L793))))</f>
        <v/>
      </c>
      <c r="O793" s="48">
        <f>K793-N793</f>
        <v/>
      </c>
      <c r="P793" s="48">
        <f>M793-L793+N793</f>
        <v/>
      </c>
      <c r="Q793" s="48">
        <f>IF($G793=0,0,IF(INDEX(Employees!$P$5:$P$29,$A793)="Per pay period",(N(INDEX(Employees!$Q$5:$Q$29,$A793)))/Settings!$B$13,IF(INDEX(Employees!$P$5:$P$29,$A793)="Per hour worked",N(INDEX(Employees!$R$5:$R$29,$A793))*$I793,IF(INDEX(Employees!$P$5:$P$29,$A793)="Front-loaded",IF(OR($B793=1,N($G792)=0),N(INDEX(Employees!$Q$5:$Q$29,$A793)),0),0))))</f>
        <v/>
      </c>
      <c r="R793" s="48">
        <f>IF($F793=0,0,SUMIFS('Time Off Log'!$H$5:$H$504,'Time Off Log'!$A$5:$A$504,$C793,'Time Off Log'!$B$5:$B$504,"Sick",'Time Off Log'!$E$5:$E$504,"Approved",'Time Off Log'!$C$5:$C$504,"&gt;="&amp;INDEX(Periods!$E$5:$E$57,$B793),'Time Off Log'!$C$5:$C$504,"&lt;="&amp;INDEX(Periods!$F$5:$F$57,$B793)))</f>
        <v/>
      </c>
      <c r="S793" s="48">
        <f>IF($B793=1,N(INDEX(Employees!$T$5:$T$29,$A793)),V792)</f>
        <v/>
      </c>
      <c r="T793" s="48">
        <f>IF(INDEX(Employees!$S$5:$S$29,$A793)="",Q793,MAX(0,MIN(Q793,INDEX(Employees!$S$5:$S$29,$A793)-(S793-R793))))</f>
        <v/>
      </c>
      <c r="U793" s="48">
        <f>Q793-T793</f>
        <v/>
      </c>
      <c r="V793" s="48">
        <f>S793-R793+T793</f>
        <v/>
      </c>
    </row>
    <row r="794">
      <c r="A794" s="47" t="n">
        <v>15</v>
      </c>
      <c r="B794" s="47" t="n">
        <v>48</v>
      </c>
      <c r="C794" s="48">
        <f>INDEX(Employees!$B$5:$B$29,$A794)&amp;""</f>
        <v/>
      </c>
      <c r="D794" s="49">
        <f>INDEX(Periods!$B$5:$B$57,$B794)</f>
        <v/>
      </c>
      <c r="E794" s="49">
        <f>INDEX(Periods!$C$5:$C$57,$B794)</f>
        <v/>
      </c>
      <c r="F794" s="47">
        <f>IF(AND($C794&lt;&gt;"",INDEX(Periods!$D$5:$D$57,$B794)=1),1,0)</f>
        <v/>
      </c>
      <c r="G794" s="47">
        <f>IF($F794=0,0,IF(AND(OR(INDEX(Employees!$D$5:$D$29,$A794)="",$E794&gt;=INDEX(Employees!$D$5:$D$29,$A794)+N(INDEX(Employees!$U$5:$U$29,$A794))),OR(INDEX(Employees!$E$5:$E$29,$A794)="",$D794&lt;=INDEX(Employees!$E$5:$E$29,$A794))),1,0))</f>
        <v/>
      </c>
      <c r="H794" s="47">
        <f>IF($G794=0,0,IF(INDEX(Employees!$D$5:$D$29,$A794)="",0,DATEDIF(INDEX(Employees!$D$5:$D$29,$A794),$E794,"y")))</f>
        <v/>
      </c>
      <c r="I794" s="48">
        <f>IF($G794=0,0,IF(INDEX('Hours Worked'!$D$5:$BD$29,$A794,$B794)="",N(INDEX(Employees!$H$5:$H$29,$A794)),INDEX('Hours Worked'!$D$5:$BD$29,$A794,$B794)))</f>
        <v/>
      </c>
      <c r="J794" s="48">
        <f>IF(OR($G794=0,INDEX(Employees!$O$5:$O$29,$A794)&lt;&gt;"Yes"),0,IF(COUNTIF(Settings!$D$4:$D$9,"&lt;="&amp;$H794)=0,0,INDEX(Settings!$E$4:$E$9,COUNTIF(Settings!$D$4:$D$9,"&lt;="&amp;$H794))))</f>
        <v/>
      </c>
      <c r="K794" s="48">
        <f>IF($G794=0,0,IF(INDEX(Employees!$I$5:$I$29,$A794)="Per pay period",(N(INDEX(Employees!$J$5:$J$29,$A794))+$J794)/Settings!$B$13,IF(INDEX(Employees!$I$5:$I$29,$A794)="Per hour worked",N(INDEX(Employees!$K$5:$K$29,$A794))*$I794,IF(INDEX(Employees!$I$5:$I$29,$A794)="Front-loaded",IF(OR($B794=1,N($G793)=0),N(INDEX(Employees!$J$5:$J$29,$A794))+$J794,0),0))))</f>
        <v/>
      </c>
      <c r="L794" s="48">
        <f>IF($F794=0,0,SUMIFS('Time Off Log'!$H$5:$H$504,'Time Off Log'!$A$5:$A$504,$C794,'Time Off Log'!$B$5:$B$504,"PTO",'Time Off Log'!$E$5:$E$504,"Approved",'Time Off Log'!$C$5:$C$504,"&gt;="&amp;INDEX(Periods!$E$5:$E$57,$B794),'Time Off Log'!$C$5:$C$504,"&lt;="&amp;INDEX(Periods!$F$5:$F$57,$B794)))</f>
        <v/>
      </c>
      <c r="M794" s="48">
        <f>IF($B794=1,N(INDEX(Employees!$N$5:$N$29,$A794)),P793)</f>
        <v/>
      </c>
      <c r="N794" s="48">
        <f>IF(INDEX(Employees!$L$5:$L$29,$A794)="",K794,MAX(0,MIN(K794,INDEX(Employees!$L$5:$L$29,$A794)-(M794-L794))))</f>
        <v/>
      </c>
      <c r="O794" s="48">
        <f>K794-N794</f>
        <v/>
      </c>
      <c r="P794" s="48">
        <f>M794-L794+N794</f>
        <v/>
      </c>
      <c r="Q794" s="48">
        <f>IF($G794=0,0,IF(INDEX(Employees!$P$5:$P$29,$A794)="Per pay period",(N(INDEX(Employees!$Q$5:$Q$29,$A794)))/Settings!$B$13,IF(INDEX(Employees!$P$5:$P$29,$A794)="Per hour worked",N(INDEX(Employees!$R$5:$R$29,$A794))*$I794,IF(INDEX(Employees!$P$5:$P$29,$A794)="Front-loaded",IF(OR($B794=1,N($G793)=0),N(INDEX(Employees!$Q$5:$Q$29,$A794)),0),0))))</f>
        <v/>
      </c>
      <c r="R794" s="48">
        <f>IF($F794=0,0,SUMIFS('Time Off Log'!$H$5:$H$504,'Time Off Log'!$A$5:$A$504,$C794,'Time Off Log'!$B$5:$B$504,"Sick",'Time Off Log'!$E$5:$E$504,"Approved",'Time Off Log'!$C$5:$C$504,"&gt;="&amp;INDEX(Periods!$E$5:$E$57,$B794),'Time Off Log'!$C$5:$C$504,"&lt;="&amp;INDEX(Periods!$F$5:$F$57,$B794)))</f>
        <v/>
      </c>
      <c r="S794" s="48">
        <f>IF($B794=1,N(INDEX(Employees!$T$5:$T$29,$A794)),V793)</f>
        <v/>
      </c>
      <c r="T794" s="48">
        <f>IF(INDEX(Employees!$S$5:$S$29,$A794)="",Q794,MAX(0,MIN(Q794,INDEX(Employees!$S$5:$S$29,$A794)-(S794-R794))))</f>
        <v/>
      </c>
      <c r="U794" s="48">
        <f>Q794-T794</f>
        <v/>
      </c>
      <c r="V794" s="48">
        <f>S794-R794+T794</f>
        <v/>
      </c>
    </row>
    <row r="795">
      <c r="A795" s="47" t="n">
        <v>15</v>
      </c>
      <c r="B795" s="47" t="n">
        <v>49</v>
      </c>
      <c r="C795" s="48">
        <f>INDEX(Employees!$B$5:$B$29,$A795)&amp;""</f>
        <v/>
      </c>
      <c r="D795" s="49">
        <f>INDEX(Periods!$B$5:$B$57,$B795)</f>
        <v/>
      </c>
      <c r="E795" s="49">
        <f>INDEX(Periods!$C$5:$C$57,$B795)</f>
        <v/>
      </c>
      <c r="F795" s="47">
        <f>IF(AND($C795&lt;&gt;"",INDEX(Periods!$D$5:$D$57,$B795)=1),1,0)</f>
        <v/>
      </c>
      <c r="G795" s="47">
        <f>IF($F795=0,0,IF(AND(OR(INDEX(Employees!$D$5:$D$29,$A795)="",$E795&gt;=INDEX(Employees!$D$5:$D$29,$A795)+N(INDEX(Employees!$U$5:$U$29,$A795))),OR(INDEX(Employees!$E$5:$E$29,$A795)="",$D795&lt;=INDEX(Employees!$E$5:$E$29,$A795))),1,0))</f>
        <v/>
      </c>
      <c r="H795" s="47">
        <f>IF($G795=0,0,IF(INDEX(Employees!$D$5:$D$29,$A795)="",0,DATEDIF(INDEX(Employees!$D$5:$D$29,$A795),$E795,"y")))</f>
        <v/>
      </c>
      <c r="I795" s="48">
        <f>IF($G795=0,0,IF(INDEX('Hours Worked'!$D$5:$BD$29,$A795,$B795)="",N(INDEX(Employees!$H$5:$H$29,$A795)),INDEX('Hours Worked'!$D$5:$BD$29,$A795,$B795)))</f>
        <v/>
      </c>
      <c r="J795" s="48">
        <f>IF(OR($G795=0,INDEX(Employees!$O$5:$O$29,$A795)&lt;&gt;"Yes"),0,IF(COUNTIF(Settings!$D$4:$D$9,"&lt;="&amp;$H795)=0,0,INDEX(Settings!$E$4:$E$9,COUNTIF(Settings!$D$4:$D$9,"&lt;="&amp;$H795))))</f>
        <v/>
      </c>
      <c r="K795" s="48">
        <f>IF($G795=0,0,IF(INDEX(Employees!$I$5:$I$29,$A795)="Per pay period",(N(INDEX(Employees!$J$5:$J$29,$A795))+$J795)/Settings!$B$13,IF(INDEX(Employees!$I$5:$I$29,$A795)="Per hour worked",N(INDEX(Employees!$K$5:$K$29,$A795))*$I795,IF(INDEX(Employees!$I$5:$I$29,$A795)="Front-loaded",IF(OR($B795=1,N($G794)=0),N(INDEX(Employees!$J$5:$J$29,$A795))+$J795,0),0))))</f>
        <v/>
      </c>
      <c r="L795" s="48">
        <f>IF($F795=0,0,SUMIFS('Time Off Log'!$H$5:$H$504,'Time Off Log'!$A$5:$A$504,$C795,'Time Off Log'!$B$5:$B$504,"PTO",'Time Off Log'!$E$5:$E$504,"Approved",'Time Off Log'!$C$5:$C$504,"&gt;="&amp;INDEX(Periods!$E$5:$E$57,$B795),'Time Off Log'!$C$5:$C$504,"&lt;="&amp;INDEX(Periods!$F$5:$F$57,$B795)))</f>
        <v/>
      </c>
      <c r="M795" s="48">
        <f>IF($B795=1,N(INDEX(Employees!$N$5:$N$29,$A795)),P794)</f>
        <v/>
      </c>
      <c r="N795" s="48">
        <f>IF(INDEX(Employees!$L$5:$L$29,$A795)="",K795,MAX(0,MIN(K795,INDEX(Employees!$L$5:$L$29,$A795)-(M795-L795))))</f>
        <v/>
      </c>
      <c r="O795" s="48">
        <f>K795-N795</f>
        <v/>
      </c>
      <c r="P795" s="48">
        <f>M795-L795+N795</f>
        <v/>
      </c>
      <c r="Q795" s="48">
        <f>IF($G795=0,0,IF(INDEX(Employees!$P$5:$P$29,$A795)="Per pay period",(N(INDEX(Employees!$Q$5:$Q$29,$A795)))/Settings!$B$13,IF(INDEX(Employees!$P$5:$P$29,$A795)="Per hour worked",N(INDEX(Employees!$R$5:$R$29,$A795))*$I795,IF(INDEX(Employees!$P$5:$P$29,$A795)="Front-loaded",IF(OR($B795=1,N($G794)=0),N(INDEX(Employees!$Q$5:$Q$29,$A795)),0),0))))</f>
        <v/>
      </c>
      <c r="R795" s="48">
        <f>IF($F795=0,0,SUMIFS('Time Off Log'!$H$5:$H$504,'Time Off Log'!$A$5:$A$504,$C795,'Time Off Log'!$B$5:$B$504,"Sick",'Time Off Log'!$E$5:$E$504,"Approved",'Time Off Log'!$C$5:$C$504,"&gt;="&amp;INDEX(Periods!$E$5:$E$57,$B795),'Time Off Log'!$C$5:$C$504,"&lt;="&amp;INDEX(Periods!$F$5:$F$57,$B795)))</f>
        <v/>
      </c>
      <c r="S795" s="48">
        <f>IF($B795=1,N(INDEX(Employees!$T$5:$T$29,$A795)),V794)</f>
        <v/>
      </c>
      <c r="T795" s="48">
        <f>IF(INDEX(Employees!$S$5:$S$29,$A795)="",Q795,MAX(0,MIN(Q795,INDEX(Employees!$S$5:$S$29,$A795)-(S795-R795))))</f>
        <v/>
      </c>
      <c r="U795" s="48">
        <f>Q795-T795</f>
        <v/>
      </c>
      <c r="V795" s="48">
        <f>S795-R795+T795</f>
        <v/>
      </c>
    </row>
    <row r="796">
      <c r="A796" s="47" t="n">
        <v>15</v>
      </c>
      <c r="B796" s="47" t="n">
        <v>50</v>
      </c>
      <c r="C796" s="48">
        <f>INDEX(Employees!$B$5:$B$29,$A796)&amp;""</f>
        <v/>
      </c>
      <c r="D796" s="49">
        <f>INDEX(Periods!$B$5:$B$57,$B796)</f>
        <v/>
      </c>
      <c r="E796" s="49">
        <f>INDEX(Periods!$C$5:$C$57,$B796)</f>
        <v/>
      </c>
      <c r="F796" s="47">
        <f>IF(AND($C796&lt;&gt;"",INDEX(Periods!$D$5:$D$57,$B796)=1),1,0)</f>
        <v/>
      </c>
      <c r="G796" s="47">
        <f>IF($F796=0,0,IF(AND(OR(INDEX(Employees!$D$5:$D$29,$A796)="",$E796&gt;=INDEX(Employees!$D$5:$D$29,$A796)+N(INDEX(Employees!$U$5:$U$29,$A796))),OR(INDEX(Employees!$E$5:$E$29,$A796)="",$D796&lt;=INDEX(Employees!$E$5:$E$29,$A796))),1,0))</f>
        <v/>
      </c>
      <c r="H796" s="47">
        <f>IF($G796=0,0,IF(INDEX(Employees!$D$5:$D$29,$A796)="",0,DATEDIF(INDEX(Employees!$D$5:$D$29,$A796),$E796,"y")))</f>
        <v/>
      </c>
      <c r="I796" s="48">
        <f>IF($G796=0,0,IF(INDEX('Hours Worked'!$D$5:$BD$29,$A796,$B796)="",N(INDEX(Employees!$H$5:$H$29,$A796)),INDEX('Hours Worked'!$D$5:$BD$29,$A796,$B796)))</f>
        <v/>
      </c>
      <c r="J796" s="48">
        <f>IF(OR($G796=0,INDEX(Employees!$O$5:$O$29,$A796)&lt;&gt;"Yes"),0,IF(COUNTIF(Settings!$D$4:$D$9,"&lt;="&amp;$H796)=0,0,INDEX(Settings!$E$4:$E$9,COUNTIF(Settings!$D$4:$D$9,"&lt;="&amp;$H796))))</f>
        <v/>
      </c>
      <c r="K796" s="48">
        <f>IF($G796=0,0,IF(INDEX(Employees!$I$5:$I$29,$A796)="Per pay period",(N(INDEX(Employees!$J$5:$J$29,$A796))+$J796)/Settings!$B$13,IF(INDEX(Employees!$I$5:$I$29,$A796)="Per hour worked",N(INDEX(Employees!$K$5:$K$29,$A796))*$I796,IF(INDEX(Employees!$I$5:$I$29,$A796)="Front-loaded",IF(OR($B796=1,N($G795)=0),N(INDEX(Employees!$J$5:$J$29,$A796))+$J796,0),0))))</f>
        <v/>
      </c>
      <c r="L796" s="48">
        <f>IF($F796=0,0,SUMIFS('Time Off Log'!$H$5:$H$504,'Time Off Log'!$A$5:$A$504,$C796,'Time Off Log'!$B$5:$B$504,"PTO",'Time Off Log'!$E$5:$E$504,"Approved",'Time Off Log'!$C$5:$C$504,"&gt;="&amp;INDEX(Periods!$E$5:$E$57,$B796),'Time Off Log'!$C$5:$C$504,"&lt;="&amp;INDEX(Periods!$F$5:$F$57,$B796)))</f>
        <v/>
      </c>
      <c r="M796" s="48">
        <f>IF($B796=1,N(INDEX(Employees!$N$5:$N$29,$A796)),P795)</f>
        <v/>
      </c>
      <c r="N796" s="48">
        <f>IF(INDEX(Employees!$L$5:$L$29,$A796)="",K796,MAX(0,MIN(K796,INDEX(Employees!$L$5:$L$29,$A796)-(M796-L796))))</f>
        <v/>
      </c>
      <c r="O796" s="48">
        <f>K796-N796</f>
        <v/>
      </c>
      <c r="P796" s="48">
        <f>M796-L796+N796</f>
        <v/>
      </c>
      <c r="Q796" s="48">
        <f>IF($G796=0,0,IF(INDEX(Employees!$P$5:$P$29,$A796)="Per pay period",(N(INDEX(Employees!$Q$5:$Q$29,$A796)))/Settings!$B$13,IF(INDEX(Employees!$P$5:$P$29,$A796)="Per hour worked",N(INDEX(Employees!$R$5:$R$29,$A796))*$I796,IF(INDEX(Employees!$P$5:$P$29,$A796)="Front-loaded",IF(OR($B796=1,N($G795)=0),N(INDEX(Employees!$Q$5:$Q$29,$A796)),0),0))))</f>
        <v/>
      </c>
      <c r="R796" s="48">
        <f>IF($F796=0,0,SUMIFS('Time Off Log'!$H$5:$H$504,'Time Off Log'!$A$5:$A$504,$C796,'Time Off Log'!$B$5:$B$504,"Sick",'Time Off Log'!$E$5:$E$504,"Approved",'Time Off Log'!$C$5:$C$504,"&gt;="&amp;INDEX(Periods!$E$5:$E$57,$B796),'Time Off Log'!$C$5:$C$504,"&lt;="&amp;INDEX(Periods!$F$5:$F$57,$B796)))</f>
        <v/>
      </c>
      <c r="S796" s="48">
        <f>IF($B796=1,N(INDEX(Employees!$T$5:$T$29,$A796)),V795)</f>
        <v/>
      </c>
      <c r="T796" s="48">
        <f>IF(INDEX(Employees!$S$5:$S$29,$A796)="",Q796,MAX(0,MIN(Q796,INDEX(Employees!$S$5:$S$29,$A796)-(S796-R796))))</f>
        <v/>
      </c>
      <c r="U796" s="48">
        <f>Q796-T796</f>
        <v/>
      </c>
      <c r="V796" s="48">
        <f>S796-R796+T796</f>
        <v/>
      </c>
    </row>
    <row r="797">
      <c r="A797" s="47" t="n">
        <v>15</v>
      </c>
      <c r="B797" s="47" t="n">
        <v>51</v>
      </c>
      <c r="C797" s="48">
        <f>INDEX(Employees!$B$5:$B$29,$A797)&amp;""</f>
        <v/>
      </c>
      <c r="D797" s="49">
        <f>INDEX(Periods!$B$5:$B$57,$B797)</f>
        <v/>
      </c>
      <c r="E797" s="49">
        <f>INDEX(Periods!$C$5:$C$57,$B797)</f>
        <v/>
      </c>
      <c r="F797" s="47">
        <f>IF(AND($C797&lt;&gt;"",INDEX(Periods!$D$5:$D$57,$B797)=1),1,0)</f>
        <v/>
      </c>
      <c r="G797" s="47">
        <f>IF($F797=0,0,IF(AND(OR(INDEX(Employees!$D$5:$D$29,$A797)="",$E797&gt;=INDEX(Employees!$D$5:$D$29,$A797)+N(INDEX(Employees!$U$5:$U$29,$A797))),OR(INDEX(Employees!$E$5:$E$29,$A797)="",$D797&lt;=INDEX(Employees!$E$5:$E$29,$A797))),1,0))</f>
        <v/>
      </c>
      <c r="H797" s="47">
        <f>IF($G797=0,0,IF(INDEX(Employees!$D$5:$D$29,$A797)="",0,DATEDIF(INDEX(Employees!$D$5:$D$29,$A797),$E797,"y")))</f>
        <v/>
      </c>
      <c r="I797" s="48">
        <f>IF($G797=0,0,IF(INDEX('Hours Worked'!$D$5:$BD$29,$A797,$B797)="",N(INDEX(Employees!$H$5:$H$29,$A797)),INDEX('Hours Worked'!$D$5:$BD$29,$A797,$B797)))</f>
        <v/>
      </c>
      <c r="J797" s="48">
        <f>IF(OR($G797=0,INDEX(Employees!$O$5:$O$29,$A797)&lt;&gt;"Yes"),0,IF(COUNTIF(Settings!$D$4:$D$9,"&lt;="&amp;$H797)=0,0,INDEX(Settings!$E$4:$E$9,COUNTIF(Settings!$D$4:$D$9,"&lt;="&amp;$H797))))</f>
        <v/>
      </c>
      <c r="K797" s="48">
        <f>IF($G797=0,0,IF(INDEX(Employees!$I$5:$I$29,$A797)="Per pay period",(N(INDEX(Employees!$J$5:$J$29,$A797))+$J797)/Settings!$B$13,IF(INDEX(Employees!$I$5:$I$29,$A797)="Per hour worked",N(INDEX(Employees!$K$5:$K$29,$A797))*$I797,IF(INDEX(Employees!$I$5:$I$29,$A797)="Front-loaded",IF(OR($B797=1,N($G796)=0),N(INDEX(Employees!$J$5:$J$29,$A797))+$J797,0),0))))</f>
        <v/>
      </c>
      <c r="L797" s="48">
        <f>IF($F797=0,0,SUMIFS('Time Off Log'!$H$5:$H$504,'Time Off Log'!$A$5:$A$504,$C797,'Time Off Log'!$B$5:$B$504,"PTO",'Time Off Log'!$E$5:$E$504,"Approved",'Time Off Log'!$C$5:$C$504,"&gt;="&amp;INDEX(Periods!$E$5:$E$57,$B797),'Time Off Log'!$C$5:$C$504,"&lt;="&amp;INDEX(Periods!$F$5:$F$57,$B797)))</f>
        <v/>
      </c>
      <c r="M797" s="48">
        <f>IF($B797=1,N(INDEX(Employees!$N$5:$N$29,$A797)),P796)</f>
        <v/>
      </c>
      <c r="N797" s="48">
        <f>IF(INDEX(Employees!$L$5:$L$29,$A797)="",K797,MAX(0,MIN(K797,INDEX(Employees!$L$5:$L$29,$A797)-(M797-L797))))</f>
        <v/>
      </c>
      <c r="O797" s="48">
        <f>K797-N797</f>
        <v/>
      </c>
      <c r="P797" s="48">
        <f>M797-L797+N797</f>
        <v/>
      </c>
      <c r="Q797" s="48">
        <f>IF($G797=0,0,IF(INDEX(Employees!$P$5:$P$29,$A797)="Per pay period",(N(INDEX(Employees!$Q$5:$Q$29,$A797)))/Settings!$B$13,IF(INDEX(Employees!$P$5:$P$29,$A797)="Per hour worked",N(INDEX(Employees!$R$5:$R$29,$A797))*$I797,IF(INDEX(Employees!$P$5:$P$29,$A797)="Front-loaded",IF(OR($B797=1,N($G796)=0),N(INDEX(Employees!$Q$5:$Q$29,$A797)),0),0))))</f>
        <v/>
      </c>
      <c r="R797" s="48">
        <f>IF($F797=0,0,SUMIFS('Time Off Log'!$H$5:$H$504,'Time Off Log'!$A$5:$A$504,$C797,'Time Off Log'!$B$5:$B$504,"Sick",'Time Off Log'!$E$5:$E$504,"Approved",'Time Off Log'!$C$5:$C$504,"&gt;="&amp;INDEX(Periods!$E$5:$E$57,$B797),'Time Off Log'!$C$5:$C$504,"&lt;="&amp;INDEX(Periods!$F$5:$F$57,$B797)))</f>
        <v/>
      </c>
      <c r="S797" s="48">
        <f>IF($B797=1,N(INDEX(Employees!$T$5:$T$29,$A797)),V796)</f>
        <v/>
      </c>
      <c r="T797" s="48">
        <f>IF(INDEX(Employees!$S$5:$S$29,$A797)="",Q797,MAX(0,MIN(Q797,INDEX(Employees!$S$5:$S$29,$A797)-(S797-R797))))</f>
        <v/>
      </c>
      <c r="U797" s="48">
        <f>Q797-T797</f>
        <v/>
      </c>
      <c r="V797" s="48">
        <f>S797-R797+T797</f>
        <v/>
      </c>
    </row>
    <row r="798">
      <c r="A798" s="47" t="n">
        <v>15</v>
      </c>
      <c r="B798" s="47" t="n">
        <v>52</v>
      </c>
      <c r="C798" s="48">
        <f>INDEX(Employees!$B$5:$B$29,$A798)&amp;""</f>
        <v/>
      </c>
      <c r="D798" s="49">
        <f>INDEX(Periods!$B$5:$B$57,$B798)</f>
        <v/>
      </c>
      <c r="E798" s="49">
        <f>INDEX(Periods!$C$5:$C$57,$B798)</f>
        <v/>
      </c>
      <c r="F798" s="47">
        <f>IF(AND($C798&lt;&gt;"",INDEX(Periods!$D$5:$D$57,$B798)=1),1,0)</f>
        <v/>
      </c>
      <c r="G798" s="47">
        <f>IF($F798=0,0,IF(AND(OR(INDEX(Employees!$D$5:$D$29,$A798)="",$E798&gt;=INDEX(Employees!$D$5:$D$29,$A798)+N(INDEX(Employees!$U$5:$U$29,$A798))),OR(INDEX(Employees!$E$5:$E$29,$A798)="",$D798&lt;=INDEX(Employees!$E$5:$E$29,$A798))),1,0))</f>
        <v/>
      </c>
      <c r="H798" s="47">
        <f>IF($G798=0,0,IF(INDEX(Employees!$D$5:$D$29,$A798)="",0,DATEDIF(INDEX(Employees!$D$5:$D$29,$A798),$E798,"y")))</f>
        <v/>
      </c>
      <c r="I798" s="48">
        <f>IF($G798=0,0,IF(INDEX('Hours Worked'!$D$5:$BD$29,$A798,$B798)="",N(INDEX(Employees!$H$5:$H$29,$A798)),INDEX('Hours Worked'!$D$5:$BD$29,$A798,$B798)))</f>
        <v/>
      </c>
      <c r="J798" s="48">
        <f>IF(OR($G798=0,INDEX(Employees!$O$5:$O$29,$A798)&lt;&gt;"Yes"),0,IF(COUNTIF(Settings!$D$4:$D$9,"&lt;="&amp;$H798)=0,0,INDEX(Settings!$E$4:$E$9,COUNTIF(Settings!$D$4:$D$9,"&lt;="&amp;$H798))))</f>
        <v/>
      </c>
      <c r="K798" s="48">
        <f>IF($G798=0,0,IF(INDEX(Employees!$I$5:$I$29,$A798)="Per pay period",(N(INDEX(Employees!$J$5:$J$29,$A798))+$J798)/Settings!$B$13,IF(INDEX(Employees!$I$5:$I$29,$A798)="Per hour worked",N(INDEX(Employees!$K$5:$K$29,$A798))*$I798,IF(INDEX(Employees!$I$5:$I$29,$A798)="Front-loaded",IF(OR($B798=1,N($G797)=0),N(INDEX(Employees!$J$5:$J$29,$A798))+$J798,0),0))))</f>
        <v/>
      </c>
      <c r="L798" s="48">
        <f>IF($F798=0,0,SUMIFS('Time Off Log'!$H$5:$H$504,'Time Off Log'!$A$5:$A$504,$C798,'Time Off Log'!$B$5:$B$504,"PTO",'Time Off Log'!$E$5:$E$504,"Approved",'Time Off Log'!$C$5:$C$504,"&gt;="&amp;INDEX(Periods!$E$5:$E$57,$B798),'Time Off Log'!$C$5:$C$504,"&lt;="&amp;INDEX(Periods!$F$5:$F$57,$B798)))</f>
        <v/>
      </c>
      <c r="M798" s="48">
        <f>IF($B798=1,N(INDEX(Employees!$N$5:$N$29,$A798)),P797)</f>
        <v/>
      </c>
      <c r="N798" s="48">
        <f>IF(INDEX(Employees!$L$5:$L$29,$A798)="",K798,MAX(0,MIN(K798,INDEX(Employees!$L$5:$L$29,$A798)-(M798-L798))))</f>
        <v/>
      </c>
      <c r="O798" s="48">
        <f>K798-N798</f>
        <v/>
      </c>
      <c r="P798" s="48">
        <f>M798-L798+N798</f>
        <v/>
      </c>
      <c r="Q798" s="48">
        <f>IF($G798=0,0,IF(INDEX(Employees!$P$5:$P$29,$A798)="Per pay period",(N(INDEX(Employees!$Q$5:$Q$29,$A798)))/Settings!$B$13,IF(INDEX(Employees!$P$5:$P$29,$A798)="Per hour worked",N(INDEX(Employees!$R$5:$R$29,$A798))*$I798,IF(INDEX(Employees!$P$5:$P$29,$A798)="Front-loaded",IF(OR($B798=1,N($G797)=0),N(INDEX(Employees!$Q$5:$Q$29,$A798)),0),0))))</f>
        <v/>
      </c>
      <c r="R798" s="48">
        <f>IF($F798=0,0,SUMIFS('Time Off Log'!$H$5:$H$504,'Time Off Log'!$A$5:$A$504,$C798,'Time Off Log'!$B$5:$B$504,"Sick",'Time Off Log'!$E$5:$E$504,"Approved",'Time Off Log'!$C$5:$C$504,"&gt;="&amp;INDEX(Periods!$E$5:$E$57,$B798),'Time Off Log'!$C$5:$C$504,"&lt;="&amp;INDEX(Periods!$F$5:$F$57,$B798)))</f>
        <v/>
      </c>
      <c r="S798" s="48">
        <f>IF($B798=1,N(INDEX(Employees!$T$5:$T$29,$A798)),V797)</f>
        <v/>
      </c>
      <c r="T798" s="48">
        <f>IF(INDEX(Employees!$S$5:$S$29,$A798)="",Q798,MAX(0,MIN(Q798,INDEX(Employees!$S$5:$S$29,$A798)-(S798-R798))))</f>
        <v/>
      </c>
      <c r="U798" s="48">
        <f>Q798-T798</f>
        <v/>
      </c>
      <c r="V798" s="48">
        <f>S798-R798+T798</f>
        <v/>
      </c>
    </row>
    <row r="799">
      <c r="A799" s="47" t="n">
        <v>15</v>
      </c>
      <c r="B799" s="47" t="n">
        <v>53</v>
      </c>
      <c r="C799" s="48">
        <f>INDEX(Employees!$B$5:$B$29,$A799)&amp;""</f>
        <v/>
      </c>
      <c r="D799" s="49">
        <f>INDEX(Periods!$B$5:$B$57,$B799)</f>
        <v/>
      </c>
      <c r="E799" s="49">
        <f>INDEX(Periods!$C$5:$C$57,$B799)</f>
        <v/>
      </c>
      <c r="F799" s="47">
        <f>IF(AND($C799&lt;&gt;"",INDEX(Periods!$D$5:$D$57,$B799)=1),1,0)</f>
        <v/>
      </c>
      <c r="G799" s="47">
        <f>IF($F799=0,0,IF(AND(OR(INDEX(Employees!$D$5:$D$29,$A799)="",$E799&gt;=INDEX(Employees!$D$5:$D$29,$A799)+N(INDEX(Employees!$U$5:$U$29,$A799))),OR(INDEX(Employees!$E$5:$E$29,$A799)="",$D799&lt;=INDEX(Employees!$E$5:$E$29,$A799))),1,0))</f>
        <v/>
      </c>
      <c r="H799" s="47">
        <f>IF($G799=0,0,IF(INDEX(Employees!$D$5:$D$29,$A799)="",0,DATEDIF(INDEX(Employees!$D$5:$D$29,$A799),$E799,"y")))</f>
        <v/>
      </c>
      <c r="I799" s="48">
        <f>IF($G799=0,0,IF(INDEX('Hours Worked'!$D$5:$BD$29,$A799,$B799)="",N(INDEX(Employees!$H$5:$H$29,$A799)),INDEX('Hours Worked'!$D$5:$BD$29,$A799,$B799)))</f>
        <v/>
      </c>
      <c r="J799" s="48">
        <f>IF(OR($G799=0,INDEX(Employees!$O$5:$O$29,$A799)&lt;&gt;"Yes"),0,IF(COUNTIF(Settings!$D$4:$D$9,"&lt;="&amp;$H799)=0,0,INDEX(Settings!$E$4:$E$9,COUNTIF(Settings!$D$4:$D$9,"&lt;="&amp;$H799))))</f>
        <v/>
      </c>
      <c r="K799" s="48">
        <f>IF($G799=0,0,IF(INDEX(Employees!$I$5:$I$29,$A799)="Per pay period",(N(INDEX(Employees!$J$5:$J$29,$A799))+$J799)/Settings!$B$13,IF(INDEX(Employees!$I$5:$I$29,$A799)="Per hour worked",N(INDEX(Employees!$K$5:$K$29,$A799))*$I799,IF(INDEX(Employees!$I$5:$I$29,$A799)="Front-loaded",IF(OR($B799=1,N($G798)=0),N(INDEX(Employees!$J$5:$J$29,$A799))+$J799,0),0))))</f>
        <v/>
      </c>
      <c r="L799" s="48">
        <f>IF($F799=0,0,SUMIFS('Time Off Log'!$H$5:$H$504,'Time Off Log'!$A$5:$A$504,$C799,'Time Off Log'!$B$5:$B$504,"PTO",'Time Off Log'!$E$5:$E$504,"Approved",'Time Off Log'!$C$5:$C$504,"&gt;="&amp;INDEX(Periods!$E$5:$E$57,$B799),'Time Off Log'!$C$5:$C$504,"&lt;="&amp;INDEX(Periods!$F$5:$F$57,$B799)))</f>
        <v/>
      </c>
      <c r="M799" s="48">
        <f>IF($B799=1,N(INDEX(Employees!$N$5:$N$29,$A799)),P798)</f>
        <v/>
      </c>
      <c r="N799" s="48">
        <f>IF(INDEX(Employees!$L$5:$L$29,$A799)="",K799,MAX(0,MIN(K799,INDEX(Employees!$L$5:$L$29,$A799)-(M799-L799))))</f>
        <v/>
      </c>
      <c r="O799" s="48">
        <f>K799-N799</f>
        <v/>
      </c>
      <c r="P799" s="48">
        <f>M799-L799+N799</f>
        <v/>
      </c>
      <c r="Q799" s="48">
        <f>IF($G799=0,0,IF(INDEX(Employees!$P$5:$P$29,$A799)="Per pay period",(N(INDEX(Employees!$Q$5:$Q$29,$A799)))/Settings!$B$13,IF(INDEX(Employees!$P$5:$P$29,$A799)="Per hour worked",N(INDEX(Employees!$R$5:$R$29,$A799))*$I799,IF(INDEX(Employees!$P$5:$P$29,$A799)="Front-loaded",IF(OR($B799=1,N($G798)=0),N(INDEX(Employees!$Q$5:$Q$29,$A799)),0),0))))</f>
        <v/>
      </c>
      <c r="R799" s="48">
        <f>IF($F799=0,0,SUMIFS('Time Off Log'!$H$5:$H$504,'Time Off Log'!$A$5:$A$504,$C799,'Time Off Log'!$B$5:$B$504,"Sick",'Time Off Log'!$E$5:$E$504,"Approved",'Time Off Log'!$C$5:$C$504,"&gt;="&amp;INDEX(Periods!$E$5:$E$57,$B799),'Time Off Log'!$C$5:$C$504,"&lt;="&amp;INDEX(Periods!$F$5:$F$57,$B799)))</f>
        <v/>
      </c>
      <c r="S799" s="48">
        <f>IF($B799=1,N(INDEX(Employees!$T$5:$T$29,$A799)),V798)</f>
        <v/>
      </c>
      <c r="T799" s="48">
        <f>IF(INDEX(Employees!$S$5:$S$29,$A799)="",Q799,MAX(0,MIN(Q799,INDEX(Employees!$S$5:$S$29,$A799)-(S799-R799))))</f>
        <v/>
      </c>
      <c r="U799" s="48">
        <f>Q799-T799</f>
        <v/>
      </c>
      <c r="V799" s="48">
        <f>S799-R799+T799</f>
        <v/>
      </c>
    </row>
    <row r="800">
      <c r="A800" s="50" t="n">
        <v>16</v>
      </c>
      <c r="B800" s="50" t="n">
        <v>1</v>
      </c>
      <c r="C800" s="51">
        <f>INDEX(Employees!$B$5:$B$29,$A800)&amp;""</f>
        <v/>
      </c>
      <c r="D800" s="52">
        <f>INDEX(Periods!$B$5:$B$57,$B800)</f>
        <v/>
      </c>
      <c r="E800" s="52">
        <f>INDEX(Periods!$C$5:$C$57,$B800)</f>
        <v/>
      </c>
      <c r="F800" s="50">
        <f>IF(AND($C800&lt;&gt;"",INDEX(Periods!$D$5:$D$57,$B800)=1),1,0)</f>
        <v/>
      </c>
      <c r="G800" s="50">
        <f>IF($F800=0,0,IF(AND(OR(INDEX(Employees!$D$5:$D$29,$A800)="",$E800&gt;=INDEX(Employees!$D$5:$D$29,$A800)+N(INDEX(Employees!$U$5:$U$29,$A800))),OR(INDEX(Employees!$E$5:$E$29,$A800)="",$D800&lt;=INDEX(Employees!$E$5:$E$29,$A800))),1,0))</f>
        <v/>
      </c>
      <c r="H800" s="50">
        <f>IF($G800=0,0,IF(INDEX(Employees!$D$5:$D$29,$A800)="",0,DATEDIF(INDEX(Employees!$D$5:$D$29,$A800),$E800,"y")))</f>
        <v/>
      </c>
      <c r="I800" s="51">
        <f>IF($G800=0,0,IF(INDEX('Hours Worked'!$D$5:$BD$29,$A800,$B800)="",N(INDEX(Employees!$H$5:$H$29,$A800)),INDEX('Hours Worked'!$D$5:$BD$29,$A800,$B800)))</f>
        <v/>
      </c>
      <c r="J800" s="51">
        <f>IF(OR($G800=0,INDEX(Employees!$O$5:$O$29,$A800)&lt;&gt;"Yes"),0,IF(COUNTIF(Settings!$D$4:$D$9,"&lt;="&amp;$H800)=0,0,INDEX(Settings!$E$4:$E$9,COUNTIF(Settings!$D$4:$D$9,"&lt;="&amp;$H800))))</f>
        <v/>
      </c>
      <c r="K800" s="51">
        <f>IF($G800=0,0,IF(INDEX(Employees!$I$5:$I$29,$A800)="Per pay period",(N(INDEX(Employees!$J$5:$J$29,$A800))+$J800)/Settings!$B$13,IF(INDEX(Employees!$I$5:$I$29,$A800)="Per hour worked",N(INDEX(Employees!$K$5:$K$29,$A800))*$I800,IF(INDEX(Employees!$I$5:$I$29,$A800)="Front-loaded",IF(OR($B800=1,N($G799)=0),N(INDEX(Employees!$J$5:$J$29,$A800))+$J800,0),0))))</f>
        <v/>
      </c>
      <c r="L800" s="51">
        <f>IF($F800=0,0,SUMIFS('Time Off Log'!$H$5:$H$504,'Time Off Log'!$A$5:$A$504,$C800,'Time Off Log'!$B$5:$B$504,"PTO",'Time Off Log'!$E$5:$E$504,"Approved",'Time Off Log'!$C$5:$C$504,"&gt;="&amp;INDEX(Periods!$E$5:$E$57,$B800),'Time Off Log'!$C$5:$C$504,"&lt;="&amp;INDEX(Periods!$F$5:$F$57,$B800)))</f>
        <v/>
      </c>
      <c r="M800" s="51">
        <f>N(INDEX(Employees!$N$5:$N$29,$A800))</f>
        <v/>
      </c>
      <c r="N800" s="51">
        <f>IF(INDEX(Employees!$L$5:$L$29,$A800)="",K800,MAX(0,MIN(K800,INDEX(Employees!$L$5:$L$29,$A800)-(M800-L800))))</f>
        <v/>
      </c>
      <c r="O800" s="51">
        <f>K800-N800</f>
        <v/>
      </c>
      <c r="P800" s="51">
        <f>M800-L800+N800</f>
        <v/>
      </c>
      <c r="Q800" s="51">
        <f>IF($G800=0,0,IF(INDEX(Employees!$P$5:$P$29,$A800)="Per pay period",(N(INDEX(Employees!$Q$5:$Q$29,$A800)))/Settings!$B$13,IF(INDEX(Employees!$P$5:$P$29,$A800)="Per hour worked",N(INDEX(Employees!$R$5:$R$29,$A800))*$I800,IF(INDEX(Employees!$P$5:$P$29,$A800)="Front-loaded",IF(OR($B800=1,N($G799)=0),N(INDEX(Employees!$Q$5:$Q$29,$A800)),0),0))))</f>
        <v/>
      </c>
      <c r="R800" s="51">
        <f>IF($F800=0,0,SUMIFS('Time Off Log'!$H$5:$H$504,'Time Off Log'!$A$5:$A$504,$C800,'Time Off Log'!$B$5:$B$504,"Sick",'Time Off Log'!$E$5:$E$504,"Approved",'Time Off Log'!$C$5:$C$504,"&gt;="&amp;INDEX(Periods!$E$5:$E$57,$B800),'Time Off Log'!$C$5:$C$504,"&lt;="&amp;INDEX(Periods!$F$5:$F$57,$B800)))</f>
        <v/>
      </c>
      <c r="S800" s="51">
        <f>N(INDEX(Employees!$T$5:$T$29,$A800))</f>
        <v/>
      </c>
      <c r="T800" s="51">
        <f>IF(INDEX(Employees!$S$5:$S$29,$A800)="",Q800,MAX(0,MIN(Q800,INDEX(Employees!$S$5:$S$29,$A800)-(S800-R800))))</f>
        <v/>
      </c>
      <c r="U800" s="51">
        <f>Q800-T800</f>
        <v/>
      </c>
      <c r="V800" s="51">
        <f>S800-R800+T800</f>
        <v/>
      </c>
    </row>
    <row r="801">
      <c r="A801" s="50" t="n">
        <v>16</v>
      </c>
      <c r="B801" s="50" t="n">
        <v>2</v>
      </c>
      <c r="C801" s="51">
        <f>INDEX(Employees!$B$5:$B$29,$A801)&amp;""</f>
        <v/>
      </c>
      <c r="D801" s="52">
        <f>INDEX(Periods!$B$5:$B$57,$B801)</f>
        <v/>
      </c>
      <c r="E801" s="52">
        <f>INDEX(Periods!$C$5:$C$57,$B801)</f>
        <v/>
      </c>
      <c r="F801" s="50">
        <f>IF(AND($C801&lt;&gt;"",INDEX(Periods!$D$5:$D$57,$B801)=1),1,0)</f>
        <v/>
      </c>
      <c r="G801" s="50">
        <f>IF($F801=0,0,IF(AND(OR(INDEX(Employees!$D$5:$D$29,$A801)="",$E801&gt;=INDEX(Employees!$D$5:$D$29,$A801)+N(INDEX(Employees!$U$5:$U$29,$A801))),OR(INDEX(Employees!$E$5:$E$29,$A801)="",$D801&lt;=INDEX(Employees!$E$5:$E$29,$A801))),1,0))</f>
        <v/>
      </c>
      <c r="H801" s="50">
        <f>IF($G801=0,0,IF(INDEX(Employees!$D$5:$D$29,$A801)="",0,DATEDIF(INDEX(Employees!$D$5:$D$29,$A801),$E801,"y")))</f>
        <v/>
      </c>
      <c r="I801" s="51">
        <f>IF($G801=0,0,IF(INDEX('Hours Worked'!$D$5:$BD$29,$A801,$B801)="",N(INDEX(Employees!$H$5:$H$29,$A801)),INDEX('Hours Worked'!$D$5:$BD$29,$A801,$B801)))</f>
        <v/>
      </c>
      <c r="J801" s="51">
        <f>IF(OR($G801=0,INDEX(Employees!$O$5:$O$29,$A801)&lt;&gt;"Yes"),0,IF(COUNTIF(Settings!$D$4:$D$9,"&lt;="&amp;$H801)=0,0,INDEX(Settings!$E$4:$E$9,COUNTIF(Settings!$D$4:$D$9,"&lt;="&amp;$H801))))</f>
        <v/>
      </c>
      <c r="K801" s="51">
        <f>IF($G801=0,0,IF(INDEX(Employees!$I$5:$I$29,$A801)="Per pay period",(N(INDEX(Employees!$J$5:$J$29,$A801))+$J801)/Settings!$B$13,IF(INDEX(Employees!$I$5:$I$29,$A801)="Per hour worked",N(INDEX(Employees!$K$5:$K$29,$A801))*$I801,IF(INDEX(Employees!$I$5:$I$29,$A801)="Front-loaded",IF(OR($B801=1,N($G800)=0),N(INDEX(Employees!$J$5:$J$29,$A801))+$J801,0),0))))</f>
        <v/>
      </c>
      <c r="L801" s="51">
        <f>IF($F801=0,0,SUMIFS('Time Off Log'!$H$5:$H$504,'Time Off Log'!$A$5:$A$504,$C801,'Time Off Log'!$B$5:$B$504,"PTO",'Time Off Log'!$E$5:$E$504,"Approved",'Time Off Log'!$C$5:$C$504,"&gt;="&amp;INDEX(Periods!$E$5:$E$57,$B801),'Time Off Log'!$C$5:$C$504,"&lt;="&amp;INDEX(Periods!$F$5:$F$57,$B801)))</f>
        <v/>
      </c>
      <c r="M801" s="51">
        <f>IF($B801=1,N(INDEX(Employees!$N$5:$N$29,$A801)),P800)</f>
        <v/>
      </c>
      <c r="N801" s="51">
        <f>IF(INDEX(Employees!$L$5:$L$29,$A801)="",K801,MAX(0,MIN(K801,INDEX(Employees!$L$5:$L$29,$A801)-(M801-L801))))</f>
        <v/>
      </c>
      <c r="O801" s="51">
        <f>K801-N801</f>
        <v/>
      </c>
      <c r="P801" s="51">
        <f>M801-L801+N801</f>
        <v/>
      </c>
      <c r="Q801" s="51">
        <f>IF($G801=0,0,IF(INDEX(Employees!$P$5:$P$29,$A801)="Per pay period",(N(INDEX(Employees!$Q$5:$Q$29,$A801)))/Settings!$B$13,IF(INDEX(Employees!$P$5:$P$29,$A801)="Per hour worked",N(INDEX(Employees!$R$5:$R$29,$A801))*$I801,IF(INDEX(Employees!$P$5:$P$29,$A801)="Front-loaded",IF(OR($B801=1,N($G800)=0),N(INDEX(Employees!$Q$5:$Q$29,$A801)),0),0))))</f>
        <v/>
      </c>
      <c r="R801" s="51">
        <f>IF($F801=0,0,SUMIFS('Time Off Log'!$H$5:$H$504,'Time Off Log'!$A$5:$A$504,$C801,'Time Off Log'!$B$5:$B$504,"Sick",'Time Off Log'!$E$5:$E$504,"Approved",'Time Off Log'!$C$5:$C$504,"&gt;="&amp;INDEX(Periods!$E$5:$E$57,$B801),'Time Off Log'!$C$5:$C$504,"&lt;="&amp;INDEX(Periods!$F$5:$F$57,$B801)))</f>
        <v/>
      </c>
      <c r="S801" s="51">
        <f>IF($B801=1,N(INDEX(Employees!$T$5:$T$29,$A801)),V800)</f>
        <v/>
      </c>
      <c r="T801" s="51">
        <f>IF(INDEX(Employees!$S$5:$S$29,$A801)="",Q801,MAX(0,MIN(Q801,INDEX(Employees!$S$5:$S$29,$A801)-(S801-R801))))</f>
        <v/>
      </c>
      <c r="U801" s="51">
        <f>Q801-T801</f>
        <v/>
      </c>
      <c r="V801" s="51">
        <f>S801-R801+T801</f>
        <v/>
      </c>
    </row>
    <row r="802">
      <c r="A802" s="50" t="n">
        <v>16</v>
      </c>
      <c r="B802" s="50" t="n">
        <v>3</v>
      </c>
      <c r="C802" s="51">
        <f>INDEX(Employees!$B$5:$B$29,$A802)&amp;""</f>
        <v/>
      </c>
      <c r="D802" s="52">
        <f>INDEX(Periods!$B$5:$B$57,$B802)</f>
        <v/>
      </c>
      <c r="E802" s="52">
        <f>INDEX(Periods!$C$5:$C$57,$B802)</f>
        <v/>
      </c>
      <c r="F802" s="50">
        <f>IF(AND($C802&lt;&gt;"",INDEX(Periods!$D$5:$D$57,$B802)=1),1,0)</f>
        <v/>
      </c>
      <c r="G802" s="50">
        <f>IF($F802=0,0,IF(AND(OR(INDEX(Employees!$D$5:$D$29,$A802)="",$E802&gt;=INDEX(Employees!$D$5:$D$29,$A802)+N(INDEX(Employees!$U$5:$U$29,$A802))),OR(INDEX(Employees!$E$5:$E$29,$A802)="",$D802&lt;=INDEX(Employees!$E$5:$E$29,$A802))),1,0))</f>
        <v/>
      </c>
      <c r="H802" s="50">
        <f>IF($G802=0,0,IF(INDEX(Employees!$D$5:$D$29,$A802)="",0,DATEDIF(INDEX(Employees!$D$5:$D$29,$A802),$E802,"y")))</f>
        <v/>
      </c>
      <c r="I802" s="51">
        <f>IF($G802=0,0,IF(INDEX('Hours Worked'!$D$5:$BD$29,$A802,$B802)="",N(INDEX(Employees!$H$5:$H$29,$A802)),INDEX('Hours Worked'!$D$5:$BD$29,$A802,$B802)))</f>
        <v/>
      </c>
      <c r="J802" s="51">
        <f>IF(OR($G802=0,INDEX(Employees!$O$5:$O$29,$A802)&lt;&gt;"Yes"),0,IF(COUNTIF(Settings!$D$4:$D$9,"&lt;="&amp;$H802)=0,0,INDEX(Settings!$E$4:$E$9,COUNTIF(Settings!$D$4:$D$9,"&lt;="&amp;$H802))))</f>
        <v/>
      </c>
      <c r="K802" s="51">
        <f>IF($G802=0,0,IF(INDEX(Employees!$I$5:$I$29,$A802)="Per pay period",(N(INDEX(Employees!$J$5:$J$29,$A802))+$J802)/Settings!$B$13,IF(INDEX(Employees!$I$5:$I$29,$A802)="Per hour worked",N(INDEX(Employees!$K$5:$K$29,$A802))*$I802,IF(INDEX(Employees!$I$5:$I$29,$A802)="Front-loaded",IF(OR($B802=1,N($G801)=0),N(INDEX(Employees!$J$5:$J$29,$A802))+$J802,0),0))))</f>
        <v/>
      </c>
      <c r="L802" s="51">
        <f>IF($F802=0,0,SUMIFS('Time Off Log'!$H$5:$H$504,'Time Off Log'!$A$5:$A$504,$C802,'Time Off Log'!$B$5:$B$504,"PTO",'Time Off Log'!$E$5:$E$504,"Approved",'Time Off Log'!$C$5:$C$504,"&gt;="&amp;INDEX(Periods!$E$5:$E$57,$B802),'Time Off Log'!$C$5:$C$504,"&lt;="&amp;INDEX(Periods!$F$5:$F$57,$B802)))</f>
        <v/>
      </c>
      <c r="M802" s="51">
        <f>IF($B802=1,N(INDEX(Employees!$N$5:$N$29,$A802)),P801)</f>
        <v/>
      </c>
      <c r="N802" s="51">
        <f>IF(INDEX(Employees!$L$5:$L$29,$A802)="",K802,MAX(0,MIN(K802,INDEX(Employees!$L$5:$L$29,$A802)-(M802-L802))))</f>
        <v/>
      </c>
      <c r="O802" s="51">
        <f>K802-N802</f>
        <v/>
      </c>
      <c r="P802" s="51">
        <f>M802-L802+N802</f>
        <v/>
      </c>
      <c r="Q802" s="51">
        <f>IF($G802=0,0,IF(INDEX(Employees!$P$5:$P$29,$A802)="Per pay period",(N(INDEX(Employees!$Q$5:$Q$29,$A802)))/Settings!$B$13,IF(INDEX(Employees!$P$5:$P$29,$A802)="Per hour worked",N(INDEX(Employees!$R$5:$R$29,$A802))*$I802,IF(INDEX(Employees!$P$5:$P$29,$A802)="Front-loaded",IF(OR($B802=1,N($G801)=0),N(INDEX(Employees!$Q$5:$Q$29,$A802)),0),0))))</f>
        <v/>
      </c>
      <c r="R802" s="51">
        <f>IF($F802=0,0,SUMIFS('Time Off Log'!$H$5:$H$504,'Time Off Log'!$A$5:$A$504,$C802,'Time Off Log'!$B$5:$B$504,"Sick",'Time Off Log'!$E$5:$E$504,"Approved",'Time Off Log'!$C$5:$C$504,"&gt;="&amp;INDEX(Periods!$E$5:$E$57,$B802),'Time Off Log'!$C$5:$C$504,"&lt;="&amp;INDEX(Periods!$F$5:$F$57,$B802)))</f>
        <v/>
      </c>
      <c r="S802" s="51">
        <f>IF($B802=1,N(INDEX(Employees!$T$5:$T$29,$A802)),V801)</f>
        <v/>
      </c>
      <c r="T802" s="51">
        <f>IF(INDEX(Employees!$S$5:$S$29,$A802)="",Q802,MAX(0,MIN(Q802,INDEX(Employees!$S$5:$S$29,$A802)-(S802-R802))))</f>
        <v/>
      </c>
      <c r="U802" s="51">
        <f>Q802-T802</f>
        <v/>
      </c>
      <c r="V802" s="51">
        <f>S802-R802+T802</f>
        <v/>
      </c>
    </row>
    <row r="803">
      <c r="A803" s="50" t="n">
        <v>16</v>
      </c>
      <c r="B803" s="50" t="n">
        <v>4</v>
      </c>
      <c r="C803" s="51">
        <f>INDEX(Employees!$B$5:$B$29,$A803)&amp;""</f>
        <v/>
      </c>
      <c r="D803" s="52">
        <f>INDEX(Periods!$B$5:$B$57,$B803)</f>
        <v/>
      </c>
      <c r="E803" s="52">
        <f>INDEX(Periods!$C$5:$C$57,$B803)</f>
        <v/>
      </c>
      <c r="F803" s="50">
        <f>IF(AND($C803&lt;&gt;"",INDEX(Periods!$D$5:$D$57,$B803)=1),1,0)</f>
        <v/>
      </c>
      <c r="G803" s="50">
        <f>IF($F803=0,0,IF(AND(OR(INDEX(Employees!$D$5:$D$29,$A803)="",$E803&gt;=INDEX(Employees!$D$5:$D$29,$A803)+N(INDEX(Employees!$U$5:$U$29,$A803))),OR(INDEX(Employees!$E$5:$E$29,$A803)="",$D803&lt;=INDEX(Employees!$E$5:$E$29,$A803))),1,0))</f>
        <v/>
      </c>
      <c r="H803" s="50">
        <f>IF($G803=0,0,IF(INDEX(Employees!$D$5:$D$29,$A803)="",0,DATEDIF(INDEX(Employees!$D$5:$D$29,$A803),$E803,"y")))</f>
        <v/>
      </c>
      <c r="I803" s="51">
        <f>IF($G803=0,0,IF(INDEX('Hours Worked'!$D$5:$BD$29,$A803,$B803)="",N(INDEX(Employees!$H$5:$H$29,$A803)),INDEX('Hours Worked'!$D$5:$BD$29,$A803,$B803)))</f>
        <v/>
      </c>
      <c r="J803" s="51">
        <f>IF(OR($G803=0,INDEX(Employees!$O$5:$O$29,$A803)&lt;&gt;"Yes"),0,IF(COUNTIF(Settings!$D$4:$D$9,"&lt;="&amp;$H803)=0,0,INDEX(Settings!$E$4:$E$9,COUNTIF(Settings!$D$4:$D$9,"&lt;="&amp;$H803))))</f>
        <v/>
      </c>
      <c r="K803" s="51">
        <f>IF($G803=0,0,IF(INDEX(Employees!$I$5:$I$29,$A803)="Per pay period",(N(INDEX(Employees!$J$5:$J$29,$A803))+$J803)/Settings!$B$13,IF(INDEX(Employees!$I$5:$I$29,$A803)="Per hour worked",N(INDEX(Employees!$K$5:$K$29,$A803))*$I803,IF(INDEX(Employees!$I$5:$I$29,$A803)="Front-loaded",IF(OR($B803=1,N($G802)=0),N(INDEX(Employees!$J$5:$J$29,$A803))+$J803,0),0))))</f>
        <v/>
      </c>
      <c r="L803" s="51">
        <f>IF($F803=0,0,SUMIFS('Time Off Log'!$H$5:$H$504,'Time Off Log'!$A$5:$A$504,$C803,'Time Off Log'!$B$5:$B$504,"PTO",'Time Off Log'!$E$5:$E$504,"Approved",'Time Off Log'!$C$5:$C$504,"&gt;="&amp;INDEX(Periods!$E$5:$E$57,$B803),'Time Off Log'!$C$5:$C$504,"&lt;="&amp;INDEX(Periods!$F$5:$F$57,$B803)))</f>
        <v/>
      </c>
      <c r="M803" s="51">
        <f>IF($B803=1,N(INDEX(Employees!$N$5:$N$29,$A803)),P802)</f>
        <v/>
      </c>
      <c r="N803" s="51">
        <f>IF(INDEX(Employees!$L$5:$L$29,$A803)="",K803,MAX(0,MIN(K803,INDEX(Employees!$L$5:$L$29,$A803)-(M803-L803))))</f>
        <v/>
      </c>
      <c r="O803" s="51">
        <f>K803-N803</f>
        <v/>
      </c>
      <c r="P803" s="51">
        <f>M803-L803+N803</f>
        <v/>
      </c>
      <c r="Q803" s="51">
        <f>IF($G803=0,0,IF(INDEX(Employees!$P$5:$P$29,$A803)="Per pay period",(N(INDEX(Employees!$Q$5:$Q$29,$A803)))/Settings!$B$13,IF(INDEX(Employees!$P$5:$P$29,$A803)="Per hour worked",N(INDEX(Employees!$R$5:$R$29,$A803))*$I803,IF(INDEX(Employees!$P$5:$P$29,$A803)="Front-loaded",IF(OR($B803=1,N($G802)=0),N(INDEX(Employees!$Q$5:$Q$29,$A803)),0),0))))</f>
        <v/>
      </c>
      <c r="R803" s="51">
        <f>IF($F803=0,0,SUMIFS('Time Off Log'!$H$5:$H$504,'Time Off Log'!$A$5:$A$504,$C803,'Time Off Log'!$B$5:$B$504,"Sick",'Time Off Log'!$E$5:$E$504,"Approved",'Time Off Log'!$C$5:$C$504,"&gt;="&amp;INDEX(Periods!$E$5:$E$57,$B803),'Time Off Log'!$C$5:$C$504,"&lt;="&amp;INDEX(Periods!$F$5:$F$57,$B803)))</f>
        <v/>
      </c>
      <c r="S803" s="51">
        <f>IF($B803=1,N(INDEX(Employees!$T$5:$T$29,$A803)),V802)</f>
        <v/>
      </c>
      <c r="T803" s="51">
        <f>IF(INDEX(Employees!$S$5:$S$29,$A803)="",Q803,MAX(0,MIN(Q803,INDEX(Employees!$S$5:$S$29,$A803)-(S803-R803))))</f>
        <v/>
      </c>
      <c r="U803" s="51">
        <f>Q803-T803</f>
        <v/>
      </c>
      <c r="V803" s="51">
        <f>S803-R803+T803</f>
        <v/>
      </c>
    </row>
    <row r="804">
      <c r="A804" s="50" t="n">
        <v>16</v>
      </c>
      <c r="B804" s="50" t="n">
        <v>5</v>
      </c>
      <c r="C804" s="51">
        <f>INDEX(Employees!$B$5:$B$29,$A804)&amp;""</f>
        <v/>
      </c>
      <c r="D804" s="52">
        <f>INDEX(Periods!$B$5:$B$57,$B804)</f>
        <v/>
      </c>
      <c r="E804" s="52">
        <f>INDEX(Periods!$C$5:$C$57,$B804)</f>
        <v/>
      </c>
      <c r="F804" s="50">
        <f>IF(AND($C804&lt;&gt;"",INDEX(Periods!$D$5:$D$57,$B804)=1),1,0)</f>
        <v/>
      </c>
      <c r="G804" s="50">
        <f>IF($F804=0,0,IF(AND(OR(INDEX(Employees!$D$5:$D$29,$A804)="",$E804&gt;=INDEX(Employees!$D$5:$D$29,$A804)+N(INDEX(Employees!$U$5:$U$29,$A804))),OR(INDEX(Employees!$E$5:$E$29,$A804)="",$D804&lt;=INDEX(Employees!$E$5:$E$29,$A804))),1,0))</f>
        <v/>
      </c>
      <c r="H804" s="50">
        <f>IF($G804=0,0,IF(INDEX(Employees!$D$5:$D$29,$A804)="",0,DATEDIF(INDEX(Employees!$D$5:$D$29,$A804),$E804,"y")))</f>
        <v/>
      </c>
      <c r="I804" s="51">
        <f>IF($G804=0,0,IF(INDEX('Hours Worked'!$D$5:$BD$29,$A804,$B804)="",N(INDEX(Employees!$H$5:$H$29,$A804)),INDEX('Hours Worked'!$D$5:$BD$29,$A804,$B804)))</f>
        <v/>
      </c>
      <c r="J804" s="51">
        <f>IF(OR($G804=0,INDEX(Employees!$O$5:$O$29,$A804)&lt;&gt;"Yes"),0,IF(COUNTIF(Settings!$D$4:$D$9,"&lt;="&amp;$H804)=0,0,INDEX(Settings!$E$4:$E$9,COUNTIF(Settings!$D$4:$D$9,"&lt;="&amp;$H804))))</f>
        <v/>
      </c>
      <c r="K804" s="51">
        <f>IF($G804=0,0,IF(INDEX(Employees!$I$5:$I$29,$A804)="Per pay period",(N(INDEX(Employees!$J$5:$J$29,$A804))+$J804)/Settings!$B$13,IF(INDEX(Employees!$I$5:$I$29,$A804)="Per hour worked",N(INDEX(Employees!$K$5:$K$29,$A804))*$I804,IF(INDEX(Employees!$I$5:$I$29,$A804)="Front-loaded",IF(OR($B804=1,N($G803)=0),N(INDEX(Employees!$J$5:$J$29,$A804))+$J804,0),0))))</f>
        <v/>
      </c>
      <c r="L804" s="51">
        <f>IF($F804=0,0,SUMIFS('Time Off Log'!$H$5:$H$504,'Time Off Log'!$A$5:$A$504,$C804,'Time Off Log'!$B$5:$B$504,"PTO",'Time Off Log'!$E$5:$E$504,"Approved",'Time Off Log'!$C$5:$C$504,"&gt;="&amp;INDEX(Periods!$E$5:$E$57,$B804),'Time Off Log'!$C$5:$C$504,"&lt;="&amp;INDEX(Periods!$F$5:$F$57,$B804)))</f>
        <v/>
      </c>
      <c r="M804" s="51">
        <f>IF($B804=1,N(INDEX(Employees!$N$5:$N$29,$A804)),P803)</f>
        <v/>
      </c>
      <c r="N804" s="51">
        <f>IF(INDEX(Employees!$L$5:$L$29,$A804)="",K804,MAX(0,MIN(K804,INDEX(Employees!$L$5:$L$29,$A804)-(M804-L804))))</f>
        <v/>
      </c>
      <c r="O804" s="51">
        <f>K804-N804</f>
        <v/>
      </c>
      <c r="P804" s="51">
        <f>M804-L804+N804</f>
        <v/>
      </c>
      <c r="Q804" s="51">
        <f>IF($G804=0,0,IF(INDEX(Employees!$P$5:$P$29,$A804)="Per pay period",(N(INDEX(Employees!$Q$5:$Q$29,$A804)))/Settings!$B$13,IF(INDEX(Employees!$P$5:$P$29,$A804)="Per hour worked",N(INDEX(Employees!$R$5:$R$29,$A804))*$I804,IF(INDEX(Employees!$P$5:$P$29,$A804)="Front-loaded",IF(OR($B804=1,N($G803)=0),N(INDEX(Employees!$Q$5:$Q$29,$A804)),0),0))))</f>
        <v/>
      </c>
      <c r="R804" s="51">
        <f>IF($F804=0,0,SUMIFS('Time Off Log'!$H$5:$H$504,'Time Off Log'!$A$5:$A$504,$C804,'Time Off Log'!$B$5:$B$504,"Sick",'Time Off Log'!$E$5:$E$504,"Approved",'Time Off Log'!$C$5:$C$504,"&gt;="&amp;INDEX(Periods!$E$5:$E$57,$B804),'Time Off Log'!$C$5:$C$504,"&lt;="&amp;INDEX(Periods!$F$5:$F$57,$B804)))</f>
        <v/>
      </c>
      <c r="S804" s="51">
        <f>IF($B804=1,N(INDEX(Employees!$T$5:$T$29,$A804)),V803)</f>
        <v/>
      </c>
      <c r="T804" s="51">
        <f>IF(INDEX(Employees!$S$5:$S$29,$A804)="",Q804,MAX(0,MIN(Q804,INDEX(Employees!$S$5:$S$29,$A804)-(S804-R804))))</f>
        <v/>
      </c>
      <c r="U804" s="51">
        <f>Q804-T804</f>
        <v/>
      </c>
      <c r="V804" s="51">
        <f>S804-R804+T804</f>
        <v/>
      </c>
    </row>
    <row r="805">
      <c r="A805" s="50" t="n">
        <v>16</v>
      </c>
      <c r="B805" s="50" t="n">
        <v>6</v>
      </c>
      <c r="C805" s="51">
        <f>INDEX(Employees!$B$5:$B$29,$A805)&amp;""</f>
        <v/>
      </c>
      <c r="D805" s="52">
        <f>INDEX(Periods!$B$5:$B$57,$B805)</f>
        <v/>
      </c>
      <c r="E805" s="52">
        <f>INDEX(Periods!$C$5:$C$57,$B805)</f>
        <v/>
      </c>
      <c r="F805" s="50">
        <f>IF(AND($C805&lt;&gt;"",INDEX(Periods!$D$5:$D$57,$B805)=1),1,0)</f>
        <v/>
      </c>
      <c r="G805" s="50">
        <f>IF($F805=0,0,IF(AND(OR(INDEX(Employees!$D$5:$D$29,$A805)="",$E805&gt;=INDEX(Employees!$D$5:$D$29,$A805)+N(INDEX(Employees!$U$5:$U$29,$A805))),OR(INDEX(Employees!$E$5:$E$29,$A805)="",$D805&lt;=INDEX(Employees!$E$5:$E$29,$A805))),1,0))</f>
        <v/>
      </c>
      <c r="H805" s="50">
        <f>IF($G805=0,0,IF(INDEX(Employees!$D$5:$D$29,$A805)="",0,DATEDIF(INDEX(Employees!$D$5:$D$29,$A805),$E805,"y")))</f>
        <v/>
      </c>
      <c r="I805" s="51">
        <f>IF($G805=0,0,IF(INDEX('Hours Worked'!$D$5:$BD$29,$A805,$B805)="",N(INDEX(Employees!$H$5:$H$29,$A805)),INDEX('Hours Worked'!$D$5:$BD$29,$A805,$B805)))</f>
        <v/>
      </c>
      <c r="J805" s="51">
        <f>IF(OR($G805=0,INDEX(Employees!$O$5:$O$29,$A805)&lt;&gt;"Yes"),0,IF(COUNTIF(Settings!$D$4:$D$9,"&lt;="&amp;$H805)=0,0,INDEX(Settings!$E$4:$E$9,COUNTIF(Settings!$D$4:$D$9,"&lt;="&amp;$H805))))</f>
        <v/>
      </c>
      <c r="K805" s="51">
        <f>IF($G805=0,0,IF(INDEX(Employees!$I$5:$I$29,$A805)="Per pay period",(N(INDEX(Employees!$J$5:$J$29,$A805))+$J805)/Settings!$B$13,IF(INDEX(Employees!$I$5:$I$29,$A805)="Per hour worked",N(INDEX(Employees!$K$5:$K$29,$A805))*$I805,IF(INDEX(Employees!$I$5:$I$29,$A805)="Front-loaded",IF(OR($B805=1,N($G804)=0),N(INDEX(Employees!$J$5:$J$29,$A805))+$J805,0),0))))</f>
        <v/>
      </c>
      <c r="L805" s="51">
        <f>IF($F805=0,0,SUMIFS('Time Off Log'!$H$5:$H$504,'Time Off Log'!$A$5:$A$504,$C805,'Time Off Log'!$B$5:$B$504,"PTO",'Time Off Log'!$E$5:$E$504,"Approved",'Time Off Log'!$C$5:$C$504,"&gt;="&amp;INDEX(Periods!$E$5:$E$57,$B805),'Time Off Log'!$C$5:$C$504,"&lt;="&amp;INDEX(Periods!$F$5:$F$57,$B805)))</f>
        <v/>
      </c>
      <c r="M805" s="51">
        <f>IF($B805=1,N(INDEX(Employees!$N$5:$N$29,$A805)),P804)</f>
        <v/>
      </c>
      <c r="N805" s="51">
        <f>IF(INDEX(Employees!$L$5:$L$29,$A805)="",K805,MAX(0,MIN(K805,INDEX(Employees!$L$5:$L$29,$A805)-(M805-L805))))</f>
        <v/>
      </c>
      <c r="O805" s="51">
        <f>K805-N805</f>
        <v/>
      </c>
      <c r="P805" s="51">
        <f>M805-L805+N805</f>
        <v/>
      </c>
      <c r="Q805" s="51">
        <f>IF($G805=0,0,IF(INDEX(Employees!$P$5:$P$29,$A805)="Per pay period",(N(INDEX(Employees!$Q$5:$Q$29,$A805)))/Settings!$B$13,IF(INDEX(Employees!$P$5:$P$29,$A805)="Per hour worked",N(INDEX(Employees!$R$5:$R$29,$A805))*$I805,IF(INDEX(Employees!$P$5:$P$29,$A805)="Front-loaded",IF(OR($B805=1,N($G804)=0),N(INDEX(Employees!$Q$5:$Q$29,$A805)),0),0))))</f>
        <v/>
      </c>
      <c r="R805" s="51">
        <f>IF($F805=0,0,SUMIFS('Time Off Log'!$H$5:$H$504,'Time Off Log'!$A$5:$A$504,$C805,'Time Off Log'!$B$5:$B$504,"Sick",'Time Off Log'!$E$5:$E$504,"Approved",'Time Off Log'!$C$5:$C$504,"&gt;="&amp;INDEX(Periods!$E$5:$E$57,$B805),'Time Off Log'!$C$5:$C$504,"&lt;="&amp;INDEX(Periods!$F$5:$F$57,$B805)))</f>
        <v/>
      </c>
      <c r="S805" s="51">
        <f>IF($B805=1,N(INDEX(Employees!$T$5:$T$29,$A805)),V804)</f>
        <v/>
      </c>
      <c r="T805" s="51">
        <f>IF(INDEX(Employees!$S$5:$S$29,$A805)="",Q805,MAX(0,MIN(Q805,INDEX(Employees!$S$5:$S$29,$A805)-(S805-R805))))</f>
        <v/>
      </c>
      <c r="U805" s="51">
        <f>Q805-T805</f>
        <v/>
      </c>
      <c r="V805" s="51">
        <f>S805-R805+T805</f>
        <v/>
      </c>
    </row>
    <row r="806">
      <c r="A806" s="50" t="n">
        <v>16</v>
      </c>
      <c r="B806" s="50" t="n">
        <v>7</v>
      </c>
      <c r="C806" s="51">
        <f>INDEX(Employees!$B$5:$B$29,$A806)&amp;""</f>
        <v/>
      </c>
      <c r="D806" s="52">
        <f>INDEX(Periods!$B$5:$B$57,$B806)</f>
        <v/>
      </c>
      <c r="E806" s="52">
        <f>INDEX(Periods!$C$5:$C$57,$B806)</f>
        <v/>
      </c>
      <c r="F806" s="50">
        <f>IF(AND($C806&lt;&gt;"",INDEX(Periods!$D$5:$D$57,$B806)=1),1,0)</f>
        <v/>
      </c>
      <c r="G806" s="50">
        <f>IF($F806=0,0,IF(AND(OR(INDEX(Employees!$D$5:$D$29,$A806)="",$E806&gt;=INDEX(Employees!$D$5:$D$29,$A806)+N(INDEX(Employees!$U$5:$U$29,$A806))),OR(INDEX(Employees!$E$5:$E$29,$A806)="",$D806&lt;=INDEX(Employees!$E$5:$E$29,$A806))),1,0))</f>
        <v/>
      </c>
      <c r="H806" s="50">
        <f>IF($G806=0,0,IF(INDEX(Employees!$D$5:$D$29,$A806)="",0,DATEDIF(INDEX(Employees!$D$5:$D$29,$A806),$E806,"y")))</f>
        <v/>
      </c>
      <c r="I806" s="51">
        <f>IF($G806=0,0,IF(INDEX('Hours Worked'!$D$5:$BD$29,$A806,$B806)="",N(INDEX(Employees!$H$5:$H$29,$A806)),INDEX('Hours Worked'!$D$5:$BD$29,$A806,$B806)))</f>
        <v/>
      </c>
      <c r="J806" s="51">
        <f>IF(OR($G806=0,INDEX(Employees!$O$5:$O$29,$A806)&lt;&gt;"Yes"),0,IF(COUNTIF(Settings!$D$4:$D$9,"&lt;="&amp;$H806)=0,0,INDEX(Settings!$E$4:$E$9,COUNTIF(Settings!$D$4:$D$9,"&lt;="&amp;$H806))))</f>
        <v/>
      </c>
      <c r="K806" s="51">
        <f>IF($G806=0,0,IF(INDEX(Employees!$I$5:$I$29,$A806)="Per pay period",(N(INDEX(Employees!$J$5:$J$29,$A806))+$J806)/Settings!$B$13,IF(INDEX(Employees!$I$5:$I$29,$A806)="Per hour worked",N(INDEX(Employees!$K$5:$K$29,$A806))*$I806,IF(INDEX(Employees!$I$5:$I$29,$A806)="Front-loaded",IF(OR($B806=1,N($G805)=0),N(INDEX(Employees!$J$5:$J$29,$A806))+$J806,0),0))))</f>
        <v/>
      </c>
      <c r="L806" s="51">
        <f>IF($F806=0,0,SUMIFS('Time Off Log'!$H$5:$H$504,'Time Off Log'!$A$5:$A$504,$C806,'Time Off Log'!$B$5:$B$504,"PTO",'Time Off Log'!$E$5:$E$504,"Approved",'Time Off Log'!$C$5:$C$504,"&gt;="&amp;INDEX(Periods!$E$5:$E$57,$B806),'Time Off Log'!$C$5:$C$504,"&lt;="&amp;INDEX(Periods!$F$5:$F$57,$B806)))</f>
        <v/>
      </c>
      <c r="M806" s="51">
        <f>IF($B806=1,N(INDEX(Employees!$N$5:$N$29,$A806)),P805)</f>
        <v/>
      </c>
      <c r="N806" s="51">
        <f>IF(INDEX(Employees!$L$5:$L$29,$A806)="",K806,MAX(0,MIN(K806,INDEX(Employees!$L$5:$L$29,$A806)-(M806-L806))))</f>
        <v/>
      </c>
      <c r="O806" s="51">
        <f>K806-N806</f>
        <v/>
      </c>
      <c r="P806" s="51">
        <f>M806-L806+N806</f>
        <v/>
      </c>
      <c r="Q806" s="51">
        <f>IF($G806=0,0,IF(INDEX(Employees!$P$5:$P$29,$A806)="Per pay period",(N(INDEX(Employees!$Q$5:$Q$29,$A806)))/Settings!$B$13,IF(INDEX(Employees!$P$5:$P$29,$A806)="Per hour worked",N(INDEX(Employees!$R$5:$R$29,$A806))*$I806,IF(INDEX(Employees!$P$5:$P$29,$A806)="Front-loaded",IF(OR($B806=1,N($G805)=0),N(INDEX(Employees!$Q$5:$Q$29,$A806)),0),0))))</f>
        <v/>
      </c>
      <c r="R806" s="51">
        <f>IF($F806=0,0,SUMIFS('Time Off Log'!$H$5:$H$504,'Time Off Log'!$A$5:$A$504,$C806,'Time Off Log'!$B$5:$B$504,"Sick",'Time Off Log'!$E$5:$E$504,"Approved",'Time Off Log'!$C$5:$C$504,"&gt;="&amp;INDEX(Periods!$E$5:$E$57,$B806),'Time Off Log'!$C$5:$C$504,"&lt;="&amp;INDEX(Periods!$F$5:$F$57,$B806)))</f>
        <v/>
      </c>
      <c r="S806" s="51">
        <f>IF($B806=1,N(INDEX(Employees!$T$5:$T$29,$A806)),V805)</f>
        <v/>
      </c>
      <c r="T806" s="51">
        <f>IF(INDEX(Employees!$S$5:$S$29,$A806)="",Q806,MAX(0,MIN(Q806,INDEX(Employees!$S$5:$S$29,$A806)-(S806-R806))))</f>
        <v/>
      </c>
      <c r="U806" s="51">
        <f>Q806-T806</f>
        <v/>
      </c>
      <c r="V806" s="51">
        <f>S806-R806+T806</f>
        <v/>
      </c>
    </row>
    <row r="807">
      <c r="A807" s="50" t="n">
        <v>16</v>
      </c>
      <c r="B807" s="50" t="n">
        <v>8</v>
      </c>
      <c r="C807" s="51">
        <f>INDEX(Employees!$B$5:$B$29,$A807)&amp;""</f>
        <v/>
      </c>
      <c r="D807" s="52">
        <f>INDEX(Periods!$B$5:$B$57,$B807)</f>
        <v/>
      </c>
      <c r="E807" s="52">
        <f>INDEX(Periods!$C$5:$C$57,$B807)</f>
        <v/>
      </c>
      <c r="F807" s="50">
        <f>IF(AND($C807&lt;&gt;"",INDEX(Periods!$D$5:$D$57,$B807)=1),1,0)</f>
        <v/>
      </c>
      <c r="G807" s="50">
        <f>IF($F807=0,0,IF(AND(OR(INDEX(Employees!$D$5:$D$29,$A807)="",$E807&gt;=INDEX(Employees!$D$5:$D$29,$A807)+N(INDEX(Employees!$U$5:$U$29,$A807))),OR(INDEX(Employees!$E$5:$E$29,$A807)="",$D807&lt;=INDEX(Employees!$E$5:$E$29,$A807))),1,0))</f>
        <v/>
      </c>
      <c r="H807" s="50">
        <f>IF($G807=0,0,IF(INDEX(Employees!$D$5:$D$29,$A807)="",0,DATEDIF(INDEX(Employees!$D$5:$D$29,$A807),$E807,"y")))</f>
        <v/>
      </c>
      <c r="I807" s="51">
        <f>IF($G807=0,0,IF(INDEX('Hours Worked'!$D$5:$BD$29,$A807,$B807)="",N(INDEX(Employees!$H$5:$H$29,$A807)),INDEX('Hours Worked'!$D$5:$BD$29,$A807,$B807)))</f>
        <v/>
      </c>
      <c r="J807" s="51">
        <f>IF(OR($G807=0,INDEX(Employees!$O$5:$O$29,$A807)&lt;&gt;"Yes"),0,IF(COUNTIF(Settings!$D$4:$D$9,"&lt;="&amp;$H807)=0,0,INDEX(Settings!$E$4:$E$9,COUNTIF(Settings!$D$4:$D$9,"&lt;="&amp;$H807))))</f>
        <v/>
      </c>
      <c r="K807" s="51">
        <f>IF($G807=0,0,IF(INDEX(Employees!$I$5:$I$29,$A807)="Per pay period",(N(INDEX(Employees!$J$5:$J$29,$A807))+$J807)/Settings!$B$13,IF(INDEX(Employees!$I$5:$I$29,$A807)="Per hour worked",N(INDEX(Employees!$K$5:$K$29,$A807))*$I807,IF(INDEX(Employees!$I$5:$I$29,$A807)="Front-loaded",IF(OR($B807=1,N($G806)=0),N(INDEX(Employees!$J$5:$J$29,$A807))+$J807,0),0))))</f>
        <v/>
      </c>
      <c r="L807" s="51">
        <f>IF($F807=0,0,SUMIFS('Time Off Log'!$H$5:$H$504,'Time Off Log'!$A$5:$A$504,$C807,'Time Off Log'!$B$5:$B$504,"PTO",'Time Off Log'!$E$5:$E$504,"Approved",'Time Off Log'!$C$5:$C$504,"&gt;="&amp;INDEX(Periods!$E$5:$E$57,$B807),'Time Off Log'!$C$5:$C$504,"&lt;="&amp;INDEX(Periods!$F$5:$F$57,$B807)))</f>
        <v/>
      </c>
      <c r="M807" s="51">
        <f>IF($B807=1,N(INDEX(Employees!$N$5:$N$29,$A807)),P806)</f>
        <v/>
      </c>
      <c r="N807" s="51">
        <f>IF(INDEX(Employees!$L$5:$L$29,$A807)="",K807,MAX(0,MIN(K807,INDEX(Employees!$L$5:$L$29,$A807)-(M807-L807))))</f>
        <v/>
      </c>
      <c r="O807" s="51">
        <f>K807-N807</f>
        <v/>
      </c>
      <c r="P807" s="51">
        <f>M807-L807+N807</f>
        <v/>
      </c>
      <c r="Q807" s="51">
        <f>IF($G807=0,0,IF(INDEX(Employees!$P$5:$P$29,$A807)="Per pay period",(N(INDEX(Employees!$Q$5:$Q$29,$A807)))/Settings!$B$13,IF(INDEX(Employees!$P$5:$P$29,$A807)="Per hour worked",N(INDEX(Employees!$R$5:$R$29,$A807))*$I807,IF(INDEX(Employees!$P$5:$P$29,$A807)="Front-loaded",IF(OR($B807=1,N($G806)=0),N(INDEX(Employees!$Q$5:$Q$29,$A807)),0),0))))</f>
        <v/>
      </c>
      <c r="R807" s="51">
        <f>IF($F807=0,0,SUMIFS('Time Off Log'!$H$5:$H$504,'Time Off Log'!$A$5:$A$504,$C807,'Time Off Log'!$B$5:$B$504,"Sick",'Time Off Log'!$E$5:$E$504,"Approved",'Time Off Log'!$C$5:$C$504,"&gt;="&amp;INDEX(Periods!$E$5:$E$57,$B807),'Time Off Log'!$C$5:$C$504,"&lt;="&amp;INDEX(Periods!$F$5:$F$57,$B807)))</f>
        <v/>
      </c>
      <c r="S807" s="51">
        <f>IF($B807=1,N(INDEX(Employees!$T$5:$T$29,$A807)),V806)</f>
        <v/>
      </c>
      <c r="T807" s="51">
        <f>IF(INDEX(Employees!$S$5:$S$29,$A807)="",Q807,MAX(0,MIN(Q807,INDEX(Employees!$S$5:$S$29,$A807)-(S807-R807))))</f>
        <v/>
      </c>
      <c r="U807" s="51">
        <f>Q807-T807</f>
        <v/>
      </c>
      <c r="V807" s="51">
        <f>S807-R807+T807</f>
        <v/>
      </c>
    </row>
    <row r="808">
      <c r="A808" s="50" t="n">
        <v>16</v>
      </c>
      <c r="B808" s="50" t="n">
        <v>9</v>
      </c>
      <c r="C808" s="51">
        <f>INDEX(Employees!$B$5:$B$29,$A808)&amp;""</f>
        <v/>
      </c>
      <c r="D808" s="52">
        <f>INDEX(Periods!$B$5:$B$57,$B808)</f>
        <v/>
      </c>
      <c r="E808" s="52">
        <f>INDEX(Periods!$C$5:$C$57,$B808)</f>
        <v/>
      </c>
      <c r="F808" s="50">
        <f>IF(AND($C808&lt;&gt;"",INDEX(Periods!$D$5:$D$57,$B808)=1),1,0)</f>
        <v/>
      </c>
      <c r="G808" s="50">
        <f>IF($F808=0,0,IF(AND(OR(INDEX(Employees!$D$5:$D$29,$A808)="",$E808&gt;=INDEX(Employees!$D$5:$D$29,$A808)+N(INDEX(Employees!$U$5:$U$29,$A808))),OR(INDEX(Employees!$E$5:$E$29,$A808)="",$D808&lt;=INDEX(Employees!$E$5:$E$29,$A808))),1,0))</f>
        <v/>
      </c>
      <c r="H808" s="50">
        <f>IF($G808=0,0,IF(INDEX(Employees!$D$5:$D$29,$A808)="",0,DATEDIF(INDEX(Employees!$D$5:$D$29,$A808),$E808,"y")))</f>
        <v/>
      </c>
      <c r="I808" s="51">
        <f>IF($G808=0,0,IF(INDEX('Hours Worked'!$D$5:$BD$29,$A808,$B808)="",N(INDEX(Employees!$H$5:$H$29,$A808)),INDEX('Hours Worked'!$D$5:$BD$29,$A808,$B808)))</f>
        <v/>
      </c>
      <c r="J808" s="51">
        <f>IF(OR($G808=0,INDEX(Employees!$O$5:$O$29,$A808)&lt;&gt;"Yes"),0,IF(COUNTIF(Settings!$D$4:$D$9,"&lt;="&amp;$H808)=0,0,INDEX(Settings!$E$4:$E$9,COUNTIF(Settings!$D$4:$D$9,"&lt;="&amp;$H808))))</f>
        <v/>
      </c>
      <c r="K808" s="51">
        <f>IF($G808=0,0,IF(INDEX(Employees!$I$5:$I$29,$A808)="Per pay period",(N(INDEX(Employees!$J$5:$J$29,$A808))+$J808)/Settings!$B$13,IF(INDEX(Employees!$I$5:$I$29,$A808)="Per hour worked",N(INDEX(Employees!$K$5:$K$29,$A808))*$I808,IF(INDEX(Employees!$I$5:$I$29,$A808)="Front-loaded",IF(OR($B808=1,N($G807)=0),N(INDEX(Employees!$J$5:$J$29,$A808))+$J808,0),0))))</f>
        <v/>
      </c>
      <c r="L808" s="51">
        <f>IF($F808=0,0,SUMIFS('Time Off Log'!$H$5:$H$504,'Time Off Log'!$A$5:$A$504,$C808,'Time Off Log'!$B$5:$B$504,"PTO",'Time Off Log'!$E$5:$E$504,"Approved",'Time Off Log'!$C$5:$C$504,"&gt;="&amp;INDEX(Periods!$E$5:$E$57,$B808),'Time Off Log'!$C$5:$C$504,"&lt;="&amp;INDEX(Periods!$F$5:$F$57,$B808)))</f>
        <v/>
      </c>
      <c r="M808" s="51">
        <f>IF($B808=1,N(INDEX(Employees!$N$5:$N$29,$A808)),P807)</f>
        <v/>
      </c>
      <c r="N808" s="51">
        <f>IF(INDEX(Employees!$L$5:$L$29,$A808)="",K808,MAX(0,MIN(K808,INDEX(Employees!$L$5:$L$29,$A808)-(M808-L808))))</f>
        <v/>
      </c>
      <c r="O808" s="51">
        <f>K808-N808</f>
        <v/>
      </c>
      <c r="P808" s="51">
        <f>M808-L808+N808</f>
        <v/>
      </c>
      <c r="Q808" s="51">
        <f>IF($G808=0,0,IF(INDEX(Employees!$P$5:$P$29,$A808)="Per pay period",(N(INDEX(Employees!$Q$5:$Q$29,$A808)))/Settings!$B$13,IF(INDEX(Employees!$P$5:$P$29,$A808)="Per hour worked",N(INDEX(Employees!$R$5:$R$29,$A808))*$I808,IF(INDEX(Employees!$P$5:$P$29,$A808)="Front-loaded",IF(OR($B808=1,N($G807)=0),N(INDEX(Employees!$Q$5:$Q$29,$A808)),0),0))))</f>
        <v/>
      </c>
      <c r="R808" s="51">
        <f>IF($F808=0,0,SUMIFS('Time Off Log'!$H$5:$H$504,'Time Off Log'!$A$5:$A$504,$C808,'Time Off Log'!$B$5:$B$504,"Sick",'Time Off Log'!$E$5:$E$504,"Approved",'Time Off Log'!$C$5:$C$504,"&gt;="&amp;INDEX(Periods!$E$5:$E$57,$B808),'Time Off Log'!$C$5:$C$504,"&lt;="&amp;INDEX(Periods!$F$5:$F$57,$B808)))</f>
        <v/>
      </c>
      <c r="S808" s="51">
        <f>IF($B808=1,N(INDEX(Employees!$T$5:$T$29,$A808)),V807)</f>
        <v/>
      </c>
      <c r="T808" s="51">
        <f>IF(INDEX(Employees!$S$5:$S$29,$A808)="",Q808,MAX(0,MIN(Q808,INDEX(Employees!$S$5:$S$29,$A808)-(S808-R808))))</f>
        <v/>
      </c>
      <c r="U808" s="51">
        <f>Q808-T808</f>
        <v/>
      </c>
      <c r="V808" s="51">
        <f>S808-R808+T808</f>
        <v/>
      </c>
    </row>
    <row r="809">
      <c r="A809" s="50" t="n">
        <v>16</v>
      </c>
      <c r="B809" s="50" t="n">
        <v>10</v>
      </c>
      <c r="C809" s="51">
        <f>INDEX(Employees!$B$5:$B$29,$A809)&amp;""</f>
        <v/>
      </c>
      <c r="D809" s="52">
        <f>INDEX(Periods!$B$5:$B$57,$B809)</f>
        <v/>
      </c>
      <c r="E809" s="52">
        <f>INDEX(Periods!$C$5:$C$57,$B809)</f>
        <v/>
      </c>
      <c r="F809" s="50">
        <f>IF(AND($C809&lt;&gt;"",INDEX(Periods!$D$5:$D$57,$B809)=1),1,0)</f>
        <v/>
      </c>
      <c r="G809" s="50">
        <f>IF($F809=0,0,IF(AND(OR(INDEX(Employees!$D$5:$D$29,$A809)="",$E809&gt;=INDEX(Employees!$D$5:$D$29,$A809)+N(INDEX(Employees!$U$5:$U$29,$A809))),OR(INDEX(Employees!$E$5:$E$29,$A809)="",$D809&lt;=INDEX(Employees!$E$5:$E$29,$A809))),1,0))</f>
        <v/>
      </c>
      <c r="H809" s="50">
        <f>IF($G809=0,0,IF(INDEX(Employees!$D$5:$D$29,$A809)="",0,DATEDIF(INDEX(Employees!$D$5:$D$29,$A809),$E809,"y")))</f>
        <v/>
      </c>
      <c r="I809" s="51">
        <f>IF($G809=0,0,IF(INDEX('Hours Worked'!$D$5:$BD$29,$A809,$B809)="",N(INDEX(Employees!$H$5:$H$29,$A809)),INDEX('Hours Worked'!$D$5:$BD$29,$A809,$B809)))</f>
        <v/>
      </c>
      <c r="J809" s="51">
        <f>IF(OR($G809=0,INDEX(Employees!$O$5:$O$29,$A809)&lt;&gt;"Yes"),0,IF(COUNTIF(Settings!$D$4:$D$9,"&lt;="&amp;$H809)=0,0,INDEX(Settings!$E$4:$E$9,COUNTIF(Settings!$D$4:$D$9,"&lt;="&amp;$H809))))</f>
        <v/>
      </c>
      <c r="K809" s="51">
        <f>IF($G809=0,0,IF(INDEX(Employees!$I$5:$I$29,$A809)="Per pay period",(N(INDEX(Employees!$J$5:$J$29,$A809))+$J809)/Settings!$B$13,IF(INDEX(Employees!$I$5:$I$29,$A809)="Per hour worked",N(INDEX(Employees!$K$5:$K$29,$A809))*$I809,IF(INDEX(Employees!$I$5:$I$29,$A809)="Front-loaded",IF(OR($B809=1,N($G808)=0),N(INDEX(Employees!$J$5:$J$29,$A809))+$J809,0),0))))</f>
        <v/>
      </c>
      <c r="L809" s="51">
        <f>IF($F809=0,0,SUMIFS('Time Off Log'!$H$5:$H$504,'Time Off Log'!$A$5:$A$504,$C809,'Time Off Log'!$B$5:$B$504,"PTO",'Time Off Log'!$E$5:$E$504,"Approved",'Time Off Log'!$C$5:$C$504,"&gt;="&amp;INDEX(Periods!$E$5:$E$57,$B809),'Time Off Log'!$C$5:$C$504,"&lt;="&amp;INDEX(Periods!$F$5:$F$57,$B809)))</f>
        <v/>
      </c>
      <c r="M809" s="51">
        <f>IF($B809=1,N(INDEX(Employees!$N$5:$N$29,$A809)),P808)</f>
        <v/>
      </c>
      <c r="N809" s="51">
        <f>IF(INDEX(Employees!$L$5:$L$29,$A809)="",K809,MAX(0,MIN(K809,INDEX(Employees!$L$5:$L$29,$A809)-(M809-L809))))</f>
        <v/>
      </c>
      <c r="O809" s="51">
        <f>K809-N809</f>
        <v/>
      </c>
      <c r="P809" s="51">
        <f>M809-L809+N809</f>
        <v/>
      </c>
      <c r="Q809" s="51">
        <f>IF($G809=0,0,IF(INDEX(Employees!$P$5:$P$29,$A809)="Per pay period",(N(INDEX(Employees!$Q$5:$Q$29,$A809)))/Settings!$B$13,IF(INDEX(Employees!$P$5:$P$29,$A809)="Per hour worked",N(INDEX(Employees!$R$5:$R$29,$A809))*$I809,IF(INDEX(Employees!$P$5:$P$29,$A809)="Front-loaded",IF(OR($B809=1,N($G808)=0),N(INDEX(Employees!$Q$5:$Q$29,$A809)),0),0))))</f>
        <v/>
      </c>
      <c r="R809" s="51">
        <f>IF($F809=0,0,SUMIFS('Time Off Log'!$H$5:$H$504,'Time Off Log'!$A$5:$A$504,$C809,'Time Off Log'!$B$5:$B$504,"Sick",'Time Off Log'!$E$5:$E$504,"Approved",'Time Off Log'!$C$5:$C$504,"&gt;="&amp;INDEX(Periods!$E$5:$E$57,$B809),'Time Off Log'!$C$5:$C$504,"&lt;="&amp;INDEX(Periods!$F$5:$F$57,$B809)))</f>
        <v/>
      </c>
      <c r="S809" s="51">
        <f>IF($B809=1,N(INDEX(Employees!$T$5:$T$29,$A809)),V808)</f>
        <v/>
      </c>
      <c r="T809" s="51">
        <f>IF(INDEX(Employees!$S$5:$S$29,$A809)="",Q809,MAX(0,MIN(Q809,INDEX(Employees!$S$5:$S$29,$A809)-(S809-R809))))</f>
        <v/>
      </c>
      <c r="U809" s="51">
        <f>Q809-T809</f>
        <v/>
      </c>
      <c r="V809" s="51">
        <f>S809-R809+T809</f>
        <v/>
      </c>
    </row>
    <row r="810">
      <c r="A810" s="50" t="n">
        <v>16</v>
      </c>
      <c r="B810" s="50" t="n">
        <v>11</v>
      </c>
      <c r="C810" s="51">
        <f>INDEX(Employees!$B$5:$B$29,$A810)&amp;""</f>
        <v/>
      </c>
      <c r="D810" s="52">
        <f>INDEX(Periods!$B$5:$B$57,$B810)</f>
        <v/>
      </c>
      <c r="E810" s="52">
        <f>INDEX(Periods!$C$5:$C$57,$B810)</f>
        <v/>
      </c>
      <c r="F810" s="50">
        <f>IF(AND($C810&lt;&gt;"",INDEX(Periods!$D$5:$D$57,$B810)=1),1,0)</f>
        <v/>
      </c>
      <c r="G810" s="50">
        <f>IF($F810=0,0,IF(AND(OR(INDEX(Employees!$D$5:$D$29,$A810)="",$E810&gt;=INDEX(Employees!$D$5:$D$29,$A810)+N(INDEX(Employees!$U$5:$U$29,$A810))),OR(INDEX(Employees!$E$5:$E$29,$A810)="",$D810&lt;=INDEX(Employees!$E$5:$E$29,$A810))),1,0))</f>
        <v/>
      </c>
      <c r="H810" s="50">
        <f>IF($G810=0,0,IF(INDEX(Employees!$D$5:$D$29,$A810)="",0,DATEDIF(INDEX(Employees!$D$5:$D$29,$A810),$E810,"y")))</f>
        <v/>
      </c>
      <c r="I810" s="51">
        <f>IF($G810=0,0,IF(INDEX('Hours Worked'!$D$5:$BD$29,$A810,$B810)="",N(INDEX(Employees!$H$5:$H$29,$A810)),INDEX('Hours Worked'!$D$5:$BD$29,$A810,$B810)))</f>
        <v/>
      </c>
      <c r="J810" s="51">
        <f>IF(OR($G810=0,INDEX(Employees!$O$5:$O$29,$A810)&lt;&gt;"Yes"),0,IF(COUNTIF(Settings!$D$4:$D$9,"&lt;="&amp;$H810)=0,0,INDEX(Settings!$E$4:$E$9,COUNTIF(Settings!$D$4:$D$9,"&lt;="&amp;$H810))))</f>
        <v/>
      </c>
      <c r="K810" s="51">
        <f>IF($G810=0,0,IF(INDEX(Employees!$I$5:$I$29,$A810)="Per pay period",(N(INDEX(Employees!$J$5:$J$29,$A810))+$J810)/Settings!$B$13,IF(INDEX(Employees!$I$5:$I$29,$A810)="Per hour worked",N(INDEX(Employees!$K$5:$K$29,$A810))*$I810,IF(INDEX(Employees!$I$5:$I$29,$A810)="Front-loaded",IF(OR($B810=1,N($G809)=0),N(INDEX(Employees!$J$5:$J$29,$A810))+$J810,0),0))))</f>
        <v/>
      </c>
      <c r="L810" s="51">
        <f>IF($F810=0,0,SUMIFS('Time Off Log'!$H$5:$H$504,'Time Off Log'!$A$5:$A$504,$C810,'Time Off Log'!$B$5:$B$504,"PTO",'Time Off Log'!$E$5:$E$504,"Approved",'Time Off Log'!$C$5:$C$504,"&gt;="&amp;INDEX(Periods!$E$5:$E$57,$B810),'Time Off Log'!$C$5:$C$504,"&lt;="&amp;INDEX(Periods!$F$5:$F$57,$B810)))</f>
        <v/>
      </c>
      <c r="M810" s="51">
        <f>IF($B810=1,N(INDEX(Employees!$N$5:$N$29,$A810)),P809)</f>
        <v/>
      </c>
      <c r="N810" s="51">
        <f>IF(INDEX(Employees!$L$5:$L$29,$A810)="",K810,MAX(0,MIN(K810,INDEX(Employees!$L$5:$L$29,$A810)-(M810-L810))))</f>
        <v/>
      </c>
      <c r="O810" s="51">
        <f>K810-N810</f>
        <v/>
      </c>
      <c r="P810" s="51">
        <f>M810-L810+N810</f>
        <v/>
      </c>
      <c r="Q810" s="51">
        <f>IF($G810=0,0,IF(INDEX(Employees!$P$5:$P$29,$A810)="Per pay period",(N(INDEX(Employees!$Q$5:$Q$29,$A810)))/Settings!$B$13,IF(INDEX(Employees!$P$5:$P$29,$A810)="Per hour worked",N(INDEX(Employees!$R$5:$R$29,$A810))*$I810,IF(INDEX(Employees!$P$5:$P$29,$A810)="Front-loaded",IF(OR($B810=1,N($G809)=0),N(INDEX(Employees!$Q$5:$Q$29,$A810)),0),0))))</f>
        <v/>
      </c>
      <c r="R810" s="51">
        <f>IF($F810=0,0,SUMIFS('Time Off Log'!$H$5:$H$504,'Time Off Log'!$A$5:$A$504,$C810,'Time Off Log'!$B$5:$B$504,"Sick",'Time Off Log'!$E$5:$E$504,"Approved",'Time Off Log'!$C$5:$C$504,"&gt;="&amp;INDEX(Periods!$E$5:$E$57,$B810),'Time Off Log'!$C$5:$C$504,"&lt;="&amp;INDEX(Periods!$F$5:$F$57,$B810)))</f>
        <v/>
      </c>
      <c r="S810" s="51">
        <f>IF($B810=1,N(INDEX(Employees!$T$5:$T$29,$A810)),V809)</f>
        <v/>
      </c>
      <c r="T810" s="51">
        <f>IF(INDEX(Employees!$S$5:$S$29,$A810)="",Q810,MAX(0,MIN(Q810,INDEX(Employees!$S$5:$S$29,$A810)-(S810-R810))))</f>
        <v/>
      </c>
      <c r="U810" s="51">
        <f>Q810-T810</f>
        <v/>
      </c>
      <c r="V810" s="51">
        <f>S810-R810+T810</f>
        <v/>
      </c>
    </row>
    <row r="811">
      <c r="A811" s="50" t="n">
        <v>16</v>
      </c>
      <c r="B811" s="50" t="n">
        <v>12</v>
      </c>
      <c r="C811" s="51">
        <f>INDEX(Employees!$B$5:$B$29,$A811)&amp;""</f>
        <v/>
      </c>
      <c r="D811" s="52">
        <f>INDEX(Periods!$B$5:$B$57,$B811)</f>
        <v/>
      </c>
      <c r="E811" s="52">
        <f>INDEX(Periods!$C$5:$C$57,$B811)</f>
        <v/>
      </c>
      <c r="F811" s="50">
        <f>IF(AND($C811&lt;&gt;"",INDEX(Periods!$D$5:$D$57,$B811)=1),1,0)</f>
        <v/>
      </c>
      <c r="G811" s="50">
        <f>IF($F811=0,0,IF(AND(OR(INDEX(Employees!$D$5:$D$29,$A811)="",$E811&gt;=INDEX(Employees!$D$5:$D$29,$A811)+N(INDEX(Employees!$U$5:$U$29,$A811))),OR(INDEX(Employees!$E$5:$E$29,$A811)="",$D811&lt;=INDEX(Employees!$E$5:$E$29,$A811))),1,0))</f>
        <v/>
      </c>
      <c r="H811" s="50">
        <f>IF($G811=0,0,IF(INDEX(Employees!$D$5:$D$29,$A811)="",0,DATEDIF(INDEX(Employees!$D$5:$D$29,$A811),$E811,"y")))</f>
        <v/>
      </c>
      <c r="I811" s="51">
        <f>IF($G811=0,0,IF(INDEX('Hours Worked'!$D$5:$BD$29,$A811,$B811)="",N(INDEX(Employees!$H$5:$H$29,$A811)),INDEX('Hours Worked'!$D$5:$BD$29,$A811,$B811)))</f>
        <v/>
      </c>
      <c r="J811" s="51">
        <f>IF(OR($G811=0,INDEX(Employees!$O$5:$O$29,$A811)&lt;&gt;"Yes"),0,IF(COUNTIF(Settings!$D$4:$D$9,"&lt;="&amp;$H811)=0,0,INDEX(Settings!$E$4:$E$9,COUNTIF(Settings!$D$4:$D$9,"&lt;="&amp;$H811))))</f>
        <v/>
      </c>
      <c r="K811" s="51">
        <f>IF($G811=0,0,IF(INDEX(Employees!$I$5:$I$29,$A811)="Per pay period",(N(INDEX(Employees!$J$5:$J$29,$A811))+$J811)/Settings!$B$13,IF(INDEX(Employees!$I$5:$I$29,$A811)="Per hour worked",N(INDEX(Employees!$K$5:$K$29,$A811))*$I811,IF(INDEX(Employees!$I$5:$I$29,$A811)="Front-loaded",IF(OR($B811=1,N($G810)=0),N(INDEX(Employees!$J$5:$J$29,$A811))+$J811,0),0))))</f>
        <v/>
      </c>
      <c r="L811" s="51">
        <f>IF($F811=0,0,SUMIFS('Time Off Log'!$H$5:$H$504,'Time Off Log'!$A$5:$A$504,$C811,'Time Off Log'!$B$5:$B$504,"PTO",'Time Off Log'!$E$5:$E$504,"Approved",'Time Off Log'!$C$5:$C$504,"&gt;="&amp;INDEX(Periods!$E$5:$E$57,$B811),'Time Off Log'!$C$5:$C$504,"&lt;="&amp;INDEX(Periods!$F$5:$F$57,$B811)))</f>
        <v/>
      </c>
      <c r="M811" s="51">
        <f>IF($B811=1,N(INDEX(Employees!$N$5:$N$29,$A811)),P810)</f>
        <v/>
      </c>
      <c r="N811" s="51">
        <f>IF(INDEX(Employees!$L$5:$L$29,$A811)="",K811,MAX(0,MIN(K811,INDEX(Employees!$L$5:$L$29,$A811)-(M811-L811))))</f>
        <v/>
      </c>
      <c r="O811" s="51">
        <f>K811-N811</f>
        <v/>
      </c>
      <c r="P811" s="51">
        <f>M811-L811+N811</f>
        <v/>
      </c>
      <c r="Q811" s="51">
        <f>IF($G811=0,0,IF(INDEX(Employees!$P$5:$P$29,$A811)="Per pay period",(N(INDEX(Employees!$Q$5:$Q$29,$A811)))/Settings!$B$13,IF(INDEX(Employees!$P$5:$P$29,$A811)="Per hour worked",N(INDEX(Employees!$R$5:$R$29,$A811))*$I811,IF(INDEX(Employees!$P$5:$P$29,$A811)="Front-loaded",IF(OR($B811=1,N($G810)=0),N(INDEX(Employees!$Q$5:$Q$29,$A811)),0),0))))</f>
        <v/>
      </c>
      <c r="R811" s="51">
        <f>IF($F811=0,0,SUMIFS('Time Off Log'!$H$5:$H$504,'Time Off Log'!$A$5:$A$504,$C811,'Time Off Log'!$B$5:$B$504,"Sick",'Time Off Log'!$E$5:$E$504,"Approved",'Time Off Log'!$C$5:$C$504,"&gt;="&amp;INDEX(Periods!$E$5:$E$57,$B811),'Time Off Log'!$C$5:$C$504,"&lt;="&amp;INDEX(Periods!$F$5:$F$57,$B811)))</f>
        <v/>
      </c>
      <c r="S811" s="51">
        <f>IF($B811=1,N(INDEX(Employees!$T$5:$T$29,$A811)),V810)</f>
        <v/>
      </c>
      <c r="T811" s="51">
        <f>IF(INDEX(Employees!$S$5:$S$29,$A811)="",Q811,MAX(0,MIN(Q811,INDEX(Employees!$S$5:$S$29,$A811)-(S811-R811))))</f>
        <v/>
      </c>
      <c r="U811" s="51">
        <f>Q811-T811</f>
        <v/>
      </c>
      <c r="V811" s="51">
        <f>S811-R811+T811</f>
        <v/>
      </c>
    </row>
    <row r="812">
      <c r="A812" s="50" t="n">
        <v>16</v>
      </c>
      <c r="B812" s="50" t="n">
        <v>13</v>
      </c>
      <c r="C812" s="51">
        <f>INDEX(Employees!$B$5:$B$29,$A812)&amp;""</f>
        <v/>
      </c>
      <c r="D812" s="52">
        <f>INDEX(Periods!$B$5:$B$57,$B812)</f>
        <v/>
      </c>
      <c r="E812" s="52">
        <f>INDEX(Periods!$C$5:$C$57,$B812)</f>
        <v/>
      </c>
      <c r="F812" s="50">
        <f>IF(AND($C812&lt;&gt;"",INDEX(Periods!$D$5:$D$57,$B812)=1),1,0)</f>
        <v/>
      </c>
      <c r="G812" s="50">
        <f>IF($F812=0,0,IF(AND(OR(INDEX(Employees!$D$5:$D$29,$A812)="",$E812&gt;=INDEX(Employees!$D$5:$D$29,$A812)+N(INDEX(Employees!$U$5:$U$29,$A812))),OR(INDEX(Employees!$E$5:$E$29,$A812)="",$D812&lt;=INDEX(Employees!$E$5:$E$29,$A812))),1,0))</f>
        <v/>
      </c>
      <c r="H812" s="50">
        <f>IF($G812=0,0,IF(INDEX(Employees!$D$5:$D$29,$A812)="",0,DATEDIF(INDEX(Employees!$D$5:$D$29,$A812),$E812,"y")))</f>
        <v/>
      </c>
      <c r="I812" s="51">
        <f>IF($G812=0,0,IF(INDEX('Hours Worked'!$D$5:$BD$29,$A812,$B812)="",N(INDEX(Employees!$H$5:$H$29,$A812)),INDEX('Hours Worked'!$D$5:$BD$29,$A812,$B812)))</f>
        <v/>
      </c>
      <c r="J812" s="51">
        <f>IF(OR($G812=0,INDEX(Employees!$O$5:$O$29,$A812)&lt;&gt;"Yes"),0,IF(COUNTIF(Settings!$D$4:$D$9,"&lt;="&amp;$H812)=0,0,INDEX(Settings!$E$4:$E$9,COUNTIF(Settings!$D$4:$D$9,"&lt;="&amp;$H812))))</f>
        <v/>
      </c>
      <c r="K812" s="51">
        <f>IF($G812=0,0,IF(INDEX(Employees!$I$5:$I$29,$A812)="Per pay period",(N(INDEX(Employees!$J$5:$J$29,$A812))+$J812)/Settings!$B$13,IF(INDEX(Employees!$I$5:$I$29,$A812)="Per hour worked",N(INDEX(Employees!$K$5:$K$29,$A812))*$I812,IF(INDEX(Employees!$I$5:$I$29,$A812)="Front-loaded",IF(OR($B812=1,N($G811)=0),N(INDEX(Employees!$J$5:$J$29,$A812))+$J812,0),0))))</f>
        <v/>
      </c>
      <c r="L812" s="51">
        <f>IF($F812=0,0,SUMIFS('Time Off Log'!$H$5:$H$504,'Time Off Log'!$A$5:$A$504,$C812,'Time Off Log'!$B$5:$B$504,"PTO",'Time Off Log'!$E$5:$E$504,"Approved",'Time Off Log'!$C$5:$C$504,"&gt;="&amp;INDEX(Periods!$E$5:$E$57,$B812),'Time Off Log'!$C$5:$C$504,"&lt;="&amp;INDEX(Periods!$F$5:$F$57,$B812)))</f>
        <v/>
      </c>
      <c r="M812" s="51">
        <f>IF($B812=1,N(INDEX(Employees!$N$5:$N$29,$A812)),P811)</f>
        <v/>
      </c>
      <c r="N812" s="51">
        <f>IF(INDEX(Employees!$L$5:$L$29,$A812)="",K812,MAX(0,MIN(K812,INDEX(Employees!$L$5:$L$29,$A812)-(M812-L812))))</f>
        <v/>
      </c>
      <c r="O812" s="51">
        <f>K812-N812</f>
        <v/>
      </c>
      <c r="P812" s="51">
        <f>M812-L812+N812</f>
        <v/>
      </c>
      <c r="Q812" s="51">
        <f>IF($G812=0,0,IF(INDEX(Employees!$P$5:$P$29,$A812)="Per pay period",(N(INDEX(Employees!$Q$5:$Q$29,$A812)))/Settings!$B$13,IF(INDEX(Employees!$P$5:$P$29,$A812)="Per hour worked",N(INDEX(Employees!$R$5:$R$29,$A812))*$I812,IF(INDEX(Employees!$P$5:$P$29,$A812)="Front-loaded",IF(OR($B812=1,N($G811)=0),N(INDEX(Employees!$Q$5:$Q$29,$A812)),0),0))))</f>
        <v/>
      </c>
      <c r="R812" s="51">
        <f>IF($F812=0,0,SUMIFS('Time Off Log'!$H$5:$H$504,'Time Off Log'!$A$5:$A$504,$C812,'Time Off Log'!$B$5:$B$504,"Sick",'Time Off Log'!$E$5:$E$504,"Approved",'Time Off Log'!$C$5:$C$504,"&gt;="&amp;INDEX(Periods!$E$5:$E$57,$B812),'Time Off Log'!$C$5:$C$504,"&lt;="&amp;INDEX(Periods!$F$5:$F$57,$B812)))</f>
        <v/>
      </c>
      <c r="S812" s="51">
        <f>IF($B812=1,N(INDEX(Employees!$T$5:$T$29,$A812)),V811)</f>
        <v/>
      </c>
      <c r="T812" s="51">
        <f>IF(INDEX(Employees!$S$5:$S$29,$A812)="",Q812,MAX(0,MIN(Q812,INDEX(Employees!$S$5:$S$29,$A812)-(S812-R812))))</f>
        <v/>
      </c>
      <c r="U812" s="51">
        <f>Q812-T812</f>
        <v/>
      </c>
      <c r="V812" s="51">
        <f>S812-R812+T812</f>
        <v/>
      </c>
    </row>
    <row r="813">
      <c r="A813" s="50" t="n">
        <v>16</v>
      </c>
      <c r="B813" s="50" t="n">
        <v>14</v>
      </c>
      <c r="C813" s="51">
        <f>INDEX(Employees!$B$5:$B$29,$A813)&amp;""</f>
        <v/>
      </c>
      <c r="D813" s="52">
        <f>INDEX(Periods!$B$5:$B$57,$B813)</f>
        <v/>
      </c>
      <c r="E813" s="52">
        <f>INDEX(Periods!$C$5:$C$57,$B813)</f>
        <v/>
      </c>
      <c r="F813" s="50">
        <f>IF(AND($C813&lt;&gt;"",INDEX(Periods!$D$5:$D$57,$B813)=1),1,0)</f>
        <v/>
      </c>
      <c r="G813" s="50">
        <f>IF($F813=0,0,IF(AND(OR(INDEX(Employees!$D$5:$D$29,$A813)="",$E813&gt;=INDEX(Employees!$D$5:$D$29,$A813)+N(INDEX(Employees!$U$5:$U$29,$A813))),OR(INDEX(Employees!$E$5:$E$29,$A813)="",$D813&lt;=INDEX(Employees!$E$5:$E$29,$A813))),1,0))</f>
        <v/>
      </c>
      <c r="H813" s="50">
        <f>IF($G813=0,0,IF(INDEX(Employees!$D$5:$D$29,$A813)="",0,DATEDIF(INDEX(Employees!$D$5:$D$29,$A813),$E813,"y")))</f>
        <v/>
      </c>
      <c r="I813" s="51">
        <f>IF($G813=0,0,IF(INDEX('Hours Worked'!$D$5:$BD$29,$A813,$B813)="",N(INDEX(Employees!$H$5:$H$29,$A813)),INDEX('Hours Worked'!$D$5:$BD$29,$A813,$B813)))</f>
        <v/>
      </c>
      <c r="J813" s="51">
        <f>IF(OR($G813=0,INDEX(Employees!$O$5:$O$29,$A813)&lt;&gt;"Yes"),0,IF(COUNTIF(Settings!$D$4:$D$9,"&lt;="&amp;$H813)=0,0,INDEX(Settings!$E$4:$E$9,COUNTIF(Settings!$D$4:$D$9,"&lt;="&amp;$H813))))</f>
        <v/>
      </c>
      <c r="K813" s="51">
        <f>IF($G813=0,0,IF(INDEX(Employees!$I$5:$I$29,$A813)="Per pay period",(N(INDEX(Employees!$J$5:$J$29,$A813))+$J813)/Settings!$B$13,IF(INDEX(Employees!$I$5:$I$29,$A813)="Per hour worked",N(INDEX(Employees!$K$5:$K$29,$A813))*$I813,IF(INDEX(Employees!$I$5:$I$29,$A813)="Front-loaded",IF(OR($B813=1,N($G812)=0),N(INDEX(Employees!$J$5:$J$29,$A813))+$J813,0),0))))</f>
        <v/>
      </c>
      <c r="L813" s="51">
        <f>IF($F813=0,0,SUMIFS('Time Off Log'!$H$5:$H$504,'Time Off Log'!$A$5:$A$504,$C813,'Time Off Log'!$B$5:$B$504,"PTO",'Time Off Log'!$E$5:$E$504,"Approved",'Time Off Log'!$C$5:$C$504,"&gt;="&amp;INDEX(Periods!$E$5:$E$57,$B813),'Time Off Log'!$C$5:$C$504,"&lt;="&amp;INDEX(Periods!$F$5:$F$57,$B813)))</f>
        <v/>
      </c>
      <c r="M813" s="51">
        <f>IF($B813=1,N(INDEX(Employees!$N$5:$N$29,$A813)),P812)</f>
        <v/>
      </c>
      <c r="N813" s="51">
        <f>IF(INDEX(Employees!$L$5:$L$29,$A813)="",K813,MAX(0,MIN(K813,INDEX(Employees!$L$5:$L$29,$A813)-(M813-L813))))</f>
        <v/>
      </c>
      <c r="O813" s="51">
        <f>K813-N813</f>
        <v/>
      </c>
      <c r="P813" s="51">
        <f>M813-L813+N813</f>
        <v/>
      </c>
      <c r="Q813" s="51">
        <f>IF($G813=0,0,IF(INDEX(Employees!$P$5:$P$29,$A813)="Per pay period",(N(INDEX(Employees!$Q$5:$Q$29,$A813)))/Settings!$B$13,IF(INDEX(Employees!$P$5:$P$29,$A813)="Per hour worked",N(INDEX(Employees!$R$5:$R$29,$A813))*$I813,IF(INDEX(Employees!$P$5:$P$29,$A813)="Front-loaded",IF(OR($B813=1,N($G812)=0),N(INDEX(Employees!$Q$5:$Q$29,$A813)),0),0))))</f>
        <v/>
      </c>
      <c r="R813" s="51">
        <f>IF($F813=0,0,SUMIFS('Time Off Log'!$H$5:$H$504,'Time Off Log'!$A$5:$A$504,$C813,'Time Off Log'!$B$5:$B$504,"Sick",'Time Off Log'!$E$5:$E$504,"Approved",'Time Off Log'!$C$5:$C$504,"&gt;="&amp;INDEX(Periods!$E$5:$E$57,$B813),'Time Off Log'!$C$5:$C$504,"&lt;="&amp;INDEX(Periods!$F$5:$F$57,$B813)))</f>
        <v/>
      </c>
      <c r="S813" s="51">
        <f>IF($B813=1,N(INDEX(Employees!$T$5:$T$29,$A813)),V812)</f>
        <v/>
      </c>
      <c r="T813" s="51">
        <f>IF(INDEX(Employees!$S$5:$S$29,$A813)="",Q813,MAX(0,MIN(Q813,INDEX(Employees!$S$5:$S$29,$A813)-(S813-R813))))</f>
        <v/>
      </c>
      <c r="U813" s="51">
        <f>Q813-T813</f>
        <v/>
      </c>
      <c r="V813" s="51">
        <f>S813-R813+T813</f>
        <v/>
      </c>
    </row>
    <row r="814">
      <c r="A814" s="50" t="n">
        <v>16</v>
      </c>
      <c r="B814" s="50" t="n">
        <v>15</v>
      </c>
      <c r="C814" s="51">
        <f>INDEX(Employees!$B$5:$B$29,$A814)&amp;""</f>
        <v/>
      </c>
      <c r="D814" s="52">
        <f>INDEX(Periods!$B$5:$B$57,$B814)</f>
        <v/>
      </c>
      <c r="E814" s="52">
        <f>INDEX(Periods!$C$5:$C$57,$B814)</f>
        <v/>
      </c>
      <c r="F814" s="50">
        <f>IF(AND($C814&lt;&gt;"",INDEX(Periods!$D$5:$D$57,$B814)=1),1,0)</f>
        <v/>
      </c>
      <c r="G814" s="50">
        <f>IF($F814=0,0,IF(AND(OR(INDEX(Employees!$D$5:$D$29,$A814)="",$E814&gt;=INDEX(Employees!$D$5:$D$29,$A814)+N(INDEX(Employees!$U$5:$U$29,$A814))),OR(INDEX(Employees!$E$5:$E$29,$A814)="",$D814&lt;=INDEX(Employees!$E$5:$E$29,$A814))),1,0))</f>
        <v/>
      </c>
      <c r="H814" s="50">
        <f>IF($G814=0,0,IF(INDEX(Employees!$D$5:$D$29,$A814)="",0,DATEDIF(INDEX(Employees!$D$5:$D$29,$A814),$E814,"y")))</f>
        <v/>
      </c>
      <c r="I814" s="51">
        <f>IF($G814=0,0,IF(INDEX('Hours Worked'!$D$5:$BD$29,$A814,$B814)="",N(INDEX(Employees!$H$5:$H$29,$A814)),INDEX('Hours Worked'!$D$5:$BD$29,$A814,$B814)))</f>
        <v/>
      </c>
      <c r="J814" s="51">
        <f>IF(OR($G814=0,INDEX(Employees!$O$5:$O$29,$A814)&lt;&gt;"Yes"),0,IF(COUNTIF(Settings!$D$4:$D$9,"&lt;="&amp;$H814)=0,0,INDEX(Settings!$E$4:$E$9,COUNTIF(Settings!$D$4:$D$9,"&lt;="&amp;$H814))))</f>
        <v/>
      </c>
      <c r="K814" s="51">
        <f>IF($G814=0,0,IF(INDEX(Employees!$I$5:$I$29,$A814)="Per pay period",(N(INDEX(Employees!$J$5:$J$29,$A814))+$J814)/Settings!$B$13,IF(INDEX(Employees!$I$5:$I$29,$A814)="Per hour worked",N(INDEX(Employees!$K$5:$K$29,$A814))*$I814,IF(INDEX(Employees!$I$5:$I$29,$A814)="Front-loaded",IF(OR($B814=1,N($G813)=0),N(INDEX(Employees!$J$5:$J$29,$A814))+$J814,0),0))))</f>
        <v/>
      </c>
      <c r="L814" s="51">
        <f>IF($F814=0,0,SUMIFS('Time Off Log'!$H$5:$H$504,'Time Off Log'!$A$5:$A$504,$C814,'Time Off Log'!$B$5:$B$504,"PTO",'Time Off Log'!$E$5:$E$504,"Approved",'Time Off Log'!$C$5:$C$504,"&gt;="&amp;INDEX(Periods!$E$5:$E$57,$B814),'Time Off Log'!$C$5:$C$504,"&lt;="&amp;INDEX(Periods!$F$5:$F$57,$B814)))</f>
        <v/>
      </c>
      <c r="M814" s="51">
        <f>IF($B814=1,N(INDEX(Employees!$N$5:$N$29,$A814)),P813)</f>
        <v/>
      </c>
      <c r="N814" s="51">
        <f>IF(INDEX(Employees!$L$5:$L$29,$A814)="",K814,MAX(0,MIN(K814,INDEX(Employees!$L$5:$L$29,$A814)-(M814-L814))))</f>
        <v/>
      </c>
      <c r="O814" s="51">
        <f>K814-N814</f>
        <v/>
      </c>
      <c r="P814" s="51">
        <f>M814-L814+N814</f>
        <v/>
      </c>
      <c r="Q814" s="51">
        <f>IF($G814=0,0,IF(INDEX(Employees!$P$5:$P$29,$A814)="Per pay period",(N(INDEX(Employees!$Q$5:$Q$29,$A814)))/Settings!$B$13,IF(INDEX(Employees!$P$5:$P$29,$A814)="Per hour worked",N(INDEX(Employees!$R$5:$R$29,$A814))*$I814,IF(INDEX(Employees!$P$5:$P$29,$A814)="Front-loaded",IF(OR($B814=1,N($G813)=0),N(INDEX(Employees!$Q$5:$Q$29,$A814)),0),0))))</f>
        <v/>
      </c>
      <c r="R814" s="51">
        <f>IF($F814=0,0,SUMIFS('Time Off Log'!$H$5:$H$504,'Time Off Log'!$A$5:$A$504,$C814,'Time Off Log'!$B$5:$B$504,"Sick",'Time Off Log'!$E$5:$E$504,"Approved",'Time Off Log'!$C$5:$C$504,"&gt;="&amp;INDEX(Periods!$E$5:$E$57,$B814),'Time Off Log'!$C$5:$C$504,"&lt;="&amp;INDEX(Periods!$F$5:$F$57,$B814)))</f>
        <v/>
      </c>
      <c r="S814" s="51">
        <f>IF($B814=1,N(INDEX(Employees!$T$5:$T$29,$A814)),V813)</f>
        <v/>
      </c>
      <c r="T814" s="51">
        <f>IF(INDEX(Employees!$S$5:$S$29,$A814)="",Q814,MAX(0,MIN(Q814,INDEX(Employees!$S$5:$S$29,$A814)-(S814-R814))))</f>
        <v/>
      </c>
      <c r="U814" s="51">
        <f>Q814-T814</f>
        <v/>
      </c>
      <c r="V814" s="51">
        <f>S814-R814+T814</f>
        <v/>
      </c>
    </row>
    <row r="815">
      <c r="A815" s="50" t="n">
        <v>16</v>
      </c>
      <c r="B815" s="50" t="n">
        <v>16</v>
      </c>
      <c r="C815" s="51">
        <f>INDEX(Employees!$B$5:$B$29,$A815)&amp;""</f>
        <v/>
      </c>
      <c r="D815" s="52">
        <f>INDEX(Periods!$B$5:$B$57,$B815)</f>
        <v/>
      </c>
      <c r="E815" s="52">
        <f>INDEX(Periods!$C$5:$C$57,$B815)</f>
        <v/>
      </c>
      <c r="F815" s="50">
        <f>IF(AND($C815&lt;&gt;"",INDEX(Periods!$D$5:$D$57,$B815)=1),1,0)</f>
        <v/>
      </c>
      <c r="G815" s="50">
        <f>IF($F815=0,0,IF(AND(OR(INDEX(Employees!$D$5:$D$29,$A815)="",$E815&gt;=INDEX(Employees!$D$5:$D$29,$A815)+N(INDEX(Employees!$U$5:$U$29,$A815))),OR(INDEX(Employees!$E$5:$E$29,$A815)="",$D815&lt;=INDEX(Employees!$E$5:$E$29,$A815))),1,0))</f>
        <v/>
      </c>
      <c r="H815" s="50">
        <f>IF($G815=0,0,IF(INDEX(Employees!$D$5:$D$29,$A815)="",0,DATEDIF(INDEX(Employees!$D$5:$D$29,$A815),$E815,"y")))</f>
        <v/>
      </c>
      <c r="I815" s="51">
        <f>IF($G815=0,0,IF(INDEX('Hours Worked'!$D$5:$BD$29,$A815,$B815)="",N(INDEX(Employees!$H$5:$H$29,$A815)),INDEX('Hours Worked'!$D$5:$BD$29,$A815,$B815)))</f>
        <v/>
      </c>
      <c r="J815" s="51">
        <f>IF(OR($G815=0,INDEX(Employees!$O$5:$O$29,$A815)&lt;&gt;"Yes"),0,IF(COUNTIF(Settings!$D$4:$D$9,"&lt;="&amp;$H815)=0,0,INDEX(Settings!$E$4:$E$9,COUNTIF(Settings!$D$4:$D$9,"&lt;="&amp;$H815))))</f>
        <v/>
      </c>
      <c r="K815" s="51">
        <f>IF($G815=0,0,IF(INDEX(Employees!$I$5:$I$29,$A815)="Per pay period",(N(INDEX(Employees!$J$5:$J$29,$A815))+$J815)/Settings!$B$13,IF(INDEX(Employees!$I$5:$I$29,$A815)="Per hour worked",N(INDEX(Employees!$K$5:$K$29,$A815))*$I815,IF(INDEX(Employees!$I$5:$I$29,$A815)="Front-loaded",IF(OR($B815=1,N($G814)=0),N(INDEX(Employees!$J$5:$J$29,$A815))+$J815,0),0))))</f>
        <v/>
      </c>
      <c r="L815" s="51">
        <f>IF($F815=0,0,SUMIFS('Time Off Log'!$H$5:$H$504,'Time Off Log'!$A$5:$A$504,$C815,'Time Off Log'!$B$5:$B$504,"PTO",'Time Off Log'!$E$5:$E$504,"Approved",'Time Off Log'!$C$5:$C$504,"&gt;="&amp;INDEX(Periods!$E$5:$E$57,$B815),'Time Off Log'!$C$5:$C$504,"&lt;="&amp;INDEX(Periods!$F$5:$F$57,$B815)))</f>
        <v/>
      </c>
      <c r="M815" s="51">
        <f>IF($B815=1,N(INDEX(Employees!$N$5:$N$29,$A815)),P814)</f>
        <v/>
      </c>
      <c r="N815" s="51">
        <f>IF(INDEX(Employees!$L$5:$L$29,$A815)="",K815,MAX(0,MIN(K815,INDEX(Employees!$L$5:$L$29,$A815)-(M815-L815))))</f>
        <v/>
      </c>
      <c r="O815" s="51">
        <f>K815-N815</f>
        <v/>
      </c>
      <c r="P815" s="51">
        <f>M815-L815+N815</f>
        <v/>
      </c>
      <c r="Q815" s="51">
        <f>IF($G815=0,0,IF(INDEX(Employees!$P$5:$P$29,$A815)="Per pay period",(N(INDEX(Employees!$Q$5:$Q$29,$A815)))/Settings!$B$13,IF(INDEX(Employees!$P$5:$P$29,$A815)="Per hour worked",N(INDEX(Employees!$R$5:$R$29,$A815))*$I815,IF(INDEX(Employees!$P$5:$P$29,$A815)="Front-loaded",IF(OR($B815=1,N($G814)=0),N(INDEX(Employees!$Q$5:$Q$29,$A815)),0),0))))</f>
        <v/>
      </c>
      <c r="R815" s="51">
        <f>IF($F815=0,0,SUMIFS('Time Off Log'!$H$5:$H$504,'Time Off Log'!$A$5:$A$504,$C815,'Time Off Log'!$B$5:$B$504,"Sick",'Time Off Log'!$E$5:$E$504,"Approved",'Time Off Log'!$C$5:$C$504,"&gt;="&amp;INDEX(Periods!$E$5:$E$57,$B815),'Time Off Log'!$C$5:$C$504,"&lt;="&amp;INDEX(Periods!$F$5:$F$57,$B815)))</f>
        <v/>
      </c>
      <c r="S815" s="51">
        <f>IF($B815=1,N(INDEX(Employees!$T$5:$T$29,$A815)),V814)</f>
        <v/>
      </c>
      <c r="T815" s="51">
        <f>IF(INDEX(Employees!$S$5:$S$29,$A815)="",Q815,MAX(0,MIN(Q815,INDEX(Employees!$S$5:$S$29,$A815)-(S815-R815))))</f>
        <v/>
      </c>
      <c r="U815" s="51">
        <f>Q815-T815</f>
        <v/>
      </c>
      <c r="V815" s="51">
        <f>S815-R815+T815</f>
        <v/>
      </c>
    </row>
    <row r="816">
      <c r="A816" s="50" t="n">
        <v>16</v>
      </c>
      <c r="B816" s="50" t="n">
        <v>17</v>
      </c>
      <c r="C816" s="51">
        <f>INDEX(Employees!$B$5:$B$29,$A816)&amp;""</f>
        <v/>
      </c>
      <c r="D816" s="52">
        <f>INDEX(Periods!$B$5:$B$57,$B816)</f>
        <v/>
      </c>
      <c r="E816" s="52">
        <f>INDEX(Periods!$C$5:$C$57,$B816)</f>
        <v/>
      </c>
      <c r="F816" s="50">
        <f>IF(AND($C816&lt;&gt;"",INDEX(Periods!$D$5:$D$57,$B816)=1),1,0)</f>
        <v/>
      </c>
      <c r="G816" s="50">
        <f>IF($F816=0,0,IF(AND(OR(INDEX(Employees!$D$5:$D$29,$A816)="",$E816&gt;=INDEX(Employees!$D$5:$D$29,$A816)+N(INDEX(Employees!$U$5:$U$29,$A816))),OR(INDEX(Employees!$E$5:$E$29,$A816)="",$D816&lt;=INDEX(Employees!$E$5:$E$29,$A816))),1,0))</f>
        <v/>
      </c>
      <c r="H816" s="50">
        <f>IF($G816=0,0,IF(INDEX(Employees!$D$5:$D$29,$A816)="",0,DATEDIF(INDEX(Employees!$D$5:$D$29,$A816),$E816,"y")))</f>
        <v/>
      </c>
      <c r="I816" s="51">
        <f>IF($G816=0,0,IF(INDEX('Hours Worked'!$D$5:$BD$29,$A816,$B816)="",N(INDEX(Employees!$H$5:$H$29,$A816)),INDEX('Hours Worked'!$D$5:$BD$29,$A816,$B816)))</f>
        <v/>
      </c>
      <c r="J816" s="51">
        <f>IF(OR($G816=0,INDEX(Employees!$O$5:$O$29,$A816)&lt;&gt;"Yes"),0,IF(COUNTIF(Settings!$D$4:$D$9,"&lt;="&amp;$H816)=0,0,INDEX(Settings!$E$4:$E$9,COUNTIF(Settings!$D$4:$D$9,"&lt;="&amp;$H816))))</f>
        <v/>
      </c>
      <c r="K816" s="51">
        <f>IF($G816=0,0,IF(INDEX(Employees!$I$5:$I$29,$A816)="Per pay period",(N(INDEX(Employees!$J$5:$J$29,$A816))+$J816)/Settings!$B$13,IF(INDEX(Employees!$I$5:$I$29,$A816)="Per hour worked",N(INDEX(Employees!$K$5:$K$29,$A816))*$I816,IF(INDEX(Employees!$I$5:$I$29,$A816)="Front-loaded",IF(OR($B816=1,N($G815)=0),N(INDEX(Employees!$J$5:$J$29,$A816))+$J816,0),0))))</f>
        <v/>
      </c>
      <c r="L816" s="51">
        <f>IF($F816=0,0,SUMIFS('Time Off Log'!$H$5:$H$504,'Time Off Log'!$A$5:$A$504,$C816,'Time Off Log'!$B$5:$B$504,"PTO",'Time Off Log'!$E$5:$E$504,"Approved",'Time Off Log'!$C$5:$C$504,"&gt;="&amp;INDEX(Periods!$E$5:$E$57,$B816),'Time Off Log'!$C$5:$C$504,"&lt;="&amp;INDEX(Periods!$F$5:$F$57,$B816)))</f>
        <v/>
      </c>
      <c r="M816" s="51">
        <f>IF($B816=1,N(INDEX(Employees!$N$5:$N$29,$A816)),P815)</f>
        <v/>
      </c>
      <c r="N816" s="51">
        <f>IF(INDEX(Employees!$L$5:$L$29,$A816)="",K816,MAX(0,MIN(K816,INDEX(Employees!$L$5:$L$29,$A816)-(M816-L816))))</f>
        <v/>
      </c>
      <c r="O816" s="51">
        <f>K816-N816</f>
        <v/>
      </c>
      <c r="P816" s="51">
        <f>M816-L816+N816</f>
        <v/>
      </c>
      <c r="Q816" s="51">
        <f>IF($G816=0,0,IF(INDEX(Employees!$P$5:$P$29,$A816)="Per pay period",(N(INDEX(Employees!$Q$5:$Q$29,$A816)))/Settings!$B$13,IF(INDEX(Employees!$P$5:$P$29,$A816)="Per hour worked",N(INDEX(Employees!$R$5:$R$29,$A816))*$I816,IF(INDEX(Employees!$P$5:$P$29,$A816)="Front-loaded",IF(OR($B816=1,N($G815)=0),N(INDEX(Employees!$Q$5:$Q$29,$A816)),0),0))))</f>
        <v/>
      </c>
      <c r="R816" s="51">
        <f>IF($F816=0,0,SUMIFS('Time Off Log'!$H$5:$H$504,'Time Off Log'!$A$5:$A$504,$C816,'Time Off Log'!$B$5:$B$504,"Sick",'Time Off Log'!$E$5:$E$504,"Approved",'Time Off Log'!$C$5:$C$504,"&gt;="&amp;INDEX(Periods!$E$5:$E$57,$B816),'Time Off Log'!$C$5:$C$504,"&lt;="&amp;INDEX(Periods!$F$5:$F$57,$B816)))</f>
        <v/>
      </c>
      <c r="S816" s="51">
        <f>IF($B816=1,N(INDEX(Employees!$T$5:$T$29,$A816)),V815)</f>
        <v/>
      </c>
      <c r="T816" s="51">
        <f>IF(INDEX(Employees!$S$5:$S$29,$A816)="",Q816,MAX(0,MIN(Q816,INDEX(Employees!$S$5:$S$29,$A816)-(S816-R816))))</f>
        <v/>
      </c>
      <c r="U816" s="51">
        <f>Q816-T816</f>
        <v/>
      </c>
      <c r="V816" s="51">
        <f>S816-R816+T816</f>
        <v/>
      </c>
    </row>
    <row r="817">
      <c r="A817" s="50" t="n">
        <v>16</v>
      </c>
      <c r="B817" s="50" t="n">
        <v>18</v>
      </c>
      <c r="C817" s="51">
        <f>INDEX(Employees!$B$5:$B$29,$A817)&amp;""</f>
        <v/>
      </c>
      <c r="D817" s="52">
        <f>INDEX(Periods!$B$5:$B$57,$B817)</f>
        <v/>
      </c>
      <c r="E817" s="52">
        <f>INDEX(Periods!$C$5:$C$57,$B817)</f>
        <v/>
      </c>
      <c r="F817" s="50">
        <f>IF(AND($C817&lt;&gt;"",INDEX(Periods!$D$5:$D$57,$B817)=1),1,0)</f>
        <v/>
      </c>
      <c r="G817" s="50">
        <f>IF($F817=0,0,IF(AND(OR(INDEX(Employees!$D$5:$D$29,$A817)="",$E817&gt;=INDEX(Employees!$D$5:$D$29,$A817)+N(INDEX(Employees!$U$5:$U$29,$A817))),OR(INDEX(Employees!$E$5:$E$29,$A817)="",$D817&lt;=INDEX(Employees!$E$5:$E$29,$A817))),1,0))</f>
        <v/>
      </c>
      <c r="H817" s="50">
        <f>IF($G817=0,0,IF(INDEX(Employees!$D$5:$D$29,$A817)="",0,DATEDIF(INDEX(Employees!$D$5:$D$29,$A817),$E817,"y")))</f>
        <v/>
      </c>
      <c r="I817" s="51">
        <f>IF($G817=0,0,IF(INDEX('Hours Worked'!$D$5:$BD$29,$A817,$B817)="",N(INDEX(Employees!$H$5:$H$29,$A817)),INDEX('Hours Worked'!$D$5:$BD$29,$A817,$B817)))</f>
        <v/>
      </c>
      <c r="J817" s="51">
        <f>IF(OR($G817=0,INDEX(Employees!$O$5:$O$29,$A817)&lt;&gt;"Yes"),0,IF(COUNTIF(Settings!$D$4:$D$9,"&lt;="&amp;$H817)=0,0,INDEX(Settings!$E$4:$E$9,COUNTIF(Settings!$D$4:$D$9,"&lt;="&amp;$H817))))</f>
        <v/>
      </c>
      <c r="K817" s="51">
        <f>IF($G817=0,0,IF(INDEX(Employees!$I$5:$I$29,$A817)="Per pay period",(N(INDEX(Employees!$J$5:$J$29,$A817))+$J817)/Settings!$B$13,IF(INDEX(Employees!$I$5:$I$29,$A817)="Per hour worked",N(INDEX(Employees!$K$5:$K$29,$A817))*$I817,IF(INDEX(Employees!$I$5:$I$29,$A817)="Front-loaded",IF(OR($B817=1,N($G816)=0),N(INDEX(Employees!$J$5:$J$29,$A817))+$J817,0),0))))</f>
        <v/>
      </c>
      <c r="L817" s="51">
        <f>IF($F817=0,0,SUMIFS('Time Off Log'!$H$5:$H$504,'Time Off Log'!$A$5:$A$504,$C817,'Time Off Log'!$B$5:$B$504,"PTO",'Time Off Log'!$E$5:$E$504,"Approved",'Time Off Log'!$C$5:$C$504,"&gt;="&amp;INDEX(Periods!$E$5:$E$57,$B817),'Time Off Log'!$C$5:$C$504,"&lt;="&amp;INDEX(Periods!$F$5:$F$57,$B817)))</f>
        <v/>
      </c>
      <c r="M817" s="51">
        <f>IF($B817=1,N(INDEX(Employees!$N$5:$N$29,$A817)),P816)</f>
        <v/>
      </c>
      <c r="N817" s="51">
        <f>IF(INDEX(Employees!$L$5:$L$29,$A817)="",K817,MAX(0,MIN(K817,INDEX(Employees!$L$5:$L$29,$A817)-(M817-L817))))</f>
        <v/>
      </c>
      <c r="O817" s="51">
        <f>K817-N817</f>
        <v/>
      </c>
      <c r="P817" s="51">
        <f>M817-L817+N817</f>
        <v/>
      </c>
      <c r="Q817" s="51">
        <f>IF($G817=0,0,IF(INDEX(Employees!$P$5:$P$29,$A817)="Per pay period",(N(INDEX(Employees!$Q$5:$Q$29,$A817)))/Settings!$B$13,IF(INDEX(Employees!$P$5:$P$29,$A817)="Per hour worked",N(INDEX(Employees!$R$5:$R$29,$A817))*$I817,IF(INDEX(Employees!$P$5:$P$29,$A817)="Front-loaded",IF(OR($B817=1,N($G816)=0),N(INDEX(Employees!$Q$5:$Q$29,$A817)),0),0))))</f>
        <v/>
      </c>
      <c r="R817" s="51">
        <f>IF($F817=0,0,SUMIFS('Time Off Log'!$H$5:$H$504,'Time Off Log'!$A$5:$A$504,$C817,'Time Off Log'!$B$5:$B$504,"Sick",'Time Off Log'!$E$5:$E$504,"Approved",'Time Off Log'!$C$5:$C$504,"&gt;="&amp;INDEX(Periods!$E$5:$E$57,$B817),'Time Off Log'!$C$5:$C$504,"&lt;="&amp;INDEX(Periods!$F$5:$F$57,$B817)))</f>
        <v/>
      </c>
      <c r="S817" s="51">
        <f>IF($B817=1,N(INDEX(Employees!$T$5:$T$29,$A817)),V816)</f>
        <v/>
      </c>
      <c r="T817" s="51">
        <f>IF(INDEX(Employees!$S$5:$S$29,$A817)="",Q817,MAX(0,MIN(Q817,INDEX(Employees!$S$5:$S$29,$A817)-(S817-R817))))</f>
        <v/>
      </c>
      <c r="U817" s="51">
        <f>Q817-T817</f>
        <v/>
      </c>
      <c r="V817" s="51">
        <f>S817-R817+T817</f>
        <v/>
      </c>
    </row>
    <row r="818">
      <c r="A818" s="50" t="n">
        <v>16</v>
      </c>
      <c r="B818" s="50" t="n">
        <v>19</v>
      </c>
      <c r="C818" s="51">
        <f>INDEX(Employees!$B$5:$B$29,$A818)&amp;""</f>
        <v/>
      </c>
      <c r="D818" s="52">
        <f>INDEX(Periods!$B$5:$B$57,$B818)</f>
        <v/>
      </c>
      <c r="E818" s="52">
        <f>INDEX(Periods!$C$5:$C$57,$B818)</f>
        <v/>
      </c>
      <c r="F818" s="50">
        <f>IF(AND($C818&lt;&gt;"",INDEX(Periods!$D$5:$D$57,$B818)=1),1,0)</f>
        <v/>
      </c>
      <c r="G818" s="50">
        <f>IF($F818=0,0,IF(AND(OR(INDEX(Employees!$D$5:$D$29,$A818)="",$E818&gt;=INDEX(Employees!$D$5:$D$29,$A818)+N(INDEX(Employees!$U$5:$U$29,$A818))),OR(INDEX(Employees!$E$5:$E$29,$A818)="",$D818&lt;=INDEX(Employees!$E$5:$E$29,$A818))),1,0))</f>
        <v/>
      </c>
      <c r="H818" s="50">
        <f>IF($G818=0,0,IF(INDEX(Employees!$D$5:$D$29,$A818)="",0,DATEDIF(INDEX(Employees!$D$5:$D$29,$A818),$E818,"y")))</f>
        <v/>
      </c>
      <c r="I818" s="51">
        <f>IF($G818=0,0,IF(INDEX('Hours Worked'!$D$5:$BD$29,$A818,$B818)="",N(INDEX(Employees!$H$5:$H$29,$A818)),INDEX('Hours Worked'!$D$5:$BD$29,$A818,$B818)))</f>
        <v/>
      </c>
      <c r="J818" s="51">
        <f>IF(OR($G818=0,INDEX(Employees!$O$5:$O$29,$A818)&lt;&gt;"Yes"),0,IF(COUNTIF(Settings!$D$4:$D$9,"&lt;="&amp;$H818)=0,0,INDEX(Settings!$E$4:$E$9,COUNTIF(Settings!$D$4:$D$9,"&lt;="&amp;$H818))))</f>
        <v/>
      </c>
      <c r="K818" s="51">
        <f>IF($G818=0,0,IF(INDEX(Employees!$I$5:$I$29,$A818)="Per pay period",(N(INDEX(Employees!$J$5:$J$29,$A818))+$J818)/Settings!$B$13,IF(INDEX(Employees!$I$5:$I$29,$A818)="Per hour worked",N(INDEX(Employees!$K$5:$K$29,$A818))*$I818,IF(INDEX(Employees!$I$5:$I$29,$A818)="Front-loaded",IF(OR($B818=1,N($G817)=0),N(INDEX(Employees!$J$5:$J$29,$A818))+$J818,0),0))))</f>
        <v/>
      </c>
      <c r="L818" s="51">
        <f>IF($F818=0,0,SUMIFS('Time Off Log'!$H$5:$H$504,'Time Off Log'!$A$5:$A$504,$C818,'Time Off Log'!$B$5:$B$504,"PTO",'Time Off Log'!$E$5:$E$504,"Approved",'Time Off Log'!$C$5:$C$504,"&gt;="&amp;INDEX(Periods!$E$5:$E$57,$B818),'Time Off Log'!$C$5:$C$504,"&lt;="&amp;INDEX(Periods!$F$5:$F$57,$B818)))</f>
        <v/>
      </c>
      <c r="M818" s="51">
        <f>IF($B818=1,N(INDEX(Employees!$N$5:$N$29,$A818)),P817)</f>
        <v/>
      </c>
      <c r="N818" s="51">
        <f>IF(INDEX(Employees!$L$5:$L$29,$A818)="",K818,MAX(0,MIN(K818,INDEX(Employees!$L$5:$L$29,$A818)-(M818-L818))))</f>
        <v/>
      </c>
      <c r="O818" s="51">
        <f>K818-N818</f>
        <v/>
      </c>
      <c r="P818" s="51">
        <f>M818-L818+N818</f>
        <v/>
      </c>
      <c r="Q818" s="51">
        <f>IF($G818=0,0,IF(INDEX(Employees!$P$5:$P$29,$A818)="Per pay period",(N(INDEX(Employees!$Q$5:$Q$29,$A818)))/Settings!$B$13,IF(INDEX(Employees!$P$5:$P$29,$A818)="Per hour worked",N(INDEX(Employees!$R$5:$R$29,$A818))*$I818,IF(INDEX(Employees!$P$5:$P$29,$A818)="Front-loaded",IF(OR($B818=1,N($G817)=0),N(INDEX(Employees!$Q$5:$Q$29,$A818)),0),0))))</f>
        <v/>
      </c>
      <c r="R818" s="51">
        <f>IF($F818=0,0,SUMIFS('Time Off Log'!$H$5:$H$504,'Time Off Log'!$A$5:$A$504,$C818,'Time Off Log'!$B$5:$B$504,"Sick",'Time Off Log'!$E$5:$E$504,"Approved",'Time Off Log'!$C$5:$C$504,"&gt;="&amp;INDEX(Periods!$E$5:$E$57,$B818),'Time Off Log'!$C$5:$C$504,"&lt;="&amp;INDEX(Periods!$F$5:$F$57,$B818)))</f>
        <v/>
      </c>
      <c r="S818" s="51">
        <f>IF($B818=1,N(INDEX(Employees!$T$5:$T$29,$A818)),V817)</f>
        <v/>
      </c>
      <c r="T818" s="51">
        <f>IF(INDEX(Employees!$S$5:$S$29,$A818)="",Q818,MAX(0,MIN(Q818,INDEX(Employees!$S$5:$S$29,$A818)-(S818-R818))))</f>
        <v/>
      </c>
      <c r="U818" s="51">
        <f>Q818-T818</f>
        <v/>
      </c>
      <c r="V818" s="51">
        <f>S818-R818+T818</f>
        <v/>
      </c>
    </row>
    <row r="819">
      <c r="A819" s="50" t="n">
        <v>16</v>
      </c>
      <c r="B819" s="50" t="n">
        <v>20</v>
      </c>
      <c r="C819" s="51">
        <f>INDEX(Employees!$B$5:$B$29,$A819)&amp;""</f>
        <v/>
      </c>
      <c r="D819" s="52">
        <f>INDEX(Periods!$B$5:$B$57,$B819)</f>
        <v/>
      </c>
      <c r="E819" s="52">
        <f>INDEX(Periods!$C$5:$C$57,$B819)</f>
        <v/>
      </c>
      <c r="F819" s="50">
        <f>IF(AND($C819&lt;&gt;"",INDEX(Periods!$D$5:$D$57,$B819)=1),1,0)</f>
        <v/>
      </c>
      <c r="G819" s="50">
        <f>IF($F819=0,0,IF(AND(OR(INDEX(Employees!$D$5:$D$29,$A819)="",$E819&gt;=INDEX(Employees!$D$5:$D$29,$A819)+N(INDEX(Employees!$U$5:$U$29,$A819))),OR(INDEX(Employees!$E$5:$E$29,$A819)="",$D819&lt;=INDEX(Employees!$E$5:$E$29,$A819))),1,0))</f>
        <v/>
      </c>
      <c r="H819" s="50">
        <f>IF($G819=0,0,IF(INDEX(Employees!$D$5:$D$29,$A819)="",0,DATEDIF(INDEX(Employees!$D$5:$D$29,$A819),$E819,"y")))</f>
        <v/>
      </c>
      <c r="I819" s="51">
        <f>IF($G819=0,0,IF(INDEX('Hours Worked'!$D$5:$BD$29,$A819,$B819)="",N(INDEX(Employees!$H$5:$H$29,$A819)),INDEX('Hours Worked'!$D$5:$BD$29,$A819,$B819)))</f>
        <v/>
      </c>
      <c r="J819" s="51">
        <f>IF(OR($G819=0,INDEX(Employees!$O$5:$O$29,$A819)&lt;&gt;"Yes"),0,IF(COUNTIF(Settings!$D$4:$D$9,"&lt;="&amp;$H819)=0,0,INDEX(Settings!$E$4:$E$9,COUNTIF(Settings!$D$4:$D$9,"&lt;="&amp;$H819))))</f>
        <v/>
      </c>
      <c r="K819" s="51">
        <f>IF($G819=0,0,IF(INDEX(Employees!$I$5:$I$29,$A819)="Per pay period",(N(INDEX(Employees!$J$5:$J$29,$A819))+$J819)/Settings!$B$13,IF(INDEX(Employees!$I$5:$I$29,$A819)="Per hour worked",N(INDEX(Employees!$K$5:$K$29,$A819))*$I819,IF(INDEX(Employees!$I$5:$I$29,$A819)="Front-loaded",IF(OR($B819=1,N($G818)=0),N(INDEX(Employees!$J$5:$J$29,$A819))+$J819,0),0))))</f>
        <v/>
      </c>
      <c r="L819" s="51">
        <f>IF($F819=0,0,SUMIFS('Time Off Log'!$H$5:$H$504,'Time Off Log'!$A$5:$A$504,$C819,'Time Off Log'!$B$5:$B$504,"PTO",'Time Off Log'!$E$5:$E$504,"Approved",'Time Off Log'!$C$5:$C$504,"&gt;="&amp;INDEX(Periods!$E$5:$E$57,$B819),'Time Off Log'!$C$5:$C$504,"&lt;="&amp;INDEX(Periods!$F$5:$F$57,$B819)))</f>
        <v/>
      </c>
      <c r="M819" s="51">
        <f>IF($B819=1,N(INDEX(Employees!$N$5:$N$29,$A819)),P818)</f>
        <v/>
      </c>
      <c r="N819" s="51">
        <f>IF(INDEX(Employees!$L$5:$L$29,$A819)="",K819,MAX(0,MIN(K819,INDEX(Employees!$L$5:$L$29,$A819)-(M819-L819))))</f>
        <v/>
      </c>
      <c r="O819" s="51">
        <f>K819-N819</f>
        <v/>
      </c>
      <c r="P819" s="51">
        <f>M819-L819+N819</f>
        <v/>
      </c>
      <c r="Q819" s="51">
        <f>IF($G819=0,0,IF(INDEX(Employees!$P$5:$P$29,$A819)="Per pay period",(N(INDEX(Employees!$Q$5:$Q$29,$A819)))/Settings!$B$13,IF(INDEX(Employees!$P$5:$P$29,$A819)="Per hour worked",N(INDEX(Employees!$R$5:$R$29,$A819))*$I819,IF(INDEX(Employees!$P$5:$P$29,$A819)="Front-loaded",IF(OR($B819=1,N($G818)=0),N(INDEX(Employees!$Q$5:$Q$29,$A819)),0),0))))</f>
        <v/>
      </c>
      <c r="R819" s="51">
        <f>IF($F819=0,0,SUMIFS('Time Off Log'!$H$5:$H$504,'Time Off Log'!$A$5:$A$504,$C819,'Time Off Log'!$B$5:$B$504,"Sick",'Time Off Log'!$E$5:$E$504,"Approved",'Time Off Log'!$C$5:$C$504,"&gt;="&amp;INDEX(Periods!$E$5:$E$57,$B819),'Time Off Log'!$C$5:$C$504,"&lt;="&amp;INDEX(Periods!$F$5:$F$57,$B819)))</f>
        <v/>
      </c>
      <c r="S819" s="51">
        <f>IF($B819=1,N(INDEX(Employees!$T$5:$T$29,$A819)),V818)</f>
        <v/>
      </c>
      <c r="T819" s="51">
        <f>IF(INDEX(Employees!$S$5:$S$29,$A819)="",Q819,MAX(0,MIN(Q819,INDEX(Employees!$S$5:$S$29,$A819)-(S819-R819))))</f>
        <v/>
      </c>
      <c r="U819" s="51">
        <f>Q819-T819</f>
        <v/>
      </c>
      <c r="V819" s="51">
        <f>S819-R819+T819</f>
        <v/>
      </c>
    </row>
    <row r="820">
      <c r="A820" s="50" t="n">
        <v>16</v>
      </c>
      <c r="B820" s="50" t="n">
        <v>21</v>
      </c>
      <c r="C820" s="51">
        <f>INDEX(Employees!$B$5:$B$29,$A820)&amp;""</f>
        <v/>
      </c>
      <c r="D820" s="52">
        <f>INDEX(Periods!$B$5:$B$57,$B820)</f>
        <v/>
      </c>
      <c r="E820" s="52">
        <f>INDEX(Periods!$C$5:$C$57,$B820)</f>
        <v/>
      </c>
      <c r="F820" s="50">
        <f>IF(AND($C820&lt;&gt;"",INDEX(Periods!$D$5:$D$57,$B820)=1),1,0)</f>
        <v/>
      </c>
      <c r="G820" s="50">
        <f>IF($F820=0,0,IF(AND(OR(INDEX(Employees!$D$5:$D$29,$A820)="",$E820&gt;=INDEX(Employees!$D$5:$D$29,$A820)+N(INDEX(Employees!$U$5:$U$29,$A820))),OR(INDEX(Employees!$E$5:$E$29,$A820)="",$D820&lt;=INDEX(Employees!$E$5:$E$29,$A820))),1,0))</f>
        <v/>
      </c>
      <c r="H820" s="50">
        <f>IF($G820=0,0,IF(INDEX(Employees!$D$5:$D$29,$A820)="",0,DATEDIF(INDEX(Employees!$D$5:$D$29,$A820),$E820,"y")))</f>
        <v/>
      </c>
      <c r="I820" s="51">
        <f>IF($G820=0,0,IF(INDEX('Hours Worked'!$D$5:$BD$29,$A820,$B820)="",N(INDEX(Employees!$H$5:$H$29,$A820)),INDEX('Hours Worked'!$D$5:$BD$29,$A820,$B820)))</f>
        <v/>
      </c>
      <c r="J820" s="51">
        <f>IF(OR($G820=0,INDEX(Employees!$O$5:$O$29,$A820)&lt;&gt;"Yes"),0,IF(COUNTIF(Settings!$D$4:$D$9,"&lt;="&amp;$H820)=0,0,INDEX(Settings!$E$4:$E$9,COUNTIF(Settings!$D$4:$D$9,"&lt;="&amp;$H820))))</f>
        <v/>
      </c>
      <c r="K820" s="51">
        <f>IF($G820=0,0,IF(INDEX(Employees!$I$5:$I$29,$A820)="Per pay period",(N(INDEX(Employees!$J$5:$J$29,$A820))+$J820)/Settings!$B$13,IF(INDEX(Employees!$I$5:$I$29,$A820)="Per hour worked",N(INDEX(Employees!$K$5:$K$29,$A820))*$I820,IF(INDEX(Employees!$I$5:$I$29,$A820)="Front-loaded",IF(OR($B820=1,N($G819)=0),N(INDEX(Employees!$J$5:$J$29,$A820))+$J820,0),0))))</f>
        <v/>
      </c>
      <c r="L820" s="51">
        <f>IF($F820=0,0,SUMIFS('Time Off Log'!$H$5:$H$504,'Time Off Log'!$A$5:$A$504,$C820,'Time Off Log'!$B$5:$B$504,"PTO",'Time Off Log'!$E$5:$E$504,"Approved",'Time Off Log'!$C$5:$C$504,"&gt;="&amp;INDEX(Periods!$E$5:$E$57,$B820),'Time Off Log'!$C$5:$C$504,"&lt;="&amp;INDEX(Periods!$F$5:$F$57,$B820)))</f>
        <v/>
      </c>
      <c r="M820" s="51">
        <f>IF($B820=1,N(INDEX(Employees!$N$5:$N$29,$A820)),P819)</f>
        <v/>
      </c>
      <c r="N820" s="51">
        <f>IF(INDEX(Employees!$L$5:$L$29,$A820)="",K820,MAX(0,MIN(K820,INDEX(Employees!$L$5:$L$29,$A820)-(M820-L820))))</f>
        <v/>
      </c>
      <c r="O820" s="51">
        <f>K820-N820</f>
        <v/>
      </c>
      <c r="P820" s="51">
        <f>M820-L820+N820</f>
        <v/>
      </c>
      <c r="Q820" s="51">
        <f>IF($G820=0,0,IF(INDEX(Employees!$P$5:$P$29,$A820)="Per pay period",(N(INDEX(Employees!$Q$5:$Q$29,$A820)))/Settings!$B$13,IF(INDEX(Employees!$P$5:$P$29,$A820)="Per hour worked",N(INDEX(Employees!$R$5:$R$29,$A820))*$I820,IF(INDEX(Employees!$P$5:$P$29,$A820)="Front-loaded",IF(OR($B820=1,N($G819)=0),N(INDEX(Employees!$Q$5:$Q$29,$A820)),0),0))))</f>
        <v/>
      </c>
      <c r="R820" s="51">
        <f>IF($F820=0,0,SUMIFS('Time Off Log'!$H$5:$H$504,'Time Off Log'!$A$5:$A$504,$C820,'Time Off Log'!$B$5:$B$504,"Sick",'Time Off Log'!$E$5:$E$504,"Approved",'Time Off Log'!$C$5:$C$504,"&gt;="&amp;INDEX(Periods!$E$5:$E$57,$B820),'Time Off Log'!$C$5:$C$504,"&lt;="&amp;INDEX(Periods!$F$5:$F$57,$B820)))</f>
        <v/>
      </c>
      <c r="S820" s="51">
        <f>IF($B820=1,N(INDEX(Employees!$T$5:$T$29,$A820)),V819)</f>
        <v/>
      </c>
      <c r="T820" s="51">
        <f>IF(INDEX(Employees!$S$5:$S$29,$A820)="",Q820,MAX(0,MIN(Q820,INDEX(Employees!$S$5:$S$29,$A820)-(S820-R820))))</f>
        <v/>
      </c>
      <c r="U820" s="51">
        <f>Q820-T820</f>
        <v/>
      </c>
      <c r="V820" s="51">
        <f>S820-R820+T820</f>
        <v/>
      </c>
    </row>
    <row r="821">
      <c r="A821" s="50" t="n">
        <v>16</v>
      </c>
      <c r="B821" s="50" t="n">
        <v>22</v>
      </c>
      <c r="C821" s="51">
        <f>INDEX(Employees!$B$5:$B$29,$A821)&amp;""</f>
        <v/>
      </c>
      <c r="D821" s="52">
        <f>INDEX(Periods!$B$5:$B$57,$B821)</f>
        <v/>
      </c>
      <c r="E821" s="52">
        <f>INDEX(Periods!$C$5:$C$57,$B821)</f>
        <v/>
      </c>
      <c r="F821" s="50">
        <f>IF(AND($C821&lt;&gt;"",INDEX(Periods!$D$5:$D$57,$B821)=1),1,0)</f>
        <v/>
      </c>
      <c r="G821" s="50">
        <f>IF($F821=0,0,IF(AND(OR(INDEX(Employees!$D$5:$D$29,$A821)="",$E821&gt;=INDEX(Employees!$D$5:$D$29,$A821)+N(INDEX(Employees!$U$5:$U$29,$A821))),OR(INDEX(Employees!$E$5:$E$29,$A821)="",$D821&lt;=INDEX(Employees!$E$5:$E$29,$A821))),1,0))</f>
        <v/>
      </c>
      <c r="H821" s="50">
        <f>IF($G821=0,0,IF(INDEX(Employees!$D$5:$D$29,$A821)="",0,DATEDIF(INDEX(Employees!$D$5:$D$29,$A821),$E821,"y")))</f>
        <v/>
      </c>
      <c r="I821" s="51">
        <f>IF($G821=0,0,IF(INDEX('Hours Worked'!$D$5:$BD$29,$A821,$B821)="",N(INDEX(Employees!$H$5:$H$29,$A821)),INDEX('Hours Worked'!$D$5:$BD$29,$A821,$B821)))</f>
        <v/>
      </c>
      <c r="J821" s="51">
        <f>IF(OR($G821=0,INDEX(Employees!$O$5:$O$29,$A821)&lt;&gt;"Yes"),0,IF(COUNTIF(Settings!$D$4:$D$9,"&lt;="&amp;$H821)=0,0,INDEX(Settings!$E$4:$E$9,COUNTIF(Settings!$D$4:$D$9,"&lt;="&amp;$H821))))</f>
        <v/>
      </c>
      <c r="K821" s="51">
        <f>IF($G821=0,0,IF(INDEX(Employees!$I$5:$I$29,$A821)="Per pay period",(N(INDEX(Employees!$J$5:$J$29,$A821))+$J821)/Settings!$B$13,IF(INDEX(Employees!$I$5:$I$29,$A821)="Per hour worked",N(INDEX(Employees!$K$5:$K$29,$A821))*$I821,IF(INDEX(Employees!$I$5:$I$29,$A821)="Front-loaded",IF(OR($B821=1,N($G820)=0),N(INDEX(Employees!$J$5:$J$29,$A821))+$J821,0),0))))</f>
        <v/>
      </c>
      <c r="L821" s="51">
        <f>IF($F821=0,0,SUMIFS('Time Off Log'!$H$5:$H$504,'Time Off Log'!$A$5:$A$504,$C821,'Time Off Log'!$B$5:$B$504,"PTO",'Time Off Log'!$E$5:$E$504,"Approved",'Time Off Log'!$C$5:$C$504,"&gt;="&amp;INDEX(Periods!$E$5:$E$57,$B821),'Time Off Log'!$C$5:$C$504,"&lt;="&amp;INDEX(Periods!$F$5:$F$57,$B821)))</f>
        <v/>
      </c>
      <c r="M821" s="51">
        <f>IF($B821=1,N(INDEX(Employees!$N$5:$N$29,$A821)),P820)</f>
        <v/>
      </c>
      <c r="N821" s="51">
        <f>IF(INDEX(Employees!$L$5:$L$29,$A821)="",K821,MAX(0,MIN(K821,INDEX(Employees!$L$5:$L$29,$A821)-(M821-L821))))</f>
        <v/>
      </c>
      <c r="O821" s="51">
        <f>K821-N821</f>
        <v/>
      </c>
      <c r="P821" s="51">
        <f>M821-L821+N821</f>
        <v/>
      </c>
      <c r="Q821" s="51">
        <f>IF($G821=0,0,IF(INDEX(Employees!$P$5:$P$29,$A821)="Per pay period",(N(INDEX(Employees!$Q$5:$Q$29,$A821)))/Settings!$B$13,IF(INDEX(Employees!$P$5:$P$29,$A821)="Per hour worked",N(INDEX(Employees!$R$5:$R$29,$A821))*$I821,IF(INDEX(Employees!$P$5:$P$29,$A821)="Front-loaded",IF(OR($B821=1,N($G820)=0),N(INDEX(Employees!$Q$5:$Q$29,$A821)),0),0))))</f>
        <v/>
      </c>
      <c r="R821" s="51">
        <f>IF($F821=0,0,SUMIFS('Time Off Log'!$H$5:$H$504,'Time Off Log'!$A$5:$A$504,$C821,'Time Off Log'!$B$5:$B$504,"Sick",'Time Off Log'!$E$5:$E$504,"Approved",'Time Off Log'!$C$5:$C$504,"&gt;="&amp;INDEX(Periods!$E$5:$E$57,$B821),'Time Off Log'!$C$5:$C$504,"&lt;="&amp;INDEX(Periods!$F$5:$F$57,$B821)))</f>
        <v/>
      </c>
      <c r="S821" s="51">
        <f>IF($B821=1,N(INDEX(Employees!$T$5:$T$29,$A821)),V820)</f>
        <v/>
      </c>
      <c r="T821" s="51">
        <f>IF(INDEX(Employees!$S$5:$S$29,$A821)="",Q821,MAX(0,MIN(Q821,INDEX(Employees!$S$5:$S$29,$A821)-(S821-R821))))</f>
        <v/>
      </c>
      <c r="U821" s="51">
        <f>Q821-T821</f>
        <v/>
      </c>
      <c r="V821" s="51">
        <f>S821-R821+T821</f>
        <v/>
      </c>
    </row>
    <row r="822">
      <c r="A822" s="50" t="n">
        <v>16</v>
      </c>
      <c r="B822" s="50" t="n">
        <v>23</v>
      </c>
      <c r="C822" s="51">
        <f>INDEX(Employees!$B$5:$B$29,$A822)&amp;""</f>
        <v/>
      </c>
      <c r="D822" s="52">
        <f>INDEX(Periods!$B$5:$B$57,$B822)</f>
        <v/>
      </c>
      <c r="E822" s="52">
        <f>INDEX(Periods!$C$5:$C$57,$B822)</f>
        <v/>
      </c>
      <c r="F822" s="50">
        <f>IF(AND($C822&lt;&gt;"",INDEX(Periods!$D$5:$D$57,$B822)=1),1,0)</f>
        <v/>
      </c>
      <c r="G822" s="50">
        <f>IF($F822=0,0,IF(AND(OR(INDEX(Employees!$D$5:$D$29,$A822)="",$E822&gt;=INDEX(Employees!$D$5:$D$29,$A822)+N(INDEX(Employees!$U$5:$U$29,$A822))),OR(INDEX(Employees!$E$5:$E$29,$A822)="",$D822&lt;=INDEX(Employees!$E$5:$E$29,$A822))),1,0))</f>
        <v/>
      </c>
      <c r="H822" s="50">
        <f>IF($G822=0,0,IF(INDEX(Employees!$D$5:$D$29,$A822)="",0,DATEDIF(INDEX(Employees!$D$5:$D$29,$A822),$E822,"y")))</f>
        <v/>
      </c>
      <c r="I822" s="51">
        <f>IF($G822=0,0,IF(INDEX('Hours Worked'!$D$5:$BD$29,$A822,$B822)="",N(INDEX(Employees!$H$5:$H$29,$A822)),INDEX('Hours Worked'!$D$5:$BD$29,$A822,$B822)))</f>
        <v/>
      </c>
      <c r="J822" s="51">
        <f>IF(OR($G822=0,INDEX(Employees!$O$5:$O$29,$A822)&lt;&gt;"Yes"),0,IF(COUNTIF(Settings!$D$4:$D$9,"&lt;="&amp;$H822)=0,0,INDEX(Settings!$E$4:$E$9,COUNTIF(Settings!$D$4:$D$9,"&lt;="&amp;$H822))))</f>
        <v/>
      </c>
      <c r="K822" s="51">
        <f>IF($G822=0,0,IF(INDEX(Employees!$I$5:$I$29,$A822)="Per pay period",(N(INDEX(Employees!$J$5:$J$29,$A822))+$J822)/Settings!$B$13,IF(INDEX(Employees!$I$5:$I$29,$A822)="Per hour worked",N(INDEX(Employees!$K$5:$K$29,$A822))*$I822,IF(INDEX(Employees!$I$5:$I$29,$A822)="Front-loaded",IF(OR($B822=1,N($G821)=0),N(INDEX(Employees!$J$5:$J$29,$A822))+$J822,0),0))))</f>
        <v/>
      </c>
      <c r="L822" s="51">
        <f>IF($F822=0,0,SUMIFS('Time Off Log'!$H$5:$H$504,'Time Off Log'!$A$5:$A$504,$C822,'Time Off Log'!$B$5:$B$504,"PTO",'Time Off Log'!$E$5:$E$504,"Approved",'Time Off Log'!$C$5:$C$504,"&gt;="&amp;INDEX(Periods!$E$5:$E$57,$B822),'Time Off Log'!$C$5:$C$504,"&lt;="&amp;INDEX(Periods!$F$5:$F$57,$B822)))</f>
        <v/>
      </c>
      <c r="M822" s="51">
        <f>IF($B822=1,N(INDEX(Employees!$N$5:$N$29,$A822)),P821)</f>
        <v/>
      </c>
      <c r="N822" s="51">
        <f>IF(INDEX(Employees!$L$5:$L$29,$A822)="",K822,MAX(0,MIN(K822,INDEX(Employees!$L$5:$L$29,$A822)-(M822-L822))))</f>
        <v/>
      </c>
      <c r="O822" s="51">
        <f>K822-N822</f>
        <v/>
      </c>
      <c r="P822" s="51">
        <f>M822-L822+N822</f>
        <v/>
      </c>
      <c r="Q822" s="51">
        <f>IF($G822=0,0,IF(INDEX(Employees!$P$5:$P$29,$A822)="Per pay period",(N(INDEX(Employees!$Q$5:$Q$29,$A822)))/Settings!$B$13,IF(INDEX(Employees!$P$5:$P$29,$A822)="Per hour worked",N(INDEX(Employees!$R$5:$R$29,$A822))*$I822,IF(INDEX(Employees!$P$5:$P$29,$A822)="Front-loaded",IF(OR($B822=1,N($G821)=0),N(INDEX(Employees!$Q$5:$Q$29,$A822)),0),0))))</f>
        <v/>
      </c>
      <c r="R822" s="51">
        <f>IF($F822=0,0,SUMIFS('Time Off Log'!$H$5:$H$504,'Time Off Log'!$A$5:$A$504,$C822,'Time Off Log'!$B$5:$B$504,"Sick",'Time Off Log'!$E$5:$E$504,"Approved",'Time Off Log'!$C$5:$C$504,"&gt;="&amp;INDEX(Periods!$E$5:$E$57,$B822),'Time Off Log'!$C$5:$C$504,"&lt;="&amp;INDEX(Periods!$F$5:$F$57,$B822)))</f>
        <v/>
      </c>
      <c r="S822" s="51">
        <f>IF($B822=1,N(INDEX(Employees!$T$5:$T$29,$A822)),V821)</f>
        <v/>
      </c>
      <c r="T822" s="51">
        <f>IF(INDEX(Employees!$S$5:$S$29,$A822)="",Q822,MAX(0,MIN(Q822,INDEX(Employees!$S$5:$S$29,$A822)-(S822-R822))))</f>
        <v/>
      </c>
      <c r="U822" s="51">
        <f>Q822-T822</f>
        <v/>
      </c>
      <c r="V822" s="51">
        <f>S822-R822+T822</f>
        <v/>
      </c>
    </row>
    <row r="823">
      <c r="A823" s="50" t="n">
        <v>16</v>
      </c>
      <c r="B823" s="50" t="n">
        <v>24</v>
      </c>
      <c r="C823" s="51">
        <f>INDEX(Employees!$B$5:$B$29,$A823)&amp;""</f>
        <v/>
      </c>
      <c r="D823" s="52">
        <f>INDEX(Periods!$B$5:$B$57,$B823)</f>
        <v/>
      </c>
      <c r="E823" s="52">
        <f>INDEX(Periods!$C$5:$C$57,$B823)</f>
        <v/>
      </c>
      <c r="F823" s="50">
        <f>IF(AND($C823&lt;&gt;"",INDEX(Periods!$D$5:$D$57,$B823)=1),1,0)</f>
        <v/>
      </c>
      <c r="G823" s="50">
        <f>IF($F823=0,0,IF(AND(OR(INDEX(Employees!$D$5:$D$29,$A823)="",$E823&gt;=INDEX(Employees!$D$5:$D$29,$A823)+N(INDEX(Employees!$U$5:$U$29,$A823))),OR(INDEX(Employees!$E$5:$E$29,$A823)="",$D823&lt;=INDEX(Employees!$E$5:$E$29,$A823))),1,0))</f>
        <v/>
      </c>
      <c r="H823" s="50">
        <f>IF($G823=0,0,IF(INDEX(Employees!$D$5:$D$29,$A823)="",0,DATEDIF(INDEX(Employees!$D$5:$D$29,$A823),$E823,"y")))</f>
        <v/>
      </c>
      <c r="I823" s="51">
        <f>IF($G823=0,0,IF(INDEX('Hours Worked'!$D$5:$BD$29,$A823,$B823)="",N(INDEX(Employees!$H$5:$H$29,$A823)),INDEX('Hours Worked'!$D$5:$BD$29,$A823,$B823)))</f>
        <v/>
      </c>
      <c r="J823" s="51">
        <f>IF(OR($G823=0,INDEX(Employees!$O$5:$O$29,$A823)&lt;&gt;"Yes"),0,IF(COUNTIF(Settings!$D$4:$D$9,"&lt;="&amp;$H823)=0,0,INDEX(Settings!$E$4:$E$9,COUNTIF(Settings!$D$4:$D$9,"&lt;="&amp;$H823))))</f>
        <v/>
      </c>
      <c r="K823" s="51">
        <f>IF($G823=0,0,IF(INDEX(Employees!$I$5:$I$29,$A823)="Per pay period",(N(INDEX(Employees!$J$5:$J$29,$A823))+$J823)/Settings!$B$13,IF(INDEX(Employees!$I$5:$I$29,$A823)="Per hour worked",N(INDEX(Employees!$K$5:$K$29,$A823))*$I823,IF(INDEX(Employees!$I$5:$I$29,$A823)="Front-loaded",IF(OR($B823=1,N($G822)=0),N(INDEX(Employees!$J$5:$J$29,$A823))+$J823,0),0))))</f>
        <v/>
      </c>
      <c r="L823" s="51">
        <f>IF($F823=0,0,SUMIFS('Time Off Log'!$H$5:$H$504,'Time Off Log'!$A$5:$A$504,$C823,'Time Off Log'!$B$5:$B$504,"PTO",'Time Off Log'!$E$5:$E$504,"Approved",'Time Off Log'!$C$5:$C$504,"&gt;="&amp;INDEX(Periods!$E$5:$E$57,$B823),'Time Off Log'!$C$5:$C$504,"&lt;="&amp;INDEX(Periods!$F$5:$F$57,$B823)))</f>
        <v/>
      </c>
      <c r="M823" s="51">
        <f>IF($B823=1,N(INDEX(Employees!$N$5:$N$29,$A823)),P822)</f>
        <v/>
      </c>
      <c r="N823" s="51">
        <f>IF(INDEX(Employees!$L$5:$L$29,$A823)="",K823,MAX(0,MIN(K823,INDEX(Employees!$L$5:$L$29,$A823)-(M823-L823))))</f>
        <v/>
      </c>
      <c r="O823" s="51">
        <f>K823-N823</f>
        <v/>
      </c>
      <c r="P823" s="51">
        <f>M823-L823+N823</f>
        <v/>
      </c>
      <c r="Q823" s="51">
        <f>IF($G823=0,0,IF(INDEX(Employees!$P$5:$P$29,$A823)="Per pay period",(N(INDEX(Employees!$Q$5:$Q$29,$A823)))/Settings!$B$13,IF(INDEX(Employees!$P$5:$P$29,$A823)="Per hour worked",N(INDEX(Employees!$R$5:$R$29,$A823))*$I823,IF(INDEX(Employees!$P$5:$P$29,$A823)="Front-loaded",IF(OR($B823=1,N($G822)=0),N(INDEX(Employees!$Q$5:$Q$29,$A823)),0),0))))</f>
        <v/>
      </c>
      <c r="R823" s="51">
        <f>IF($F823=0,0,SUMIFS('Time Off Log'!$H$5:$H$504,'Time Off Log'!$A$5:$A$504,$C823,'Time Off Log'!$B$5:$B$504,"Sick",'Time Off Log'!$E$5:$E$504,"Approved",'Time Off Log'!$C$5:$C$504,"&gt;="&amp;INDEX(Periods!$E$5:$E$57,$B823),'Time Off Log'!$C$5:$C$504,"&lt;="&amp;INDEX(Periods!$F$5:$F$57,$B823)))</f>
        <v/>
      </c>
      <c r="S823" s="51">
        <f>IF($B823=1,N(INDEX(Employees!$T$5:$T$29,$A823)),V822)</f>
        <v/>
      </c>
      <c r="T823" s="51">
        <f>IF(INDEX(Employees!$S$5:$S$29,$A823)="",Q823,MAX(0,MIN(Q823,INDEX(Employees!$S$5:$S$29,$A823)-(S823-R823))))</f>
        <v/>
      </c>
      <c r="U823" s="51">
        <f>Q823-T823</f>
        <v/>
      </c>
      <c r="V823" s="51">
        <f>S823-R823+T823</f>
        <v/>
      </c>
    </row>
    <row r="824">
      <c r="A824" s="50" t="n">
        <v>16</v>
      </c>
      <c r="B824" s="50" t="n">
        <v>25</v>
      </c>
      <c r="C824" s="51">
        <f>INDEX(Employees!$B$5:$B$29,$A824)&amp;""</f>
        <v/>
      </c>
      <c r="D824" s="52">
        <f>INDEX(Periods!$B$5:$B$57,$B824)</f>
        <v/>
      </c>
      <c r="E824" s="52">
        <f>INDEX(Periods!$C$5:$C$57,$B824)</f>
        <v/>
      </c>
      <c r="F824" s="50">
        <f>IF(AND($C824&lt;&gt;"",INDEX(Periods!$D$5:$D$57,$B824)=1),1,0)</f>
        <v/>
      </c>
      <c r="G824" s="50">
        <f>IF($F824=0,0,IF(AND(OR(INDEX(Employees!$D$5:$D$29,$A824)="",$E824&gt;=INDEX(Employees!$D$5:$D$29,$A824)+N(INDEX(Employees!$U$5:$U$29,$A824))),OR(INDEX(Employees!$E$5:$E$29,$A824)="",$D824&lt;=INDEX(Employees!$E$5:$E$29,$A824))),1,0))</f>
        <v/>
      </c>
      <c r="H824" s="50">
        <f>IF($G824=0,0,IF(INDEX(Employees!$D$5:$D$29,$A824)="",0,DATEDIF(INDEX(Employees!$D$5:$D$29,$A824),$E824,"y")))</f>
        <v/>
      </c>
      <c r="I824" s="51">
        <f>IF($G824=0,0,IF(INDEX('Hours Worked'!$D$5:$BD$29,$A824,$B824)="",N(INDEX(Employees!$H$5:$H$29,$A824)),INDEX('Hours Worked'!$D$5:$BD$29,$A824,$B824)))</f>
        <v/>
      </c>
      <c r="J824" s="51">
        <f>IF(OR($G824=0,INDEX(Employees!$O$5:$O$29,$A824)&lt;&gt;"Yes"),0,IF(COUNTIF(Settings!$D$4:$D$9,"&lt;="&amp;$H824)=0,0,INDEX(Settings!$E$4:$E$9,COUNTIF(Settings!$D$4:$D$9,"&lt;="&amp;$H824))))</f>
        <v/>
      </c>
      <c r="K824" s="51">
        <f>IF($G824=0,0,IF(INDEX(Employees!$I$5:$I$29,$A824)="Per pay period",(N(INDEX(Employees!$J$5:$J$29,$A824))+$J824)/Settings!$B$13,IF(INDEX(Employees!$I$5:$I$29,$A824)="Per hour worked",N(INDEX(Employees!$K$5:$K$29,$A824))*$I824,IF(INDEX(Employees!$I$5:$I$29,$A824)="Front-loaded",IF(OR($B824=1,N($G823)=0),N(INDEX(Employees!$J$5:$J$29,$A824))+$J824,0),0))))</f>
        <v/>
      </c>
      <c r="L824" s="51">
        <f>IF($F824=0,0,SUMIFS('Time Off Log'!$H$5:$H$504,'Time Off Log'!$A$5:$A$504,$C824,'Time Off Log'!$B$5:$B$504,"PTO",'Time Off Log'!$E$5:$E$504,"Approved",'Time Off Log'!$C$5:$C$504,"&gt;="&amp;INDEX(Periods!$E$5:$E$57,$B824),'Time Off Log'!$C$5:$C$504,"&lt;="&amp;INDEX(Periods!$F$5:$F$57,$B824)))</f>
        <v/>
      </c>
      <c r="M824" s="51">
        <f>IF($B824=1,N(INDEX(Employees!$N$5:$N$29,$A824)),P823)</f>
        <v/>
      </c>
      <c r="N824" s="51">
        <f>IF(INDEX(Employees!$L$5:$L$29,$A824)="",K824,MAX(0,MIN(K824,INDEX(Employees!$L$5:$L$29,$A824)-(M824-L824))))</f>
        <v/>
      </c>
      <c r="O824" s="51">
        <f>K824-N824</f>
        <v/>
      </c>
      <c r="P824" s="51">
        <f>M824-L824+N824</f>
        <v/>
      </c>
      <c r="Q824" s="51">
        <f>IF($G824=0,0,IF(INDEX(Employees!$P$5:$P$29,$A824)="Per pay period",(N(INDEX(Employees!$Q$5:$Q$29,$A824)))/Settings!$B$13,IF(INDEX(Employees!$P$5:$P$29,$A824)="Per hour worked",N(INDEX(Employees!$R$5:$R$29,$A824))*$I824,IF(INDEX(Employees!$P$5:$P$29,$A824)="Front-loaded",IF(OR($B824=1,N($G823)=0),N(INDEX(Employees!$Q$5:$Q$29,$A824)),0),0))))</f>
        <v/>
      </c>
      <c r="R824" s="51">
        <f>IF($F824=0,0,SUMIFS('Time Off Log'!$H$5:$H$504,'Time Off Log'!$A$5:$A$504,$C824,'Time Off Log'!$B$5:$B$504,"Sick",'Time Off Log'!$E$5:$E$504,"Approved",'Time Off Log'!$C$5:$C$504,"&gt;="&amp;INDEX(Periods!$E$5:$E$57,$B824),'Time Off Log'!$C$5:$C$504,"&lt;="&amp;INDEX(Periods!$F$5:$F$57,$B824)))</f>
        <v/>
      </c>
      <c r="S824" s="51">
        <f>IF($B824=1,N(INDEX(Employees!$T$5:$T$29,$A824)),V823)</f>
        <v/>
      </c>
      <c r="T824" s="51">
        <f>IF(INDEX(Employees!$S$5:$S$29,$A824)="",Q824,MAX(0,MIN(Q824,INDEX(Employees!$S$5:$S$29,$A824)-(S824-R824))))</f>
        <v/>
      </c>
      <c r="U824" s="51">
        <f>Q824-T824</f>
        <v/>
      </c>
      <c r="V824" s="51">
        <f>S824-R824+T824</f>
        <v/>
      </c>
    </row>
    <row r="825">
      <c r="A825" s="50" t="n">
        <v>16</v>
      </c>
      <c r="B825" s="50" t="n">
        <v>26</v>
      </c>
      <c r="C825" s="51">
        <f>INDEX(Employees!$B$5:$B$29,$A825)&amp;""</f>
        <v/>
      </c>
      <c r="D825" s="52">
        <f>INDEX(Periods!$B$5:$B$57,$B825)</f>
        <v/>
      </c>
      <c r="E825" s="52">
        <f>INDEX(Periods!$C$5:$C$57,$B825)</f>
        <v/>
      </c>
      <c r="F825" s="50">
        <f>IF(AND($C825&lt;&gt;"",INDEX(Periods!$D$5:$D$57,$B825)=1),1,0)</f>
        <v/>
      </c>
      <c r="G825" s="50">
        <f>IF($F825=0,0,IF(AND(OR(INDEX(Employees!$D$5:$D$29,$A825)="",$E825&gt;=INDEX(Employees!$D$5:$D$29,$A825)+N(INDEX(Employees!$U$5:$U$29,$A825))),OR(INDEX(Employees!$E$5:$E$29,$A825)="",$D825&lt;=INDEX(Employees!$E$5:$E$29,$A825))),1,0))</f>
        <v/>
      </c>
      <c r="H825" s="50">
        <f>IF($G825=0,0,IF(INDEX(Employees!$D$5:$D$29,$A825)="",0,DATEDIF(INDEX(Employees!$D$5:$D$29,$A825),$E825,"y")))</f>
        <v/>
      </c>
      <c r="I825" s="51">
        <f>IF($G825=0,0,IF(INDEX('Hours Worked'!$D$5:$BD$29,$A825,$B825)="",N(INDEX(Employees!$H$5:$H$29,$A825)),INDEX('Hours Worked'!$D$5:$BD$29,$A825,$B825)))</f>
        <v/>
      </c>
      <c r="J825" s="51">
        <f>IF(OR($G825=0,INDEX(Employees!$O$5:$O$29,$A825)&lt;&gt;"Yes"),0,IF(COUNTIF(Settings!$D$4:$D$9,"&lt;="&amp;$H825)=0,0,INDEX(Settings!$E$4:$E$9,COUNTIF(Settings!$D$4:$D$9,"&lt;="&amp;$H825))))</f>
        <v/>
      </c>
      <c r="K825" s="51">
        <f>IF($G825=0,0,IF(INDEX(Employees!$I$5:$I$29,$A825)="Per pay period",(N(INDEX(Employees!$J$5:$J$29,$A825))+$J825)/Settings!$B$13,IF(INDEX(Employees!$I$5:$I$29,$A825)="Per hour worked",N(INDEX(Employees!$K$5:$K$29,$A825))*$I825,IF(INDEX(Employees!$I$5:$I$29,$A825)="Front-loaded",IF(OR($B825=1,N($G824)=0),N(INDEX(Employees!$J$5:$J$29,$A825))+$J825,0),0))))</f>
        <v/>
      </c>
      <c r="L825" s="51">
        <f>IF($F825=0,0,SUMIFS('Time Off Log'!$H$5:$H$504,'Time Off Log'!$A$5:$A$504,$C825,'Time Off Log'!$B$5:$B$504,"PTO",'Time Off Log'!$E$5:$E$504,"Approved",'Time Off Log'!$C$5:$C$504,"&gt;="&amp;INDEX(Periods!$E$5:$E$57,$B825),'Time Off Log'!$C$5:$C$504,"&lt;="&amp;INDEX(Periods!$F$5:$F$57,$B825)))</f>
        <v/>
      </c>
      <c r="M825" s="51">
        <f>IF($B825=1,N(INDEX(Employees!$N$5:$N$29,$A825)),P824)</f>
        <v/>
      </c>
      <c r="N825" s="51">
        <f>IF(INDEX(Employees!$L$5:$L$29,$A825)="",K825,MAX(0,MIN(K825,INDEX(Employees!$L$5:$L$29,$A825)-(M825-L825))))</f>
        <v/>
      </c>
      <c r="O825" s="51">
        <f>K825-N825</f>
        <v/>
      </c>
      <c r="P825" s="51">
        <f>M825-L825+N825</f>
        <v/>
      </c>
      <c r="Q825" s="51">
        <f>IF($G825=0,0,IF(INDEX(Employees!$P$5:$P$29,$A825)="Per pay period",(N(INDEX(Employees!$Q$5:$Q$29,$A825)))/Settings!$B$13,IF(INDEX(Employees!$P$5:$P$29,$A825)="Per hour worked",N(INDEX(Employees!$R$5:$R$29,$A825))*$I825,IF(INDEX(Employees!$P$5:$P$29,$A825)="Front-loaded",IF(OR($B825=1,N($G824)=0),N(INDEX(Employees!$Q$5:$Q$29,$A825)),0),0))))</f>
        <v/>
      </c>
      <c r="R825" s="51">
        <f>IF($F825=0,0,SUMIFS('Time Off Log'!$H$5:$H$504,'Time Off Log'!$A$5:$A$504,$C825,'Time Off Log'!$B$5:$B$504,"Sick",'Time Off Log'!$E$5:$E$504,"Approved",'Time Off Log'!$C$5:$C$504,"&gt;="&amp;INDEX(Periods!$E$5:$E$57,$B825),'Time Off Log'!$C$5:$C$504,"&lt;="&amp;INDEX(Periods!$F$5:$F$57,$B825)))</f>
        <v/>
      </c>
      <c r="S825" s="51">
        <f>IF($B825=1,N(INDEX(Employees!$T$5:$T$29,$A825)),V824)</f>
        <v/>
      </c>
      <c r="T825" s="51">
        <f>IF(INDEX(Employees!$S$5:$S$29,$A825)="",Q825,MAX(0,MIN(Q825,INDEX(Employees!$S$5:$S$29,$A825)-(S825-R825))))</f>
        <v/>
      </c>
      <c r="U825" s="51">
        <f>Q825-T825</f>
        <v/>
      </c>
      <c r="V825" s="51">
        <f>S825-R825+T825</f>
        <v/>
      </c>
    </row>
    <row r="826">
      <c r="A826" s="50" t="n">
        <v>16</v>
      </c>
      <c r="B826" s="50" t="n">
        <v>27</v>
      </c>
      <c r="C826" s="51">
        <f>INDEX(Employees!$B$5:$B$29,$A826)&amp;""</f>
        <v/>
      </c>
      <c r="D826" s="52">
        <f>INDEX(Periods!$B$5:$B$57,$B826)</f>
        <v/>
      </c>
      <c r="E826" s="52">
        <f>INDEX(Periods!$C$5:$C$57,$B826)</f>
        <v/>
      </c>
      <c r="F826" s="50">
        <f>IF(AND($C826&lt;&gt;"",INDEX(Periods!$D$5:$D$57,$B826)=1),1,0)</f>
        <v/>
      </c>
      <c r="G826" s="50">
        <f>IF($F826=0,0,IF(AND(OR(INDEX(Employees!$D$5:$D$29,$A826)="",$E826&gt;=INDEX(Employees!$D$5:$D$29,$A826)+N(INDEX(Employees!$U$5:$U$29,$A826))),OR(INDEX(Employees!$E$5:$E$29,$A826)="",$D826&lt;=INDEX(Employees!$E$5:$E$29,$A826))),1,0))</f>
        <v/>
      </c>
      <c r="H826" s="50">
        <f>IF($G826=0,0,IF(INDEX(Employees!$D$5:$D$29,$A826)="",0,DATEDIF(INDEX(Employees!$D$5:$D$29,$A826),$E826,"y")))</f>
        <v/>
      </c>
      <c r="I826" s="51">
        <f>IF($G826=0,0,IF(INDEX('Hours Worked'!$D$5:$BD$29,$A826,$B826)="",N(INDEX(Employees!$H$5:$H$29,$A826)),INDEX('Hours Worked'!$D$5:$BD$29,$A826,$B826)))</f>
        <v/>
      </c>
      <c r="J826" s="51">
        <f>IF(OR($G826=0,INDEX(Employees!$O$5:$O$29,$A826)&lt;&gt;"Yes"),0,IF(COUNTIF(Settings!$D$4:$D$9,"&lt;="&amp;$H826)=0,0,INDEX(Settings!$E$4:$E$9,COUNTIF(Settings!$D$4:$D$9,"&lt;="&amp;$H826))))</f>
        <v/>
      </c>
      <c r="K826" s="51">
        <f>IF($G826=0,0,IF(INDEX(Employees!$I$5:$I$29,$A826)="Per pay period",(N(INDEX(Employees!$J$5:$J$29,$A826))+$J826)/Settings!$B$13,IF(INDEX(Employees!$I$5:$I$29,$A826)="Per hour worked",N(INDEX(Employees!$K$5:$K$29,$A826))*$I826,IF(INDEX(Employees!$I$5:$I$29,$A826)="Front-loaded",IF(OR($B826=1,N($G825)=0),N(INDEX(Employees!$J$5:$J$29,$A826))+$J826,0),0))))</f>
        <v/>
      </c>
      <c r="L826" s="51">
        <f>IF($F826=0,0,SUMIFS('Time Off Log'!$H$5:$H$504,'Time Off Log'!$A$5:$A$504,$C826,'Time Off Log'!$B$5:$B$504,"PTO",'Time Off Log'!$E$5:$E$504,"Approved",'Time Off Log'!$C$5:$C$504,"&gt;="&amp;INDEX(Periods!$E$5:$E$57,$B826),'Time Off Log'!$C$5:$C$504,"&lt;="&amp;INDEX(Periods!$F$5:$F$57,$B826)))</f>
        <v/>
      </c>
      <c r="M826" s="51">
        <f>IF($B826=1,N(INDEX(Employees!$N$5:$N$29,$A826)),P825)</f>
        <v/>
      </c>
      <c r="N826" s="51">
        <f>IF(INDEX(Employees!$L$5:$L$29,$A826)="",K826,MAX(0,MIN(K826,INDEX(Employees!$L$5:$L$29,$A826)-(M826-L826))))</f>
        <v/>
      </c>
      <c r="O826" s="51">
        <f>K826-N826</f>
        <v/>
      </c>
      <c r="P826" s="51">
        <f>M826-L826+N826</f>
        <v/>
      </c>
      <c r="Q826" s="51">
        <f>IF($G826=0,0,IF(INDEX(Employees!$P$5:$P$29,$A826)="Per pay period",(N(INDEX(Employees!$Q$5:$Q$29,$A826)))/Settings!$B$13,IF(INDEX(Employees!$P$5:$P$29,$A826)="Per hour worked",N(INDEX(Employees!$R$5:$R$29,$A826))*$I826,IF(INDEX(Employees!$P$5:$P$29,$A826)="Front-loaded",IF(OR($B826=1,N($G825)=0),N(INDEX(Employees!$Q$5:$Q$29,$A826)),0),0))))</f>
        <v/>
      </c>
      <c r="R826" s="51">
        <f>IF($F826=0,0,SUMIFS('Time Off Log'!$H$5:$H$504,'Time Off Log'!$A$5:$A$504,$C826,'Time Off Log'!$B$5:$B$504,"Sick",'Time Off Log'!$E$5:$E$504,"Approved",'Time Off Log'!$C$5:$C$504,"&gt;="&amp;INDEX(Periods!$E$5:$E$57,$B826),'Time Off Log'!$C$5:$C$504,"&lt;="&amp;INDEX(Periods!$F$5:$F$57,$B826)))</f>
        <v/>
      </c>
      <c r="S826" s="51">
        <f>IF($B826=1,N(INDEX(Employees!$T$5:$T$29,$A826)),V825)</f>
        <v/>
      </c>
      <c r="T826" s="51">
        <f>IF(INDEX(Employees!$S$5:$S$29,$A826)="",Q826,MAX(0,MIN(Q826,INDEX(Employees!$S$5:$S$29,$A826)-(S826-R826))))</f>
        <v/>
      </c>
      <c r="U826" s="51">
        <f>Q826-T826</f>
        <v/>
      </c>
      <c r="V826" s="51">
        <f>S826-R826+T826</f>
        <v/>
      </c>
    </row>
    <row r="827">
      <c r="A827" s="50" t="n">
        <v>16</v>
      </c>
      <c r="B827" s="50" t="n">
        <v>28</v>
      </c>
      <c r="C827" s="51">
        <f>INDEX(Employees!$B$5:$B$29,$A827)&amp;""</f>
        <v/>
      </c>
      <c r="D827" s="52">
        <f>INDEX(Periods!$B$5:$B$57,$B827)</f>
        <v/>
      </c>
      <c r="E827" s="52">
        <f>INDEX(Periods!$C$5:$C$57,$B827)</f>
        <v/>
      </c>
      <c r="F827" s="50">
        <f>IF(AND($C827&lt;&gt;"",INDEX(Periods!$D$5:$D$57,$B827)=1),1,0)</f>
        <v/>
      </c>
      <c r="G827" s="50">
        <f>IF($F827=0,0,IF(AND(OR(INDEX(Employees!$D$5:$D$29,$A827)="",$E827&gt;=INDEX(Employees!$D$5:$D$29,$A827)+N(INDEX(Employees!$U$5:$U$29,$A827))),OR(INDEX(Employees!$E$5:$E$29,$A827)="",$D827&lt;=INDEX(Employees!$E$5:$E$29,$A827))),1,0))</f>
        <v/>
      </c>
      <c r="H827" s="50">
        <f>IF($G827=0,0,IF(INDEX(Employees!$D$5:$D$29,$A827)="",0,DATEDIF(INDEX(Employees!$D$5:$D$29,$A827),$E827,"y")))</f>
        <v/>
      </c>
      <c r="I827" s="51">
        <f>IF($G827=0,0,IF(INDEX('Hours Worked'!$D$5:$BD$29,$A827,$B827)="",N(INDEX(Employees!$H$5:$H$29,$A827)),INDEX('Hours Worked'!$D$5:$BD$29,$A827,$B827)))</f>
        <v/>
      </c>
      <c r="J827" s="51">
        <f>IF(OR($G827=0,INDEX(Employees!$O$5:$O$29,$A827)&lt;&gt;"Yes"),0,IF(COUNTIF(Settings!$D$4:$D$9,"&lt;="&amp;$H827)=0,0,INDEX(Settings!$E$4:$E$9,COUNTIF(Settings!$D$4:$D$9,"&lt;="&amp;$H827))))</f>
        <v/>
      </c>
      <c r="K827" s="51">
        <f>IF($G827=0,0,IF(INDEX(Employees!$I$5:$I$29,$A827)="Per pay period",(N(INDEX(Employees!$J$5:$J$29,$A827))+$J827)/Settings!$B$13,IF(INDEX(Employees!$I$5:$I$29,$A827)="Per hour worked",N(INDEX(Employees!$K$5:$K$29,$A827))*$I827,IF(INDEX(Employees!$I$5:$I$29,$A827)="Front-loaded",IF(OR($B827=1,N($G826)=0),N(INDEX(Employees!$J$5:$J$29,$A827))+$J827,0),0))))</f>
        <v/>
      </c>
      <c r="L827" s="51">
        <f>IF($F827=0,0,SUMIFS('Time Off Log'!$H$5:$H$504,'Time Off Log'!$A$5:$A$504,$C827,'Time Off Log'!$B$5:$B$504,"PTO",'Time Off Log'!$E$5:$E$504,"Approved",'Time Off Log'!$C$5:$C$504,"&gt;="&amp;INDEX(Periods!$E$5:$E$57,$B827),'Time Off Log'!$C$5:$C$504,"&lt;="&amp;INDEX(Periods!$F$5:$F$57,$B827)))</f>
        <v/>
      </c>
      <c r="M827" s="51">
        <f>IF($B827=1,N(INDEX(Employees!$N$5:$N$29,$A827)),P826)</f>
        <v/>
      </c>
      <c r="N827" s="51">
        <f>IF(INDEX(Employees!$L$5:$L$29,$A827)="",K827,MAX(0,MIN(K827,INDEX(Employees!$L$5:$L$29,$A827)-(M827-L827))))</f>
        <v/>
      </c>
      <c r="O827" s="51">
        <f>K827-N827</f>
        <v/>
      </c>
      <c r="P827" s="51">
        <f>M827-L827+N827</f>
        <v/>
      </c>
      <c r="Q827" s="51">
        <f>IF($G827=0,0,IF(INDEX(Employees!$P$5:$P$29,$A827)="Per pay period",(N(INDEX(Employees!$Q$5:$Q$29,$A827)))/Settings!$B$13,IF(INDEX(Employees!$P$5:$P$29,$A827)="Per hour worked",N(INDEX(Employees!$R$5:$R$29,$A827))*$I827,IF(INDEX(Employees!$P$5:$P$29,$A827)="Front-loaded",IF(OR($B827=1,N($G826)=0),N(INDEX(Employees!$Q$5:$Q$29,$A827)),0),0))))</f>
        <v/>
      </c>
      <c r="R827" s="51">
        <f>IF($F827=0,0,SUMIFS('Time Off Log'!$H$5:$H$504,'Time Off Log'!$A$5:$A$504,$C827,'Time Off Log'!$B$5:$B$504,"Sick",'Time Off Log'!$E$5:$E$504,"Approved",'Time Off Log'!$C$5:$C$504,"&gt;="&amp;INDEX(Periods!$E$5:$E$57,$B827),'Time Off Log'!$C$5:$C$504,"&lt;="&amp;INDEX(Periods!$F$5:$F$57,$B827)))</f>
        <v/>
      </c>
      <c r="S827" s="51">
        <f>IF($B827=1,N(INDEX(Employees!$T$5:$T$29,$A827)),V826)</f>
        <v/>
      </c>
      <c r="T827" s="51">
        <f>IF(INDEX(Employees!$S$5:$S$29,$A827)="",Q827,MAX(0,MIN(Q827,INDEX(Employees!$S$5:$S$29,$A827)-(S827-R827))))</f>
        <v/>
      </c>
      <c r="U827" s="51">
        <f>Q827-T827</f>
        <v/>
      </c>
      <c r="V827" s="51">
        <f>S827-R827+T827</f>
        <v/>
      </c>
    </row>
    <row r="828">
      <c r="A828" s="50" t="n">
        <v>16</v>
      </c>
      <c r="B828" s="50" t="n">
        <v>29</v>
      </c>
      <c r="C828" s="51">
        <f>INDEX(Employees!$B$5:$B$29,$A828)&amp;""</f>
        <v/>
      </c>
      <c r="D828" s="52">
        <f>INDEX(Periods!$B$5:$B$57,$B828)</f>
        <v/>
      </c>
      <c r="E828" s="52">
        <f>INDEX(Periods!$C$5:$C$57,$B828)</f>
        <v/>
      </c>
      <c r="F828" s="50">
        <f>IF(AND($C828&lt;&gt;"",INDEX(Periods!$D$5:$D$57,$B828)=1),1,0)</f>
        <v/>
      </c>
      <c r="G828" s="50">
        <f>IF($F828=0,0,IF(AND(OR(INDEX(Employees!$D$5:$D$29,$A828)="",$E828&gt;=INDEX(Employees!$D$5:$D$29,$A828)+N(INDEX(Employees!$U$5:$U$29,$A828))),OR(INDEX(Employees!$E$5:$E$29,$A828)="",$D828&lt;=INDEX(Employees!$E$5:$E$29,$A828))),1,0))</f>
        <v/>
      </c>
      <c r="H828" s="50">
        <f>IF($G828=0,0,IF(INDEX(Employees!$D$5:$D$29,$A828)="",0,DATEDIF(INDEX(Employees!$D$5:$D$29,$A828),$E828,"y")))</f>
        <v/>
      </c>
      <c r="I828" s="51">
        <f>IF($G828=0,0,IF(INDEX('Hours Worked'!$D$5:$BD$29,$A828,$B828)="",N(INDEX(Employees!$H$5:$H$29,$A828)),INDEX('Hours Worked'!$D$5:$BD$29,$A828,$B828)))</f>
        <v/>
      </c>
      <c r="J828" s="51">
        <f>IF(OR($G828=0,INDEX(Employees!$O$5:$O$29,$A828)&lt;&gt;"Yes"),0,IF(COUNTIF(Settings!$D$4:$D$9,"&lt;="&amp;$H828)=0,0,INDEX(Settings!$E$4:$E$9,COUNTIF(Settings!$D$4:$D$9,"&lt;="&amp;$H828))))</f>
        <v/>
      </c>
      <c r="K828" s="51">
        <f>IF($G828=0,0,IF(INDEX(Employees!$I$5:$I$29,$A828)="Per pay period",(N(INDEX(Employees!$J$5:$J$29,$A828))+$J828)/Settings!$B$13,IF(INDEX(Employees!$I$5:$I$29,$A828)="Per hour worked",N(INDEX(Employees!$K$5:$K$29,$A828))*$I828,IF(INDEX(Employees!$I$5:$I$29,$A828)="Front-loaded",IF(OR($B828=1,N($G827)=0),N(INDEX(Employees!$J$5:$J$29,$A828))+$J828,0),0))))</f>
        <v/>
      </c>
      <c r="L828" s="51">
        <f>IF($F828=0,0,SUMIFS('Time Off Log'!$H$5:$H$504,'Time Off Log'!$A$5:$A$504,$C828,'Time Off Log'!$B$5:$B$504,"PTO",'Time Off Log'!$E$5:$E$504,"Approved",'Time Off Log'!$C$5:$C$504,"&gt;="&amp;INDEX(Periods!$E$5:$E$57,$B828),'Time Off Log'!$C$5:$C$504,"&lt;="&amp;INDEX(Periods!$F$5:$F$57,$B828)))</f>
        <v/>
      </c>
      <c r="M828" s="51">
        <f>IF($B828=1,N(INDEX(Employees!$N$5:$N$29,$A828)),P827)</f>
        <v/>
      </c>
      <c r="N828" s="51">
        <f>IF(INDEX(Employees!$L$5:$L$29,$A828)="",K828,MAX(0,MIN(K828,INDEX(Employees!$L$5:$L$29,$A828)-(M828-L828))))</f>
        <v/>
      </c>
      <c r="O828" s="51">
        <f>K828-N828</f>
        <v/>
      </c>
      <c r="P828" s="51">
        <f>M828-L828+N828</f>
        <v/>
      </c>
      <c r="Q828" s="51">
        <f>IF($G828=0,0,IF(INDEX(Employees!$P$5:$P$29,$A828)="Per pay period",(N(INDEX(Employees!$Q$5:$Q$29,$A828)))/Settings!$B$13,IF(INDEX(Employees!$P$5:$P$29,$A828)="Per hour worked",N(INDEX(Employees!$R$5:$R$29,$A828))*$I828,IF(INDEX(Employees!$P$5:$P$29,$A828)="Front-loaded",IF(OR($B828=1,N($G827)=0),N(INDEX(Employees!$Q$5:$Q$29,$A828)),0),0))))</f>
        <v/>
      </c>
      <c r="R828" s="51">
        <f>IF($F828=0,0,SUMIFS('Time Off Log'!$H$5:$H$504,'Time Off Log'!$A$5:$A$504,$C828,'Time Off Log'!$B$5:$B$504,"Sick",'Time Off Log'!$E$5:$E$504,"Approved",'Time Off Log'!$C$5:$C$504,"&gt;="&amp;INDEX(Periods!$E$5:$E$57,$B828),'Time Off Log'!$C$5:$C$504,"&lt;="&amp;INDEX(Periods!$F$5:$F$57,$B828)))</f>
        <v/>
      </c>
      <c r="S828" s="51">
        <f>IF($B828=1,N(INDEX(Employees!$T$5:$T$29,$A828)),V827)</f>
        <v/>
      </c>
      <c r="T828" s="51">
        <f>IF(INDEX(Employees!$S$5:$S$29,$A828)="",Q828,MAX(0,MIN(Q828,INDEX(Employees!$S$5:$S$29,$A828)-(S828-R828))))</f>
        <v/>
      </c>
      <c r="U828" s="51">
        <f>Q828-T828</f>
        <v/>
      </c>
      <c r="V828" s="51">
        <f>S828-R828+T828</f>
        <v/>
      </c>
    </row>
    <row r="829">
      <c r="A829" s="50" t="n">
        <v>16</v>
      </c>
      <c r="B829" s="50" t="n">
        <v>30</v>
      </c>
      <c r="C829" s="51">
        <f>INDEX(Employees!$B$5:$B$29,$A829)&amp;""</f>
        <v/>
      </c>
      <c r="D829" s="52">
        <f>INDEX(Periods!$B$5:$B$57,$B829)</f>
        <v/>
      </c>
      <c r="E829" s="52">
        <f>INDEX(Periods!$C$5:$C$57,$B829)</f>
        <v/>
      </c>
      <c r="F829" s="50">
        <f>IF(AND($C829&lt;&gt;"",INDEX(Periods!$D$5:$D$57,$B829)=1),1,0)</f>
        <v/>
      </c>
      <c r="G829" s="50">
        <f>IF($F829=0,0,IF(AND(OR(INDEX(Employees!$D$5:$D$29,$A829)="",$E829&gt;=INDEX(Employees!$D$5:$D$29,$A829)+N(INDEX(Employees!$U$5:$U$29,$A829))),OR(INDEX(Employees!$E$5:$E$29,$A829)="",$D829&lt;=INDEX(Employees!$E$5:$E$29,$A829))),1,0))</f>
        <v/>
      </c>
      <c r="H829" s="50">
        <f>IF($G829=0,0,IF(INDEX(Employees!$D$5:$D$29,$A829)="",0,DATEDIF(INDEX(Employees!$D$5:$D$29,$A829),$E829,"y")))</f>
        <v/>
      </c>
      <c r="I829" s="51">
        <f>IF($G829=0,0,IF(INDEX('Hours Worked'!$D$5:$BD$29,$A829,$B829)="",N(INDEX(Employees!$H$5:$H$29,$A829)),INDEX('Hours Worked'!$D$5:$BD$29,$A829,$B829)))</f>
        <v/>
      </c>
      <c r="J829" s="51">
        <f>IF(OR($G829=0,INDEX(Employees!$O$5:$O$29,$A829)&lt;&gt;"Yes"),0,IF(COUNTIF(Settings!$D$4:$D$9,"&lt;="&amp;$H829)=0,0,INDEX(Settings!$E$4:$E$9,COUNTIF(Settings!$D$4:$D$9,"&lt;="&amp;$H829))))</f>
        <v/>
      </c>
      <c r="K829" s="51">
        <f>IF($G829=0,0,IF(INDEX(Employees!$I$5:$I$29,$A829)="Per pay period",(N(INDEX(Employees!$J$5:$J$29,$A829))+$J829)/Settings!$B$13,IF(INDEX(Employees!$I$5:$I$29,$A829)="Per hour worked",N(INDEX(Employees!$K$5:$K$29,$A829))*$I829,IF(INDEX(Employees!$I$5:$I$29,$A829)="Front-loaded",IF(OR($B829=1,N($G828)=0),N(INDEX(Employees!$J$5:$J$29,$A829))+$J829,0),0))))</f>
        <v/>
      </c>
      <c r="L829" s="51">
        <f>IF($F829=0,0,SUMIFS('Time Off Log'!$H$5:$H$504,'Time Off Log'!$A$5:$A$504,$C829,'Time Off Log'!$B$5:$B$504,"PTO",'Time Off Log'!$E$5:$E$504,"Approved",'Time Off Log'!$C$5:$C$504,"&gt;="&amp;INDEX(Periods!$E$5:$E$57,$B829),'Time Off Log'!$C$5:$C$504,"&lt;="&amp;INDEX(Periods!$F$5:$F$57,$B829)))</f>
        <v/>
      </c>
      <c r="M829" s="51">
        <f>IF($B829=1,N(INDEX(Employees!$N$5:$N$29,$A829)),P828)</f>
        <v/>
      </c>
      <c r="N829" s="51">
        <f>IF(INDEX(Employees!$L$5:$L$29,$A829)="",K829,MAX(0,MIN(K829,INDEX(Employees!$L$5:$L$29,$A829)-(M829-L829))))</f>
        <v/>
      </c>
      <c r="O829" s="51">
        <f>K829-N829</f>
        <v/>
      </c>
      <c r="P829" s="51">
        <f>M829-L829+N829</f>
        <v/>
      </c>
      <c r="Q829" s="51">
        <f>IF($G829=0,0,IF(INDEX(Employees!$P$5:$P$29,$A829)="Per pay period",(N(INDEX(Employees!$Q$5:$Q$29,$A829)))/Settings!$B$13,IF(INDEX(Employees!$P$5:$P$29,$A829)="Per hour worked",N(INDEX(Employees!$R$5:$R$29,$A829))*$I829,IF(INDEX(Employees!$P$5:$P$29,$A829)="Front-loaded",IF(OR($B829=1,N($G828)=0),N(INDEX(Employees!$Q$5:$Q$29,$A829)),0),0))))</f>
        <v/>
      </c>
      <c r="R829" s="51">
        <f>IF($F829=0,0,SUMIFS('Time Off Log'!$H$5:$H$504,'Time Off Log'!$A$5:$A$504,$C829,'Time Off Log'!$B$5:$B$504,"Sick",'Time Off Log'!$E$5:$E$504,"Approved",'Time Off Log'!$C$5:$C$504,"&gt;="&amp;INDEX(Periods!$E$5:$E$57,$B829),'Time Off Log'!$C$5:$C$504,"&lt;="&amp;INDEX(Periods!$F$5:$F$57,$B829)))</f>
        <v/>
      </c>
      <c r="S829" s="51">
        <f>IF($B829=1,N(INDEX(Employees!$T$5:$T$29,$A829)),V828)</f>
        <v/>
      </c>
      <c r="T829" s="51">
        <f>IF(INDEX(Employees!$S$5:$S$29,$A829)="",Q829,MAX(0,MIN(Q829,INDEX(Employees!$S$5:$S$29,$A829)-(S829-R829))))</f>
        <v/>
      </c>
      <c r="U829" s="51">
        <f>Q829-T829</f>
        <v/>
      </c>
      <c r="V829" s="51">
        <f>S829-R829+T829</f>
        <v/>
      </c>
    </row>
    <row r="830">
      <c r="A830" s="50" t="n">
        <v>16</v>
      </c>
      <c r="B830" s="50" t="n">
        <v>31</v>
      </c>
      <c r="C830" s="51">
        <f>INDEX(Employees!$B$5:$B$29,$A830)&amp;""</f>
        <v/>
      </c>
      <c r="D830" s="52">
        <f>INDEX(Periods!$B$5:$B$57,$B830)</f>
        <v/>
      </c>
      <c r="E830" s="52">
        <f>INDEX(Periods!$C$5:$C$57,$B830)</f>
        <v/>
      </c>
      <c r="F830" s="50">
        <f>IF(AND($C830&lt;&gt;"",INDEX(Periods!$D$5:$D$57,$B830)=1),1,0)</f>
        <v/>
      </c>
      <c r="G830" s="50">
        <f>IF($F830=0,0,IF(AND(OR(INDEX(Employees!$D$5:$D$29,$A830)="",$E830&gt;=INDEX(Employees!$D$5:$D$29,$A830)+N(INDEX(Employees!$U$5:$U$29,$A830))),OR(INDEX(Employees!$E$5:$E$29,$A830)="",$D830&lt;=INDEX(Employees!$E$5:$E$29,$A830))),1,0))</f>
        <v/>
      </c>
      <c r="H830" s="50">
        <f>IF($G830=0,0,IF(INDEX(Employees!$D$5:$D$29,$A830)="",0,DATEDIF(INDEX(Employees!$D$5:$D$29,$A830),$E830,"y")))</f>
        <v/>
      </c>
      <c r="I830" s="51">
        <f>IF($G830=0,0,IF(INDEX('Hours Worked'!$D$5:$BD$29,$A830,$B830)="",N(INDEX(Employees!$H$5:$H$29,$A830)),INDEX('Hours Worked'!$D$5:$BD$29,$A830,$B830)))</f>
        <v/>
      </c>
      <c r="J830" s="51">
        <f>IF(OR($G830=0,INDEX(Employees!$O$5:$O$29,$A830)&lt;&gt;"Yes"),0,IF(COUNTIF(Settings!$D$4:$D$9,"&lt;="&amp;$H830)=0,0,INDEX(Settings!$E$4:$E$9,COUNTIF(Settings!$D$4:$D$9,"&lt;="&amp;$H830))))</f>
        <v/>
      </c>
      <c r="K830" s="51">
        <f>IF($G830=0,0,IF(INDEX(Employees!$I$5:$I$29,$A830)="Per pay period",(N(INDEX(Employees!$J$5:$J$29,$A830))+$J830)/Settings!$B$13,IF(INDEX(Employees!$I$5:$I$29,$A830)="Per hour worked",N(INDEX(Employees!$K$5:$K$29,$A830))*$I830,IF(INDEX(Employees!$I$5:$I$29,$A830)="Front-loaded",IF(OR($B830=1,N($G829)=0),N(INDEX(Employees!$J$5:$J$29,$A830))+$J830,0),0))))</f>
        <v/>
      </c>
      <c r="L830" s="51">
        <f>IF($F830=0,0,SUMIFS('Time Off Log'!$H$5:$H$504,'Time Off Log'!$A$5:$A$504,$C830,'Time Off Log'!$B$5:$B$504,"PTO",'Time Off Log'!$E$5:$E$504,"Approved",'Time Off Log'!$C$5:$C$504,"&gt;="&amp;INDEX(Periods!$E$5:$E$57,$B830),'Time Off Log'!$C$5:$C$504,"&lt;="&amp;INDEX(Periods!$F$5:$F$57,$B830)))</f>
        <v/>
      </c>
      <c r="M830" s="51">
        <f>IF($B830=1,N(INDEX(Employees!$N$5:$N$29,$A830)),P829)</f>
        <v/>
      </c>
      <c r="N830" s="51">
        <f>IF(INDEX(Employees!$L$5:$L$29,$A830)="",K830,MAX(0,MIN(K830,INDEX(Employees!$L$5:$L$29,$A830)-(M830-L830))))</f>
        <v/>
      </c>
      <c r="O830" s="51">
        <f>K830-N830</f>
        <v/>
      </c>
      <c r="P830" s="51">
        <f>M830-L830+N830</f>
        <v/>
      </c>
      <c r="Q830" s="51">
        <f>IF($G830=0,0,IF(INDEX(Employees!$P$5:$P$29,$A830)="Per pay period",(N(INDEX(Employees!$Q$5:$Q$29,$A830)))/Settings!$B$13,IF(INDEX(Employees!$P$5:$P$29,$A830)="Per hour worked",N(INDEX(Employees!$R$5:$R$29,$A830))*$I830,IF(INDEX(Employees!$P$5:$P$29,$A830)="Front-loaded",IF(OR($B830=1,N($G829)=0),N(INDEX(Employees!$Q$5:$Q$29,$A830)),0),0))))</f>
        <v/>
      </c>
      <c r="R830" s="51">
        <f>IF($F830=0,0,SUMIFS('Time Off Log'!$H$5:$H$504,'Time Off Log'!$A$5:$A$504,$C830,'Time Off Log'!$B$5:$B$504,"Sick",'Time Off Log'!$E$5:$E$504,"Approved",'Time Off Log'!$C$5:$C$504,"&gt;="&amp;INDEX(Periods!$E$5:$E$57,$B830),'Time Off Log'!$C$5:$C$504,"&lt;="&amp;INDEX(Periods!$F$5:$F$57,$B830)))</f>
        <v/>
      </c>
      <c r="S830" s="51">
        <f>IF($B830=1,N(INDEX(Employees!$T$5:$T$29,$A830)),V829)</f>
        <v/>
      </c>
      <c r="T830" s="51">
        <f>IF(INDEX(Employees!$S$5:$S$29,$A830)="",Q830,MAX(0,MIN(Q830,INDEX(Employees!$S$5:$S$29,$A830)-(S830-R830))))</f>
        <v/>
      </c>
      <c r="U830" s="51">
        <f>Q830-T830</f>
        <v/>
      </c>
      <c r="V830" s="51">
        <f>S830-R830+T830</f>
        <v/>
      </c>
    </row>
    <row r="831">
      <c r="A831" s="50" t="n">
        <v>16</v>
      </c>
      <c r="B831" s="50" t="n">
        <v>32</v>
      </c>
      <c r="C831" s="51">
        <f>INDEX(Employees!$B$5:$B$29,$A831)&amp;""</f>
        <v/>
      </c>
      <c r="D831" s="52">
        <f>INDEX(Periods!$B$5:$B$57,$B831)</f>
        <v/>
      </c>
      <c r="E831" s="52">
        <f>INDEX(Periods!$C$5:$C$57,$B831)</f>
        <v/>
      </c>
      <c r="F831" s="50">
        <f>IF(AND($C831&lt;&gt;"",INDEX(Periods!$D$5:$D$57,$B831)=1),1,0)</f>
        <v/>
      </c>
      <c r="G831" s="50">
        <f>IF($F831=0,0,IF(AND(OR(INDEX(Employees!$D$5:$D$29,$A831)="",$E831&gt;=INDEX(Employees!$D$5:$D$29,$A831)+N(INDEX(Employees!$U$5:$U$29,$A831))),OR(INDEX(Employees!$E$5:$E$29,$A831)="",$D831&lt;=INDEX(Employees!$E$5:$E$29,$A831))),1,0))</f>
        <v/>
      </c>
      <c r="H831" s="50">
        <f>IF($G831=0,0,IF(INDEX(Employees!$D$5:$D$29,$A831)="",0,DATEDIF(INDEX(Employees!$D$5:$D$29,$A831),$E831,"y")))</f>
        <v/>
      </c>
      <c r="I831" s="51">
        <f>IF($G831=0,0,IF(INDEX('Hours Worked'!$D$5:$BD$29,$A831,$B831)="",N(INDEX(Employees!$H$5:$H$29,$A831)),INDEX('Hours Worked'!$D$5:$BD$29,$A831,$B831)))</f>
        <v/>
      </c>
      <c r="J831" s="51">
        <f>IF(OR($G831=0,INDEX(Employees!$O$5:$O$29,$A831)&lt;&gt;"Yes"),0,IF(COUNTIF(Settings!$D$4:$D$9,"&lt;="&amp;$H831)=0,0,INDEX(Settings!$E$4:$E$9,COUNTIF(Settings!$D$4:$D$9,"&lt;="&amp;$H831))))</f>
        <v/>
      </c>
      <c r="K831" s="51">
        <f>IF($G831=0,0,IF(INDEX(Employees!$I$5:$I$29,$A831)="Per pay period",(N(INDEX(Employees!$J$5:$J$29,$A831))+$J831)/Settings!$B$13,IF(INDEX(Employees!$I$5:$I$29,$A831)="Per hour worked",N(INDEX(Employees!$K$5:$K$29,$A831))*$I831,IF(INDEX(Employees!$I$5:$I$29,$A831)="Front-loaded",IF(OR($B831=1,N($G830)=0),N(INDEX(Employees!$J$5:$J$29,$A831))+$J831,0),0))))</f>
        <v/>
      </c>
      <c r="L831" s="51">
        <f>IF($F831=0,0,SUMIFS('Time Off Log'!$H$5:$H$504,'Time Off Log'!$A$5:$A$504,$C831,'Time Off Log'!$B$5:$B$504,"PTO",'Time Off Log'!$E$5:$E$504,"Approved",'Time Off Log'!$C$5:$C$504,"&gt;="&amp;INDEX(Periods!$E$5:$E$57,$B831),'Time Off Log'!$C$5:$C$504,"&lt;="&amp;INDEX(Periods!$F$5:$F$57,$B831)))</f>
        <v/>
      </c>
      <c r="M831" s="51">
        <f>IF($B831=1,N(INDEX(Employees!$N$5:$N$29,$A831)),P830)</f>
        <v/>
      </c>
      <c r="N831" s="51">
        <f>IF(INDEX(Employees!$L$5:$L$29,$A831)="",K831,MAX(0,MIN(K831,INDEX(Employees!$L$5:$L$29,$A831)-(M831-L831))))</f>
        <v/>
      </c>
      <c r="O831" s="51">
        <f>K831-N831</f>
        <v/>
      </c>
      <c r="P831" s="51">
        <f>M831-L831+N831</f>
        <v/>
      </c>
      <c r="Q831" s="51">
        <f>IF($G831=0,0,IF(INDEX(Employees!$P$5:$P$29,$A831)="Per pay period",(N(INDEX(Employees!$Q$5:$Q$29,$A831)))/Settings!$B$13,IF(INDEX(Employees!$P$5:$P$29,$A831)="Per hour worked",N(INDEX(Employees!$R$5:$R$29,$A831))*$I831,IF(INDEX(Employees!$P$5:$P$29,$A831)="Front-loaded",IF(OR($B831=1,N($G830)=0),N(INDEX(Employees!$Q$5:$Q$29,$A831)),0),0))))</f>
        <v/>
      </c>
      <c r="R831" s="51">
        <f>IF($F831=0,0,SUMIFS('Time Off Log'!$H$5:$H$504,'Time Off Log'!$A$5:$A$504,$C831,'Time Off Log'!$B$5:$B$504,"Sick",'Time Off Log'!$E$5:$E$504,"Approved",'Time Off Log'!$C$5:$C$504,"&gt;="&amp;INDEX(Periods!$E$5:$E$57,$B831),'Time Off Log'!$C$5:$C$504,"&lt;="&amp;INDEX(Periods!$F$5:$F$57,$B831)))</f>
        <v/>
      </c>
      <c r="S831" s="51">
        <f>IF($B831=1,N(INDEX(Employees!$T$5:$T$29,$A831)),V830)</f>
        <v/>
      </c>
      <c r="T831" s="51">
        <f>IF(INDEX(Employees!$S$5:$S$29,$A831)="",Q831,MAX(0,MIN(Q831,INDEX(Employees!$S$5:$S$29,$A831)-(S831-R831))))</f>
        <v/>
      </c>
      <c r="U831" s="51">
        <f>Q831-T831</f>
        <v/>
      </c>
      <c r="V831" s="51">
        <f>S831-R831+T831</f>
        <v/>
      </c>
    </row>
    <row r="832">
      <c r="A832" s="50" t="n">
        <v>16</v>
      </c>
      <c r="B832" s="50" t="n">
        <v>33</v>
      </c>
      <c r="C832" s="51">
        <f>INDEX(Employees!$B$5:$B$29,$A832)&amp;""</f>
        <v/>
      </c>
      <c r="D832" s="52">
        <f>INDEX(Periods!$B$5:$B$57,$B832)</f>
        <v/>
      </c>
      <c r="E832" s="52">
        <f>INDEX(Periods!$C$5:$C$57,$B832)</f>
        <v/>
      </c>
      <c r="F832" s="50">
        <f>IF(AND($C832&lt;&gt;"",INDEX(Periods!$D$5:$D$57,$B832)=1),1,0)</f>
        <v/>
      </c>
      <c r="G832" s="50">
        <f>IF($F832=0,0,IF(AND(OR(INDEX(Employees!$D$5:$D$29,$A832)="",$E832&gt;=INDEX(Employees!$D$5:$D$29,$A832)+N(INDEX(Employees!$U$5:$U$29,$A832))),OR(INDEX(Employees!$E$5:$E$29,$A832)="",$D832&lt;=INDEX(Employees!$E$5:$E$29,$A832))),1,0))</f>
        <v/>
      </c>
      <c r="H832" s="50">
        <f>IF($G832=0,0,IF(INDEX(Employees!$D$5:$D$29,$A832)="",0,DATEDIF(INDEX(Employees!$D$5:$D$29,$A832),$E832,"y")))</f>
        <v/>
      </c>
      <c r="I832" s="51">
        <f>IF($G832=0,0,IF(INDEX('Hours Worked'!$D$5:$BD$29,$A832,$B832)="",N(INDEX(Employees!$H$5:$H$29,$A832)),INDEX('Hours Worked'!$D$5:$BD$29,$A832,$B832)))</f>
        <v/>
      </c>
      <c r="J832" s="51">
        <f>IF(OR($G832=0,INDEX(Employees!$O$5:$O$29,$A832)&lt;&gt;"Yes"),0,IF(COUNTIF(Settings!$D$4:$D$9,"&lt;="&amp;$H832)=0,0,INDEX(Settings!$E$4:$E$9,COUNTIF(Settings!$D$4:$D$9,"&lt;="&amp;$H832))))</f>
        <v/>
      </c>
      <c r="K832" s="51">
        <f>IF($G832=0,0,IF(INDEX(Employees!$I$5:$I$29,$A832)="Per pay period",(N(INDEX(Employees!$J$5:$J$29,$A832))+$J832)/Settings!$B$13,IF(INDEX(Employees!$I$5:$I$29,$A832)="Per hour worked",N(INDEX(Employees!$K$5:$K$29,$A832))*$I832,IF(INDEX(Employees!$I$5:$I$29,$A832)="Front-loaded",IF(OR($B832=1,N($G831)=0),N(INDEX(Employees!$J$5:$J$29,$A832))+$J832,0),0))))</f>
        <v/>
      </c>
      <c r="L832" s="51">
        <f>IF($F832=0,0,SUMIFS('Time Off Log'!$H$5:$H$504,'Time Off Log'!$A$5:$A$504,$C832,'Time Off Log'!$B$5:$B$504,"PTO",'Time Off Log'!$E$5:$E$504,"Approved",'Time Off Log'!$C$5:$C$504,"&gt;="&amp;INDEX(Periods!$E$5:$E$57,$B832),'Time Off Log'!$C$5:$C$504,"&lt;="&amp;INDEX(Periods!$F$5:$F$57,$B832)))</f>
        <v/>
      </c>
      <c r="M832" s="51">
        <f>IF($B832=1,N(INDEX(Employees!$N$5:$N$29,$A832)),P831)</f>
        <v/>
      </c>
      <c r="N832" s="51">
        <f>IF(INDEX(Employees!$L$5:$L$29,$A832)="",K832,MAX(0,MIN(K832,INDEX(Employees!$L$5:$L$29,$A832)-(M832-L832))))</f>
        <v/>
      </c>
      <c r="O832" s="51">
        <f>K832-N832</f>
        <v/>
      </c>
      <c r="P832" s="51">
        <f>M832-L832+N832</f>
        <v/>
      </c>
      <c r="Q832" s="51">
        <f>IF($G832=0,0,IF(INDEX(Employees!$P$5:$P$29,$A832)="Per pay period",(N(INDEX(Employees!$Q$5:$Q$29,$A832)))/Settings!$B$13,IF(INDEX(Employees!$P$5:$P$29,$A832)="Per hour worked",N(INDEX(Employees!$R$5:$R$29,$A832))*$I832,IF(INDEX(Employees!$P$5:$P$29,$A832)="Front-loaded",IF(OR($B832=1,N($G831)=0),N(INDEX(Employees!$Q$5:$Q$29,$A832)),0),0))))</f>
        <v/>
      </c>
      <c r="R832" s="51">
        <f>IF($F832=0,0,SUMIFS('Time Off Log'!$H$5:$H$504,'Time Off Log'!$A$5:$A$504,$C832,'Time Off Log'!$B$5:$B$504,"Sick",'Time Off Log'!$E$5:$E$504,"Approved",'Time Off Log'!$C$5:$C$504,"&gt;="&amp;INDEX(Periods!$E$5:$E$57,$B832),'Time Off Log'!$C$5:$C$504,"&lt;="&amp;INDEX(Periods!$F$5:$F$57,$B832)))</f>
        <v/>
      </c>
      <c r="S832" s="51">
        <f>IF($B832=1,N(INDEX(Employees!$T$5:$T$29,$A832)),V831)</f>
        <v/>
      </c>
      <c r="T832" s="51">
        <f>IF(INDEX(Employees!$S$5:$S$29,$A832)="",Q832,MAX(0,MIN(Q832,INDEX(Employees!$S$5:$S$29,$A832)-(S832-R832))))</f>
        <v/>
      </c>
      <c r="U832" s="51">
        <f>Q832-T832</f>
        <v/>
      </c>
      <c r="V832" s="51">
        <f>S832-R832+T832</f>
        <v/>
      </c>
    </row>
    <row r="833">
      <c r="A833" s="50" t="n">
        <v>16</v>
      </c>
      <c r="B833" s="50" t="n">
        <v>34</v>
      </c>
      <c r="C833" s="51">
        <f>INDEX(Employees!$B$5:$B$29,$A833)&amp;""</f>
        <v/>
      </c>
      <c r="D833" s="52">
        <f>INDEX(Periods!$B$5:$B$57,$B833)</f>
        <v/>
      </c>
      <c r="E833" s="52">
        <f>INDEX(Periods!$C$5:$C$57,$B833)</f>
        <v/>
      </c>
      <c r="F833" s="50">
        <f>IF(AND($C833&lt;&gt;"",INDEX(Periods!$D$5:$D$57,$B833)=1),1,0)</f>
        <v/>
      </c>
      <c r="G833" s="50">
        <f>IF($F833=0,0,IF(AND(OR(INDEX(Employees!$D$5:$D$29,$A833)="",$E833&gt;=INDEX(Employees!$D$5:$D$29,$A833)+N(INDEX(Employees!$U$5:$U$29,$A833))),OR(INDEX(Employees!$E$5:$E$29,$A833)="",$D833&lt;=INDEX(Employees!$E$5:$E$29,$A833))),1,0))</f>
        <v/>
      </c>
      <c r="H833" s="50">
        <f>IF($G833=0,0,IF(INDEX(Employees!$D$5:$D$29,$A833)="",0,DATEDIF(INDEX(Employees!$D$5:$D$29,$A833),$E833,"y")))</f>
        <v/>
      </c>
      <c r="I833" s="51">
        <f>IF($G833=0,0,IF(INDEX('Hours Worked'!$D$5:$BD$29,$A833,$B833)="",N(INDEX(Employees!$H$5:$H$29,$A833)),INDEX('Hours Worked'!$D$5:$BD$29,$A833,$B833)))</f>
        <v/>
      </c>
      <c r="J833" s="51">
        <f>IF(OR($G833=0,INDEX(Employees!$O$5:$O$29,$A833)&lt;&gt;"Yes"),0,IF(COUNTIF(Settings!$D$4:$D$9,"&lt;="&amp;$H833)=0,0,INDEX(Settings!$E$4:$E$9,COUNTIF(Settings!$D$4:$D$9,"&lt;="&amp;$H833))))</f>
        <v/>
      </c>
      <c r="K833" s="51">
        <f>IF($G833=0,0,IF(INDEX(Employees!$I$5:$I$29,$A833)="Per pay period",(N(INDEX(Employees!$J$5:$J$29,$A833))+$J833)/Settings!$B$13,IF(INDEX(Employees!$I$5:$I$29,$A833)="Per hour worked",N(INDEX(Employees!$K$5:$K$29,$A833))*$I833,IF(INDEX(Employees!$I$5:$I$29,$A833)="Front-loaded",IF(OR($B833=1,N($G832)=0),N(INDEX(Employees!$J$5:$J$29,$A833))+$J833,0),0))))</f>
        <v/>
      </c>
      <c r="L833" s="51">
        <f>IF($F833=0,0,SUMIFS('Time Off Log'!$H$5:$H$504,'Time Off Log'!$A$5:$A$504,$C833,'Time Off Log'!$B$5:$B$504,"PTO",'Time Off Log'!$E$5:$E$504,"Approved",'Time Off Log'!$C$5:$C$504,"&gt;="&amp;INDEX(Periods!$E$5:$E$57,$B833),'Time Off Log'!$C$5:$C$504,"&lt;="&amp;INDEX(Periods!$F$5:$F$57,$B833)))</f>
        <v/>
      </c>
      <c r="M833" s="51">
        <f>IF($B833=1,N(INDEX(Employees!$N$5:$N$29,$A833)),P832)</f>
        <v/>
      </c>
      <c r="N833" s="51">
        <f>IF(INDEX(Employees!$L$5:$L$29,$A833)="",K833,MAX(0,MIN(K833,INDEX(Employees!$L$5:$L$29,$A833)-(M833-L833))))</f>
        <v/>
      </c>
      <c r="O833" s="51">
        <f>K833-N833</f>
        <v/>
      </c>
      <c r="P833" s="51">
        <f>M833-L833+N833</f>
        <v/>
      </c>
      <c r="Q833" s="51">
        <f>IF($G833=0,0,IF(INDEX(Employees!$P$5:$P$29,$A833)="Per pay period",(N(INDEX(Employees!$Q$5:$Q$29,$A833)))/Settings!$B$13,IF(INDEX(Employees!$P$5:$P$29,$A833)="Per hour worked",N(INDEX(Employees!$R$5:$R$29,$A833))*$I833,IF(INDEX(Employees!$P$5:$P$29,$A833)="Front-loaded",IF(OR($B833=1,N($G832)=0),N(INDEX(Employees!$Q$5:$Q$29,$A833)),0),0))))</f>
        <v/>
      </c>
      <c r="R833" s="51">
        <f>IF($F833=0,0,SUMIFS('Time Off Log'!$H$5:$H$504,'Time Off Log'!$A$5:$A$504,$C833,'Time Off Log'!$B$5:$B$504,"Sick",'Time Off Log'!$E$5:$E$504,"Approved",'Time Off Log'!$C$5:$C$504,"&gt;="&amp;INDEX(Periods!$E$5:$E$57,$B833),'Time Off Log'!$C$5:$C$504,"&lt;="&amp;INDEX(Periods!$F$5:$F$57,$B833)))</f>
        <v/>
      </c>
      <c r="S833" s="51">
        <f>IF($B833=1,N(INDEX(Employees!$T$5:$T$29,$A833)),V832)</f>
        <v/>
      </c>
      <c r="T833" s="51">
        <f>IF(INDEX(Employees!$S$5:$S$29,$A833)="",Q833,MAX(0,MIN(Q833,INDEX(Employees!$S$5:$S$29,$A833)-(S833-R833))))</f>
        <v/>
      </c>
      <c r="U833" s="51">
        <f>Q833-T833</f>
        <v/>
      </c>
      <c r="V833" s="51">
        <f>S833-R833+T833</f>
        <v/>
      </c>
    </row>
    <row r="834">
      <c r="A834" s="50" t="n">
        <v>16</v>
      </c>
      <c r="B834" s="50" t="n">
        <v>35</v>
      </c>
      <c r="C834" s="51">
        <f>INDEX(Employees!$B$5:$B$29,$A834)&amp;""</f>
        <v/>
      </c>
      <c r="D834" s="52">
        <f>INDEX(Periods!$B$5:$B$57,$B834)</f>
        <v/>
      </c>
      <c r="E834" s="52">
        <f>INDEX(Periods!$C$5:$C$57,$B834)</f>
        <v/>
      </c>
      <c r="F834" s="50">
        <f>IF(AND($C834&lt;&gt;"",INDEX(Periods!$D$5:$D$57,$B834)=1),1,0)</f>
        <v/>
      </c>
      <c r="G834" s="50">
        <f>IF($F834=0,0,IF(AND(OR(INDEX(Employees!$D$5:$D$29,$A834)="",$E834&gt;=INDEX(Employees!$D$5:$D$29,$A834)+N(INDEX(Employees!$U$5:$U$29,$A834))),OR(INDEX(Employees!$E$5:$E$29,$A834)="",$D834&lt;=INDEX(Employees!$E$5:$E$29,$A834))),1,0))</f>
        <v/>
      </c>
      <c r="H834" s="50">
        <f>IF($G834=0,0,IF(INDEX(Employees!$D$5:$D$29,$A834)="",0,DATEDIF(INDEX(Employees!$D$5:$D$29,$A834),$E834,"y")))</f>
        <v/>
      </c>
      <c r="I834" s="51">
        <f>IF($G834=0,0,IF(INDEX('Hours Worked'!$D$5:$BD$29,$A834,$B834)="",N(INDEX(Employees!$H$5:$H$29,$A834)),INDEX('Hours Worked'!$D$5:$BD$29,$A834,$B834)))</f>
        <v/>
      </c>
      <c r="J834" s="51">
        <f>IF(OR($G834=0,INDEX(Employees!$O$5:$O$29,$A834)&lt;&gt;"Yes"),0,IF(COUNTIF(Settings!$D$4:$D$9,"&lt;="&amp;$H834)=0,0,INDEX(Settings!$E$4:$E$9,COUNTIF(Settings!$D$4:$D$9,"&lt;="&amp;$H834))))</f>
        <v/>
      </c>
      <c r="K834" s="51">
        <f>IF($G834=0,0,IF(INDEX(Employees!$I$5:$I$29,$A834)="Per pay period",(N(INDEX(Employees!$J$5:$J$29,$A834))+$J834)/Settings!$B$13,IF(INDEX(Employees!$I$5:$I$29,$A834)="Per hour worked",N(INDEX(Employees!$K$5:$K$29,$A834))*$I834,IF(INDEX(Employees!$I$5:$I$29,$A834)="Front-loaded",IF(OR($B834=1,N($G833)=0),N(INDEX(Employees!$J$5:$J$29,$A834))+$J834,0),0))))</f>
        <v/>
      </c>
      <c r="L834" s="51">
        <f>IF($F834=0,0,SUMIFS('Time Off Log'!$H$5:$H$504,'Time Off Log'!$A$5:$A$504,$C834,'Time Off Log'!$B$5:$B$504,"PTO",'Time Off Log'!$E$5:$E$504,"Approved",'Time Off Log'!$C$5:$C$504,"&gt;="&amp;INDEX(Periods!$E$5:$E$57,$B834),'Time Off Log'!$C$5:$C$504,"&lt;="&amp;INDEX(Periods!$F$5:$F$57,$B834)))</f>
        <v/>
      </c>
      <c r="M834" s="51">
        <f>IF($B834=1,N(INDEX(Employees!$N$5:$N$29,$A834)),P833)</f>
        <v/>
      </c>
      <c r="N834" s="51">
        <f>IF(INDEX(Employees!$L$5:$L$29,$A834)="",K834,MAX(0,MIN(K834,INDEX(Employees!$L$5:$L$29,$A834)-(M834-L834))))</f>
        <v/>
      </c>
      <c r="O834" s="51">
        <f>K834-N834</f>
        <v/>
      </c>
      <c r="P834" s="51">
        <f>M834-L834+N834</f>
        <v/>
      </c>
      <c r="Q834" s="51">
        <f>IF($G834=0,0,IF(INDEX(Employees!$P$5:$P$29,$A834)="Per pay period",(N(INDEX(Employees!$Q$5:$Q$29,$A834)))/Settings!$B$13,IF(INDEX(Employees!$P$5:$P$29,$A834)="Per hour worked",N(INDEX(Employees!$R$5:$R$29,$A834))*$I834,IF(INDEX(Employees!$P$5:$P$29,$A834)="Front-loaded",IF(OR($B834=1,N($G833)=0),N(INDEX(Employees!$Q$5:$Q$29,$A834)),0),0))))</f>
        <v/>
      </c>
      <c r="R834" s="51">
        <f>IF($F834=0,0,SUMIFS('Time Off Log'!$H$5:$H$504,'Time Off Log'!$A$5:$A$504,$C834,'Time Off Log'!$B$5:$B$504,"Sick",'Time Off Log'!$E$5:$E$504,"Approved",'Time Off Log'!$C$5:$C$504,"&gt;="&amp;INDEX(Periods!$E$5:$E$57,$B834),'Time Off Log'!$C$5:$C$504,"&lt;="&amp;INDEX(Periods!$F$5:$F$57,$B834)))</f>
        <v/>
      </c>
      <c r="S834" s="51">
        <f>IF($B834=1,N(INDEX(Employees!$T$5:$T$29,$A834)),V833)</f>
        <v/>
      </c>
      <c r="T834" s="51">
        <f>IF(INDEX(Employees!$S$5:$S$29,$A834)="",Q834,MAX(0,MIN(Q834,INDEX(Employees!$S$5:$S$29,$A834)-(S834-R834))))</f>
        <v/>
      </c>
      <c r="U834" s="51">
        <f>Q834-T834</f>
        <v/>
      </c>
      <c r="V834" s="51">
        <f>S834-R834+T834</f>
        <v/>
      </c>
    </row>
    <row r="835">
      <c r="A835" s="50" t="n">
        <v>16</v>
      </c>
      <c r="B835" s="50" t="n">
        <v>36</v>
      </c>
      <c r="C835" s="51">
        <f>INDEX(Employees!$B$5:$B$29,$A835)&amp;""</f>
        <v/>
      </c>
      <c r="D835" s="52">
        <f>INDEX(Periods!$B$5:$B$57,$B835)</f>
        <v/>
      </c>
      <c r="E835" s="52">
        <f>INDEX(Periods!$C$5:$C$57,$B835)</f>
        <v/>
      </c>
      <c r="F835" s="50">
        <f>IF(AND($C835&lt;&gt;"",INDEX(Periods!$D$5:$D$57,$B835)=1),1,0)</f>
        <v/>
      </c>
      <c r="G835" s="50">
        <f>IF($F835=0,0,IF(AND(OR(INDEX(Employees!$D$5:$D$29,$A835)="",$E835&gt;=INDEX(Employees!$D$5:$D$29,$A835)+N(INDEX(Employees!$U$5:$U$29,$A835))),OR(INDEX(Employees!$E$5:$E$29,$A835)="",$D835&lt;=INDEX(Employees!$E$5:$E$29,$A835))),1,0))</f>
        <v/>
      </c>
      <c r="H835" s="50">
        <f>IF($G835=0,0,IF(INDEX(Employees!$D$5:$D$29,$A835)="",0,DATEDIF(INDEX(Employees!$D$5:$D$29,$A835),$E835,"y")))</f>
        <v/>
      </c>
      <c r="I835" s="51">
        <f>IF($G835=0,0,IF(INDEX('Hours Worked'!$D$5:$BD$29,$A835,$B835)="",N(INDEX(Employees!$H$5:$H$29,$A835)),INDEX('Hours Worked'!$D$5:$BD$29,$A835,$B835)))</f>
        <v/>
      </c>
      <c r="J835" s="51">
        <f>IF(OR($G835=0,INDEX(Employees!$O$5:$O$29,$A835)&lt;&gt;"Yes"),0,IF(COUNTIF(Settings!$D$4:$D$9,"&lt;="&amp;$H835)=0,0,INDEX(Settings!$E$4:$E$9,COUNTIF(Settings!$D$4:$D$9,"&lt;="&amp;$H835))))</f>
        <v/>
      </c>
      <c r="K835" s="51">
        <f>IF($G835=0,0,IF(INDEX(Employees!$I$5:$I$29,$A835)="Per pay period",(N(INDEX(Employees!$J$5:$J$29,$A835))+$J835)/Settings!$B$13,IF(INDEX(Employees!$I$5:$I$29,$A835)="Per hour worked",N(INDEX(Employees!$K$5:$K$29,$A835))*$I835,IF(INDEX(Employees!$I$5:$I$29,$A835)="Front-loaded",IF(OR($B835=1,N($G834)=0),N(INDEX(Employees!$J$5:$J$29,$A835))+$J835,0),0))))</f>
        <v/>
      </c>
      <c r="L835" s="51">
        <f>IF($F835=0,0,SUMIFS('Time Off Log'!$H$5:$H$504,'Time Off Log'!$A$5:$A$504,$C835,'Time Off Log'!$B$5:$B$504,"PTO",'Time Off Log'!$E$5:$E$504,"Approved",'Time Off Log'!$C$5:$C$504,"&gt;="&amp;INDEX(Periods!$E$5:$E$57,$B835),'Time Off Log'!$C$5:$C$504,"&lt;="&amp;INDEX(Periods!$F$5:$F$57,$B835)))</f>
        <v/>
      </c>
      <c r="M835" s="51">
        <f>IF($B835=1,N(INDEX(Employees!$N$5:$N$29,$A835)),P834)</f>
        <v/>
      </c>
      <c r="N835" s="51">
        <f>IF(INDEX(Employees!$L$5:$L$29,$A835)="",K835,MAX(0,MIN(K835,INDEX(Employees!$L$5:$L$29,$A835)-(M835-L835))))</f>
        <v/>
      </c>
      <c r="O835" s="51">
        <f>K835-N835</f>
        <v/>
      </c>
      <c r="P835" s="51">
        <f>M835-L835+N835</f>
        <v/>
      </c>
      <c r="Q835" s="51">
        <f>IF($G835=0,0,IF(INDEX(Employees!$P$5:$P$29,$A835)="Per pay period",(N(INDEX(Employees!$Q$5:$Q$29,$A835)))/Settings!$B$13,IF(INDEX(Employees!$P$5:$P$29,$A835)="Per hour worked",N(INDEX(Employees!$R$5:$R$29,$A835))*$I835,IF(INDEX(Employees!$P$5:$P$29,$A835)="Front-loaded",IF(OR($B835=1,N($G834)=0),N(INDEX(Employees!$Q$5:$Q$29,$A835)),0),0))))</f>
        <v/>
      </c>
      <c r="R835" s="51">
        <f>IF($F835=0,0,SUMIFS('Time Off Log'!$H$5:$H$504,'Time Off Log'!$A$5:$A$504,$C835,'Time Off Log'!$B$5:$B$504,"Sick",'Time Off Log'!$E$5:$E$504,"Approved",'Time Off Log'!$C$5:$C$504,"&gt;="&amp;INDEX(Periods!$E$5:$E$57,$B835),'Time Off Log'!$C$5:$C$504,"&lt;="&amp;INDEX(Periods!$F$5:$F$57,$B835)))</f>
        <v/>
      </c>
      <c r="S835" s="51">
        <f>IF($B835=1,N(INDEX(Employees!$T$5:$T$29,$A835)),V834)</f>
        <v/>
      </c>
      <c r="T835" s="51">
        <f>IF(INDEX(Employees!$S$5:$S$29,$A835)="",Q835,MAX(0,MIN(Q835,INDEX(Employees!$S$5:$S$29,$A835)-(S835-R835))))</f>
        <v/>
      </c>
      <c r="U835" s="51">
        <f>Q835-T835</f>
        <v/>
      </c>
      <c r="V835" s="51">
        <f>S835-R835+T835</f>
        <v/>
      </c>
    </row>
    <row r="836">
      <c r="A836" s="50" t="n">
        <v>16</v>
      </c>
      <c r="B836" s="50" t="n">
        <v>37</v>
      </c>
      <c r="C836" s="51">
        <f>INDEX(Employees!$B$5:$B$29,$A836)&amp;""</f>
        <v/>
      </c>
      <c r="D836" s="52">
        <f>INDEX(Periods!$B$5:$B$57,$B836)</f>
        <v/>
      </c>
      <c r="E836" s="52">
        <f>INDEX(Periods!$C$5:$C$57,$B836)</f>
        <v/>
      </c>
      <c r="F836" s="50">
        <f>IF(AND($C836&lt;&gt;"",INDEX(Periods!$D$5:$D$57,$B836)=1),1,0)</f>
        <v/>
      </c>
      <c r="G836" s="50">
        <f>IF($F836=0,0,IF(AND(OR(INDEX(Employees!$D$5:$D$29,$A836)="",$E836&gt;=INDEX(Employees!$D$5:$D$29,$A836)+N(INDEX(Employees!$U$5:$U$29,$A836))),OR(INDEX(Employees!$E$5:$E$29,$A836)="",$D836&lt;=INDEX(Employees!$E$5:$E$29,$A836))),1,0))</f>
        <v/>
      </c>
      <c r="H836" s="50">
        <f>IF($G836=0,0,IF(INDEX(Employees!$D$5:$D$29,$A836)="",0,DATEDIF(INDEX(Employees!$D$5:$D$29,$A836),$E836,"y")))</f>
        <v/>
      </c>
      <c r="I836" s="51">
        <f>IF($G836=0,0,IF(INDEX('Hours Worked'!$D$5:$BD$29,$A836,$B836)="",N(INDEX(Employees!$H$5:$H$29,$A836)),INDEX('Hours Worked'!$D$5:$BD$29,$A836,$B836)))</f>
        <v/>
      </c>
      <c r="J836" s="51">
        <f>IF(OR($G836=0,INDEX(Employees!$O$5:$O$29,$A836)&lt;&gt;"Yes"),0,IF(COUNTIF(Settings!$D$4:$D$9,"&lt;="&amp;$H836)=0,0,INDEX(Settings!$E$4:$E$9,COUNTIF(Settings!$D$4:$D$9,"&lt;="&amp;$H836))))</f>
        <v/>
      </c>
      <c r="K836" s="51">
        <f>IF($G836=0,0,IF(INDEX(Employees!$I$5:$I$29,$A836)="Per pay period",(N(INDEX(Employees!$J$5:$J$29,$A836))+$J836)/Settings!$B$13,IF(INDEX(Employees!$I$5:$I$29,$A836)="Per hour worked",N(INDEX(Employees!$K$5:$K$29,$A836))*$I836,IF(INDEX(Employees!$I$5:$I$29,$A836)="Front-loaded",IF(OR($B836=1,N($G835)=0),N(INDEX(Employees!$J$5:$J$29,$A836))+$J836,0),0))))</f>
        <v/>
      </c>
      <c r="L836" s="51">
        <f>IF($F836=0,0,SUMIFS('Time Off Log'!$H$5:$H$504,'Time Off Log'!$A$5:$A$504,$C836,'Time Off Log'!$B$5:$B$504,"PTO",'Time Off Log'!$E$5:$E$504,"Approved",'Time Off Log'!$C$5:$C$504,"&gt;="&amp;INDEX(Periods!$E$5:$E$57,$B836),'Time Off Log'!$C$5:$C$504,"&lt;="&amp;INDEX(Periods!$F$5:$F$57,$B836)))</f>
        <v/>
      </c>
      <c r="M836" s="51">
        <f>IF($B836=1,N(INDEX(Employees!$N$5:$N$29,$A836)),P835)</f>
        <v/>
      </c>
      <c r="N836" s="51">
        <f>IF(INDEX(Employees!$L$5:$L$29,$A836)="",K836,MAX(0,MIN(K836,INDEX(Employees!$L$5:$L$29,$A836)-(M836-L836))))</f>
        <v/>
      </c>
      <c r="O836" s="51">
        <f>K836-N836</f>
        <v/>
      </c>
      <c r="P836" s="51">
        <f>M836-L836+N836</f>
        <v/>
      </c>
      <c r="Q836" s="51">
        <f>IF($G836=0,0,IF(INDEX(Employees!$P$5:$P$29,$A836)="Per pay period",(N(INDEX(Employees!$Q$5:$Q$29,$A836)))/Settings!$B$13,IF(INDEX(Employees!$P$5:$P$29,$A836)="Per hour worked",N(INDEX(Employees!$R$5:$R$29,$A836))*$I836,IF(INDEX(Employees!$P$5:$P$29,$A836)="Front-loaded",IF(OR($B836=1,N($G835)=0),N(INDEX(Employees!$Q$5:$Q$29,$A836)),0),0))))</f>
        <v/>
      </c>
      <c r="R836" s="51">
        <f>IF($F836=0,0,SUMIFS('Time Off Log'!$H$5:$H$504,'Time Off Log'!$A$5:$A$504,$C836,'Time Off Log'!$B$5:$B$504,"Sick",'Time Off Log'!$E$5:$E$504,"Approved",'Time Off Log'!$C$5:$C$504,"&gt;="&amp;INDEX(Periods!$E$5:$E$57,$B836),'Time Off Log'!$C$5:$C$504,"&lt;="&amp;INDEX(Periods!$F$5:$F$57,$B836)))</f>
        <v/>
      </c>
      <c r="S836" s="51">
        <f>IF($B836=1,N(INDEX(Employees!$T$5:$T$29,$A836)),V835)</f>
        <v/>
      </c>
      <c r="T836" s="51">
        <f>IF(INDEX(Employees!$S$5:$S$29,$A836)="",Q836,MAX(0,MIN(Q836,INDEX(Employees!$S$5:$S$29,$A836)-(S836-R836))))</f>
        <v/>
      </c>
      <c r="U836" s="51">
        <f>Q836-T836</f>
        <v/>
      </c>
      <c r="V836" s="51">
        <f>S836-R836+T836</f>
        <v/>
      </c>
    </row>
    <row r="837">
      <c r="A837" s="50" t="n">
        <v>16</v>
      </c>
      <c r="B837" s="50" t="n">
        <v>38</v>
      </c>
      <c r="C837" s="51">
        <f>INDEX(Employees!$B$5:$B$29,$A837)&amp;""</f>
        <v/>
      </c>
      <c r="D837" s="52">
        <f>INDEX(Periods!$B$5:$B$57,$B837)</f>
        <v/>
      </c>
      <c r="E837" s="52">
        <f>INDEX(Periods!$C$5:$C$57,$B837)</f>
        <v/>
      </c>
      <c r="F837" s="50">
        <f>IF(AND($C837&lt;&gt;"",INDEX(Periods!$D$5:$D$57,$B837)=1),1,0)</f>
        <v/>
      </c>
      <c r="G837" s="50">
        <f>IF($F837=0,0,IF(AND(OR(INDEX(Employees!$D$5:$D$29,$A837)="",$E837&gt;=INDEX(Employees!$D$5:$D$29,$A837)+N(INDEX(Employees!$U$5:$U$29,$A837))),OR(INDEX(Employees!$E$5:$E$29,$A837)="",$D837&lt;=INDEX(Employees!$E$5:$E$29,$A837))),1,0))</f>
        <v/>
      </c>
      <c r="H837" s="50">
        <f>IF($G837=0,0,IF(INDEX(Employees!$D$5:$D$29,$A837)="",0,DATEDIF(INDEX(Employees!$D$5:$D$29,$A837),$E837,"y")))</f>
        <v/>
      </c>
      <c r="I837" s="51">
        <f>IF($G837=0,0,IF(INDEX('Hours Worked'!$D$5:$BD$29,$A837,$B837)="",N(INDEX(Employees!$H$5:$H$29,$A837)),INDEX('Hours Worked'!$D$5:$BD$29,$A837,$B837)))</f>
        <v/>
      </c>
      <c r="J837" s="51">
        <f>IF(OR($G837=0,INDEX(Employees!$O$5:$O$29,$A837)&lt;&gt;"Yes"),0,IF(COUNTIF(Settings!$D$4:$D$9,"&lt;="&amp;$H837)=0,0,INDEX(Settings!$E$4:$E$9,COUNTIF(Settings!$D$4:$D$9,"&lt;="&amp;$H837))))</f>
        <v/>
      </c>
      <c r="K837" s="51">
        <f>IF($G837=0,0,IF(INDEX(Employees!$I$5:$I$29,$A837)="Per pay period",(N(INDEX(Employees!$J$5:$J$29,$A837))+$J837)/Settings!$B$13,IF(INDEX(Employees!$I$5:$I$29,$A837)="Per hour worked",N(INDEX(Employees!$K$5:$K$29,$A837))*$I837,IF(INDEX(Employees!$I$5:$I$29,$A837)="Front-loaded",IF(OR($B837=1,N($G836)=0),N(INDEX(Employees!$J$5:$J$29,$A837))+$J837,0),0))))</f>
        <v/>
      </c>
      <c r="L837" s="51">
        <f>IF($F837=0,0,SUMIFS('Time Off Log'!$H$5:$H$504,'Time Off Log'!$A$5:$A$504,$C837,'Time Off Log'!$B$5:$B$504,"PTO",'Time Off Log'!$E$5:$E$504,"Approved",'Time Off Log'!$C$5:$C$504,"&gt;="&amp;INDEX(Periods!$E$5:$E$57,$B837),'Time Off Log'!$C$5:$C$504,"&lt;="&amp;INDEX(Periods!$F$5:$F$57,$B837)))</f>
        <v/>
      </c>
      <c r="M837" s="51">
        <f>IF($B837=1,N(INDEX(Employees!$N$5:$N$29,$A837)),P836)</f>
        <v/>
      </c>
      <c r="N837" s="51">
        <f>IF(INDEX(Employees!$L$5:$L$29,$A837)="",K837,MAX(0,MIN(K837,INDEX(Employees!$L$5:$L$29,$A837)-(M837-L837))))</f>
        <v/>
      </c>
      <c r="O837" s="51">
        <f>K837-N837</f>
        <v/>
      </c>
      <c r="P837" s="51">
        <f>M837-L837+N837</f>
        <v/>
      </c>
      <c r="Q837" s="51">
        <f>IF($G837=0,0,IF(INDEX(Employees!$P$5:$P$29,$A837)="Per pay period",(N(INDEX(Employees!$Q$5:$Q$29,$A837)))/Settings!$B$13,IF(INDEX(Employees!$P$5:$P$29,$A837)="Per hour worked",N(INDEX(Employees!$R$5:$R$29,$A837))*$I837,IF(INDEX(Employees!$P$5:$P$29,$A837)="Front-loaded",IF(OR($B837=1,N($G836)=0),N(INDEX(Employees!$Q$5:$Q$29,$A837)),0),0))))</f>
        <v/>
      </c>
      <c r="R837" s="51">
        <f>IF($F837=0,0,SUMIFS('Time Off Log'!$H$5:$H$504,'Time Off Log'!$A$5:$A$504,$C837,'Time Off Log'!$B$5:$B$504,"Sick",'Time Off Log'!$E$5:$E$504,"Approved",'Time Off Log'!$C$5:$C$504,"&gt;="&amp;INDEX(Periods!$E$5:$E$57,$B837),'Time Off Log'!$C$5:$C$504,"&lt;="&amp;INDEX(Periods!$F$5:$F$57,$B837)))</f>
        <v/>
      </c>
      <c r="S837" s="51">
        <f>IF($B837=1,N(INDEX(Employees!$T$5:$T$29,$A837)),V836)</f>
        <v/>
      </c>
      <c r="T837" s="51">
        <f>IF(INDEX(Employees!$S$5:$S$29,$A837)="",Q837,MAX(0,MIN(Q837,INDEX(Employees!$S$5:$S$29,$A837)-(S837-R837))))</f>
        <v/>
      </c>
      <c r="U837" s="51">
        <f>Q837-T837</f>
        <v/>
      </c>
      <c r="V837" s="51">
        <f>S837-R837+T837</f>
        <v/>
      </c>
    </row>
    <row r="838">
      <c r="A838" s="50" t="n">
        <v>16</v>
      </c>
      <c r="B838" s="50" t="n">
        <v>39</v>
      </c>
      <c r="C838" s="51">
        <f>INDEX(Employees!$B$5:$B$29,$A838)&amp;""</f>
        <v/>
      </c>
      <c r="D838" s="52">
        <f>INDEX(Periods!$B$5:$B$57,$B838)</f>
        <v/>
      </c>
      <c r="E838" s="52">
        <f>INDEX(Periods!$C$5:$C$57,$B838)</f>
        <v/>
      </c>
      <c r="F838" s="50">
        <f>IF(AND($C838&lt;&gt;"",INDEX(Periods!$D$5:$D$57,$B838)=1),1,0)</f>
        <v/>
      </c>
      <c r="G838" s="50">
        <f>IF($F838=0,0,IF(AND(OR(INDEX(Employees!$D$5:$D$29,$A838)="",$E838&gt;=INDEX(Employees!$D$5:$D$29,$A838)+N(INDEX(Employees!$U$5:$U$29,$A838))),OR(INDEX(Employees!$E$5:$E$29,$A838)="",$D838&lt;=INDEX(Employees!$E$5:$E$29,$A838))),1,0))</f>
        <v/>
      </c>
      <c r="H838" s="50">
        <f>IF($G838=0,0,IF(INDEX(Employees!$D$5:$D$29,$A838)="",0,DATEDIF(INDEX(Employees!$D$5:$D$29,$A838),$E838,"y")))</f>
        <v/>
      </c>
      <c r="I838" s="51">
        <f>IF($G838=0,0,IF(INDEX('Hours Worked'!$D$5:$BD$29,$A838,$B838)="",N(INDEX(Employees!$H$5:$H$29,$A838)),INDEX('Hours Worked'!$D$5:$BD$29,$A838,$B838)))</f>
        <v/>
      </c>
      <c r="J838" s="51">
        <f>IF(OR($G838=0,INDEX(Employees!$O$5:$O$29,$A838)&lt;&gt;"Yes"),0,IF(COUNTIF(Settings!$D$4:$D$9,"&lt;="&amp;$H838)=0,0,INDEX(Settings!$E$4:$E$9,COUNTIF(Settings!$D$4:$D$9,"&lt;="&amp;$H838))))</f>
        <v/>
      </c>
      <c r="K838" s="51">
        <f>IF($G838=0,0,IF(INDEX(Employees!$I$5:$I$29,$A838)="Per pay period",(N(INDEX(Employees!$J$5:$J$29,$A838))+$J838)/Settings!$B$13,IF(INDEX(Employees!$I$5:$I$29,$A838)="Per hour worked",N(INDEX(Employees!$K$5:$K$29,$A838))*$I838,IF(INDEX(Employees!$I$5:$I$29,$A838)="Front-loaded",IF(OR($B838=1,N($G837)=0),N(INDEX(Employees!$J$5:$J$29,$A838))+$J838,0),0))))</f>
        <v/>
      </c>
      <c r="L838" s="51">
        <f>IF($F838=0,0,SUMIFS('Time Off Log'!$H$5:$H$504,'Time Off Log'!$A$5:$A$504,$C838,'Time Off Log'!$B$5:$B$504,"PTO",'Time Off Log'!$E$5:$E$504,"Approved",'Time Off Log'!$C$5:$C$504,"&gt;="&amp;INDEX(Periods!$E$5:$E$57,$B838),'Time Off Log'!$C$5:$C$504,"&lt;="&amp;INDEX(Periods!$F$5:$F$57,$B838)))</f>
        <v/>
      </c>
      <c r="M838" s="51">
        <f>IF($B838=1,N(INDEX(Employees!$N$5:$N$29,$A838)),P837)</f>
        <v/>
      </c>
      <c r="N838" s="51">
        <f>IF(INDEX(Employees!$L$5:$L$29,$A838)="",K838,MAX(0,MIN(K838,INDEX(Employees!$L$5:$L$29,$A838)-(M838-L838))))</f>
        <v/>
      </c>
      <c r="O838" s="51">
        <f>K838-N838</f>
        <v/>
      </c>
      <c r="P838" s="51">
        <f>M838-L838+N838</f>
        <v/>
      </c>
      <c r="Q838" s="51">
        <f>IF($G838=0,0,IF(INDEX(Employees!$P$5:$P$29,$A838)="Per pay period",(N(INDEX(Employees!$Q$5:$Q$29,$A838)))/Settings!$B$13,IF(INDEX(Employees!$P$5:$P$29,$A838)="Per hour worked",N(INDEX(Employees!$R$5:$R$29,$A838))*$I838,IF(INDEX(Employees!$P$5:$P$29,$A838)="Front-loaded",IF(OR($B838=1,N($G837)=0),N(INDEX(Employees!$Q$5:$Q$29,$A838)),0),0))))</f>
        <v/>
      </c>
      <c r="R838" s="51">
        <f>IF($F838=0,0,SUMIFS('Time Off Log'!$H$5:$H$504,'Time Off Log'!$A$5:$A$504,$C838,'Time Off Log'!$B$5:$B$504,"Sick",'Time Off Log'!$E$5:$E$504,"Approved",'Time Off Log'!$C$5:$C$504,"&gt;="&amp;INDEX(Periods!$E$5:$E$57,$B838),'Time Off Log'!$C$5:$C$504,"&lt;="&amp;INDEX(Periods!$F$5:$F$57,$B838)))</f>
        <v/>
      </c>
      <c r="S838" s="51">
        <f>IF($B838=1,N(INDEX(Employees!$T$5:$T$29,$A838)),V837)</f>
        <v/>
      </c>
      <c r="T838" s="51">
        <f>IF(INDEX(Employees!$S$5:$S$29,$A838)="",Q838,MAX(0,MIN(Q838,INDEX(Employees!$S$5:$S$29,$A838)-(S838-R838))))</f>
        <v/>
      </c>
      <c r="U838" s="51">
        <f>Q838-T838</f>
        <v/>
      </c>
      <c r="V838" s="51">
        <f>S838-R838+T838</f>
        <v/>
      </c>
    </row>
    <row r="839">
      <c r="A839" s="50" t="n">
        <v>16</v>
      </c>
      <c r="B839" s="50" t="n">
        <v>40</v>
      </c>
      <c r="C839" s="51">
        <f>INDEX(Employees!$B$5:$B$29,$A839)&amp;""</f>
        <v/>
      </c>
      <c r="D839" s="52">
        <f>INDEX(Periods!$B$5:$B$57,$B839)</f>
        <v/>
      </c>
      <c r="E839" s="52">
        <f>INDEX(Periods!$C$5:$C$57,$B839)</f>
        <v/>
      </c>
      <c r="F839" s="50">
        <f>IF(AND($C839&lt;&gt;"",INDEX(Periods!$D$5:$D$57,$B839)=1),1,0)</f>
        <v/>
      </c>
      <c r="G839" s="50">
        <f>IF($F839=0,0,IF(AND(OR(INDEX(Employees!$D$5:$D$29,$A839)="",$E839&gt;=INDEX(Employees!$D$5:$D$29,$A839)+N(INDEX(Employees!$U$5:$U$29,$A839))),OR(INDEX(Employees!$E$5:$E$29,$A839)="",$D839&lt;=INDEX(Employees!$E$5:$E$29,$A839))),1,0))</f>
        <v/>
      </c>
      <c r="H839" s="50">
        <f>IF($G839=0,0,IF(INDEX(Employees!$D$5:$D$29,$A839)="",0,DATEDIF(INDEX(Employees!$D$5:$D$29,$A839),$E839,"y")))</f>
        <v/>
      </c>
      <c r="I839" s="51">
        <f>IF($G839=0,0,IF(INDEX('Hours Worked'!$D$5:$BD$29,$A839,$B839)="",N(INDEX(Employees!$H$5:$H$29,$A839)),INDEX('Hours Worked'!$D$5:$BD$29,$A839,$B839)))</f>
        <v/>
      </c>
      <c r="J839" s="51">
        <f>IF(OR($G839=0,INDEX(Employees!$O$5:$O$29,$A839)&lt;&gt;"Yes"),0,IF(COUNTIF(Settings!$D$4:$D$9,"&lt;="&amp;$H839)=0,0,INDEX(Settings!$E$4:$E$9,COUNTIF(Settings!$D$4:$D$9,"&lt;="&amp;$H839))))</f>
        <v/>
      </c>
      <c r="K839" s="51">
        <f>IF($G839=0,0,IF(INDEX(Employees!$I$5:$I$29,$A839)="Per pay period",(N(INDEX(Employees!$J$5:$J$29,$A839))+$J839)/Settings!$B$13,IF(INDEX(Employees!$I$5:$I$29,$A839)="Per hour worked",N(INDEX(Employees!$K$5:$K$29,$A839))*$I839,IF(INDEX(Employees!$I$5:$I$29,$A839)="Front-loaded",IF(OR($B839=1,N($G838)=0),N(INDEX(Employees!$J$5:$J$29,$A839))+$J839,0),0))))</f>
        <v/>
      </c>
      <c r="L839" s="51">
        <f>IF($F839=0,0,SUMIFS('Time Off Log'!$H$5:$H$504,'Time Off Log'!$A$5:$A$504,$C839,'Time Off Log'!$B$5:$B$504,"PTO",'Time Off Log'!$E$5:$E$504,"Approved",'Time Off Log'!$C$5:$C$504,"&gt;="&amp;INDEX(Periods!$E$5:$E$57,$B839),'Time Off Log'!$C$5:$C$504,"&lt;="&amp;INDEX(Periods!$F$5:$F$57,$B839)))</f>
        <v/>
      </c>
      <c r="M839" s="51">
        <f>IF($B839=1,N(INDEX(Employees!$N$5:$N$29,$A839)),P838)</f>
        <v/>
      </c>
      <c r="N839" s="51">
        <f>IF(INDEX(Employees!$L$5:$L$29,$A839)="",K839,MAX(0,MIN(K839,INDEX(Employees!$L$5:$L$29,$A839)-(M839-L839))))</f>
        <v/>
      </c>
      <c r="O839" s="51">
        <f>K839-N839</f>
        <v/>
      </c>
      <c r="P839" s="51">
        <f>M839-L839+N839</f>
        <v/>
      </c>
      <c r="Q839" s="51">
        <f>IF($G839=0,0,IF(INDEX(Employees!$P$5:$P$29,$A839)="Per pay period",(N(INDEX(Employees!$Q$5:$Q$29,$A839)))/Settings!$B$13,IF(INDEX(Employees!$P$5:$P$29,$A839)="Per hour worked",N(INDEX(Employees!$R$5:$R$29,$A839))*$I839,IF(INDEX(Employees!$P$5:$P$29,$A839)="Front-loaded",IF(OR($B839=1,N($G838)=0),N(INDEX(Employees!$Q$5:$Q$29,$A839)),0),0))))</f>
        <v/>
      </c>
      <c r="R839" s="51">
        <f>IF($F839=0,0,SUMIFS('Time Off Log'!$H$5:$H$504,'Time Off Log'!$A$5:$A$504,$C839,'Time Off Log'!$B$5:$B$504,"Sick",'Time Off Log'!$E$5:$E$504,"Approved",'Time Off Log'!$C$5:$C$504,"&gt;="&amp;INDEX(Periods!$E$5:$E$57,$B839),'Time Off Log'!$C$5:$C$504,"&lt;="&amp;INDEX(Periods!$F$5:$F$57,$B839)))</f>
        <v/>
      </c>
      <c r="S839" s="51">
        <f>IF($B839=1,N(INDEX(Employees!$T$5:$T$29,$A839)),V838)</f>
        <v/>
      </c>
      <c r="T839" s="51">
        <f>IF(INDEX(Employees!$S$5:$S$29,$A839)="",Q839,MAX(0,MIN(Q839,INDEX(Employees!$S$5:$S$29,$A839)-(S839-R839))))</f>
        <v/>
      </c>
      <c r="U839" s="51">
        <f>Q839-T839</f>
        <v/>
      </c>
      <c r="V839" s="51">
        <f>S839-R839+T839</f>
        <v/>
      </c>
    </row>
    <row r="840">
      <c r="A840" s="50" t="n">
        <v>16</v>
      </c>
      <c r="B840" s="50" t="n">
        <v>41</v>
      </c>
      <c r="C840" s="51">
        <f>INDEX(Employees!$B$5:$B$29,$A840)&amp;""</f>
        <v/>
      </c>
      <c r="D840" s="52">
        <f>INDEX(Periods!$B$5:$B$57,$B840)</f>
        <v/>
      </c>
      <c r="E840" s="52">
        <f>INDEX(Periods!$C$5:$C$57,$B840)</f>
        <v/>
      </c>
      <c r="F840" s="50">
        <f>IF(AND($C840&lt;&gt;"",INDEX(Periods!$D$5:$D$57,$B840)=1),1,0)</f>
        <v/>
      </c>
      <c r="G840" s="50">
        <f>IF($F840=0,0,IF(AND(OR(INDEX(Employees!$D$5:$D$29,$A840)="",$E840&gt;=INDEX(Employees!$D$5:$D$29,$A840)+N(INDEX(Employees!$U$5:$U$29,$A840))),OR(INDEX(Employees!$E$5:$E$29,$A840)="",$D840&lt;=INDEX(Employees!$E$5:$E$29,$A840))),1,0))</f>
        <v/>
      </c>
      <c r="H840" s="50">
        <f>IF($G840=0,0,IF(INDEX(Employees!$D$5:$D$29,$A840)="",0,DATEDIF(INDEX(Employees!$D$5:$D$29,$A840),$E840,"y")))</f>
        <v/>
      </c>
      <c r="I840" s="51">
        <f>IF($G840=0,0,IF(INDEX('Hours Worked'!$D$5:$BD$29,$A840,$B840)="",N(INDEX(Employees!$H$5:$H$29,$A840)),INDEX('Hours Worked'!$D$5:$BD$29,$A840,$B840)))</f>
        <v/>
      </c>
      <c r="J840" s="51">
        <f>IF(OR($G840=0,INDEX(Employees!$O$5:$O$29,$A840)&lt;&gt;"Yes"),0,IF(COUNTIF(Settings!$D$4:$D$9,"&lt;="&amp;$H840)=0,0,INDEX(Settings!$E$4:$E$9,COUNTIF(Settings!$D$4:$D$9,"&lt;="&amp;$H840))))</f>
        <v/>
      </c>
      <c r="K840" s="51">
        <f>IF($G840=0,0,IF(INDEX(Employees!$I$5:$I$29,$A840)="Per pay period",(N(INDEX(Employees!$J$5:$J$29,$A840))+$J840)/Settings!$B$13,IF(INDEX(Employees!$I$5:$I$29,$A840)="Per hour worked",N(INDEX(Employees!$K$5:$K$29,$A840))*$I840,IF(INDEX(Employees!$I$5:$I$29,$A840)="Front-loaded",IF(OR($B840=1,N($G839)=0),N(INDEX(Employees!$J$5:$J$29,$A840))+$J840,0),0))))</f>
        <v/>
      </c>
      <c r="L840" s="51">
        <f>IF($F840=0,0,SUMIFS('Time Off Log'!$H$5:$H$504,'Time Off Log'!$A$5:$A$504,$C840,'Time Off Log'!$B$5:$B$504,"PTO",'Time Off Log'!$E$5:$E$504,"Approved",'Time Off Log'!$C$5:$C$504,"&gt;="&amp;INDEX(Periods!$E$5:$E$57,$B840),'Time Off Log'!$C$5:$C$504,"&lt;="&amp;INDEX(Periods!$F$5:$F$57,$B840)))</f>
        <v/>
      </c>
      <c r="M840" s="51">
        <f>IF($B840=1,N(INDEX(Employees!$N$5:$N$29,$A840)),P839)</f>
        <v/>
      </c>
      <c r="N840" s="51">
        <f>IF(INDEX(Employees!$L$5:$L$29,$A840)="",K840,MAX(0,MIN(K840,INDEX(Employees!$L$5:$L$29,$A840)-(M840-L840))))</f>
        <v/>
      </c>
      <c r="O840" s="51">
        <f>K840-N840</f>
        <v/>
      </c>
      <c r="P840" s="51">
        <f>M840-L840+N840</f>
        <v/>
      </c>
      <c r="Q840" s="51">
        <f>IF($G840=0,0,IF(INDEX(Employees!$P$5:$P$29,$A840)="Per pay period",(N(INDEX(Employees!$Q$5:$Q$29,$A840)))/Settings!$B$13,IF(INDEX(Employees!$P$5:$P$29,$A840)="Per hour worked",N(INDEX(Employees!$R$5:$R$29,$A840))*$I840,IF(INDEX(Employees!$P$5:$P$29,$A840)="Front-loaded",IF(OR($B840=1,N($G839)=0),N(INDEX(Employees!$Q$5:$Q$29,$A840)),0),0))))</f>
        <v/>
      </c>
      <c r="R840" s="51">
        <f>IF($F840=0,0,SUMIFS('Time Off Log'!$H$5:$H$504,'Time Off Log'!$A$5:$A$504,$C840,'Time Off Log'!$B$5:$B$504,"Sick",'Time Off Log'!$E$5:$E$504,"Approved",'Time Off Log'!$C$5:$C$504,"&gt;="&amp;INDEX(Periods!$E$5:$E$57,$B840),'Time Off Log'!$C$5:$C$504,"&lt;="&amp;INDEX(Periods!$F$5:$F$57,$B840)))</f>
        <v/>
      </c>
      <c r="S840" s="51">
        <f>IF($B840=1,N(INDEX(Employees!$T$5:$T$29,$A840)),V839)</f>
        <v/>
      </c>
      <c r="T840" s="51">
        <f>IF(INDEX(Employees!$S$5:$S$29,$A840)="",Q840,MAX(0,MIN(Q840,INDEX(Employees!$S$5:$S$29,$A840)-(S840-R840))))</f>
        <v/>
      </c>
      <c r="U840" s="51">
        <f>Q840-T840</f>
        <v/>
      </c>
      <c r="V840" s="51">
        <f>S840-R840+T840</f>
        <v/>
      </c>
    </row>
    <row r="841">
      <c r="A841" s="50" t="n">
        <v>16</v>
      </c>
      <c r="B841" s="50" t="n">
        <v>42</v>
      </c>
      <c r="C841" s="51">
        <f>INDEX(Employees!$B$5:$B$29,$A841)&amp;""</f>
        <v/>
      </c>
      <c r="D841" s="52">
        <f>INDEX(Periods!$B$5:$B$57,$B841)</f>
        <v/>
      </c>
      <c r="E841" s="52">
        <f>INDEX(Periods!$C$5:$C$57,$B841)</f>
        <v/>
      </c>
      <c r="F841" s="50">
        <f>IF(AND($C841&lt;&gt;"",INDEX(Periods!$D$5:$D$57,$B841)=1),1,0)</f>
        <v/>
      </c>
      <c r="G841" s="50">
        <f>IF($F841=0,0,IF(AND(OR(INDEX(Employees!$D$5:$D$29,$A841)="",$E841&gt;=INDEX(Employees!$D$5:$D$29,$A841)+N(INDEX(Employees!$U$5:$U$29,$A841))),OR(INDEX(Employees!$E$5:$E$29,$A841)="",$D841&lt;=INDEX(Employees!$E$5:$E$29,$A841))),1,0))</f>
        <v/>
      </c>
      <c r="H841" s="50">
        <f>IF($G841=0,0,IF(INDEX(Employees!$D$5:$D$29,$A841)="",0,DATEDIF(INDEX(Employees!$D$5:$D$29,$A841),$E841,"y")))</f>
        <v/>
      </c>
      <c r="I841" s="51">
        <f>IF($G841=0,0,IF(INDEX('Hours Worked'!$D$5:$BD$29,$A841,$B841)="",N(INDEX(Employees!$H$5:$H$29,$A841)),INDEX('Hours Worked'!$D$5:$BD$29,$A841,$B841)))</f>
        <v/>
      </c>
      <c r="J841" s="51">
        <f>IF(OR($G841=0,INDEX(Employees!$O$5:$O$29,$A841)&lt;&gt;"Yes"),0,IF(COUNTIF(Settings!$D$4:$D$9,"&lt;="&amp;$H841)=0,0,INDEX(Settings!$E$4:$E$9,COUNTIF(Settings!$D$4:$D$9,"&lt;="&amp;$H841))))</f>
        <v/>
      </c>
      <c r="K841" s="51">
        <f>IF($G841=0,0,IF(INDEX(Employees!$I$5:$I$29,$A841)="Per pay period",(N(INDEX(Employees!$J$5:$J$29,$A841))+$J841)/Settings!$B$13,IF(INDEX(Employees!$I$5:$I$29,$A841)="Per hour worked",N(INDEX(Employees!$K$5:$K$29,$A841))*$I841,IF(INDEX(Employees!$I$5:$I$29,$A841)="Front-loaded",IF(OR($B841=1,N($G840)=0),N(INDEX(Employees!$J$5:$J$29,$A841))+$J841,0),0))))</f>
        <v/>
      </c>
      <c r="L841" s="51">
        <f>IF($F841=0,0,SUMIFS('Time Off Log'!$H$5:$H$504,'Time Off Log'!$A$5:$A$504,$C841,'Time Off Log'!$B$5:$B$504,"PTO",'Time Off Log'!$E$5:$E$504,"Approved",'Time Off Log'!$C$5:$C$504,"&gt;="&amp;INDEX(Periods!$E$5:$E$57,$B841),'Time Off Log'!$C$5:$C$504,"&lt;="&amp;INDEX(Periods!$F$5:$F$57,$B841)))</f>
        <v/>
      </c>
      <c r="M841" s="51">
        <f>IF($B841=1,N(INDEX(Employees!$N$5:$N$29,$A841)),P840)</f>
        <v/>
      </c>
      <c r="N841" s="51">
        <f>IF(INDEX(Employees!$L$5:$L$29,$A841)="",K841,MAX(0,MIN(K841,INDEX(Employees!$L$5:$L$29,$A841)-(M841-L841))))</f>
        <v/>
      </c>
      <c r="O841" s="51">
        <f>K841-N841</f>
        <v/>
      </c>
      <c r="P841" s="51">
        <f>M841-L841+N841</f>
        <v/>
      </c>
      <c r="Q841" s="51">
        <f>IF($G841=0,0,IF(INDEX(Employees!$P$5:$P$29,$A841)="Per pay period",(N(INDEX(Employees!$Q$5:$Q$29,$A841)))/Settings!$B$13,IF(INDEX(Employees!$P$5:$P$29,$A841)="Per hour worked",N(INDEX(Employees!$R$5:$R$29,$A841))*$I841,IF(INDEX(Employees!$P$5:$P$29,$A841)="Front-loaded",IF(OR($B841=1,N($G840)=0),N(INDEX(Employees!$Q$5:$Q$29,$A841)),0),0))))</f>
        <v/>
      </c>
      <c r="R841" s="51">
        <f>IF($F841=0,0,SUMIFS('Time Off Log'!$H$5:$H$504,'Time Off Log'!$A$5:$A$504,$C841,'Time Off Log'!$B$5:$B$504,"Sick",'Time Off Log'!$E$5:$E$504,"Approved",'Time Off Log'!$C$5:$C$504,"&gt;="&amp;INDEX(Periods!$E$5:$E$57,$B841),'Time Off Log'!$C$5:$C$504,"&lt;="&amp;INDEX(Periods!$F$5:$F$57,$B841)))</f>
        <v/>
      </c>
      <c r="S841" s="51">
        <f>IF($B841=1,N(INDEX(Employees!$T$5:$T$29,$A841)),V840)</f>
        <v/>
      </c>
      <c r="T841" s="51">
        <f>IF(INDEX(Employees!$S$5:$S$29,$A841)="",Q841,MAX(0,MIN(Q841,INDEX(Employees!$S$5:$S$29,$A841)-(S841-R841))))</f>
        <v/>
      </c>
      <c r="U841" s="51">
        <f>Q841-T841</f>
        <v/>
      </c>
      <c r="V841" s="51">
        <f>S841-R841+T841</f>
        <v/>
      </c>
    </row>
    <row r="842">
      <c r="A842" s="50" t="n">
        <v>16</v>
      </c>
      <c r="B842" s="50" t="n">
        <v>43</v>
      </c>
      <c r="C842" s="51">
        <f>INDEX(Employees!$B$5:$B$29,$A842)&amp;""</f>
        <v/>
      </c>
      <c r="D842" s="52">
        <f>INDEX(Periods!$B$5:$B$57,$B842)</f>
        <v/>
      </c>
      <c r="E842" s="52">
        <f>INDEX(Periods!$C$5:$C$57,$B842)</f>
        <v/>
      </c>
      <c r="F842" s="50">
        <f>IF(AND($C842&lt;&gt;"",INDEX(Periods!$D$5:$D$57,$B842)=1),1,0)</f>
        <v/>
      </c>
      <c r="G842" s="50">
        <f>IF($F842=0,0,IF(AND(OR(INDEX(Employees!$D$5:$D$29,$A842)="",$E842&gt;=INDEX(Employees!$D$5:$D$29,$A842)+N(INDEX(Employees!$U$5:$U$29,$A842))),OR(INDEX(Employees!$E$5:$E$29,$A842)="",$D842&lt;=INDEX(Employees!$E$5:$E$29,$A842))),1,0))</f>
        <v/>
      </c>
      <c r="H842" s="50">
        <f>IF($G842=0,0,IF(INDEX(Employees!$D$5:$D$29,$A842)="",0,DATEDIF(INDEX(Employees!$D$5:$D$29,$A842),$E842,"y")))</f>
        <v/>
      </c>
      <c r="I842" s="51">
        <f>IF($G842=0,0,IF(INDEX('Hours Worked'!$D$5:$BD$29,$A842,$B842)="",N(INDEX(Employees!$H$5:$H$29,$A842)),INDEX('Hours Worked'!$D$5:$BD$29,$A842,$B842)))</f>
        <v/>
      </c>
      <c r="J842" s="51">
        <f>IF(OR($G842=0,INDEX(Employees!$O$5:$O$29,$A842)&lt;&gt;"Yes"),0,IF(COUNTIF(Settings!$D$4:$D$9,"&lt;="&amp;$H842)=0,0,INDEX(Settings!$E$4:$E$9,COUNTIF(Settings!$D$4:$D$9,"&lt;="&amp;$H842))))</f>
        <v/>
      </c>
      <c r="K842" s="51">
        <f>IF($G842=0,0,IF(INDEX(Employees!$I$5:$I$29,$A842)="Per pay period",(N(INDEX(Employees!$J$5:$J$29,$A842))+$J842)/Settings!$B$13,IF(INDEX(Employees!$I$5:$I$29,$A842)="Per hour worked",N(INDEX(Employees!$K$5:$K$29,$A842))*$I842,IF(INDEX(Employees!$I$5:$I$29,$A842)="Front-loaded",IF(OR($B842=1,N($G841)=0),N(INDEX(Employees!$J$5:$J$29,$A842))+$J842,0),0))))</f>
        <v/>
      </c>
      <c r="L842" s="51">
        <f>IF($F842=0,0,SUMIFS('Time Off Log'!$H$5:$H$504,'Time Off Log'!$A$5:$A$504,$C842,'Time Off Log'!$B$5:$B$504,"PTO",'Time Off Log'!$E$5:$E$504,"Approved",'Time Off Log'!$C$5:$C$504,"&gt;="&amp;INDEX(Periods!$E$5:$E$57,$B842),'Time Off Log'!$C$5:$C$504,"&lt;="&amp;INDEX(Periods!$F$5:$F$57,$B842)))</f>
        <v/>
      </c>
      <c r="M842" s="51">
        <f>IF($B842=1,N(INDEX(Employees!$N$5:$N$29,$A842)),P841)</f>
        <v/>
      </c>
      <c r="N842" s="51">
        <f>IF(INDEX(Employees!$L$5:$L$29,$A842)="",K842,MAX(0,MIN(K842,INDEX(Employees!$L$5:$L$29,$A842)-(M842-L842))))</f>
        <v/>
      </c>
      <c r="O842" s="51">
        <f>K842-N842</f>
        <v/>
      </c>
      <c r="P842" s="51">
        <f>M842-L842+N842</f>
        <v/>
      </c>
      <c r="Q842" s="51">
        <f>IF($G842=0,0,IF(INDEX(Employees!$P$5:$P$29,$A842)="Per pay period",(N(INDEX(Employees!$Q$5:$Q$29,$A842)))/Settings!$B$13,IF(INDEX(Employees!$P$5:$P$29,$A842)="Per hour worked",N(INDEX(Employees!$R$5:$R$29,$A842))*$I842,IF(INDEX(Employees!$P$5:$P$29,$A842)="Front-loaded",IF(OR($B842=1,N($G841)=0),N(INDEX(Employees!$Q$5:$Q$29,$A842)),0),0))))</f>
        <v/>
      </c>
      <c r="R842" s="51">
        <f>IF($F842=0,0,SUMIFS('Time Off Log'!$H$5:$H$504,'Time Off Log'!$A$5:$A$504,$C842,'Time Off Log'!$B$5:$B$504,"Sick",'Time Off Log'!$E$5:$E$504,"Approved",'Time Off Log'!$C$5:$C$504,"&gt;="&amp;INDEX(Periods!$E$5:$E$57,$B842),'Time Off Log'!$C$5:$C$504,"&lt;="&amp;INDEX(Periods!$F$5:$F$57,$B842)))</f>
        <v/>
      </c>
      <c r="S842" s="51">
        <f>IF($B842=1,N(INDEX(Employees!$T$5:$T$29,$A842)),V841)</f>
        <v/>
      </c>
      <c r="T842" s="51">
        <f>IF(INDEX(Employees!$S$5:$S$29,$A842)="",Q842,MAX(0,MIN(Q842,INDEX(Employees!$S$5:$S$29,$A842)-(S842-R842))))</f>
        <v/>
      </c>
      <c r="U842" s="51">
        <f>Q842-T842</f>
        <v/>
      </c>
      <c r="V842" s="51">
        <f>S842-R842+T842</f>
        <v/>
      </c>
    </row>
    <row r="843">
      <c r="A843" s="50" t="n">
        <v>16</v>
      </c>
      <c r="B843" s="50" t="n">
        <v>44</v>
      </c>
      <c r="C843" s="51">
        <f>INDEX(Employees!$B$5:$B$29,$A843)&amp;""</f>
        <v/>
      </c>
      <c r="D843" s="52">
        <f>INDEX(Periods!$B$5:$B$57,$B843)</f>
        <v/>
      </c>
      <c r="E843" s="52">
        <f>INDEX(Periods!$C$5:$C$57,$B843)</f>
        <v/>
      </c>
      <c r="F843" s="50">
        <f>IF(AND($C843&lt;&gt;"",INDEX(Periods!$D$5:$D$57,$B843)=1),1,0)</f>
        <v/>
      </c>
      <c r="G843" s="50">
        <f>IF($F843=0,0,IF(AND(OR(INDEX(Employees!$D$5:$D$29,$A843)="",$E843&gt;=INDEX(Employees!$D$5:$D$29,$A843)+N(INDEX(Employees!$U$5:$U$29,$A843))),OR(INDEX(Employees!$E$5:$E$29,$A843)="",$D843&lt;=INDEX(Employees!$E$5:$E$29,$A843))),1,0))</f>
        <v/>
      </c>
      <c r="H843" s="50">
        <f>IF($G843=0,0,IF(INDEX(Employees!$D$5:$D$29,$A843)="",0,DATEDIF(INDEX(Employees!$D$5:$D$29,$A843),$E843,"y")))</f>
        <v/>
      </c>
      <c r="I843" s="51">
        <f>IF($G843=0,0,IF(INDEX('Hours Worked'!$D$5:$BD$29,$A843,$B843)="",N(INDEX(Employees!$H$5:$H$29,$A843)),INDEX('Hours Worked'!$D$5:$BD$29,$A843,$B843)))</f>
        <v/>
      </c>
      <c r="J843" s="51">
        <f>IF(OR($G843=0,INDEX(Employees!$O$5:$O$29,$A843)&lt;&gt;"Yes"),0,IF(COUNTIF(Settings!$D$4:$D$9,"&lt;="&amp;$H843)=0,0,INDEX(Settings!$E$4:$E$9,COUNTIF(Settings!$D$4:$D$9,"&lt;="&amp;$H843))))</f>
        <v/>
      </c>
      <c r="K843" s="51">
        <f>IF($G843=0,0,IF(INDEX(Employees!$I$5:$I$29,$A843)="Per pay period",(N(INDEX(Employees!$J$5:$J$29,$A843))+$J843)/Settings!$B$13,IF(INDEX(Employees!$I$5:$I$29,$A843)="Per hour worked",N(INDEX(Employees!$K$5:$K$29,$A843))*$I843,IF(INDEX(Employees!$I$5:$I$29,$A843)="Front-loaded",IF(OR($B843=1,N($G842)=0),N(INDEX(Employees!$J$5:$J$29,$A843))+$J843,0),0))))</f>
        <v/>
      </c>
      <c r="L843" s="51">
        <f>IF($F843=0,0,SUMIFS('Time Off Log'!$H$5:$H$504,'Time Off Log'!$A$5:$A$504,$C843,'Time Off Log'!$B$5:$B$504,"PTO",'Time Off Log'!$E$5:$E$504,"Approved",'Time Off Log'!$C$5:$C$504,"&gt;="&amp;INDEX(Periods!$E$5:$E$57,$B843),'Time Off Log'!$C$5:$C$504,"&lt;="&amp;INDEX(Periods!$F$5:$F$57,$B843)))</f>
        <v/>
      </c>
      <c r="M843" s="51">
        <f>IF($B843=1,N(INDEX(Employees!$N$5:$N$29,$A843)),P842)</f>
        <v/>
      </c>
      <c r="N843" s="51">
        <f>IF(INDEX(Employees!$L$5:$L$29,$A843)="",K843,MAX(0,MIN(K843,INDEX(Employees!$L$5:$L$29,$A843)-(M843-L843))))</f>
        <v/>
      </c>
      <c r="O843" s="51">
        <f>K843-N843</f>
        <v/>
      </c>
      <c r="P843" s="51">
        <f>M843-L843+N843</f>
        <v/>
      </c>
      <c r="Q843" s="51">
        <f>IF($G843=0,0,IF(INDEX(Employees!$P$5:$P$29,$A843)="Per pay period",(N(INDEX(Employees!$Q$5:$Q$29,$A843)))/Settings!$B$13,IF(INDEX(Employees!$P$5:$P$29,$A843)="Per hour worked",N(INDEX(Employees!$R$5:$R$29,$A843))*$I843,IF(INDEX(Employees!$P$5:$P$29,$A843)="Front-loaded",IF(OR($B843=1,N($G842)=0),N(INDEX(Employees!$Q$5:$Q$29,$A843)),0),0))))</f>
        <v/>
      </c>
      <c r="R843" s="51">
        <f>IF($F843=0,0,SUMIFS('Time Off Log'!$H$5:$H$504,'Time Off Log'!$A$5:$A$504,$C843,'Time Off Log'!$B$5:$B$504,"Sick",'Time Off Log'!$E$5:$E$504,"Approved",'Time Off Log'!$C$5:$C$504,"&gt;="&amp;INDEX(Periods!$E$5:$E$57,$B843),'Time Off Log'!$C$5:$C$504,"&lt;="&amp;INDEX(Periods!$F$5:$F$57,$B843)))</f>
        <v/>
      </c>
      <c r="S843" s="51">
        <f>IF($B843=1,N(INDEX(Employees!$T$5:$T$29,$A843)),V842)</f>
        <v/>
      </c>
      <c r="T843" s="51">
        <f>IF(INDEX(Employees!$S$5:$S$29,$A843)="",Q843,MAX(0,MIN(Q843,INDEX(Employees!$S$5:$S$29,$A843)-(S843-R843))))</f>
        <v/>
      </c>
      <c r="U843" s="51">
        <f>Q843-T843</f>
        <v/>
      </c>
      <c r="V843" s="51">
        <f>S843-R843+T843</f>
        <v/>
      </c>
    </row>
    <row r="844">
      <c r="A844" s="50" t="n">
        <v>16</v>
      </c>
      <c r="B844" s="50" t="n">
        <v>45</v>
      </c>
      <c r="C844" s="51">
        <f>INDEX(Employees!$B$5:$B$29,$A844)&amp;""</f>
        <v/>
      </c>
      <c r="D844" s="52">
        <f>INDEX(Periods!$B$5:$B$57,$B844)</f>
        <v/>
      </c>
      <c r="E844" s="52">
        <f>INDEX(Periods!$C$5:$C$57,$B844)</f>
        <v/>
      </c>
      <c r="F844" s="50">
        <f>IF(AND($C844&lt;&gt;"",INDEX(Periods!$D$5:$D$57,$B844)=1),1,0)</f>
        <v/>
      </c>
      <c r="G844" s="50">
        <f>IF($F844=0,0,IF(AND(OR(INDEX(Employees!$D$5:$D$29,$A844)="",$E844&gt;=INDEX(Employees!$D$5:$D$29,$A844)+N(INDEX(Employees!$U$5:$U$29,$A844))),OR(INDEX(Employees!$E$5:$E$29,$A844)="",$D844&lt;=INDEX(Employees!$E$5:$E$29,$A844))),1,0))</f>
        <v/>
      </c>
      <c r="H844" s="50">
        <f>IF($G844=0,0,IF(INDEX(Employees!$D$5:$D$29,$A844)="",0,DATEDIF(INDEX(Employees!$D$5:$D$29,$A844),$E844,"y")))</f>
        <v/>
      </c>
      <c r="I844" s="51">
        <f>IF($G844=0,0,IF(INDEX('Hours Worked'!$D$5:$BD$29,$A844,$B844)="",N(INDEX(Employees!$H$5:$H$29,$A844)),INDEX('Hours Worked'!$D$5:$BD$29,$A844,$B844)))</f>
        <v/>
      </c>
      <c r="J844" s="51">
        <f>IF(OR($G844=0,INDEX(Employees!$O$5:$O$29,$A844)&lt;&gt;"Yes"),0,IF(COUNTIF(Settings!$D$4:$D$9,"&lt;="&amp;$H844)=0,0,INDEX(Settings!$E$4:$E$9,COUNTIF(Settings!$D$4:$D$9,"&lt;="&amp;$H844))))</f>
        <v/>
      </c>
      <c r="K844" s="51">
        <f>IF($G844=0,0,IF(INDEX(Employees!$I$5:$I$29,$A844)="Per pay period",(N(INDEX(Employees!$J$5:$J$29,$A844))+$J844)/Settings!$B$13,IF(INDEX(Employees!$I$5:$I$29,$A844)="Per hour worked",N(INDEX(Employees!$K$5:$K$29,$A844))*$I844,IF(INDEX(Employees!$I$5:$I$29,$A844)="Front-loaded",IF(OR($B844=1,N($G843)=0),N(INDEX(Employees!$J$5:$J$29,$A844))+$J844,0),0))))</f>
        <v/>
      </c>
      <c r="L844" s="51">
        <f>IF($F844=0,0,SUMIFS('Time Off Log'!$H$5:$H$504,'Time Off Log'!$A$5:$A$504,$C844,'Time Off Log'!$B$5:$B$504,"PTO",'Time Off Log'!$E$5:$E$504,"Approved",'Time Off Log'!$C$5:$C$504,"&gt;="&amp;INDEX(Periods!$E$5:$E$57,$B844),'Time Off Log'!$C$5:$C$504,"&lt;="&amp;INDEX(Periods!$F$5:$F$57,$B844)))</f>
        <v/>
      </c>
      <c r="M844" s="51">
        <f>IF($B844=1,N(INDEX(Employees!$N$5:$N$29,$A844)),P843)</f>
        <v/>
      </c>
      <c r="N844" s="51">
        <f>IF(INDEX(Employees!$L$5:$L$29,$A844)="",K844,MAX(0,MIN(K844,INDEX(Employees!$L$5:$L$29,$A844)-(M844-L844))))</f>
        <v/>
      </c>
      <c r="O844" s="51">
        <f>K844-N844</f>
        <v/>
      </c>
      <c r="P844" s="51">
        <f>M844-L844+N844</f>
        <v/>
      </c>
      <c r="Q844" s="51">
        <f>IF($G844=0,0,IF(INDEX(Employees!$P$5:$P$29,$A844)="Per pay period",(N(INDEX(Employees!$Q$5:$Q$29,$A844)))/Settings!$B$13,IF(INDEX(Employees!$P$5:$P$29,$A844)="Per hour worked",N(INDEX(Employees!$R$5:$R$29,$A844))*$I844,IF(INDEX(Employees!$P$5:$P$29,$A844)="Front-loaded",IF(OR($B844=1,N($G843)=0),N(INDEX(Employees!$Q$5:$Q$29,$A844)),0),0))))</f>
        <v/>
      </c>
      <c r="R844" s="51">
        <f>IF($F844=0,0,SUMIFS('Time Off Log'!$H$5:$H$504,'Time Off Log'!$A$5:$A$504,$C844,'Time Off Log'!$B$5:$B$504,"Sick",'Time Off Log'!$E$5:$E$504,"Approved",'Time Off Log'!$C$5:$C$504,"&gt;="&amp;INDEX(Periods!$E$5:$E$57,$B844),'Time Off Log'!$C$5:$C$504,"&lt;="&amp;INDEX(Periods!$F$5:$F$57,$B844)))</f>
        <v/>
      </c>
      <c r="S844" s="51">
        <f>IF($B844=1,N(INDEX(Employees!$T$5:$T$29,$A844)),V843)</f>
        <v/>
      </c>
      <c r="T844" s="51">
        <f>IF(INDEX(Employees!$S$5:$S$29,$A844)="",Q844,MAX(0,MIN(Q844,INDEX(Employees!$S$5:$S$29,$A844)-(S844-R844))))</f>
        <v/>
      </c>
      <c r="U844" s="51">
        <f>Q844-T844</f>
        <v/>
      </c>
      <c r="V844" s="51">
        <f>S844-R844+T844</f>
        <v/>
      </c>
    </row>
    <row r="845">
      <c r="A845" s="50" t="n">
        <v>16</v>
      </c>
      <c r="B845" s="50" t="n">
        <v>46</v>
      </c>
      <c r="C845" s="51">
        <f>INDEX(Employees!$B$5:$B$29,$A845)&amp;""</f>
        <v/>
      </c>
      <c r="D845" s="52">
        <f>INDEX(Periods!$B$5:$B$57,$B845)</f>
        <v/>
      </c>
      <c r="E845" s="52">
        <f>INDEX(Periods!$C$5:$C$57,$B845)</f>
        <v/>
      </c>
      <c r="F845" s="50">
        <f>IF(AND($C845&lt;&gt;"",INDEX(Periods!$D$5:$D$57,$B845)=1),1,0)</f>
        <v/>
      </c>
      <c r="G845" s="50">
        <f>IF($F845=0,0,IF(AND(OR(INDEX(Employees!$D$5:$D$29,$A845)="",$E845&gt;=INDEX(Employees!$D$5:$D$29,$A845)+N(INDEX(Employees!$U$5:$U$29,$A845))),OR(INDEX(Employees!$E$5:$E$29,$A845)="",$D845&lt;=INDEX(Employees!$E$5:$E$29,$A845))),1,0))</f>
        <v/>
      </c>
      <c r="H845" s="50">
        <f>IF($G845=0,0,IF(INDEX(Employees!$D$5:$D$29,$A845)="",0,DATEDIF(INDEX(Employees!$D$5:$D$29,$A845),$E845,"y")))</f>
        <v/>
      </c>
      <c r="I845" s="51">
        <f>IF($G845=0,0,IF(INDEX('Hours Worked'!$D$5:$BD$29,$A845,$B845)="",N(INDEX(Employees!$H$5:$H$29,$A845)),INDEX('Hours Worked'!$D$5:$BD$29,$A845,$B845)))</f>
        <v/>
      </c>
      <c r="J845" s="51">
        <f>IF(OR($G845=0,INDEX(Employees!$O$5:$O$29,$A845)&lt;&gt;"Yes"),0,IF(COUNTIF(Settings!$D$4:$D$9,"&lt;="&amp;$H845)=0,0,INDEX(Settings!$E$4:$E$9,COUNTIF(Settings!$D$4:$D$9,"&lt;="&amp;$H845))))</f>
        <v/>
      </c>
      <c r="K845" s="51">
        <f>IF($G845=0,0,IF(INDEX(Employees!$I$5:$I$29,$A845)="Per pay period",(N(INDEX(Employees!$J$5:$J$29,$A845))+$J845)/Settings!$B$13,IF(INDEX(Employees!$I$5:$I$29,$A845)="Per hour worked",N(INDEX(Employees!$K$5:$K$29,$A845))*$I845,IF(INDEX(Employees!$I$5:$I$29,$A845)="Front-loaded",IF(OR($B845=1,N($G844)=0),N(INDEX(Employees!$J$5:$J$29,$A845))+$J845,0),0))))</f>
        <v/>
      </c>
      <c r="L845" s="51">
        <f>IF($F845=0,0,SUMIFS('Time Off Log'!$H$5:$H$504,'Time Off Log'!$A$5:$A$504,$C845,'Time Off Log'!$B$5:$B$504,"PTO",'Time Off Log'!$E$5:$E$504,"Approved",'Time Off Log'!$C$5:$C$504,"&gt;="&amp;INDEX(Periods!$E$5:$E$57,$B845),'Time Off Log'!$C$5:$C$504,"&lt;="&amp;INDEX(Periods!$F$5:$F$57,$B845)))</f>
        <v/>
      </c>
      <c r="M845" s="51">
        <f>IF($B845=1,N(INDEX(Employees!$N$5:$N$29,$A845)),P844)</f>
        <v/>
      </c>
      <c r="N845" s="51">
        <f>IF(INDEX(Employees!$L$5:$L$29,$A845)="",K845,MAX(0,MIN(K845,INDEX(Employees!$L$5:$L$29,$A845)-(M845-L845))))</f>
        <v/>
      </c>
      <c r="O845" s="51">
        <f>K845-N845</f>
        <v/>
      </c>
      <c r="P845" s="51">
        <f>M845-L845+N845</f>
        <v/>
      </c>
      <c r="Q845" s="51">
        <f>IF($G845=0,0,IF(INDEX(Employees!$P$5:$P$29,$A845)="Per pay period",(N(INDEX(Employees!$Q$5:$Q$29,$A845)))/Settings!$B$13,IF(INDEX(Employees!$P$5:$P$29,$A845)="Per hour worked",N(INDEX(Employees!$R$5:$R$29,$A845))*$I845,IF(INDEX(Employees!$P$5:$P$29,$A845)="Front-loaded",IF(OR($B845=1,N($G844)=0),N(INDEX(Employees!$Q$5:$Q$29,$A845)),0),0))))</f>
        <v/>
      </c>
      <c r="R845" s="51">
        <f>IF($F845=0,0,SUMIFS('Time Off Log'!$H$5:$H$504,'Time Off Log'!$A$5:$A$504,$C845,'Time Off Log'!$B$5:$B$504,"Sick",'Time Off Log'!$E$5:$E$504,"Approved",'Time Off Log'!$C$5:$C$504,"&gt;="&amp;INDEX(Periods!$E$5:$E$57,$B845),'Time Off Log'!$C$5:$C$504,"&lt;="&amp;INDEX(Periods!$F$5:$F$57,$B845)))</f>
        <v/>
      </c>
      <c r="S845" s="51">
        <f>IF($B845=1,N(INDEX(Employees!$T$5:$T$29,$A845)),V844)</f>
        <v/>
      </c>
      <c r="T845" s="51">
        <f>IF(INDEX(Employees!$S$5:$S$29,$A845)="",Q845,MAX(0,MIN(Q845,INDEX(Employees!$S$5:$S$29,$A845)-(S845-R845))))</f>
        <v/>
      </c>
      <c r="U845" s="51">
        <f>Q845-T845</f>
        <v/>
      </c>
      <c r="V845" s="51">
        <f>S845-R845+T845</f>
        <v/>
      </c>
    </row>
    <row r="846">
      <c r="A846" s="50" t="n">
        <v>16</v>
      </c>
      <c r="B846" s="50" t="n">
        <v>47</v>
      </c>
      <c r="C846" s="51">
        <f>INDEX(Employees!$B$5:$B$29,$A846)&amp;""</f>
        <v/>
      </c>
      <c r="D846" s="52">
        <f>INDEX(Periods!$B$5:$B$57,$B846)</f>
        <v/>
      </c>
      <c r="E846" s="52">
        <f>INDEX(Periods!$C$5:$C$57,$B846)</f>
        <v/>
      </c>
      <c r="F846" s="50">
        <f>IF(AND($C846&lt;&gt;"",INDEX(Periods!$D$5:$D$57,$B846)=1),1,0)</f>
        <v/>
      </c>
      <c r="G846" s="50">
        <f>IF($F846=0,0,IF(AND(OR(INDEX(Employees!$D$5:$D$29,$A846)="",$E846&gt;=INDEX(Employees!$D$5:$D$29,$A846)+N(INDEX(Employees!$U$5:$U$29,$A846))),OR(INDEX(Employees!$E$5:$E$29,$A846)="",$D846&lt;=INDEX(Employees!$E$5:$E$29,$A846))),1,0))</f>
        <v/>
      </c>
      <c r="H846" s="50">
        <f>IF($G846=0,0,IF(INDEX(Employees!$D$5:$D$29,$A846)="",0,DATEDIF(INDEX(Employees!$D$5:$D$29,$A846),$E846,"y")))</f>
        <v/>
      </c>
      <c r="I846" s="51">
        <f>IF($G846=0,0,IF(INDEX('Hours Worked'!$D$5:$BD$29,$A846,$B846)="",N(INDEX(Employees!$H$5:$H$29,$A846)),INDEX('Hours Worked'!$D$5:$BD$29,$A846,$B846)))</f>
        <v/>
      </c>
      <c r="J846" s="51">
        <f>IF(OR($G846=0,INDEX(Employees!$O$5:$O$29,$A846)&lt;&gt;"Yes"),0,IF(COUNTIF(Settings!$D$4:$D$9,"&lt;="&amp;$H846)=0,0,INDEX(Settings!$E$4:$E$9,COUNTIF(Settings!$D$4:$D$9,"&lt;="&amp;$H846))))</f>
        <v/>
      </c>
      <c r="K846" s="51">
        <f>IF($G846=0,0,IF(INDEX(Employees!$I$5:$I$29,$A846)="Per pay period",(N(INDEX(Employees!$J$5:$J$29,$A846))+$J846)/Settings!$B$13,IF(INDEX(Employees!$I$5:$I$29,$A846)="Per hour worked",N(INDEX(Employees!$K$5:$K$29,$A846))*$I846,IF(INDEX(Employees!$I$5:$I$29,$A846)="Front-loaded",IF(OR($B846=1,N($G845)=0),N(INDEX(Employees!$J$5:$J$29,$A846))+$J846,0),0))))</f>
        <v/>
      </c>
      <c r="L846" s="51">
        <f>IF($F846=0,0,SUMIFS('Time Off Log'!$H$5:$H$504,'Time Off Log'!$A$5:$A$504,$C846,'Time Off Log'!$B$5:$B$504,"PTO",'Time Off Log'!$E$5:$E$504,"Approved",'Time Off Log'!$C$5:$C$504,"&gt;="&amp;INDEX(Periods!$E$5:$E$57,$B846),'Time Off Log'!$C$5:$C$504,"&lt;="&amp;INDEX(Periods!$F$5:$F$57,$B846)))</f>
        <v/>
      </c>
      <c r="M846" s="51">
        <f>IF($B846=1,N(INDEX(Employees!$N$5:$N$29,$A846)),P845)</f>
        <v/>
      </c>
      <c r="N846" s="51">
        <f>IF(INDEX(Employees!$L$5:$L$29,$A846)="",K846,MAX(0,MIN(K846,INDEX(Employees!$L$5:$L$29,$A846)-(M846-L846))))</f>
        <v/>
      </c>
      <c r="O846" s="51">
        <f>K846-N846</f>
        <v/>
      </c>
      <c r="P846" s="51">
        <f>M846-L846+N846</f>
        <v/>
      </c>
      <c r="Q846" s="51">
        <f>IF($G846=0,0,IF(INDEX(Employees!$P$5:$P$29,$A846)="Per pay period",(N(INDEX(Employees!$Q$5:$Q$29,$A846)))/Settings!$B$13,IF(INDEX(Employees!$P$5:$P$29,$A846)="Per hour worked",N(INDEX(Employees!$R$5:$R$29,$A846))*$I846,IF(INDEX(Employees!$P$5:$P$29,$A846)="Front-loaded",IF(OR($B846=1,N($G845)=0),N(INDEX(Employees!$Q$5:$Q$29,$A846)),0),0))))</f>
        <v/>
      </c>
      <c r="R846" s="51">
        <f>IF($F846=0,0,SUMIFS('Time Off Log'!$H$5:$H$504,'Time Off Log'!$A$5:$A$504,$C846,'Time Off Log'!$B$5:$B$504,"Sick",'Time Off Log'!$E$5:$E$504,"Approved",'Time Off Log'!$C$5:$C$504,"&gt;="&amp;INDEX(Periods!$E$5:$E$57,$B846),'Time Off Log'!$C$5:$C$504,"&lt;="&amp;INDEX(Periods!$F$5:$F$57,$B846)))</f>
        <v/>
      </c>
      <c r="S846" s="51">
        <f>IF($B846=1,N(INDEX(Employees!$T$5:$T$29,$A846)),V845)</f>
        <v/>
      </c>
      <c r="T846" s="51">
        <f>IF(INDEX(Employees!$S$5:$S$29,$A846)="",Q846,MAX(0,MIN(Q846,INDEX(Employees!$S$5:$S$29,$A846)-(S846-R846))))</f>
        <v/>
      </c>
      <c r="U846" s="51">
        <f>Q846-T846</f>
        <v/>
      </c>
      <c r="V846" s="51">
        <f>S846-R846+T846</f>
        <v/>
      </c>
    </row>
    <row r="847">
      <c r="A847" s="50" t="n">
        <v>16</v>
      </c>
      <c r="B847" s="50" t="n">
        <v>48</v>
      </c>
      <c r="C847" s="51">
        <f>INDEX(Employees!$B$5:$B$29,$A847)&amp;""</f>
        <v/>
      </c>
      <c r="D847" s="52">
        <f>INDEX(Periods!$B$5:$B$57,$B847)</f>
        <v/>
      </c>
      <c r="E847" s="52">
        <f>INDEX(Periods!$C$5:$C$57,$B847)</f>
        <v/>
      </c>
      <c r="F847" s="50">
        <f>IF(AND($C847&lt;&gt;"",INDEX(Periods!$D$5:$D$57,$B847)=1),1,0)</f>
        <v/>
      </c>
      <c r="G847" s="50">
        <f>IF($F847=0,0,IF(AND(OR(INDEX(Employees!$D$5:$D$29,$A847)="",$E847&gt;=INDEX(Employees!$D$5:$D$29,$A847)+N(INDEX(Employees!$U$5:$U$29,$A847))),OR(INDEX(Employees!$E$5:$E$29,$A847)="",$D847&lt;=INDEX(Employees!$E$5:$E$29,$A847))),1,0))</f>
        <v/>
      </c>
      <c r="H847" s="50">
        <f>IF($G847=0,0,IF(INDEX(Employees!$D$5:$D$29,$A847)="",0,DATEDIF(INDEX(Employees!$D$5:$D$29,$A847),$E847,"y")))</f>
        <v/>
      </c>
      <c r="I847" s="51">
        <f>IF($G847=0,0,IF(INDEX('Hours Worked'!$D$5:$BD$29,$A847,$B847)="",N(INDEX(Employees!$H$5:$H$29,$A847)),INDEX('Hours Worked'!$D$5:$BD$29,$A847,$B847)))</f>
        <v/>
      </c>
      <c r="J847" s="51">
        <f>IF(OR($G847=0,INDEX(Employees!$O$5:$O$29,$A847)&lt;&gt;"Yes"),0,IF(COUNTIF(Settings!$D$4:$D$9,"&lt;="&amp;$H847)=0,0,INDEX(Settings!$E$4:$E$9,COUNTIF(Settings!$D$4:$D$9,"&lt;="&amp;$H847))))</f>
        <v/>
      </c>
      <c r="K847" s="51">
        <f>IF($G847=0,0,IF(INDEX(Employees!$I$5:$I$29,$A847)="Per pay period",(N(INDEX(Employees!$J$5:$J$29,$A847))+$J847)/Settings!$B$13,IF(INDEX(Employees!$I$5:$I$29,$A847)="Per hour worked",N(INDEX(Employees!$K$5:$K$29,$A847))*$I847,IF(INDEX(Employees!$I$5:$I$29,$A847)="Front-loaded",IF(OR($B847=1,N($G846)=0),N(INDEX(Employees!$J$5:$J$29,$A847))+$J847,0),0))))</f>
        <v/>
      </c>
      <c r="L847" s="51">
        <f>IF($F847=0,0,SUMIFS('Time Off Log'!$H$5:$H$504,'Time Off Log'!$A$5:$A$504,$C847,'Time Off Log'!$B$5:$B$504,"PTO",'Time Off Log'!$E$5:$E$504,"Approved",'Time Off Log'!$C$5:$C$504,"&gt;="&amp;INDEX(Periods!$E$5:$E$57,$B847),'Time Off Log'!$C$5:$C$504,"&lt;="&amp;INDEX(Periods!$F$5:$F$57,$B847)))</f>
        <v/>
      </c>
      <c r="M847" s="51">
        <f>IF($B847=1,N(INDEX(Employees!$N$5:$N$29,$A847)),P846)</f>
        <v/>
      </c>
      <c r="N847" s="51">
        <f>IF(INDEX(Employees!$L$5:$L$29,$A847)="",K847,MAX(0,MIN(K847,INDEX(Employees!$L$5:$L$29,$A847)-(M847-L847))))</f>
        <v/>
      </c>
      <c r="O847" s="51">
        <f>K847-N847</f>
        <v/>
      </c>
      <c r="P847" s="51">
        <f>M847-L847+N847</f>
        <v/>
      </c>
      <c r="Q847" s="51">
        <f>IF($G847=0,0,IF(INDEX(Employees!$P$5:$P$29,$A847)="Per pay period",(N(INDEX(Employees!$Q$5:$Q$29,$A847)))/Settings!$B$13,IF(INDEX(Employees!$P$5:$P$29,$A847)="Per hour worked",N(INDEX(Employees!$R$5:$R$29,$A847))*$I847,IF(INDEX(Employees!$P$5:$P$29,$A847)="Front-loaded",IF(OR($B847=1,N($G846)=0),N(INDEX(Employees!$Q$5:$Q$29,$A847)),0),0))))</f>
        <v/>
      </c>
      <c r="R847" s="51">
        <f>IF($F847=0,0,SUMIFS('Time Off Log'!$H$5:$H$504,'Time Off Log'!$A$5:$A$504,$C847,'Time Off Log'!$B$5:$B$504,"Sick",'Time Off Log'!$E$5:$E$504,"Approved",'Time Off Log'!$C$5:$C$504,"&gt;="&amp;INDEX(Periods!$E$5:$E$57,$B847),'Time Off Log'!$C$5:$C$504,"&lt;="&amp;INDEX(Periods!$F$5:$F$57,$B847)))</f>
        <v/>
      </c>
      <c r="S847" s="51">
        <f>IF($B847=1,N(INDEX(Employees!$T$5:$T$29,$A847)),V846)</f>
        <v/>
      </c>
      <c r="T847" s="51">
        <f>IF(INDEX(Employees!$S$5:$S$29,$A847)="",Q847,MAX(0,MIN(Q847,INDEX(Employees!$S$5:$S$29,$A847)-(S847-R847))))</f>
        <v/>
      </c>
      <c r="U847" s="51">
        <f>Q847-T847</f>
        <v/>
      </c>
      <c r="V847" s="51">
        <f>S847-R847+T847</f>
        <v/>
      </c>
    </row>
    <row r="848">
      <c r="A848" s="50" t="n">
        <v>16</v>
      </c>
      <c r="B848" s="50" t="n">
        <v>49</v>
      </c>
      <c r="C848" s="51">
        <f>INDEX(Employees!$B$5:$B$29,$A848)&amp;""</f>
        <v/>
      </c>
      <c r="D848" s="52">
        <f>INDEX(Periods!$B$5:$B$57,$B848)</f>
        <v/>
      </c>
      <c r="E848" s="52">
        <f>INDEX(Periods!$C$5:$C$57,$B848)</f>
        <v/>
      </c>
      <c r="F848" s="50">
        <f>IF(AND($C848&lt;&gt;"",INDEX(Periods!$D$5:$D$57,$B848)=1),1,0)</f>
        <v/>
      </c>
      <c r="G848" s="50">
        <f>IF($F848=0,0,IF(AND(OR(INDEX(Employees!$D$5:$D$29,$A848)="",$E848&gt;=INDEX(Employees!$D$5:$D$29,$A848)+N(INDEX(Employees!$U$5:$U$29,$A848))),OR(INDEX(Employees!$E$5:$E$29,$A848)="",$D848&lt;=INDEX(Employees!$E$5:$E$29,$A848))),1,0))</f>
        <v/>
      </c>
      <c r="H848" s="50">
        <f>IF($G848=0,0,IF(INDEX(Employees!$D$5:$D$29,$A848)="",0,DATEDIF(INDEX(Employees!$D$5:$D$29,$A848),$E848,"y")))</f>
        <v/>
      </c>
      <c r="I848" s="51">
        <f>IF($G848=0,0,IF(INDEX('Hours Worked'!$D$5:$BD$29,$A848,$B848)="",N(INDEX(Employees!$H$5:$H$29,$A848)),INDEX('Hours Worked'!$D$5:$BD$29,$A848,$B848)))</f>
        <v/>
      </c>
      <c r="J848" s="51">
        <f>IF(OR($G848=0,INDEX(Employees!$O$5:$O$29,$A848)&lt;&gt;"Yes"),0,IF(COUNTIF(Settings!$D$4:$D$9,"&lt;="&amp;$H848)=0,0,INDEX(Settings!$E$4:$E$9,COUNTIF(Settings!$D$4:$D$9,"&lt;="&amp;$H848))))</f>
        <v/>
      </c>
      <c r="K848" s="51">
        <f>IF($G848=0,0,IF(INDEX(Employees!$I$5:$I$29,$A848)="Per pay period",(N(INDEX(Employees!$J$5:$J$29,$A848))+$J848)/Settings!$B$13,IF(INDEX(Employees!$I$5:$I$29,$A848)="Per hour worked",N(INDEX(Employees!$K$5:$K$29,$A848))*$I848,IF(INDEX(Employees!$I$5:$I$29,$A848)="Front-loaded",IF(OR($B848=1,N($G847)=0),N(INDEX(Employees!$J$5:$J$29,$A848))+$J848,0),0))))</f>
        <v/>
      </c>
      <c r="L848" s="51">
        <f>IF($F848=0,0,SUMIFS('Time Off Log'!$H$5:$H$504,'Time Off Log'!$A$5:$A$504,$C848,'Time Off Log'!$B$5:$B$504,"PTO",'Time Off Log'!$E$5:$E$504,"Approved",'Time Off Log'!$C$5:$C$504,"&gt;="&amp;INDEX(Periods!$E$5:$E$57,$B848),'Time Off Log'!$C$5:$C$504,"&lt;="&amp;INDEX(Periods!$F$5:$F$57,$B848)))</f>
        <v/>
      </c>
      <c r="M848" s="51">
        <f>IF($B848=1,N(INDEX(Employees!$N$5:$N$29,$A848)),P847)</f>
        <v/>
      </c>
      <c r="N848" s="51">
        <f>IF(INDEX(Employees!$L$5:$L$29,$A848)="",K848,MAX(0,MIN(K848,INDEX(Employees!$L$5:$L$29,$A848)-(M848-L848))))</f>
        <v/>
      </c>
      <c r="O848" s="51">
        <f>K848-N848</f>
        <v/>
      </c>
      <c r="P848" s="51">
        <f>M848-L848+N848</f>
        <v/>
      </c>
      <c r="Q848" s="51">
        <f>IF($G848=0,0,IF(INDEX(Employees!$P$5:$P$29,$A848)="Per pay period",(N(INDEX(Employees!$Q$5:$Q$29,$A848)))/Settings!$B$13,IF(INDEX(Employees!$P$5:$P$29,$A848)="Per hour worked",N(INDEX(Employees!$R$5:$R$29,$A848))*$I848,IF(INDEX(Employees!$P$5:$P$29,$A848)="Front-loaded",IF(OR($B848=1,N($G847)=0),N(INDEX(Employees!$Q$5:$Q$29,$A848)),0),0))))</f>
        <v/>
      </c>
      <c r="R848" s="51">
        <f>IF($F848=0,0,SUMIFS('Time Off Log'!$H$5:$H$504,'Time Off Log'!$A$5:$A$504,$C848,'Time Off Log'!$B$5:$B$504,"Sick",'Time Off Log'!$E$5:$E$504,"Approved",'Time Off Log'!$C$5:$C$504,"&gt;="&amp;INDEX(Periods!$E$5:$E$57,$B848),'Time Off Log'!$C$5:$C$504,"&lt;="&amp;INDEX(Periods!$F$5:$F$57,$B848)))</f>
        <v/>
      </c>
      <c r="S848" s="51">
        <f>IF($B848=1,N(INDEX(Employees!$T$5:$T$29,$A848)),V847)</f>
        <v/>
      </c>
      <c r="T848" s="51">
        <f>IF(INDEX(Employees!$S$5:$S$29,$A848)="",Q848,MAX(0,MIN(Q848,INDEX(Employees!$S$5:$S$29,$A848)-(S848-R848))))</f>
        <v/>
      </c>
      <c r="U848" s="51">
        <f>Q848-T848</f>
        <v/>
      </c>
      <c r="V848" s="51">
        <f>S848-R848+T848</f>
        <v/>
      </c>
    </row>
    <row r="849">
      <c r="A849" s="50" t="n">
        <v>16</v>
      </c>
      <c r="B849" s="50" t="n">
        <v>50</v>
      </c>
      <c r="C849" s="51">
        <f>INDEX(Employees!$B$5:$B$29,$A849)&amp;""</f>
        <v/>
      </c>
      <c r="D849" s="52">
        <f>INDEX(Periods!$B$5:$B$57,$B849)</f>
        <v/>
      </c>
      <c r="E849" s="52">
        <f>INDEX(Periods!$C$5:$C$57,$B849)</f>
        <v/>
      </c>
      <c r="F849" s="50">
        <f>IF(AND($C849&lt;&gt;"",INDEX(Periods!$D$5:$D$57,$B849)=1),1,0)</f>
        <v/>
      </c>
      <c r="G849" s="50">
        <f>IF($F849=0,0,IF(AND(OR(INDEX(Employees!$D$5:$D$29,$A849)="",$E849&gt;=INDEX(Employees!$D$5:$D$29,$A849)+N(INDEX(Employees!$U$5:$U$29,$A849))),OR(INDEX(Employees!$E$5:$E$29,$A849)="",$D849&lt;=INDEX(Employees!$E$5:$E$29,$A849))),1,0))</f>
        <v/>
      </c>
      <c r="H849" s="50">
        <f>IF($G849=0,0,IF(INDEX(Employees!$D$5:$D$29,$A849)="",0,DATEDIF(INDEX(Employees!$D$5:$D$29,$A849),$E849,"y")))</f>
        <v/>
      </c>
      <c r="I849" s="51">
        <f>IF($G849=0,0,IF(INDEX('Hours Worked'!$D$5:$BD$29,$A849,$B849)="",N(INDEX(Employees!$H$5:$H$29,$A849)),INDEX('Hours Worked'!$D$5:$BD$29,$A849,$B849)))</f>
        <v/>
      </c>
      <c r="J849" s="51">
        <f>IF(OR($G849=0,INDEX(Employees!$O$5:$O$29,$A849)&lt;&gt;"Yes"),0,IF(COUNTIF(Settings!$D$4:$D$9,"&lt;="&amp;$H849)=0,0,INDEX(Settings!$E$4:$E$9,COUNTIF(Settings!$D$4:$D$9,"&lt;="&amp;$H849))))</f>
        <v/>
      </c>
      <c r="K849" s="51">
        <f>IF($G849=0,0,IF(INDEX(Employees!$I$5:$I$29,$A849)="Per pay period",(N(INDEX(Employees!$J$5:$J$29,$A849))+$J849)/Settings!$B$13,IF(INDEX(Employees!$I$5:$I$29,$A849)="Per hour worked",N(INDEX(Employees!$K$5:$K$29,$A849))*$I849,IF(INDEX(Employees!$I$5:$I$29,$A849)="Front-loaded",IF(OR($B849=1,N($G848)=0),N(INDEX(Employees!$J$5:$J$29,$A849))+$J849,0),0))))</f>
        <v/>
      </c>
      <c r="L849" s="51">
        <f>IF($F849=0,0,SUMIFS('Time Off Log'!$H$5:$H$504,'Time Off Log'!$A$5:$A$504,$C849,'Time Off Log'!$B$5:$B$504,"PTO",'Time Off Log'!$E$5:$E$504,"Approved",'Time Off Log'!$C$5:$C$504,"&gt;="&amp;INDEX(Periods!$E$5:$E$57,$B849),'Time Off Log'!$C$5:$C$504,"&lt;="&amp;INDEX(Periods!$F$5:$F$57,$B849)))</f>
        <v/>
      </c>
      <c r="M849" s="51">
        <f>IF($B849=1,N(INDEX(Employees!$N$5:$N$29,$A849)),P848)</f>
        <v/>
      </c>
      <c r="N849" s="51">
        <f>IF(INDEX(Employees!$L$5:$L$29,$A849)="",K849,MAX(0,MIN(K849,INDEX(Employees!$L$5:$L$29,$A849)-(M849-L849))))</f>
        <v/>
      </c>
      <c r="O849" s="51">
        <f>K849-N849</f>
        <v/>
      </c>
      <c r="P849" s="51">
        <f>M849-L849+N849</f>
        <v/>
      </c>
      <c r="Q849" s="51">
        <f>IF($G849=0,0,IF(INDEX(Employees!$P$5:$P$29,$A849)="Per pay period",(N(INDEX(Employees!$Q$5:$Q$29,$A849)))/Settings!$B$13,IF(INDEX(Employees!$P$5:$P$29,$A849)="Per hour worked",N(INDEX(Employees!$R$5:$R$29,$A849))*$I849,IF(INDEX(Employees!$P$5:$P$29,$A849)="Front-loaded",IF(OR($B849=1,N($G848)=0),N(INDEX(Employees!$Q$5:$Q$29,$A849)),0),0))))</f>
        <v/>
      </c>
      <c r="R849" s="51">
        <f>IF($F849=0,0,SUMIFS('Time Off Log'!$H$5:$H$504,'Time Off Log'!$A$5:$A$504,$C849,'Time Off Log'!$B$5:$B$504,"Sick",'Time Off Log'!$E$5:$E$504,"Approved",'Time Off Log'!$C$5:$C$504,"&gt;="&amp;INDEX(Periods!$E$5:$E$57,$B849),'Time Off Log'!$C$5:$C$504,"&lt;="&amp;INDEX(Periods!$F$5:$F$57,$B849)))</f>
        <v/>
      </c>
      <c r="S849" s="51">
        <f>IF($B849=1,N(INDEX(Employees!$T$5:$T$29,$A849)),V848)</f>
        <v/>
      </c>
      <c r="T849" s="51">
        <f>IF(INDEX(Employees!$S$5:$S$29,$A849)="",Q849,MAX(0,MIN(Q849,INDEX(Employees!$S$5:$S$29,$A849)-(S849-R849))))</f>
        <v/>
      </c>
      <c r="U849" s="51">
        <f>Q849-T849</f>
        <v/>
      </c>
      <c r="V849" s="51">
        <f>S849-R849+T849</f>
        <v/>
      </c>
    </row>
    <row r="850">
      <c r="A850" s="50" t="n">
        <v>16</v>
      </c>
      <c r="B850" s="50" t="n">
        <v>51</v>
      </c>
      <c r="C850" s="51">
        <f>INDEX(Employees!$B$5:$B$29,$A850)&amp;""</f>
        <v/>
      </c>
      <c r="D850" s="52">
        <f>INDEX(Periods!$B$5:$B$57,$B850)</f>
        <v/>
      </c>
      <c r="E850" s="52">
        <f>INDEX(Periods!$C$5:$C$57,$B850)</f>
        <v/>
      </c>
      <c r="F850" s="50">
        <f>IF(AND($C850&lt;&gt;"",INDEX(Periods!$D$5:$D$57,$B850)=1),1,0)</f>
        <v/>
      </c>
      <c r="G850" s="50">
        <f>IF($F850=0,0,IF(AND(OR(INDEX(Employees!$D$5:$D$29,$A850)="",$E850&gt;=INDEX(Employees!$D$5:$D$29,$A850)+N(INDEX(Employees!$U$5:$U$29,$A850))),OR(INDEX(Employees!$E$5:$E$29,$A850)="",$D850&lt;=INDEX(Employees!$E$5:$E$29,$A850))),1,0))</f>
        <v/>
      </c>
      <c r="H850" s="50">
        <f>IF($G850=0,0,IF(INDEX(Employees!$D$5:$D$29,$A850)="",0,DATEDIF(INDEX(Employees!$D$5:$D$29,$A850),$E850,"y")))</f>
        <v/>
      </c>
      <c r="I850" s="51">
        <f>IF($G850=0,0,IF(INDEX('Hours Worked'!$D$5:$BD$29,$A850,$B850)="",N(INDEX(Employees!$H$5:$H$29,$A850)),INDEX('Hours Worked'!$D$5:$BD$29,$A850,$B850)))</f>
        <v/>
      </c>
      <c r="J850" s="51">
        <f>IF(OR($G850=0,INDEX(Employees!$O$5:$O$29,$A850)&lt;&gt;"Yes"),0,IF(COUNTIF(Settings!$D$4:$D$9,"&lt;="&amp;$H850)=0,0,INDEX(Settings!$E$4:$E$9,COUNTIF(Settings!$D$4:$D$9,"&lt;="&amp;$H850))))</f>
        <v/>
      </c>
      <c r="K850" s="51">
        <f>IF($G850=0,0,IF(INDEX(Employees!$I$5:$I$29,$A850)="Per pay period",(N(INDEX(Employees!$J$5:$J$29,$A850))+$J850)/Settings!$B$13,IF(INDEX(Employees!$I$5:$I$29,$A850)="Per hour worked",N(INDEX(Employees!$K$5:$K$29,$A850))*$I850,IF(INDEX(Employees!$I$5:$I$29,$A850)="Front-loaded",IF(OR($B850=1,N($G849)=0),N(INDEX(Employees!$J$5:$J$29,$A850))+$J850,0),0))))</f>
        <v/>
      </c>
      <c r="L850" s="51">
        <f>IF($F850=0,0,SUMIFS('Time Off Log'!$H$5:$H$504,'Time Off Log'!$A$5:$A$504,$C850,'Time Off Log'!$B$5:$B$504,"PTO",'Time Off Log'!$E$5:$E$504,"Approved",'Time Off Log'!$C$5:$C$504,"&gt;="&amp;INDEX(Periods!$E$5:$E$57,$B850),'Time Off Log'!$C$5:$C$504,"&lt;="&amp;INDEX(Periods!$F$5:$F$57,$B850)))</f>
        <v/>
      </c>
      <c r="M850" s="51">
        <f>IF($B850=1,N(INDEX(Employees!$N$5:$N$29,$A850)),P849)</f>
        <v/>
      </c>
      <c r="N850" s="51">
        <f>IF(INDEX(Employees!$L$5:$L$29,$A850)="",K850,MAX(0,MIN(K850,INDEX(Employees!$L$5:$L$29,$A850)-(M850-L850))))</f>
        <v/>
      </c>
      <c r="O850" s="51">
        <f>K850-N850</f>
        <v/>
      </c>
      <c r="P850" s="51">
        <f>M850-L850+N850</f>
        <v/>
      </c>
      <c r="Q850" s="51">
        <f>IF($G850=0,0,IF(INDEX(Employees!$P$5:$P$29,$A850)="Per pay period",(N(INDEX(Employees!$Q$5:$Q$29,$A850)))/Settings!$B$13,IF(INDEX(Employees!$P$5:$P$29,$A850)="Per hour worked",N(INDEX(Employees!$R$5:$R$29,$A850))*$I850,IF(INDEX(Employees!$P$5:$P$29,$A850)="Front-loaded",IF(OR($B850=1,N($G849)=0),N(INDEX(Employees!$Q$5:$Q$29,$A850)),0),0))))</f>
        <v/>
      </c>
      <c r="R850" s="51">
        <f>IF($F850=0,0,SUMIFS('Time Off Log'!$H$5:$H$504,'Time Off Log'!$A$5:$A$504,$C850,'Time Off Log'!$B$5:$B$504,"Sick",'Time Off Log'!$E$5:$E$504,"Approved",'Time Off Log'!$C$5:$C$504,"&gt;="&amp;INDEX(Periods!$E$5:$E$57,$B850),'Time Off Log'!$C$5:$C$504,"&lt;="&amp;INDEX(Periods!$F$5:$F$57,$B850)))</f>
        <v/>
      </c>
      <c r="S850" s="51">
        <f>IF($B850=1,N(INDEX(Employees!$T$5:$T$29,$A850)),V849)</f>
        <v/>
      </c>
      <c r="T850" s="51">
        <f>IF(INDEX(Employees!$S$5:$S$29,$A850)="",Q850,MAX(0,MIN(Q850,INDEX(Employees!$S$5:$S$29,$A850)-(S850-R850))))</f>
        <v/>
      </c>
      <c r="U850" s="51">
        <f>Q850-T850</f>
        <v/>
      </c>
      <c r="V850" s="51">
        <f>S850-R850+T850</f>
        <v/>
      </c>
    </row>
    <row r="851">
      <c r="A851" s="50" t="n">
        <v>16</v>
      </c>
      <c r="B851" s="50" t="n">
        <v>52</v>
      </c>
      <c r="C851" s="51">
        <f>INDEX(Employees!$B$5:$B$29,$A851)&amp;""</f>
        <v/>
      </c>
      <c r="D851" s="52">
        <f>INDEX(Periods!$B$5:$B$57,$B851)</f>
        <v/>
      </c>
      <c r="E851" s="52">
        <f>INDEX(Periods!$C$5:$C$57,$B851)</f>
        <v/>
      </c>
      <c r="F851" s="50">
        <f>IF(AND($C851&lt;&gt;"",INDEX(Periods!$D$5:$D$57,$B851)=1),1,0)</f>
        <v/>
      </c>
      <c r="G851" s="50">
        <f>IF($F851=0,0,IF(AND(OR(INDEX(Employees!$D$5:$D$29,$A851)="",$E851&gt;=INDEX(Employees!$D$5:$D$29,$A851)+N(INDEX(Employees!$U$5:$U$29,$A851))),OR(INDEX(Employees!$E$5:$E$29,$A851)="",$D851&lt;=INDEX(Employees!$E$5:$E$29,$A851))),1,0))</f>
        <v/>
      </c>
      <c r="H851" s="50">
        <f>IF($G851=0,0,IF(INDEX(Employees!$D$5:$D$29,$A851)="",0,DATEDIF(INDEX(Employees!$D$5:$D$29,$A851),$E851,"y")))</f>
        <v/>
      </c>
      <c r="I851" s="51">
        <f>IF($G851=0,0,IF(INDEX('Hours Worked'!$D$5:$BD$29,$A851,$B851)="",N(INDEX(Employees!$H$5:$H$29,$A851)),INDEX('Hours Worked'!$D$5:$BD$29,$A851,$B851)))</f>
        <v/>
      </c>
      <c r="J851" s="51">
        <f>IF(OR($G851=0,INDEX(Employees!$O$5:$O$29,$A851)&lt;&gt;"Yes"),0,IF(COUNTIF(Settings!$D$4:$D$9,"&lt;="&amp;$H851)=0,0,INDEX(Settings!$E$4:$E$9,COUNTIF(Settings!$D$4:$D$9,"&lt;="&amp;$H851))))</f>
        <v/>
      </c>
      <c r="K851" s="51">
        <f>IF($G851=0,0,IF(INDEX(Employees!$I$5:$I$29,$A851)="Per pay period",(N(INDEX(Employees!$J$5:$J$29,$A851))+$J851)/Settings!$B$13,IF(INDEX(Employees!$I$5:$I$29,$A851)="Per hour worked",N(INDEX(Employees!$K$5:$K$29,$A851))*$I851,IF(INDEX(Employees!$I$5:$I$29,$A851)="Front-loaded",IF(OR($B851=1,N($G850)=0),N(INDEX(Employees!$J$5:$J$29,$A851))+$J851,0),0))))</f>
        <v/>
      </c>
      <c r="L851" s="51">
        <f>IF($F851=0,0,SUMIFS('Time Off Log'!$H$5:$H$504,'Time Off Log'!$A$5:$A$504,$C851,'Time Off Log'!$B$5:$B$504,"PTO",'Time Off Log'!$E$5:$E$504,"Approved",'Time Off Log'!$C$5:$C$504,"&gt;="&amp;INDEX(Periods!$E$5:$E$57,$B851),'Time Off Log'!$C$5:$C$504,"&lt;="&amp;INDEX(Periods!$F$5:$F$57,$B851)))</f>
        <v/>
      </c>
      <c r="M851" s="51">
        <f>IF($B851=1,N(INDEX(Employees!$N$5:$N$29,$A851)),P850)</f>
        <v/>
      </c>
      <c r="N851" s="51">
        <f>IF(INDEX(Employees!$L$5:$L$29,$A851)="",K851,MAX(0,MIN(K851,INDEX(Employees!$L$5:$L$29,$A851)-(M851-L851))))</f>
        <v/>
      </c>
      <c r="O851" s="51">
        <f>K851-N851</f>
        <v/>
      </c>
      <c r="P851" s="51">
        <f>M851-L851+N851</f>
        <v/>
      </c>
      <c r="Q851" s="51">
        <f>IF($G851=0,0,IF(INDEX(Employees!$P$5:$P$29,$A851)="Per pay period",(N(INDEX(Employees!$Q$5:$Q$29,$A851)))/Settings!$B$13,IF(INDEX(Employees!$P$5:$P$29,$A851)="Per hour worked",N(INDEX(Employees!$R$5:$R$29,$A851))*$I851,IF(INDEX(Employees!$P$5:$P$29,$A851)="Front-loaded",IF(OR($B851=1,N($G850)=0),N(INDEX(Employees!$Q$5:$Q$29,$A851)),0),0))))</f>
        <v/>
      </c>
      <c r="R851" s="51">
        <f>IF($F851=0,0,SUMIFS('Time Off Log'!$H$5:$H$504,'Time Off Log'!$A$5:$A$504,$C851,'Time Off Log'!$B$5:$B$504,"Sick",'Time Off Log'!$E$5:$E$504,"Approved",'Time Off Log'!$C$5:$C$504,"&gt;="&amp;INDEX(Periods!$E$5:$E$57,$B851),'Time Off Log'!$C$5:$C$504,"&lt;="&amp;INDEX(Periods!$F$5:$F$57,$B851)))</f>
        <v/>
      </c>
      <c r="S851" s="51">
        <f>IF($B851=1,N(INDEX(Employees!$T$5:$T$29,$A851)),V850)</f>
        <v/>
      </c>
      <c r="T851" s="51">
        <f>IF(INDEX(Employees!$S$5:$S$29,$A851)="",Q851,MAX(0,MIN(Q851,INDEX(Employees!$S$5:$S$29,$A851)-(S851-R851))))</f>
        <v/>
      </c>
      <c r="U851" s="51">
        <f>Q851-T851</f>
        <v/>
      </c>
      <c r="V851" s="51">
        <f>S851-R851+T851</f>
        <v/>
      </c>
    </row>
    <row r="852">
      <c r="A852" s="50" t="n">
        <v>16</v>
      </c>
      <c r="B852" s="50" t="n">
        <v>53</v>
      </c>
      <c r="C852" s="51">
        <f>INDEX(Employees!$B$5:$B$29,$A852)&amp;""</f>
        <v/>
      </c>
      <c r="D852" s="52">
        <f>INDEX(Periods!$B$5:$B$57,$B852)</f>
        <v/>
      </c>
      <c r="E852" s="52">
        <f>INDEX(Periods!$C$5:$C$57,$B852)</f>
        <v/>
      </c>
      <c r="F852" s="50">
        <f>IF(AND($C852&lt;&gt;"",INDEX(Periods!$D$5:$D$57,$B852)=1),1,0)</f>
        <v/>
      </c>
      <c r="G852" s="50">
        <f>IF($F852=0,0,IF(AND(OR(INDEX(Employees!$D$5:$D$29,$A852)="",$E852&gt;=INDEX(Employees!$D$5:$D$29,$A852)+N(INDEX(Employees!$U$5:$U$29,$A852))),OR(INDEX(Employees!$E$5:$E$29,$A852)="",$D852&lt;=INDEX(Employees!$E$5:$E$29,$A852))),1,0))</f>
        <v/>
      </c>
      <c r="H852" s="50">
        <f>IF($G852=0,0,IF(INDEX(Employees!$D$5:$D$29,$A852)="",0,DATEDIF(INDEX(Employees!$D$5:$D$29,$A852),$E852,"y")))</f>
        <v/>
      </c>
      <c r="I852" s="51">
        <f>IF($G852=0,0,IF(INDEX('Hours Worked'!$D$5:$BD$29,$A852,$B852)="",N(INDEX(Employees!$H$5:$H$29,$A852)),INDEX('Hours Worked'!$D$5:$BD$29,$A852,$B852)))</f>
        <v/>
      </c>
      <c r="J852" s="51">
        <f>IF(OR($G852=0,INDEX(Employees!$O$5:$O$29,$A852)&lt;&gt;"Yes"),0,IF(COUNTIF(Settings!$D$4:$D$9,"&lt;="&amp;$H852)=0,0,INDEX(Settings!$E$4:$E$9,COUNTIF(Settings!$D$4:$D$9,"&lt;="&amp;$H852))))</f>
        <v/>
      </c>
      <c r="K852" s="51">
        <f>IF($G852=0,0,IF(INDEX(Employees!$I$5:$I$29,$A852)="Per pay period",(N(INDEX(Employees!$J$5:$J$29,$A852))+$J852)/Settings!$B$13,IF(INDEX(Employees!$I$5:$I$29,$A852)="Per hour worked",N(INDEX(Employees!$K$5:$K$29,$A852))*$I852,IF(INDEX(Employees!$I$5:$I$29,$A852)="Front-loaded",IF(OR($B852=1,N($G851)=0),N(INDEX(Employees!$J$5:$J$29,$A852))+$J852,0),0))))</f>
        <v/>
      </c>
      <c r="L852" s="51">
        <f>IF($F852=0,0,SUMIFS('Time Off Log'!$H$5:$H$504,'Time Off Log'!$A$5:$A$504,$C852,'Time Off Log'!$B$5:$B$504,"PTO",'Time Off Log'!$E$5:$E$504,"Approved",'Time Off Log'!$C$5:$C$504,"&gt;="&amp;INDEX(Periods!$E$5:$E$57,$B852),'Time Off Log'!$C$5:$C$504,"&lt;="&amp;INDEX(Periods!$F$5:$F$57,$B852)))</f>
        <v/>
      </c>
      <c r="M852" s="51">
        <f>IF($B852=1,N(INDEX(Employees!$N$5:$N$29,$A852)),P851)</f>
        <v/>
      </c>
      <c r="N852" s="51">
        <f>IF(INDEX(Employees!$L$5:$L$29,$A852)="",K852,MAX(0,MIN(K852,INDEX(Employees!$L$5:$L$29,$A852)-(M852-L852))))</f>
        <v/>
      </c>
      <c r="O852" s="51">
        <f>K852-N852</f>
        <v/>
      </c>
      <c r="P852" s="51">
        <f>M852-L852+N852</f>
        <v/>
      </c>
      <c r="Q852" s="51">
        <f>IF($G852=0,0,IF(INDEX(Employees!$P$5:$P$29,$A852)="Per pay period",(N(INDEX(Employees!$Q$5:$Q$29,$A852)))/Settings!$B$13,IF(INDEX(Employees!$P$5:$P$29,$A852)="Per hour worked",N(INDEX(Employees!$R$5:$R$29,$A852))*$I852,IF(INDEX(Employees!$P$5:$P$29,$A852)="Front-loaded",IF(OR($B852=1,N($G851)=0),N(INDEX(Employees!$Q$5:$Q$29,$A852)),0),0))))</f>
        <v/>
      </c>
      <c r="R852" s="51">
        <f>IF($F852=0,0,SUMIFS('Time Off Log'!$H$5:$H$504,'Time Off Log'!$A$5:$A$504,$C852,'Time Off Log'!$B$5:$B$504,"Sick",'Time Off Log'!$E$5:$E$504,"Approved",'Time Off Log'!$C$5:$C$504,"&gt;="&amp;INDEX(Periods!$E$5:$E$57,$B852),'Time Off Log'!$C$5:$C$504,"&lt;="&amp;INDEX(Periods!$F$5:$F$57,$B852)))</f>
        <v/>
      </c>
      <c r="S852" s="51">
        <f>IF($B852=1,N(INDEX(Employees!$T$5:$T$29,$A852)),V851)</f>
        <v/>
      </c>
      <c r="T852" s="51">
        <f>IF(INDEX(Employees!$S$5:$S$29,$A852)="",Q852,MAX(0,MIN(Q852,INDEX(Employees!$S$5:$S$29,$A852)-(S852-R852))))</f>
        <v/>
      </c>
      <c r="U852" s="51">
        <f>Q852-T852</f>
        <v/>
      </c>
      <c r="V852" s="51">
        <f>S852-R852+T852</f>
        <v/>
      </c>
    </row>
    <row r="853">
      <c r="A853" s="47" t="n">
        <v>17</v>
      </c>
      <c r="B853" s="47" t="n">
        <v>1</v>
      </c>
      <c r="C853" s="48">
        <f>INDEX(Employees!$B$5:$B$29,$A853)&amp;""</f>
        <v/>
      </c>
      <c r="D853" s="49">
        <f>INDEX(Periods!$B$5:$B$57,$B853)</f>
        <v/>
      </c>
      <c r="E853" s="49">
        <f>INDEX(Periods!$C$5:$C$57,$B853)</f>
        <v/>
      </c>
      <c r="F853" s="47">
        <f>IF(AND($C853&lt;&gt;"",INDEX(Periods!$D$5:$D$57,$B853)=1),1,0)</f>
        <v/>
      </c>
      <c r="G853" s="47">
        <f>IF($F853=0,0,IF(AND(OR(INDEX(Employees!$D$5:$D$29,$A853)="",$E853&gt;=INDEX(Employees!$D$5:$D$29,$A853)+N(INDEX(Employees!$U$5:$U$29,$A853))),OR(INDEX(Employees!$E$5:$E$29,$A853)="",$D853&lt;=INDEX(Employees!$E$5:$E$29,$A853))),1,0))</f>
        <v/>
      </c>
      <c r="H853" s="47">
        <f>IF($G853=0,0,IF(INDEX(Employees!$D$5:$D$29,$A853)="",0,DATEDIF(INDEX(Employees!$D$5:$D$29,$A853),$E853,"y")))</f>
        <v/>
      </c>
      <c r="I853" s="48">
        <f>IF($G853=0,0,IF(INDEX('Hours Worked'!$D$5:$BD$29,$A853,$B853)="",N(INDEX(Employees!$H$5:$H$29,$A853)),INDEX('Hours Worked'!$D$5:$BD$29,$A853,$B853)))</f>
        <v/>
      </c>
      <c r="J853" s="48">
        <f>IF(OR($G853=0,INDEX(Employees!$O$5:$O$29,$A853)&lt;&gt;"Yes"),0,IF(COUNTIF(Settings!$D$4:$D$9,"&lt;="&amp;$H853)=0,0,INDEX(Settings!$E$4:$E$9,COUNTIF(Settings!$D$4:$D$9,"&lt;="&amp;$H853))))</f>
        <v/>
      </c>
      <c r="K853" s="48">
        <f>IF($G853=0,0,IF(INDEX(Employees!$I$5:$I$29,$A853)="Per pay period",(N(INDEX(Employees!$J$5:$J$29,$A853))+$J853)/Settings!$B$13,IF(INDEX(Employees!$I$5:$I$29,$A853)="Per hour worked",N(INDEX(Employees!$K$5:$K$29,$A853))*$I853,IF(INDEX(Employees!$I$5:$I$29,$A853)="Front-loaded",IF(OR($B853=1,N($G852)=0),N(INDEX(Employees!$J$5:$J$29,$A853))+$J853,0),0))))</f>
        <v/>
      </c>
      <c r="L853" s="48">
        <f>IF($F853=0,0,SUMIFS('Time Off Log'!$H$5:$H$504,'Time Off Log'!$A$5:$A$504,$C853,'Time Off Log'!$B$5:$B$504,"PTO",'Time Off Log'!$E$5:$E$504,"Approved",'Time Off Log'!$C$5:$C$504,"&gt;="&amp;INDEX(Periods!$E$5:$E$57,$B853),'Time Off Log'!$C$5:$C$504,"&lt;="&amp;INDEX(Periods!$F$5:$F$57,$B853)))</f>
        <v/>
      </c>
      <c r="M853" s="48">
        <f>N(INDEX(Employees!$N$5:$N$29,$A853))</f>
        <v/>
      </c>
      <c r="N853" s="48">
        <f>IF(INDEX(Employees!$L$5:$L$29,$A853)="",K853,MAX(0,MIN(K853,INDEX(Employees!$L$5:$L$29,$A853)-(M853-L853))))</f>
        <v/>
      </c>
      <c r="O853" s="48">
        <f>K853-N853</f>
        <v/>
      </c>
      <c r="P853" s="48">
        <f>M853-L853+N853</f>
        <v/>
      </c>
      <c r="Q853" s="48">
        <f>IF($G853=0,0,IF(INDEX(Employees!$P$5:$P$29,$A853)="Per pay period",(N(INDEX(Employees!$Q$5:$Q$29,$A853)))/Settings!$B$13,IF(INDEX(Employees!$P$5:$P$29,$A853)="Per hour worked",N(INDEX(Employees!$R$5:$R$29,$A853))*$I853,IF(INDEX(Employees!$P$5:$P$29,$A853)="Front-loaded",IF(OR($B853=1,N($G852)=0),N(INDEX(Employees!$Q$5:$Q$29,$A853)),0),0))))</f>
        <v/>
      </c>
      <c r="R853" s="48">
        <f>IF($F853=0,0,SUMIFS('Time Off Log'!$H$5:$H$504,'Time Off Log'!$A$5:$A$504,$C853,'Time Off Log'!$B$5:$B$504,"Sick",'Time Off Log'!$E$5:$E$504,"Approved",'Time Off Log'!$C$5:$C$504,"&gt;="&amp;INDEX(Periods!$E$5:$E$57,$B853),'Time Off Log'!$C$5:$C$504,"&lt;="&amp;INDEX(Periods!$F$5:$F$57,$B853)))</f>
        <v/>
      </c>
      <c r="S853" s="48">
        <f>N(INDEX(Employees!$T$5:$T$29,$A853))</f>
        <v/>
      </c>
      <c r="T853" s="48">
        <f>IF(INDEX(Employees!$S$5:$S$29,$A853)="",Q853,MAX(0,MIN(Q853,INDEX(Employees!$S$5:$S$29,$A853)-(S853-R853))))</f>
        <v/>
      </c>
      <c r="U853" s="48">
        <f>Q853-T853</f>
        <v/>
      </c>
      <c r="V853" s="48">
        <f>S853-R853+T853</f>
        <v/>
      </c>
    </row>
    <row r="854">
      <c r="A854" s="47" t="n">
        <v>17</v>
      </c>
      <c r="B854" s="47" t="n">
        <v>2</v>
      </c>
      <c r="C854" s="48">
        <f>INDEX(Employees!$B$5:$B$29,$A854)&amp;""</f>
        <v/>
      </c>
      <c r="D854" s="49">
        <f>INDEX(Periods!$B$5:$B$57,$B854)</f>
        <v/>
      </c>
      <c r="E854" s="49">
        <f>INDEX(Periods!$C$5:$C$57,$B854)</f>
        <v/>
      </c>
      <c r="F854" s="47">
        <f>IF(AND($C854&lt;&gt;"",INDEX(Periods!$D$5:$D$57,$B854)=1),1,0)</f>
        <v/>
      </c>
      <c r="G854" s="47">
        <f>IF($F854=0,0,IF(AND(OR(INDEX(Employees!$D$5:$D$29,$A854)="",$E854&gt;=INDEX(Employees!$D$5:$D$29,$A854)+N(INDEX(Employees!$U$5:$U$29,$A854))),OR(INDEX(Employees!$E$5:$E$29,$A854)="",$D854&lt;=INDEX(Employees!$E$5:$E$29,$A854))),1,0))</f>
        <v/>
      </c>
      <c r="H854" s="47">
        <f>IF($G854=0,0,IF(INDEX(Employees!$D$5:$D$29,$A854)="",0,DATEDIF(INDEX(Employees!$D$5:$D$29,$A854),$E854,"y")))</f>
        <v/>
      </c>
      <c r="I854" s="48">
        <f>IF($G854=0,0,IF(INDEX('Hours Worked'!$D$5:$BD$29,$A854,$B854)="",N(INDEX(Employees!$H$5:$H$29,$A854)),INDEX('Hours Worked'!$D$5:$BD$29,$A854,$B854)))</f>
        <v/>
      </c>
      <c r="J854" s="48">
        <f>IF(OR($G854=0,INDEX(Employees!$O$5:$O$29,$A854)&lt;&gt;"Yes"),0,IF(COUNTIF(Settings!$D$4:$D$9,"&lt;="&amp;$H854)=0,0,INDEX(Settings!$E$4:$E$9,COUNTIF(Settings!$D$4:$D$9,"&lt;="&amp;$H854))))</f>
        <v/>
      </c>
      <c r="K854" s="48">
        <f>IF($G854=0,0,IF(INDEX(Employees!$I$5:$I$29,$A854)="Per pay period",(N(INDEX(Employees!$J$5:$J$29,$A854))+$J854)/Settings!$B$13,IF(INDEX(Employees!$I$5:$I$29,$A854)="Per hour worked",N(INDEX(Employees!$K$5:$K$29,$A854))*$I854,IF(INDEX(Employees!$I$5:$I$29,$A854)="Front-loaded",IF(OR($B854=1,N($G853)=0),N(INDEX(Employees!$J$5:$J$29,$A854))+$J854,0),0))))</f>
        <v/>
      </c>
      <c r="L854" s="48">
        <f>IF($F854=0,0,SUMIFS('Time Off Log'!$H$5:$H$504,'Time Off Log'!$A$5:$A$504,$C854,'Time Off Log'!$B$5:$B$504,"PTO",'Time Off Log'!$E$5:$E$504,"Approved",'Time Off Log'!$C$5:$C$504,"&gt;="&amp;INDEX(Periods!$E$5:$E$57,$B854),'Time Off Log'!$C$5:$C$504,"&lt;="&amp;INDEX(Periods!$F$5:$F$57,$B854)))</f>
        <v/>
      </c>
      <c r="M854" s="48">
        <f>IF($B854=1,N(INDEX(Employees!$N$5:$N$29,$A854)),P853)</f>
        <v/>
      </c>
      <c r="N854" s="48">
        <f>IF(INDEX(Employees!$L$5:$L$29,$A854)="",K854,MAX(0,MIN(K854,INDEX(Employees!$L$5:$L$29,$A854)-(M854-L854))))</f>
        <v/>
      </c>
      <c r="O854" s="48">
        <f>K854-N854</f>
        <v/>
      </c>
      <c r="P854" s="48">
        <f>M854-L854+N854</f>
        <v/>
      </c>
      <c r="Q854" s="48">
        <f>IF($G854=0,0,IF(INDEX(Employees!$P$5:$P$29,$A854)="Per pay period",(N(INDEX(Employees!$Q$5:$Q$29,$A854)))/Settings!$B$13,IF(INDEX(Employees!$P$5:$P$29,$A854)="Per hour worked",N(INDEX(Employees!$R$5:$R$29,$A854))*$I854,IF(INDEX(Employees!$P$5:$P$29,$A854)="Front-loaded",IF(OR($B854=1,N($G853)=0),N(INDEX(Employees!$Q$5:$Q$29,$A854)),0),0))))</f>
        <v/>
      </c>
      <c r="R854" s="48">
        <f>IF($F854=0,0,SUMIFS('Time Off Log'!$H$5:$H$504,'Time Off Log'!$A$5:$A$504,$C854,'Time Off Log'!$B$5:$B$504,"Sick",'Time Off Log'!$E$5:$E$504,"Approved",'Time Off Log'!$C$5:$C$504,"&gt;="&amp;INDEX(Periods!$E$5:$E$57,$B854),'Time Off Log'!$C$5:$C$504,"&lt;="&amp;INDEX(Periods!$F$5:$F$57,$B854)))</f>
        <v/>
      </c>
      <c r="S854" s="48">
        <f>IF($B854=1,N(INDEX(Employees!$T$5:$T$29,$A854)),V853)</f>
        <v/>
      </c>
      <c r="T854" s="48">
        <f>IF(INDEX(Employees!$S$5:$S$29,$A854)="",Q854,MAX(0,MIN(Q854,INDEX(Employees!$S$5:$S$29,$A854)-(S854-R854))))</f>
        <v/>
      </c>
      <c r="U854" s="48">
        <f>Q854-T854</f>
        <v/>
      </c>
      <c r="V854" s="48">
        <f>S854-R854+T854</f>
        <v/>
      </c>
    </row>
    <row r="855">
      <c r="A855" s="47" t="n">
        <v>17</v>
      </c>
      <c r="B855" s="47" t="n">
        <v>3</v>
      </c>
      <c r="C855" s="48">
        <f>INDEX(Employees!$B$5:$B$29,$A855)&amp;""</f>
        <v/>
      </c>
      <c r="D855" s="49">
        <f>INDEX(Periods!$B$5:$B$57,$B855)</f>
        <v/>
      </c>
      <c r="E855" s="49">
        <f>INDEX(Periods!$C$5:$C$57,$B855)</f>
        <v/>
      </c>
      <c r="F855" s="47">
        <f>IF(AND($C855&lt;&gt;"",INDEX(Periods!$D$5:$D$57,$B855)=1),1,0)</f>
        <v/>
      </c>
      <c r="G855" s="47">
        <f>IF($F855=0,0,IF(AND(OR(INDEX(Employees!$D$5:$D$29,$A855)="",$E855&gt;=INDEX(Employees!$D$5:$D$29,$A855)+N(INDEX(Employees!$U$5:$U$29,$A855))),OR(INDEX(Employees!$E$5:$E$29,$A855)="",$D855&lt;=INDEX(Employees!$E$5:$E$29,$A855))),1,0))</f>
        <v/>
      </c>
      <c r="H855" s="47">
        <f>IF($G855=0,0,IF(INDEX(Employees!$D$5:$D$29,$A855)="",0,DATEDIF(INDEX(Employees!$D$5:$D$29,$A855),$E855,"y")))</f>
        <v/>
      </c>
      <c r="I855" s="48">
        <f>IF($G855=0,0,IF(INDEX('Hours Worked'!$D$5:$BD$29,$A855,$B855)="",N(INDEX(Employees!$H$5:$H$29,$A855)),INDEX('Hours Worked'!$D$5:$BD$29,$A855,$B855)))</f>
        <v/>
      </c>
      <c r="J855" s="48">
        <f>IF(OR($G855=0,INDEX(Employees!$O$5:$O$29,$A855)&lt;&gt;"Yes"),0,IF(COUNTIF(Settings!$D$4:$D$9,"&lt;="&amp;$H855)=0,0,INDEX(Settings!$E$4:$E$9,COUNTIF(Settings!$D$4:$D$9,"&lt;="&amp;$H855))))</f>
        <v/>
      </c>
      <c r="K855" s="48">
        <f>IF($G855=0,0,IF(INDEX(Employees!$I$5:$I$29,$A855)="Per pay period",(N(INDEX(Employees!$J$5:$J$29,$A855))+$J855)/Settings!$B$13,IF(INDEX(Employees!$I$5:$I$29,$A855)="Per hour worked",N(INDEX(Employees!$K$5:$K$29,$A855))*$I855,IF(INDEX(Employees!$I$5:$I$29,$A855)="Front-loaded",IF(OR($B855=1,N($G854)=0),N(INDEX(Employees!$J$5:$J$29,$A855))+$J855,0),0))))</f>
        <v/>
      </c>
      <c r="L855" s="48">
        <f>IF($F855=0,0,SUMIFS('Time Off Log'!$H$5:$H$504,'Time Off Log'!$A$5:$A$504,$C855,'Time Off Log'!$B$5:$B$504,"PTO",'Time Off Log'!$E$5:$E$504,"Approved",'Time Off Log'!$C$5:$C$504,"&gt;="&amp;INDEX(Periods!$E$5:$E$57,$B855),'Time Off Log'!$C$5:$C$504,"&lt;="&amp;INDEX(Periods!$F$5:$F$57,$B855)))</f>
        <v/>
      </c>
      <c r="M855" s="48">
        <f>IF($B855=1,N(INDEX(Employees!$N$5:$N$29,$A855)),P854)</f>
        <v/>
      </c>
      <c r="N855" s="48">
        <f>IF(INDEX(Employees!$L$5:$L$29,$A855)="",K855,MAX(0,MIN(K855,INDEX(Employees!$L$5:$L$29,$A855)-(M855-L855))))</f>
        <v/>
      </c>
      <c r="O855" s="48">
        <f>K855-N855</f>
        <v/>
      </c>
      <c r="P855" s="48">
        <f>M855-L855+N855</f>
        <v/>
      </c>
      <c r="Q855" s="48">
        <f>IF($G855=0,0,IF(INDEX(Employees!$P$5:$P$29,$A855)="Per pay period",(N(INDEX(Employees!$Q$5:$Q$29,$A855)))/Settings!$B$13,IF(INDEX(Employees!$P$5:$P$29,$A855)="Per hour worked",N(INDEX(Employees!$R$5:$R$29,$A855))*$I855,IF(INDEX(Employees!$P$5:$P$29,$A855)="Front-loaded",IF(OR($B855=1,N($G854)=0),N(INDEX(Employees!$Q$5:$Q$29,$A855)),0),0))))</f>
        <v/>
      </c>
      <c r="R855" s="48">
        <f>IF($F855=0,0,SUMIFS('Time Off Log'!$H$5:$H$504,'Time Off Log'!$A$5:$A$504,$C855,'Time Off Log'!$B$5:$B$504,"Sick",'Time Off Log'!$E$5:$E$504,"Approved",'Time Off Log'!$C$5:$C$504,"&gt;="&amp;INDEX(Periods!$E$5:$E$57,$B855),'Time Off Log'!$C$5:$C$504,"&lt;="&amp;INDEX(Periods!$F$5:$F$57,$B855)))</f>
        <v/>
      </c>
      <c r="S855" s="48">
        <f>IF($B855=1,N(INDEX(Employees!$T$5:$T$29,$A855)),V854)</f>
        <v/>
      </c>
      <c r="T855" s="48">
        <f>IF(INDEX(Employees!$S$5:$S$29,$A855)="",Q855,MAX(0,MIN(Q855,INDEX(Employees!$S$5:$S$29,$A855)-(S855-R855))))</f>
        <v/>
      </c>
      <c r="U855" s="48">
        <f>Q855-T855</f>
        <v/>
      </c>
      <c r="V855" s="48">
        <f>S855-R855+T855</f>
        <v/>
      </c>
    </row>
    <row r="856">
      <c r="A856" s="47" t="n">
        <v>17</v>
      </c>
      <c r="B856" s="47" t="n">
        <v>4</v>
      </c>
      <c r="C856" s="48">
        <f>INDEX(Employees!$B$5:$B$29,$A856)&amp;""</f>
        <v/>
      </c>
      <c r="D856" s="49">
        <f>INDEX(Periods!$B$5:$B$57,$B856)</f>
        <v/>
      </c>
      <c r="E856" s="49">
        <f>INDEX(Periods!$C$5:$C$57,$B856)</f>
        <v/>
      </c>
      <c r="F856" s="47">
        <f>IF(AND($C856&lt;&gt;"",INDEX(Periods!$D$5:$D$57,$B856)=1),1,0)</f>
        <v/>
      </c>
      <c r="G856" s="47">
        <f>IF($F856=0,0,IF(AND(OR(INDEX(Employees!$D$5:$D$29,$A856)="",$E856&gt;=INDEX(Employees!$D$5:$D$29,$A856)+N(INDEX(Employees!$U$5:$U$29,$A856))),OR(INDEX(Employees!$E$5:$E$29,$A856)="",$D856&lt;=INDEX(Employees!$E$5:$E$29,$A856))),1,0))</f>
        <v/>
      </c>
      <c r="H856" s="47">
        <f>IF($G856=0,0,IF(INDEX(Employees!$D$5:$D$29,$A856)="",0,DATEDIF(INDEX(Employees!$D$5:$D$29,$A856),$E856,"y")))</f>
        <v/>
      </c>
      <c r="I856" s="48">
        <f>IF($G856=0,0,IF(INDEX('Hours Worked'!$D$5:$BD$29,$A856,$B856)="",N(INDEX(Employees!$H$5:$H$29,$A856)),INDEX('Hours Worked'!$D$5:$BD$29,$A856,$B856)))</f>
        <v/>
      </c>
      <c r="J856" s="48">
        <f>IF(OR($G856=0,INDEX(Employees!$O$5:$O$29,$A856)&lt;&gt;"Yes"),0,IF(COUNTIF(Settings!$D$4:$D$9,"&lt;="&amp;$H856)=0,0,INDEX(Settings!$E$4:$E$9,COUNTIF(Settings!$D$4:$D$9,"&lt;="&amp;$H856))))</f>
        <v/>
      </c>
      <c r="K856" s="48">
        <f>IF($G856=0,0,IF(INDEX(Employees!$I$5:$I$29,$A856)="Per pay period",(N(INDEX(Employees!$J$5:$J$29,$A856))+$J856)/Settings!$B$13,IF(INDEX(Employees!$I$5:$I$29,$A856)="Per hour worked",N(INDEX(Employees!$K$5:$K$29,$A856))*$I856,IF(INDEX(Employees!$I$5:$I$29,$A856)="Front-loaded",IF(OR($B856=1,N($G855)=0),N(INDEX(Employees!$J$5:$J$29,$A856))+$J856,0),0))))</f>
        <v/>
      </c>
      <c r="L856" s="48">
        <f>IF($F856=0,0,SUMIFS('Time Off Log'!$H$5:$H$504,'Time Off Log'!$A$5:$A$504,$C856,'Time Off Log'!$B$5:$B$504,"PTO",'Time Off Log'!$E$5:$E$504,"Approved",'Time Off Log'!$C$5:$C$504,"&gt;="&amp;INDEX(Periods!$E$5:$E$57,$B856),'Time Off Log'!$C$5:$C$504,"&lt;="&amp;INDEX(Periods!$F$5:$F$57,$B856)))</f>
        <v/>
      </c>
      <c r="M856" s="48">
        <f>IF($B856=1,N(INDEX(Employees!$N$5:$N$29,$A856)),P855)</f>
        <v/>
      </c>
      <c r="N856" s="48">
        <f>IF(INDEX(Employees!$L$5:$L$29,$A856)="",K856,MAX(0,MIN(K856,INDEX(Employees!$L$5:$L$29,$A856)-(M856-L856))))</f>
        <v/>
      </c>
      <c r="O856" s="48">
        <f>K856-N856</f>
        <v/>
      </c>
      <c r="P856" s="48">
        <f>M856-L856+N856</f>
        <v/>
      </c>
      <c r="Q856" s="48">
        <f>IF($G856=0,0,IF(INDEX(Employees!$P$5:$P$29,$A856)="Per pay period",(N(INDEX(Employees!$Q$5:$Q$29,$A856)))/Settings!$B$13,IF(INDEX(Employees!$P$5:$P$29,$A856)="Per hour worked",N(INDEX(Employees!$R$5:$R$29,$A856))*$I856,IF(INDEX(Employees!$P$5:$P$29,$A856)="Front-loaded",IF(OR($B856=1,N($G855)=0),N(INDEX(Employees!$Q$5:$Q$29,$A856)),0),0))))</f>
        <v/>
      </c>
      <c r="R856" s="48">
        <f>IF($F856=0,0,SUMIFS('Time Off Log'!$H$5:$H$504,'Time Off Log'!$A$5:$A$504,$C856,'Time Off Log'!$B$5:$B$504,"Sick",'Time Off Log'!$E$5:$E$504,"Approved",'Time Off Log'!$C$5:$C$504,"&gt;="&amp;INDEX(Periods!$E$5:$E$57,$B856),'Time Off Log'!$C$5:$C$504,"&lt;="&amp;INDEX(Periods!$F$5:$F$57,$B856)))</f>
        <v/>
      </c>
      <c r="S856" s="48">
        <f>IF($B856=1,N(INDEX(Employees!$T$5:$T$29,$A856)),V855)</f>
        <v/>
      </c>
      <c r="T856" s="48">
        <f>IF(INDEX(Employees!$S$5:$S$29,$A856)="",Q856,MAX(0,MIN(Q856,INDEX(Employees!$S$5:$S$29,$A856)-(S856-R856))))</f>
        <v/>
      </c>
      <c r="U856" s="48">
        <f>Q856-T856</f>
        <v/>
      </c>
      <c r="V856" s="48">
        <f>S856-R856+T856</f>
        <v/>
      </c>
    </row>
    <row r="857">
      <c r="A857" s="47" t="n">
        <v>17</v>
      </c>
      <c r="B857" s="47" t="n">
        <v>5</v>
      </c>
      <c r="C857" s="48">
        <f>INDEX(Employees!$B$5:$B$29,$A857)&amp;""</f>
        <v/>
      </c>
      <c r="D857" s="49">
        <f>INDEX(Periods!$B$5:$B$57,$B857)</f>
        <v/>
      </c>
      <c r="E857" s="49">
        <f>INDEX(Periods!$C$5:$C$57,$B857)</f>
        <v/>
      </c>
      <c r="F857" s="47">
        <f>IF(AND($C857&lt;&gt;"",INDEX(Periods!$D$5:$D$57,$B857)=1),1,0)</f>
        <v/>
      </c>
      <c r="G857" s="47">
        <f>IF($F857=0,0,IF(AND(OR(INDEX(Employees!$D$5:$D$29,$A857)="",$E857&gt;=INDEX(Employees!$D$5:$D$29,$A857)+N(INDEX(Employees!$U$5:$U$29,$A857))),OR(INDEX(Employees!$E$5:$E$29,$A857)="",$D857&lt;=INDEX(Employees!$E$5:$E$29,$A857))),1,0))</f>
        <v/>
      </c>
      <c r="H857" s="47">
        <f>IF($G857=0,0,IF(INDEX(Employees!$D$5:$D$29,$A857)="",0,DATEDIF(INDEX(Employees!$D$5:$D$29,$A857),$E857,"y")))</f>
        <v/>
      </c>
      <c r="I857" s="48">
        <f>IF($G857=0,0,IF(INDEX('Hours Worked'!$D$5:$BD$29,$A857,$B857)="",N(INDEX(Employees!$H$5:$H$29,$A857)),INDEX('Hours Worked'!$D$5:$BD$29,$A857,$B857)))</f>
        <v/>
      </c>
      <c r="J857" s="48">
        <f>IF(OR($G857=0,INDEX(Employees!$O$5:$O$29,$A857)&lt;&gt;"Yes"),0,IF(COUNTIF(Settings!$D$4:$D$9,"&lt;="&amp;$H857)=0,0,INDEX(Settings!$E$4:$E$9,COUNTIF(Settings!$D$4:$D$9,"&lt;="&amp;$H857))))</f>
        <v/>
      </c>
      <c r="K857" s="48">
        <f>IF($G857=0,0,IF(INDEX(Employees!$I$5:$I$29,$A857)="Per pay period",(N(INDEX(Employees!$J$5:$J$29,$A857))+$J857)/Settings!$B$13,IF(INDEX(Employees!$I$5:$I$29,$A857)="Per hour worked",N(INDEX(Employees!$K$5:$K$29,$A857))*$I857,IF(INDEX(Employees!$I$5:$I$29,$A857)="Front-loaded",IF(OR($B857=1,N($G856)=0),N(INDEX(Employees!$J$5:$J$29,$A857))+$J857,0),0))))</f>
        <v/>
      </c>
      <c r="L857" s="48">
        <f>IF($F857=0,0,SUMIFS('Time Off Log'!$H$5:$H$504,'Time Off Log'!$A$5:$A$504,$C857,'Time Off Log'!$B$5:$B$504,"PTO",'Time Off Log'!$E$5:$E$504,"Approved",'Time Off Log'!$C$5:$C$504,"&gt;="&amp;INDEX(Periods!$E$5:$E$57,$B857),'Time Off Log'!$C$5:$C$504,"&lt;="&amp;INDEX(Periods!$F$5:$F$57,$B857)))</f>
        <v/>
      </c>
      <c r="M857" s="48">
        <f>IF($B857=1,N(INDEX(Employees!$N$5:$N$29,$A857)),P856)</f>
        <v/>
      </c>
      <c r="N857" s="48">
        <f>IF(INDEX(Employees!$L$5:$L$29,$A857)="",K857,MAX(0,MIN(K857,INDEX(Employees!$L$5:$L$29,$A857)-(M857-L857))))</f>
        <v/>
      </c>
      <c r="O857" s="48">
        <f>K857-N857</f>
        <v/>
      </c>
      <c r="P857" s="48">
        <f>M857-L857+N857</f>
        <v/>
      </c>
      <c r="Q857" s="48">
        <f>IF($G857=0,0,IF(INDEX(Employees!$P$5:$P$29,$A857)="Per pay period",(N(INDEX(Employees!$Q$5:$Q$29,$A857)))/Settings!$B$13,IF(INDEX(Employees!$P$5:$P$29,$A857)="Per hour worked",N(INDEX(Employees!$R$5:$R$29,$A857))*$I857,IF(INDEX(Employees!$P$5:$P$29,$A857)="Front-loaded",IF(OR($B857=1,N($G856)=0),N(INDEX(Employees!$Q$5:$Q$29,$A857)),0),0))))</f>
        <v/>
      </c>
      <c r="R857" s="48">
        <f>IF($F857=0,0,SUMIFS('Time Off Log'!$H$5:$H$504,'Time Off Log'!$A$5:$A$504,$C857,'Time Off Log'!$B$5:$B$504,"Sick",'Time Off Log'!$E$5:$E$504,"Approved",'Time Off Log'!$C$5:$C$504,"&gt;="&amp;INDEX(Periods!$E$5:$E$57,$B857),'Time Off Log'!$C$5:$C$504,"&lt;="&amp;INDEX(Periods!$F$5:$F$57,$B857)))</f>
        <v/>
      </c>
      <c r="S857" s="48">
        <f>IF($B857=1,N(INDEX(Employees!$T$5:$T$29,$A857)),V856)</f>
        <v/>
      </c>
      <c r="T857" s="48">
        <f>IF(INDEX(Employees!$S$5:$S$29,$A857)="",Q857,MAX(0,MIN(Q857,INDEX(Employees!$S$5:$S$29,$A857)-(S857-R857))))</f>
        <v/>
      </c>
      <c r="U857" s="48">
        <f>Q857-T857</f>
        <v/>
      </c>
      <c r="V857" s="48">
        <f>S857-R857+T857</f>
        <v/>
      </c>
    </row>
    <row r="858">
      <c r="A858" s="47" t="n">
        <v>17</v>
      </c>
      <c r="B858" s="47" t="n">
        <v>6</v>
      </c>
      <c r="C858" s="48">
        <f>INDEX(Employees!$B$5:$B$29,$A858)&amp;""</f>
        <v/>
      </c>
      <c r="D858" s="49">
        <f>INDEX(Periods!$B$5:$B$57,$B858)</f>
        <v/>
      </c>
      <c r="E858" s="49">
        <f>INDEX(Periods!$C$5:$C$57,$B858)</f>
        <v/>
      </c>
      <c r="F858" s="47">
        <f>IF(AND($C858&lt;&gt;"",INDEX(Periods!$D$5:$D$57,$B858)=1),1,0)</f>
        <v/>
      </c>
      <c r="G858" s="47">
        <f>IF($F858=0,0,IF(AND(OR(INDEX(Employees!$D$5:$D$29,$A858)="",$E858&gt;=INDEX(Employees!$D$5:$D$29,$A858)+N(INDEX(Employees!$U$5:$U$29,$A858))),OR(INDEX(Employees!$E$5:$E$29,$A858)="",$D858&lt;=INDEX(Employees!$E$5:$E$29,$A858))),1,0))</f>
        <v/>
      </c>
      <c r="H858" s="47">
        <f>IF($G858=0,0,IF(INDEX(Employees!$D$5:$D$29,$A858)="",0,DATEDIF(INDEX(Employees!$D$5:$D$29,$A858),$E858,"y")))</f>
        <v/>
      </c>
      <c r="I858" s="48">
        <f>IF($G858=0,0,IF(INDEX('Hours Worked'!$D$5:$BD$29,$A858,$B858)="",N(INDEX(Employees!$H$5:$H$29,$A858)),INDEX('Hours Worked'!$D$5:$BD$29,$A858,$B858)))</f>
        <v/>
      </c>
      <c r="J858" s="48">
        <f>IF(OR($G858=0,INDEX(Employees!$O$5:$O$29,$A858)&lt;&gt;"Yes"),0,IF(COUNTIF(Settings!$D$4:$D$9,"&lt;="&amp;$H858)=0,0,INDEX(Settings!$E$4:$E$9,COUNTIF(Settings!$D$4:$D$9,"&lt;="&amp;$H858))))</f>
        <v/>
      </c>
      <c r="K858" s="48">
        <f>IF($G858=0,0,IF(INDEX(Employees!$I$5:$I$29,$A858)="Per pay period",(N(INDEX(Employees!$J$5:$J$29,$A858))+$J858)/Settings!$B$13,IF(INDEX(Employees!$I$5:$I$29,$A858)="Per hour worked",N(INDEX(Employees!$K$5:$K$29,$A858))*$I858,IF(INDEX(Employees!$I$5:$I$29,$A858)="Front-loaded",IF(OR($B858=1,N($G857)=0),N(INDEX(Employees!$J$5:$J$29,$A858))+$J858,0),0))))</f>
        <v/>
      </c>
      <c r="L858" s="48">
        <f>IF($F858=0,0,SUMIFS('Time Off Log'!$H$5:$H$504,'Time Off Log'!$A$5:$A$504,$C858,'Time Off Log'!$B$5:$B$504,"PTO",'Time Off Log'!$E$5:$E$504,"Approved",'Time Off Log'!$C$5:$C$504,"&gt;="&amp;INDEX(Periods!$E$5:$E$57,$B858),'Time Off Log'!$C$5:$C$504,"&lt;="&amp;INDEX(Periods!$F$5:$F$57,$B858)))</f>
        <v/>
      </c>
      <c r="M858" s="48">
        <f>IF($B858=1,N(INDEX(Employees!$N$5:$N$29,$A858)),P857)</f>
        <v/>
      </c>
      <c r="N858" s="48">
        <f>IF(INDEX(Employees!$L$5:$L$29,$A858)="",K858,MAX(0,MIN(K858,INDEX(Employees!$L$5:$L$29,$A858)-(M858-L858))))</f>
        <v/>
      </c>
      <c r="O858" s="48">
        <f>K858-N858</f>
        <v/>
      </c>
      <c r="P858" s="48">
        <f>M858-L858+N858</f>
        <v/>
      </c>
      <c r="Q858" s="48">
        <f>IF($G858=0,0,IF(INDEX(Employees!$P$5:$P$29,$A858)="Per pay period",(N(INDEX(Employees!$Q$5:$Q$29,$A858)))/Settings!$B$13,IF(INDEX(Employees!$P$5:$P$29,$A858)="Per hour worked",N(INDEX(Employees!$R$5:$R$29,$A858))*$I858,IF(INDEX(Employees!$P$5:$P$29,$A858)="Front-loaded",IF(OR($B858=1,N($G857)=0),N(INDEX(Employees!$Q$5:$Q$29,$A858)),0),0))))</f>
        <v/>
      </c>
      <c r="R858" s="48">
        <f>IF($F858=0,0,SUMIFS('Time Off Log'!$H$5:$H$504,'Time Off Log'!$A$5:$A$504,$C858,'Time Off Log'!$B$5:$B$504,"Sick",'Time Off Log'!$E$5:$E$504,"Approved",'Time Off Log'!$C$5:$C$504,"&gt;="&amp;INDEX(Periods!$E$5:$E$57,$B858),'Time Off Log'!$C$5:$C$504,"&lt;="&amp;INDEX(Periods!$F$5:$F$57,$B858)))</f>
        <v/>
      </c>
      <c r="S858" s="48">
        <f>IF($B858=1,N(INDEX(Employees!$T$5:$T$29,$A858)),V857)</f>
        <v/>
      </c>
      <c r="T858" s="48">
        <f>IF(INDEX(Employees!$S$5:$S$29,$A858)="",Q858,MAX(0,MIN(Q858,INDEX(Employees!$S$5:$S$29,$A858)-(S858-R858))))</f>
        <v/>
      </c>
      <c r="U858" s="48">
        <f>Q858-T858</f>
        <v/>
      </c>
      <c r="V858" s="48">
        <f>S858-R858+T858</f>
        <v/>
      </c>
    </row>
    <row r="859">
      <c r="A859" s="47" t="n">
        <v>17</v>
      </c>
      <c r="B859" s="47" t="n">
        <v>7</v>
      </c>
      <c r="C859" s="48">
        <f>INDEX(Employees!$B$5:$B$29,$A859)&amp;""</f>
        <v/>
      </c>
      <c r="D859" s="49">
        <f>INDEX(Periods!$B$5:$B$57,$B859)</f>
        <v/>
      </c>
      <c r="E859" s="49">
        <f>INDEX(Periods!$C$5:$C$57,$B859)</f>
        <v/>
      </c>
      <c r="F859" s="47">
        <f>IF(AND($C859&lt;&gt;"",INDEX(Periods!$D$5:$D$57,$B859)=1),1,0)</f>
        <v/>
      </c>
      <c r="G859" s="47">
        <f>IF($F859=0,0,IF(AND(OR(INDEX(Employees!$D$5:$D$29,$A859)="",$E859&gt;=INDEX(Employees!$D$5:$D$29,$A859)+N(INDEX(Employees!$U$5:$U$29,$A859))),OR(INDEX(Employees!$E$5:$E$29,$A859)="",$D859&lt;=INDEX(Employees!$E$5:$E$29,$A859))),1,0))</f>
        <v/>
      </c>
      <c r="H859" s="47">
        <f>IF($G859=0,0,IF(INDEX(Employees!$D$5:$D$29,$A859)="",0,DATEDIF(INDEX(Employees!$D$5:$D$29,$A859),$E859,"y")))</f>
        <v/>
      </c>
      <c r="I859" s="48">
        <f>IF($G859=0,0,IF(INDEX('Hours Worked'!$D$5:$BD$29,$A859,$B859)="",N(INDEX(Employees!$H$5:$H$29,$A859)),INDEX('Hours Worked'!$D$5:$BD$29,$A859,$B859)))</f>
        <v/>
      </c>
      <c r="J859" s="48">
        <f>IF(OR($G859=0,INDEX(Employees!$O$5:$O$29,$A859)&lt;&gt;"Yes"),0,IF(COUNTIF(Settings!$D$4:$D$9,"&lt;="&amp;$H859)=0,0,INDEX(Settings!$E$4:$E$9,COUNTIF(Settings!$D$4:$D$9,"&lt;="&amp;$H859))))</f>
        <v/>
      </c>
      <c r="K859" s="48">
        <f>IF($G859=0,0,IF(INDEX(Employees!$I$5:$I$29,$A859)="Per pay period",(N(INDEX(Employees!$J$5:$J$29,$A859))+$J859)/Settings!$B$13,IF(INDEX(Employees!$I$5:$I$29,$A859)="Per hour worked",N(INDEX(Employees!$K$5:$K$29,$A859))*$I859,IF(INDEX(Employees!$I$5:$I$29,$A859)="Front-loaded",IF(OR($B859=1,N($G858)=0),N(INDEX(Employees!$J$5:$J$29,$A859))+$J859,0),0))))</f>
        <v/>
      </c>
      <c r="L859" s="48">
        <f>IF($F859=0,0,SUMIFS('Time Off Log'!$H$5:$H$504,'Time Off Log'!$A$5:$A$504,$C859,'Time Off Log'!$B$5:$B$504,"PTO",'Time Off Log'!$E$5:$E$504,"Approved",'Time Off Log'!$C$5:$C$504,"&gt;="&amp;INDEX(Periods!$E$5:$E$57,$B859),'Time Off Log'!$C$5:$C$504,"&lt;="&amp;INDEX(Periods!$F$5:$F$57,$B859)))</f>
        <v/>
      </c>
      <c r="M859" s="48">
        <f>IF($B859=1,N(INDEX(Employees!$N$5:$N$29,$A859)),P858)</f>
        <v/>
      </c>
      <c r="N859" s="48">
        <f>IF(INDEX(Employees!$L$5:$L$29,$A859)="",K859,MAX(0,MIN(K859,INDEX(Employees!$L$5:$L$29,$A859)-(M859-L859))))</f>
        <v/>
      </c>
      <c r="O859" s="48">
        <f>K859-N859</f>
        <v/>
      </c>
      <c r="P859" s="48">
        <f>M859-L859+N859</f>
        <v/>
      </c>
      <c r="Q859" s="48">
        <f>IF($G859=0,0,IF(INDEX(Employees!$P$5:$P$29,$A859)="Per pay period",(N(INDEX(Employees!$Q$5:$Q$29,$A859)))/Settings!$B$13,IF(INDEX(Employees!$P$5:$P$29,$A859)="Per hour worked",N(INDEX(Employees!$R$5:$R$29,$A859))*$I859,IF(INDEX(Employees!$P$5:$P$29,$A859)="Front-loaded",IF(OR($B859=1,N($G858)=0),N(INDEX(Employees!$Q$5:$Q$29,$A859)),0),0))))</f>
        <v/>
      </c>
      <c r="R859" s="48">
        <f>IF($F859=0,0,SUMIFS('Time Off Log'!$H$5:$H$504,'Time Off Log'!$A$5:$A$504,$C859,'Time Off Log'!$B$5:$B$504,"Sick",'Time Off Log'!$E$5:$E$504,"Approved",'Time Off Log'!$C$5:$C$504,"&gt;="&amp;INDEX(Periods!$E$5:$E$57,$B859),'Time Off Log'!$C$5:$C$504,"&lt;="&amp;INDEX(Periods!$F$5:$F$57,$B859)))</f>
        <v/>
      </c>
      <c r="S859" s="48">
        <f>IF($B859=1,N(INDEX(Employees!$T$5:$T$29,$A859)),V858)</f>
        <v/>
      </c>
      <c r="T859" s="48">
        <f>IF(INDEX(Employees!$S$5:$S$29,$A859)="",Q859,MAX(0,MIN(Q859,INDEX(Employees!$S$5:$S$29,$A859)-(S859-R859))))</f>
        <v/>
      </c>
      <c r="U859" s="48">
        <f>Q859-T859</f>
        <v/>
      </c>
      <c r="V859" s="48">
        <f>S859-R859+T859</f>
        <v/>
      </c>
    </row>
    <row r="860">
      <c r="A860" s="47" t="n">
        <v>17</v>
      </c>
      <c r="B860" s="47" t="n">
        <v>8</v>
      </c>
      <c r="C860" s="48">
        <f>INDEX(Employees!$B$5:$B$29,$A860)&amp;""</f>
        <v/>
      </c>
      <c r="D860" s="49">
        <f>INDEX(Periods!$B$5:$B$57,$B860)</f>
        <v/>
      </c>
      <c r="E860" s="49">
        <f>INDEX(Periods!$C$5:$C$57,$B860)</f>
        <v/>
      </c>
      <c r="F860" s="47">
        <f>IF(AND($C860&lt;&gt;"",INDEX(Periods!$D$5:$D$57,$B860)=1),1,0)</f>
        <v/>
      </c>
      <c r="G860" s="47">
        <f>IF($F860=0,0,IF(AND(OR(INDEX(Employees!$D$5:$D$29,$A860)="",$E860&gt;=INDEX(Employees!$D$5:$D$29,$A860)+N(INDEX(Employees!$U$5:$U$29,$A860))),OR(INDEX(Employees!$E$5:$E$29,$A860)="",$D860&lt;=INDEX(Employees!$E$5:$E$29,$A860))),1,0))</f>
        <v/>
      </c>
      <c r="H860" s="47">
        <f>IF($G860=0,0,IF(INDEX(Employees!$D$5:$D$29,$A860)="",0,DATEDIF(INDEX(Employees!$D$5:$D$29,$A860),$E860,"y")))</f>
        <v/>
      </c>
      <c r="I860" s="48">
        <f>IF($G860=0,0,IF(INDEX('Hours Worked'!$D$5:$BD$29,$A860,$B860)="",N(INDEX(Employees!$H$5:$H$29,$A860)),INDEX('Hours Worked'!$D$5:$BD$29,$A860,$B860)))</f>
        <v/>
      </c>
      <c r="J860" s="48">
        <f>IF(OR($G860=0,INDEX(Employees!$O$5:$O$29,$A860)&lt;&gt;"Yes"),0,IF(COUNTIF(Settings!$D$4:$D$9,"&lt;="&amp;$H860)=0,0,INDEX(Settings!$E$4:$E$9,COUNTIF(Settings!$D$4:$D$9,"&lt;="&amp;$H860))))</f>
        <v/>
      </c>
      <c r="K860" s="48">
        <f>IF($G860=0,0,IF(INDEX(Employees!$I$5:$I$29,$A860)="Per pay period",(N(INDEX(Employees!$J$5:$J$29,$A860))+$J860)/Settings!$B$13,IF(INDEX(Employees!$I$5:$I$29,$A860)="Per hour worked",N(INDEX(Employees!$K$5:$K$29,$A860))*$I860,IF(INDEX(Employees!$I$5:$I$29,$A860)="Front-loaded",IF(OR($B860=1,N($G859)=0),N(INDEX(Employees!$J$5:$J$29,$A860))+$J860,0),0))))</f>
        <v/>
      </c>
      <c r="L860" s="48">
        <f>IF($F860=0,0,SUMIFS('Time Off Log'!$H$5:$H$504,'Time Off Log'!$A$5:$A$504,$C860,'Time Off Log'!$B$5:$B$504,"PTO",'Time Off Log'!$E$5:$E$504,"Approved",'Time Off Log'!$C$5:$C$504,"&gt;="&amp;INDEX(Periods!$E$5:$E$57,$B860),'Time Off Log'!$C$5:$C$504,"&lt;="&amp;INDEX(Periods!$F$5:$F$57,$B860)))</f>
        <v/>
      </c>
      <c r="M860" s="48">
        <f>IF($B860=1,N(INDEX(Employees!$N$5:$N$29,$A860)),P859)</f>
        <v/>
      </c>
      <c r="N860" s="48">
        <f>IF(INDEX(Employees!$L$5:$L$29,$A860)="",K860,MAX(0,MIN(K860,INDEX(Employees!$L$5:$L$29,$A860)-(M860-L860))))</f>
        <v/>
      </c>
      <c r="O860" s="48">
        <f>K860-N860</f>
        <v/>
      </c>
      <c r="P860" s="48">
        <f>M860-L860+N860</f>
        <v/>
      </c>
      <c r="Q860" s="48">
        <f>IF($G860=0,0,IF(INDEX(Employees!$P$5:$P$29,$A860)="Per pay period",(N(INDEX(Employees!$Q$5:$Q$29,$A860)))/Settings!$B$13,IF(INDEX(Employees!$P$5:$P$29,$A860)="Per hour worked",N(INDEX(Employees!$R$5:$R$29,$A860))*$I860,IF(INDEX(Employees!$P$5:$P$29,$A860)="Front-loaded",IF(OR($B860=1,N($G859)=0),N(INDEX(Employees!$Q$5:$Q$29,$A860)),0),0))))</f>
        <v/>
      </c>
      <c r="R860" s="48">
        <f>IF($F860=0,0,SUMIFS('Time Off Log'!$H$5:$H$504,'Time Off Log'!$A$5:$A$504,$C860,'Time Off Log'!$B$5:$B$504,"Sick",'Time Off Log'!$E$5:$E$504,"Approved",'Time Off Log'!$C$5:$C$504,"&gt;="&amp;INDEX(Periods!$E$5:$E$57,$B860),'Time Off Log'!$C$5:$C$504,"&lt;="&amp;INDEX(Periods!$F$5:$F$57,$B860)))</f>
        <v/>
      </c>
      <c r="S860" s="48">
        <f>IF($B860=1,N(INDEX(Employees!$T$5:$T$29,$A860)),V859)</f>
        <v/>
      </c>
      <c r="T860" s="48">
        <f>IF(INDEX(Employees!$S$5:$S$29,$A860)="",Q860,MAX(0,MIN(Q860,INDEX(Employees!$S$5:$S$29,$A860)-(S860-R860))))</f>
        <v/>
      </c>
      <c r="U860" s="48">
        <f>Q860-T860</f>
        <v/>
      </c>
      <c r="V860" s="48">
        <f>S860-R860+T860</f>
        <v/>
      </c>
    </row>
    <row r="861">
      <c r="A861" s="47" t="n">
        <v>17</v>
      </c>
      <c r="B861" s="47" t="n">
        <v>9</v>
      </c>
      <c r="C861" s="48">
        <f>INDEX(Employees!$B$5:$B$29,$A861)&amp;""</f>
        <v/>
      </c>
      <c r="D861" s="49">
        <f>INDEX(Periods!$B$5:$B$57,$B861)</f>
        <v/>
      </c>
      <c r="E861" s="49">
        <f>INDEX(Periods!$C$5:$C$57,$B861)</f>
        <v/>
      </c>
      <c r="F861" s="47">
        <f>IF(AND($C861&lt;&gt;"",INDEX(Periods!$D$5:$D$57,$B861)=1),1,0)</f>
        <v/>
      </c>
      <c r="G861" s="47">
        <f>IF($F861=0,0,IF(AND(OR(INDEX(Employees!$D$5:$D$29,$A861)="",$E861&gt;=INDEX(Employees!$D$5:$D$29,$A861)+N(INDEX(Employees!$U$5:$U$29,$A861))),OR(INDEX(Employees!$E$5:$E$29,$A861)="",$D861&lt;=INDEX(Employees!$E$5:$E$29,$A861))),1,0))</f>
        <v/>
      </c>
      <c r="H861" s="47">
        <f>IF($G861=0,0,IF(INDEX(Employees!$D$5:$D$29,$A861)="",0,DATEDIF(INDEX(Employees!$D$5:$D$29,$A861),$E861,"y")))</f>
        <v/>
      </c>
      <c r="I861" s="48">
        <f>IF($G861=0,0,IF(INDEX('Hours Worked'!$D$5:$BD$29,$A861,$B861)="",N(INDEX(Employees!$H$5:$H$29,$A861)),INDEX('Hours Worked'!$D$5:$BD$29,$A861,$B861)))</f>
        <v/>
      </c>
      <c r="J861" s="48">
        <f>IF(OR($G861=0,INDEX(Employees!$O$5:$O$29,$A861)&lt;&gt;"Yes"),0,IF(COUNTIF(Settings!$D$4:$D$9,"&lt;="&amp;$H861)=0,0,INDEX(Settings!$E$4:$E$9,COUNTIF(Settings!$D$4:$D$9,"&lt;="&amp;$H861))))</f>
        <v/>
      </c>
      <c r="K861" s="48">
        <f>IF($G861=0,0,IF(INDEX(Employees!$I$5:$I$29,$A861)="Per pay period",(N(INDEX(Employees!$J$5:$J$29,$A861))+$J861)/Settings!$B$13,IF(INDEX(Employees!$I$5:$I$29,$A861)="Per hour worked",N(INDEX(Employees!$K$5:$K$29,$A861))*$I861,IF(INDEX(Employees!$I$5:$I$29,$A861)="Front-loaded",IF(OR($B861=1,N($G860)=0),N(INDEX(Employees!$J$5:$J$29,$A861))+$J861,0),0))))</f>
        <v/>
      </c>
      <c r="L861" s="48">
        <f>IF($F861=0,0,SUMIFS('Time Off Log'!$H$5:$H$504,'Time Off Log'!$A$5:$A$504,$C861,'Time Off Log'!$B$5:$B$504,"PTO",'Time Off Log'!$E$5:$E$504,"Approved",'Time Off Log'!$C$5:$C$504,"&gt;="&amp;INDEX(Periods!$E$5:$E$57,$B861),'Time Off Log'!$C$5:$C$504,"&lt;="&amp;INDEX(Periods!$F$5:$F$57,$B861)))</f>
        <v/>
      </c>
      <c r="M861" s="48">
        <f>IF($B861=1,N(INDEX(Employees!$N$5:$N$29,$A861)),P860)</f>
        <v/>
      </c>
      <c r="N861" s="48">
        <f>IF(INDEX(Employees!$L$5:$L$29,$A861)="",K861,MAX(0,MIN(K861,INDEX(Employees!$L$5:$L$29,$A861)-(M861-L861))))</f>
        <v/>
      </c>
      <c r="O861" s="48">
        <f>K861-N861</f>
        <v/>
      </c>
      <c r="P861" s="48">
        <f>M861-L861+N861</f>
        <v/>
      </c>
      <c r="Q861" s="48">
        <f>IF($G861=0,0,IF(INDEX(Employees!$P$5:$P$29,$A861)="Per pay period",(N(INDEX(Employees!$Q$5:$Q$29,$A861)))/Settings!$B$13,IF(INDEX(Employees!$P$5:$P$29,$A861)="Per hour worked",N(INDEX(Employees!$R$5:$R$29,$A861))*$I861,IF(INDEX(Employees!$P$5:$P$29,$A861)="Front-loaded",IF(OR($B861=1,N($G860)=0),N(INDEX(Employees!$Q$5:$Q$29,$A861)),0),0))))</f>
        <v/>
      </c>
      <c r="R861" s="48">
        <f>IF($F861=0,0,SUMIFS('Time Off Log'!$H$5:$H$504,'Time Off Log'!$A$5:$A$504,$C861,'Time Off Log'!$B$5:$B$504,"Sick",'Time Off Log'!$E$5:$E$504,"Approved",'Time Off Log'!$C$5:$C$504,"&gt;="&amp;INDEX(Periods!$E$5:$E$57,$B861),'Time Off Log'!$C$5:$C$504,"&lt;="&amp;INDEX(Periods!$F$5:$F$57,$B861)))</f>
        <v/>
      </c>
      <c r="S861" s="48">
        <f>IF($B861=1,N(INDEX(Employees!$T$5:$T$29,$A861)),V860)</f>
        <v/>
      </c>
      <c r="T861" s="48">
        <f>IF(INDEX(Employees!$S$5:$S$29,$A861)="",Q861,MAX(0,MIN(Q861,INDEX(Employees!$S$5:$S$29,$A861)-(S861-R861))))</f>
        <v/>
      </c>
      <c r="U861" s="48">
        <f>Q861-T861</f>
        <v/>
      </c>
      <c r="V861" s="48">
        <f>S861-R861+T861</f>
        <v/>
      </c>
    </row>
    <row r="862">
      <c r="A862" s="47" t="n">
        <v>17</v>
      </c>
      <c r="B862" s="47" t="n">
        <v>10</v>
      </c>
      <c r="C862" s="48">
        <f>INDEX(Employees!$B$5:$B$29,$A862)&amp;""</f>
        <v/>
      </c>
      <c r="D862" s="49">
        <f>INDEX(Periods!$B$5:$B$57,$B862)</f>
        <v/>
      </c>
      <c r="E862" s="49">
        <f>INDEX(Periods!$C$5:$C$57,$B862)</f>
        <v/>
      </c>
      <c r="F862" s="47">
        <f>IF(AND($C862&lt;&gt;"",INDEX(Periods!$D$5:$D$57,$B862)=1),1,0)</f>
        <v/>
      </c>
      <c r="G862" s="47">
        <f>IF($F862=0,0,IF(AND(OR(INDEX(Employees!$D$5:$D$29,$A862)="",$E862&gt;=INDEX(Employees!$D$5:$D$29,$A862)+N(INDEX(Employees!$U$5:$U$29,$A862))),OR(INDEX(Employees!$E$5:$E$29,$A862)="",$D862&lt;=INDEX(Employees!$E$5:$E$29,$A862))),1,0))</f>
        <v/>
      </c>
      <c r="H862" s="47">
        <f>IF($G862=0,0,IF(INDEX(Employees!$D$5:$D$29,$A862)="",0,DATEDIF(INDEX(Employees!$D$5:$D$29,$A862),$E862,"y")))</f>
        <v/>
      </c>
      <c r="I862" s="48">
        <f>IF($G862=0,0,IF(INDEX('Hours Worked'!$D$5:$BD$29,$A862,$B862)="",N(INDEX(Employees!$H$5:$H$29,$A862)),INDEX('Hours Worked'!$D$5:$BD$29,$A862,$B862)))</f>
        <v/>
      </c>
      <c r="J862" s="48">
        <f>IF(OR($G862=0,INDEX(Employees!$O$5:$O$29,$A862)&lt;&gt;"Yes"),0,IF(COUNTIF(Settings!$D$4:$D$9,"&lt;="&amp;$H862)=0,0,INDEX(Settings!$E$4:$E$9,COUNTIF(Settings!$D$4:$D$9,"&lt;="&amp;$H862))))</f>
        <v/>
      </c>
      <c r="K862" s="48">
        <f>IF($G862=0,0,IF(INDEX(Employees!$I$5:$I$29,$A862)="Per pay period",(N(INDEX(Employees!$J$5:$J$29,$A862))+$J862)/Settings!$B$13,IF(INDEX(Employees!$I$5:$I$29,$A862)="Per hour worked",N(INDEX(Employees!$K$5:$K$29,$A862))*$I862,IF(INDEX(Employees!$I$5:$I$29,$A862)="Front-loaded",IF(OR($B862=1,N($G861)=0),N(INDEX(Employees!$J$5:$J$29,$A862))+$J862,0),0))))</f>
        <v/>
      </c>
      <c r="L862" s="48">
        <f>IF($F862=0,0,SUMIFS('Time Off Log'!$H$5:$H$504,'Time Off Log'!$A$5:$A$504,$C862,'Time Off Log'!$B$5:$B$504,"PTO",'Time Off Log'!$E$5:$E$504,"Approved",'Time Off Log'!$C$5:$C$504,"&gt;="&amp;INDEX(Periods!$E$5:$E$57,$B862),'Time Off Log'!$C$5:$C$504,"&lt;="&amp;INDEX(Periods!$F$5:$F$57,$B862)))</f>
        <v/>
      </c>
      <c r="M862" s="48">
        <f>IF($B862=1,N(INDEX(Employees!$N$5:$N$29,$A862)),P861)</f>
        <v/>
      </c>
      <c r="N862" s="48">
        <f>IF(INDEX(Employees!$L$5:$L$29,$A862)="",K862,MAX(0,MIN(K862,INDEX(Employees!$L$5:$L$29,$A862)-(M862-L862))))</f>
        <v/>
      </c>
      <c r="O862" s="48">
        <f>K862-N862</f>
        <v/>
      </c>
      <c r="P862" s="48">
        <f>M862-L862+N862</f>
        <v/>
      </c>
      <c r="Q862" s="48">
        <f>IF($G862=0,0,IF(INDEX(Employees!$P$5:$P$29,$A862)="Per pay period",(N(INDEX(Employees!$Q$5:$Q$29,$A862)))/Settings!$B$13,IF(INDEX(Employees!$P$5:$P$29,$A862)="Per hour worked",N(INDEX(Employees!$R$5:$R$29,$A862))*$I862,IF(INDEX(Employees!$P$5:$P$29,$A862)="Front-loaded",IF(OR($B862=1,N($G861)=0),N(INDEX(Employees!$Q$5:$Q$29,$A862)),0),0))))</f>
        <v/>
      </c>
      <c r="R862" s="48">
        <f>IF($F862=0,0,SUMIFS('Time Off Log'!$H$5:$H$504,'Time Off Log'!$A$5:$A$504,$C862,'Time Off Log'!$B$5:$B$504,"Sick",'Time Off Log'!$E$5:$E$504,"Approved",'Time Off Log'!$C$5:$C$504,"&gt;="&amp;INDEX(Periods!$E$5:$E$57,$B862),'Time Off Log'!$C$5:$C$504,"&lt;="&amp;INDEX(Periods!$F$5:$F$57,$B862)))</f>
        <v/>
      </c>
      <c r="S862" s="48">
        <f>IF($B862=1,N(INDEX(Employees!$T$5:$T$29,$A862)),V861)</f>
        <v/>
      </c>
      <c r="T862" s="48">
        <f>IF(INDEX(Employees!$S$5:$S$29,$A862)="",Q862,MAX(0,MIN(Q862,INDEX(Employees!$S$5:$S$29,$A862)-(S862-R862))))</f>
        <v/>
      </c>
      <c r="U862" s="48">
        <f>Q862-T862</f>
        <v/>
      </c>
      <c r="V862" s="48">
        <f>S862-R862+T862</f>
        <v/>
      </c>
    </row>
    <row r="863">
      <c r="A863" s="47" t="n">
        <v>17</v>
      </c>
      <c r="B863" s="47" t="n">
        <v>11</v>
      </c>
      <c r="C863" s="48">
        <f>INDEX(Employees!$B$5:$B$29,$A863)&amp;""</f>
        <v/>
      </c>
      <c r="D863" s="49">
        <f>INDEX(Periods!$B$5:$B$57,$B863)</f>
        <v/>
      </c>
      <c r="E863" s="49">
        <f>INDEX(Periods!$C$5:$C$57,$B863)</f>
        <v/>
      </c>
      <c r="F863" s="47">
        <f>IF(AND($C863&lt;&gt;"",INDEX(Periods!$D$5:$D$57,$B863)=1),1,0)</f>
        <v/>
      </c>
      <c r="G863" s="47">
        <f>IF($F863=0,0,IF(AND(OR(INDEX(Employees!$D$5:$D$29,$A863)="",$E863&gt;=INDEX(Employees!$D$5:$D$29,$A863)+N(INDEX(Employees!$U$5:$U$29,$A863))),OR(INDEX(Employees!$E$5:$E$29,$A863)="",$D863&lt;=INDEX(Employees!$E$5:$E$29,$A863))),1,0))</f>
        <v/>
      </c>
      <c r="H863" s="47">
        <f>IF($G863=0,0,IF(INDEX(Employees!$D$5:$D$29,$A863)="",0,DATEDIF(INDEX(Employees!$D$5:$D$29,$A863),$E863,"y")))</f>
        <v/>
      </c>
      <c r="I863" s="48">
        <f>IF($G863=0,0,IF(INDEX('Hours Worked'!$D$5:$BD$29,$A863,$B863)="",N(INDEX(Employees!$H$5:$H$29,$A863)),INDEX('Hours Worked'!$D$5:$BD$29,$A863,$B863)))</f>
        <v/>
      </c>
      <c r="J863" s="48">
        <f>IF(OR($G863=0,INDEX(Employees!$O$5:$O$29,$A863)&lt;&gt;"Yes"),0,IF(COUNTIF(Settings!$D$4:$D$9,"&lt;="&amp;$H863)=0,0,INDEX(Settings!$E$4:$E$9,COUNTIF(Settings!$D$4:$D$9,"&lt;="&amp;$H863))))</f>
        <v/>
      </c>
      <c r="K863" s="48">
        <f>IF($G863=0,0,IF(INDEX(Employees!$I$5:$I$29,$A863)="Per pay period",(N(INDEX(Employees!$J$5:$J$29,$A863))+$J863)/Settings!$B$13,IF(INDEX(Employees!$I$5:$I$29,$A863)="Per hour worked",N(INDEX(Employees!$K$5:$K$29,$A863))*$I863,IF(INDEX(Employees!$I$5:$I$29,$A863)="Front-loaded",IF(OR($B863=1,N($G862)=0),N(INDEX(Employees!$J$5:$J$29,$A863))+$J863,0),0))))</f>
        <v/>
      </c>
      <c r="L863" s="48">
        <f>IF($F863=0,0,SUMIFS('Time Off Log'!$H$5:$H$504,'Time Off Log'!$A$5:$A$504,$C863,'Time Off Log'!$B$5:$B$504,"PTO",'Time Off Log'!$E$5:$E$504,"Approved",'Time Off Log'!$C$5:$C$504,"&gt;="&amp;INDEX(Periods!$E$5:$E$57,$B863),'Time Off Log'!$C$5:$C$504,"&lt;="&amp;INDEX(Periods!$F$5:$F$57,$B863)))</f>
        <v/>
      </c>
      <c r="M863" s="48">
        <f>IF($B863=1,N(INDEX(Employees!$N$5:$N$29,$A863)),P862)</f>
        <v/>
      </c>
      <c r="N863" s="48">
        <f>IF(INDEX(Employees!$L$5:$L$29,$A863)="",K863,MAX(0,MIN(K863,INDEX(Employees!$L$5:$L$29,$A863)-(M863-L863))))</f>
        <v/>
      </c>
      <c r="O863" s="48">
        <f>K863-N863</f>
        <v/>
      </c>
      <c r="P863" s="48">
        <f>M863-L863+N863</f>
        <v/>
      </c>
      <c r="Q863" s="48">
        <f>IF($G863=0,0,IF(INDEX(Employees!$P$5:$P$29,$A863)="Per pay period",(N(INDEX(Employees!$Q$5:$Q$29,$A863)))/Settings!$B$13,IF(INDEX(Employees!$P$5:$P$29,$A863)="Per hour worked",N(INDEX(Employees!$R$5:$R$29,$A863))*$I863,IF(INDEX(Employees!$P$5:$P$29,$A863)="Front-loaded",IF(OR($B863=1,N($G862)=0),N(INDEX(Employees!$Q$5:$Q$29,$A863)),0),0))))</f>
        <v/>
      </c>
      <c r="R863" s="48">
        <f>IF($F863=0,0,SUMIFS('Time Off Log'!$H$5:$H$504,'Time Off Log'!$A$5:$A$504,$C863,'Time Off Log'!$B$5:$B$504,"Sick",'Time Off Log'!$E$5:$E$504,"Approved",'Time Off Log'!$C$5:$C$504,"&gt;="&amp;INDEX(Periods!$E$5:$E$57,$B863),'Time Off Log'!$C$5:$C$504,"&lt;="&amp;INDEX(Periods!$F$5:$F$57,$B863)))</f>
        <v/>
      </c>
      <c r="S863" s="48">
        <f>IF($B863=1,N(INDEX(Employees!$T$5:$T$29,$A863)),V862)</f>
        <v/>
      </c>
      <c r="T863" s="48">
        <f>IF(INDEX(Employees!$S$5:$S$29,$A863)="",Q863,MAX(0,MIN(Q863,INDEX(Employees!$S$5:$S$29,$A863)-(S863-R863))))</f>
        <v/>
      </c>
      <c r="U863" s="48">
        <f>Q863-T863</f>
        <v/>
      </c>
      <c r="V863" s="48">
        <f>S863-R863+T863</f>
        <v/>
      </c>
    </row>
    <row r="864">
      <c r="A864" s="47" t="n">
        <v>17</v>
      </c>
      <c r="B864" s="47" t="n">
        <v>12</v>
      </c>
      <c r="C864" s="48">
        <f>INDEX(Employees!$B$5:$B$29,$A864)&amp;""</f>
        <v/>
      </c>
      <c r="D864" s="49">
        <f>INDEX(Periods!$B$5:$B$57,$B864)</f>
        <v/>
      </c>
      <c r="E864" s="49">
        <f>INDEX(Periods!$C$5:$C$57,$B864)</f>
        <v/>
      </c>
      <c r="F864" s="47">
        <f>IF(AND($C864&lt;&gt;"",INDEX(Periods!$D$5:$D$57,$B864)=1),1,0)</f>
        <v/>
      </c>
      <c r="G864" s="47">
        <f>IF($F864=0,0,IF(AND(OR(INDEX(Employees!$D$5:$D$29,$A864)="",$E864&gt;=INDEX(Employees!$D$5:$D$29,$A864)+N(INDEX(Employees!$U$5:$U$29,$A864))),OR(INDEX(Employees!$E$5:$E$29,$A864)="",$D864&lt;=INDEX(Employees!$E$5:$E$29,$A864))),1,0))</f>
        <v/>
      </c>
      <c r="H864" s="47">
        <f>IF($G864=0,0,IF(INDEX(Employees!$D$5:$D$29,$A864)="",0,DATEDIF(INDEX(Employees!$D$5:$D$29,$A864),$E864,"y")))</f>
        <v/>
      </c>
      <c r="I864" s="48">
        <f>IF($G864=0,0,IF(INDEX('Hours Worked'!$D$5:$BD$29,$A864,$B864)="",N(INDEX(Employees!$H$5:$H$29,$A864)),INDEX('Hours Worked'!$D$5:$BD$29,$A864,$B864)))</f>
        <v/>
      </c>
      <c r="J864" s="48">
        <f>IF(OR($G864=0,INDEX(Employees!$O$5:$O$29,$A864)&lt;&gt;"Yes"),0,IF(COUNTIF(Settings!$D$4:$D$9,"&lt;="&amp;$H864)=0,0,INDEX(Settings!$E$4:$E$9,COUNTIF(Settings!$D$4:$D$9,"&lt;="&amp;$H864))))</f>
        <v/>
      </c>
      <c r="K864" s="48">
        <f>IF($G864=0,0,IF(INDEX(Employees!$I$5:$I$29,$A864)="Per pay period",(N(INDEX(Employees!$J$5:$J$29,$A864))+$J864)/Settings!$B$13,IF(INDEX(Employees!$I$5:$I$29,$A864)="Per hour worked",N(INDEX(Employees!$K$5:$K$29,$A864))*$I864,IF(INDEX(Employees!$I$5:$I$29,$A864)="Front-loaded",IF(OR($B864=1,N($G863)=0),N(INDEX(Employees!$J$5:$J$29,$A864))+$J864,0),0))))</f>
        <v/>
      </c>
      <c r="L864" s="48">
        <f>IF($F864=0,0,SUMIFS('Time Off Log'!$H$5:$H$504,'Time Off Log'!$A$5:$A$504,$C864,'Time Off Log'!$B$5:$B$504,"PTO",'Time Off Log'!$E$5:$E$504,"Approved",'Time Off Log'!$C$5:$C$504,"&gt;="&amp;INDEX(Periods!$E$5:$E$57,$B864),'Time Off Log'!$C$5:$C$504,"&lt;="&amp;INDEX(Periods!$F$5:$F$57,$B864)))</f>
        <v/>
      </c>
      <c r="M864" s="48">
        <f>IF($B864=1,N(INDEX(Employees!$N$5:$N$29,$A864)),P863)</f>
        <v/>
      </c>
      <c r="N864" s="48">
        <f>IF(INDEX(Employees!$L$5:$L$29,$A864)="",K864,MAX(0,MIN(K864,INDEX(Employees!$L$5:$L$29,$A864)-(M864-L864))))</f>
        <v/>
      </c>
      <c r="O864" s="48">
        <f>K864-N864</f>
        <v/>
      </c>
      <c r="P864" s="48">
        <f>M864-L864+N864</f>
        <v/>
      </c>
      <c r="Q864" s="48">
        <f>IF($G864=0,0,IF(INDEX(Employees!$P$5:$P$29,$A864)="Per pay period",(N(INDEX(Employees!$Q$5:$Q$29,$A864)))/Settings!$B$13,IF(INDEX(Employees!$P$5:$P$29,$A864)="Per hour worked",N(INDEX(Employees!$R$5:$R$29,$A864))*$I864,IF(INDEX(Employees!$P$5:$P$29,$A864)="Front-loaded",IF(OR($B864=1,N($G863)=0),N(INDEX(Employees!$Q$5:$Q$29,$A864)),0),0))))</f>
        <v/>
      </c>
      <c r="R864" s="48">
        <f>IF($F864=0,0,SUMIFS('Time Off Log'!$H$5:$H$504,'Time Off Log'!$A$5:$A$504,$C864,'Time Off Log'!$B$5:$B$504,"Sick",'Time Off Log'!$E$5:$E$504,"Approved",'Time Off Log'!$C$5:$C$504,"&gt;="&amp;INDEX(Periods!$E$5:$E$57,$B864),'Time Off Log'!$C$5:$C$504,"&lt;="&amp;INDEX(Periods!$F$5:$F$57,$B864)))</f>
        <v/>
      </c>
      <c r="S864" s="48">
        <f>IF($B864=1,N(INDEX(Employees!$T$5:$T$29,$A864)),V863)</f>
        <v/>
      </c>
      <c r="T864" s="48">
        <f>IF(INDEX(Employees!$S$5:$S$29,$A864)="",Q864,MAX(0,MIN(Q864,INDEX(Employees!$S$5:$S$29,$A864)-(S864-R864))))</f>
        <v/>
      </c>
      <c r="U864" s="48">
        <f>Q864-T864</f>
        <v/>
      </c>
      <c r="V864" s="48">
        <f>S864-R864+T864</f>
        <v/>
      </c>
    </row>
    <row r="865">
      <c r="A865" s="47" t="n">
        <v>17</v>
      </c>
      <c r="B865" s="47" t="n">
        <v>13</v>
      </c>
      <c r="C865" s="48">
        <f>INDEX(Employees!$B$5:$B$29,$A865)&amp;""</f>
        <v/>
      </c>
      <c r="D865" s="49">
        <f>INDEX(Periods!$B$5:$B$57,$B865)</f>
        <v/>
      </c>
      <c r="E865" s="49">
        <f>INDEX(Periods!$C$5:$C$57,$B865)</f>
        <v/>
      </c>
      <c r="F865" s="47">
        <f>IF(AND($C865&lt;&gt;"",INDEX(Periods!$D$5:$D$57,$B865)=1),1,0)</f>
        <v/>
      </c>
      <c r="G865" s="47">
        <f>IF($F865=0,0,IF(AND(OR(INDEX(Employees!$D$5:$D$29,$A865)="",$E865&gt;=INDEX(Employees!$D$5:$D$29,$A865)+N(INDEX(Employees!$U$5:$U$29,$A865))),OR(INDEX(Employees!$E$5:$E$29,$A865)="",$D865&lt;=INDEX(Employees!$E$5:$E$29,$A865))),1,0))</f>
        <v/>
      </c>
      <c r="H865" s="47">
        <f>IF($G865=0,0,IF(INDEX(Employees!$D$5:$D$29,$A865)="",0,DATEDIF(INDEX(Employees!$D$5:$D$29,$A865),$E865,"y")))</f>
        <v/>
      </c>
      <c r="I865" s="48">
        <f>IF($G865=0,0,IF(INDEX('Hours Worked'!$D$5:$BD$29,$A865,$B865)="",N(INDEX(Employees!$H$5:$H$29,$A865)),INDEX('Hours Worked'!$D$5:$BD$29,$A865,$B865)))</f>
        <v/>
      </c>
      <c r="J865" s="48">
        <f>IF(OR($G865=0,INDEX(Employees!$O$5:$O$29,$A865)&lt;&gt;"Yes"),0,IF(COUNTIF(Settings!$D$4:$D$9,"&lt;="&amp;$H865)=0,0,INDEX(Settings!$E$4:$E$9,COUNTIF(Settings!$D$4:$D$9,"&lt;="&amp;$H865))))</f>
        <v/>
      </c>
      <c r="K865" s="48">
        <f>IF($G865=0,0,IF(INDEX(Employees!$I$5:$I$29,$A865)="Per pay period",(N(INDEX(Employees!$J$5:$J$29,$A865))+$J865)/Settings!$B$13,IF(INDEX(Employees!$I$5:$I$29,$A865)="Per hour worked",N(INDEX(Employees!$K$5:$K$29,$A865))*$I865,IF(INDEX(Employees!$I$5:$I$29,$A865)="Front-loaded",IF(OR($B865=1,N($G864)=0),N(INDEX(Employees!$J$5:$J$29,$A865))+$J865,0),0))))</f>
        <v/>
      </c>
      <c r="L865" s="48">
        <f>IF($F865=0,0,SUMIFS('Time Off Log'!$H$5:$H$504,'Time Off Log'!$A$5:$A$504,$C865,'Time Off Log'!$B$5:$B$504,"PTO",'Time Off Log'!$E$5:$E$504,"Approved",'Time Off Log'!$C$5:$C$504,"&gt;="&amp;INDEX(Periods!$E$5:$E$57,$B865),'Time Off Log'!$C$5:$C$504,"&lt;="&amp;INDEX(Periods!$F$5:$F$57,$B865)))</f>
        <v/>
      </c>
      <c r="M865" s="48">
        <f>IF($B865=1,N(INDEX(Employees!$N$5:$N$29,$A865)),P864)</f>
        <v/>
      </c>
      <c r="N865" s="48">
        <f>IF(INDEX(Employees!$L$5:$L$29,$A865)="",K865,MAX(0,MIN(K865,INDEX(Employees!$L$5:$L$29,$A865)-(M865-L865))))</f>
        <v/>
      </c>
      <c r="O865" s="48">
        <f>K865-N865</f>
        <v/>
      </c>
      <c r="P865" s="48">
        <f>M865-L865+N865</f>
        <v/>
      </c>
      <c r="Q865" s="48">
        <f>IF($G865=0,0,IF(INDEX(Employees!$P$5:$P$29,$A865)="Per pay period",(N(INDEX(Employees!$Q$5:$Q$29,$A865)))/Settings!$B$13,IF(INDEX(Employees!$P$5:$P$29,$A865)="Per hour worked",N(INDEX(Employees!$R$5:$R$29,$A865))*$I865,IF(INDEX(Employees!$P$5:$P$29,$A865)="Front-loaded",IF(OR($B865=1,N($G864)=0),N(INDEX(Employees!$Q$5:$Q$29,$A865)),0),0))))</f>
        <v/>
      </c>
      <c r="R865" s="48">
        <f>IF($F865=0,0,SUMIFS('Time Off Log'!$H$5:$H$504,'Time Off Log'!$A$5:$A$504,$C865,'Time Off Log'!$B$5:$B$504,"Sick",'Time Off Log'!$E$5:$E$504,"Approved",'Time Off Log'!$C$5:$C$504,"&gt;="&amp;INDEX(Periods!$E$5:$E$57,$B865),'Time Off Log'!$C$5:$C$504,"&lt;="&amp;INDEX(Periods!$F$5:$F$57,$B865)))</f>
        <v/>
      </c>
      <c r="S865" s="48">
        <f>IF($B865=1,N(INDEX(Employees!$T$5:$T$29,$A865)),V864)</f>
        <v/>
      </c>
      <c r="T865" s="48">
        <f>IF(INDEX(Employees!$S$5:$S$29,$A865)="",Q865,MAX(0,MIN(Q865,INDEX(Employees!$S$5:$S$29,$A865)-(S865-R865))))</f>
        <v/>
      </c>
      <c r="U865" s="48">
        <f>Q865-T865</f>
        <v/>
      </c>
      <c r="V865" s="48">
        <f>S865-R865+T865</f>
        <v/>
      </c>
    </row>
    <row r="866">
      <c r="A866" s="47" t="n">
        <v>17</v>
      </c>
      <c r="B866" s="47" t="n">
        <v>14</v>
      </c>
      <c r="C866" s="48">
        <f>INDEX(Employees!$B$5:$B$29,$A866)&amp;""</f>
        <v/>
      </c>
      <c r="D866" s="49">
        <f>INDEX(Periods!$B$5:$B$57,$B866)</f>
        <v/>
      </c>
      <c r="E866" s="49">
        <f>INDEX(Periods!$C$5:$C$57,$B866)</f>
        <v/>
      </c>
      <c r="F866" s="47">
        <f>IF(AND($C866&lt;&gt;"",INDEX(Periods!$D$5:$D$57,$B866)=1),1,0)</f>
        <v/>
      </c>
      <c r="G866" s="47">
        <f>IF($F866=0,0,IF(AND(OR(INDEX(Employees!$D$5:$D$29,$A866)="",$E866&gt;=INDEX(Employees!$D$5:$D$29,$A866)+N(INDEX(Employees!$U$5:$U$29,$A866))),OR(INDEX(Employees!$E$5:$E$29,$A866)="",$D866&lt;=INDEX(Employees!$E$5:$E$29,$A866))),1,0))</f>
        <v/>
      </c>
      <c r="H866" s="47">
        <f>IF($G866=0,0,IF(INDEX(Employees!$D$5:$D$29,$A866)="",0,DATEDIF(INDEX(Employees!$D$5:$D$29,$A866),$E866,"y")))</f>
        <v/>
      </c>
      <c r="I866" s="48">
        <f>IF($G866=0,0,IF(INDEX('Hours Worked'!$D$5:$BD$29,$A866,$B866)="",N(INDEX(Employees!$H$5:$H$29,$A866)),INDEX('Hours Worked'!$D$5:$BD$29,$A866,$B866)))</f>
        <v/>
      </c>
      <c r="J866" s="48">
        <f>IF(OR($G866=0,INDEX(Employees!$O$5:$O$29,$A866)&lt;&gt;"Yes"),0,IF(COUNTIF(Settings!$D$4:$D$9,"&lt;="&amp;$H866)=0,0,INDEX(Settings!$E$4:$E$9,COUNTIF(Settings!$D$4:$D$9,"&lt;="&amp;$H866))))</f>
        <v/>
      </c>
      <c r="K866" s="48">
        <f>IF($G866=0,0,IF(INDEX(Employees!$I$5:$I$29,$A866)="Per pay period",(N(INDEX(Employees!$J$5:$J$29,$A866))+$J866)/Settings!$B$13,IF(INDEX(Employees!$I$5:$I$29,$A866)="Per hour worked",N(INDEX(Employees!$K$5:$K$29,$A866))*$I866,IF(INDEX(Employees!$I$5:$I$29,$A866)="Front-loaded",IF(OR($B866=1,N($G865)=0),N(INDEX(Employees!$J$5:$J$29,$A866))+$J866,0),0))))</f>
        <v/>
      </c>
      <c r="L866" s="48">
        <f>IF($F866=0,0,SUMIFS('Time Off Log'!$H$5:$H$504,'Time Off Log'!$A$5:$A$504,$C866,'Time Off Log'!$B$5:$B$504,"PTO",'Time Off Log'!$E$5:$E$504,"Approved",'Time Off Log'!$C$5:$C$504,"&gt;="&amp;INDEX(Periods!$E$5:$E$57,$B866),'Time Off Log'!$C$5:$C$504,"&lt;="&amp;INDEX(Periods!$F$5:$F$57,$B866)))</f>
        <v/>
      </c>
      <c r="M866" s="48">
        <f>IF($B866=1,N(INDEX(Employees!$N$5:$N$29,$A866)),P865)</f>
        <v/>
      </c>
      <c r="N866" s="48">
        <f>IF(INDEX(Employees!$L$5:$L$29,$A866)="",K866,MAX(0,MIN(K866,INDEX(Employees!$L$5:$L$29,$A866)-(M866-L866))))</f>
        <v/>
      </c>
      <c r="O866" s="48">
        <f>K866-N866</f>
        <v/>
      </c>
      <c r="P866" s="48">
        <f>M866-L866+N866</f>
        <v/>
      </c>
      <c r="Q866" s="48">
        <f>IF($G866=0,0,IF(INDEX(Employees!$P$5:$P$29,$A866)="Per pay period",(N(INDEX(Employees!$Q$5:$Q$29,$A866)))/Settings!$B$13,IF(INDEX(Employees!$P$5:$P$29,$A866)="Per hour worked",N(INDEX(Employees!$R$5:$R$29,$A866))*$I866,IF(INDEX(Employees!$P$5:$P$29,$A866)="Front-loaded",IF(OR($B866=1,N($G865)=0),N(INDEX(Employees!$Q$5:$Q$29,$A866)),0),0))))</f>
        <v/>
      </c>
      <c r="R866" s="48">
        <f>IF($F866=0,0,SUMIFS('Time Off Log'!$H$5:$H$504,'Time Off Log'!$A$5:$A$504,$C866,'Time Off Log'!$B$5:$B$504,"Sick",'Time Off Log'!$E$5:$E$504,"Approved",'Time Off Log'!$C$5:$C$504,"&gt;="&amp;INDEX(Periods!$E$5:$E$57,$B866),'Time Off Log'!$C$5:$C$504,"&lt;="&amp;INDEX(Periods!$F$5:$F$57,$B866)))</f>
        <v/>
      </c>
      <c r="S866" s="48">
        <f>IF($B866=1,N(INDEX(Employees!$T$5:$T$29,$A866)),V865)</f>
        <v/>
      </c>
      <c r="T866" s="48">
        <f>IF(INDEX(Employees!$S$5:$S$29,$A866)="",Q866,MAX(0,MIN(Q866,INDEX(Employees!$S$5:$S$29,$A866)-(S866-R866))))</f>
        <v/>
      </c>
      <c r="U866" s="48">
        <f>Q866-T866</f>
        <v/>
      </c>
      <c r="V866" s="48">
        <f>S866-R866+T866</f>
        <v/>
      </c>
    </row>
    <row r="867">
      <c r="A867" s="47" t="n">
        <v>17</v>
      </c>
      <c r="B867" s="47" t="n">
        <v>15</v>
      </c>
      <c r="C867" s="48">
        <f>INDEX(Employees!$B$5:$B$29,$A867)&amp;""</f>
        <v/>
      </c>
      <c r="D867" s="49">
        <f>INDEX(Periods!$B$5:$B$57,$B867)</f>
        <v/>
      </c>
      <c r="E867" s="49">
        <f>INDEX(Periods!$C$5:$C$57,$B867)</f>
        <v/>
      </c>
      <c r="F867" s="47">
        <f>IF(AND($C867&lt;&gt;"",INDEX(Periods!$D$5:$D$57,$B867)=1),1,0)</f>
        <v/>
      </c>
      <c r="G867" s="47">
        <f>IF($F867=0,0,IF(AND(OR(INDEX(Employees!$D$5:$D$29,$A867)="",$E867&gt;=INDEX(Employees!$D$5:$D$29,$A867)+N(INDEX(Employees!$U$5:$U$29,$A867))),OR(INDEX(Employees!$E$5:$E$29,$A867)="",$D867&lt;=INDEX(Employees!$E$5:$E$29,$A867))),1,0))</f>
        <v/>
      </c>
      <c r="H867" s="47">
        <f>IF($G867=0,0,IF(INDEX(Employees!$D$5:$D$29,$A867)="",0,DATEDIF(INDEX(Employees!$D$5:$D$29,$A867),$E867,"y")))</f>
        <v/>
      </c>
      <c r="I867" s="48">
        <f>IF($G867=0,0,IF(INDEX('Hours Worked'!$D$5:$BD$29,$A867,$B867)="",N(INDEX(Employees!$H$5:$H$29,$A867)),INDEX('Hours Worked'!$D$5:$BD$29,$A867,$B867)))</f>
        <v/>
      </c>
      <c r="J867" s="48">
        <f>IF(OR($G867=0,INDEX(Employees!$O$5:$O$29,$A867)&lt;&gt;"Yes"),0,IF(COUNTIF(Settings!$D$4:$D$9,"&lt;="&amp;$H867)=0,0,INDEX(Settings!$E$4:$E$9,COUNTIF(Settings!$D$4:$D$9,"&lt;="&amp;$H867))))</f>
        <v/>
      </c>
      <c r="K867" s="48">
        <f>IF($G867=0,0,IF(INDEX(Employees!$I$5:$I$29,$A867)="Per pay period",(N(INDEX(Employees!$J$5:$J$29,$A867))+$J867)/Settings!$B$13,IF(INDEX(Employees!$I$5:$I$29,$A867)="Per hour worked",N(INDEX(Employees!$K$5:$K$29,$A867))*$I867,IF(INDEX(Employees!$I$5:$I$29,$A867)="Front-loaded",IF(OR($B867=1,N($G866)=0),N(INDEX(Employees!$J$5:$J$29,$A867))+$J867,0),0))))</f>
        <v/>
      </c>
      <c r="L867" s="48">
        <f>IF($F867=0,0,SUMIFS('Time Off Log'!$H$5:$H$504,'Time Off Log'!$A$5:$A$504,$C867,'Time Off Log'!$B$5:$B$504,"PTO",'Time Off Log'!$E$5:$E$504,"Approved",'Time Off Log'!$C$5:$C$504,"&gt;="&amp;INDEX(Periods!$E$5:$E$57,$B867),'Time Off Log'!$C$5:$C$504,"&lt;="&amp;INDEX(Periods!$F$5:$F$57,$B867)))</f>
        <v/>
      </c>
      <c r="M867" s="48">
        <f>IF($B867=1,N(INDEX(Employees!$N$5:$N$29,$A867)),P866)</f>
        <v/>
      </c>
      <c r="N867" s="48">
        <f>IF(INDEX(Employees!$L$5:$L$29,$A867)="",K867,MAX(0,MIN(K867,INDEX(Employees!$L$5:$L$29,$A867)-(M867-L867))))</f>
        <v/>
      </c>
      <c r="O867" s="48">
        <f>K867-N867</f>
        <v/>
      </c>
      <c r="P867" s="48">
        <f>M867-L867+N867</f>
        <v/>
      </c>
      <c r="Q867" s="48">
        <f>IF($G867=0,0,IF(INDEX(Employees!$P$5:$P$29,$A867)="Per pay period",(N(INDEX(Employees!$Q$5:$Q$29,$A867)))/Settings!$B$13,IF(INDEX(Employees!$P$5:$P$29,$A867)="Per hour worked",N(INDEX(Employees!$R$5:$R$29,$A867))*$I867,IF(INDEX(Employees!$P$5:$P$29,$A867)="Front-loaded",IF(OR($B867=1,N($G866)=0),N(INDEX(Employees!$Q$5:$Q$29,$A867)),0),0))))</f>
        <v/>
      </c>
      <c r="R867" s="48">
        <f>IF($F867=0,0,SUMIFS('Time Off Log'!$H$5:$H$504,'Time Off Log'!$A$5:$A$504,$C867,'Time Off Log'!$B$5:$B$504,"Sick",'Time Off Log'!$E$5:$E$504,"Approved",'Time Off Log'!$C$5:$C$504,"&gt;="&amp;INDEX(Periods!$E$5:$E$57,$B867),'Time Off Log'!$C$5:$C$504,"&lt;="&amp;INDEX(Periods!$F$5:$F$57,$B867)))</f>
        <v/>
      </c>
      <c r="S867" s="48">
        <f>IF($B867=1,N(INDEX(Employees!$T$5:$T$29,$A867)),V866)</f>
        <v/>
      </c>
      <c r="T867" s="48">
        <f>IF(INDEX(Employees!$S$5:$S$29,$A867)="",Q867,MAX(0,MIN(Q867,INDEX(Employees!$S$5:$S$29,$A867)-(S867-R867))))</f>
        <v/>
      </c>
      <c r="U867" s="48">
        <f>Q867-T867</f>
        <v/>
      </c>
      <c r="V867" s="48">
        <f>S867-R867+T867</f>
        <v/>
      </c>
    </row>
    <row r="868">
      <c r="A868" s="47" t="n">
        <v>17</v>
      </c>
      <c r="B868" s="47" t="n">
        <v>16</v>
      </c>
      <c r="C868" s="48">
        <f>INDEX(Employees!$B$5:$B$29,$A868)&amp;""</f>
        <v/>
      </c>
      <c r="D868" s="49">
        <f>INDEX(Periods!$B$5:$B$57,$B868)</f>
        <v/>
      </c>
      <c r="E868" s="49">
        <f>INDEX(Periods!$C$5:$C$57,$B868)</f>
        <v/>
      </c>
      <c r="F868" s="47">
        <f>IF(AND($C868&lt;&gt;"",INDEX(Periods!$D$5:$D$57,$B868)=1),1,0)</f>
        <v/>
      </c>
      <c r="G868" s="47">
        <f>IF($F868=0,0,IF(AND(OR(INDEX(Employees!$D$5:$D$29,$A868)="",$E868&gt;=INDEX(Employees!$D$5:$D$29,$A868)+N(INDEX(Employees!$U$5:$U$29,$A868))),OR(INDEX(Employees!$E$5:$E$29,$A868)="",$D868&lt;=INDEX(Employees!$E$5:$E$29,$A868))),1,0))</f>
        <v/>
      </c>
      <c r="H868" s="47">
        <f>IF($G868=0,0,IF(INDEX(Employees!$D$5:$D$29,$A868)="",0,DATEDIF(INDEX(Employees!$D$5:$D$29,$A868),$E868,"y")))</f>
        <v/>
      </c>
      <c r="I868" s="48">
        <f>IF($G868=0,0,IF(INDEX('Hours Worked'!$D$5:$BD$29,$A868,$B868)="",N(INDEX(Employees!$H$5:$H$29,$A868)),INDEX('Hours Worked'!$D$5:$BD$29,$A868,$B868)))</f>
        <v/>
      </c>
      <c r="J868" s="48">
        <f>IF(OR($G868=0,INDEX(Employees!$O$5:$O$29,$A868)&lt;&gt;"Yes"),0,IF(COUNTIF(Settings!$D$4:$D$9,"&lt;="&amp;$H868)=0,0,INDEX(Settings!$E$4:$E$9,COUNTIF(Settings!$D$4:$D$9,"&lt;="&amp;$H868))))</f>
        <v/>
      </c>
      <c r="K868" s="48">
        <f>IF($G868=0,0,IF(INDEX(Employees!$I$5:$I$29,$A868)="Per pay period",(N(INDEX(Employees!$J$5:$J$29,$A868))+$J868)/Settings!$B$13,IF(INDEX(Employees!$I$5:$I$29,$A868)="Per hour worked",N(INDEX(Employees!$K$5:$K$29,$A868))*$I868,IF(INDEX(Employees!$I$5:$I$29,$A868)="Front-loaded",IF(OR($B868=1,N($G867)=0),N(INDEX(Employees!$J$5:$J$29,$A868))+$J868,0),0))))</f>
        <v/>
      </c>
      <c r="L868" s="48">
        <f>IF($F868=0,0,SUMIFS('Time Off Log'!$H$5:$H$504,'Time Off Log'!$A$5:$A$504,$C868,'Time Off Log'!$B$5:$B$504,"PTO",'Time Off Log'!$E$5:$E$504,"Approved",'Time Off Log'!$C$5:$C$504,"&gt;="&amp;INDEX(Periods!$E$5:$E$57,$B868),'Time Off Log'!$C$5:$C$504,"&lt;="&amp;INDEX(Periods!$F$5:$F$57,$B868)))</f>
        <v/>
      </c>
      <c r="M868" s="48">
        <f>IF($B868=1,N(INDEX(Employees!$N$5:$N$29,$A868)),P867)</f>
        <v/>
      </c>
      <c r="N868" s="48">
        <f>IF(INDEX(Employees!$L$5:$L$29,$A868)="",K868,MAX(0,MIN(K868,INDEX(Employees!$L$5:$L$29,$A868)-(M868-L868))))</f>
        <v/>
      </c>
      <c r="O868" s="48">
        <f>K868-N868</f>
        <v/>
      </c>
      <c r="P868" s="48">
        <f>M868-L868+N868</f>
        <v/>
      </c>
      <c r="Q868" s="48">
        <f>IF($G868=0,0,IF(INDEX(Employees!$P$5:$P$29,$A868)="Per pay period",(N(INDEX(Employees!$Q$5:$Q$29,$A868)))/Settings!$B$13,IF(INDEX(Employees!$P$5:$P$29,$A868)="Per hour worked",N(INDEX(Employees!$R$5:$R$29,$A868))*$I868,IF(INDEX(Employees!$P$5:$P$29,$A868)="Front-loaded",IF(OR($B868=1,N($G867)=0),N(INDEX(Employees!$Q$5:$Q$29,$A868)),0),0))))</f>
        <v/>
      </c>
      <c r="R868" s="48">
        <f>IF($F868=0,0,SUMIFS('Time Off Log'!$H$5:$H$504,'Time Off Log'!$A$5:$A$504,$C868,'Time Off Log'!$B$5:$B$504,"Sick",'Time Off Log'!$E$5:$E$504,"Approved",'Time Off Log'!$C$5:$C$504,"&gt;="&amp;INDEX(Periods!$E$5:$E$57,$B868),'Time Off Log'!$C$5:$C$504,"&lt;="&amp;INDEX(Periods!$F$5:$F$57,$B868)))</f>
        <v/>
      </c>
      <c r="S868" s="48">
        <f>IF($B868=1,N(INDEX(Employees!$T$5:$T$29,$A868)),V867)</f>
        <v/>
      </c>
      <c r="T868" s="48">
        <f>IF(INDEX(Employees!$S$5:$S$29,$A868)="",Q868,MAX(0,MIN(Q868,INDEX(Employees!$S$5:$S$29,$A868)-(S868-R868))))</f>
        <v/>
      </c>
      <c r="U868" s="48">
        <f>Q868-T868</f>
        <v/>
      </c>
      <c r="V868" s="48">
        <f>S868-R868+T868</f>
        <v/>
      </c>
    </row>
    <row r="869">
      <c r="A869" s="47" t="n">
        <v>17</v>
      </c>
      <c r="B869" s="47" t="n">
        <v>17</v>
      </c>
      <c r="C869" s="48">
        <f>INDEX(Employees!$B$5:$B$29,$A869)&amp;""</f>
        <v/>
      </c>
      <c r="D869" s="49">
        <f>INDEX(Periods!$B$5:$B$57,$B869)</f>
        <v/>
      </c>
      <c r="E869" s="49">
        <f>INDEX(Periods!$C$5:$C$57,$B869)</f>
        <v/>
      </c>
      <c r="F869" s="47">
        <f>IF(AND($C869&lt;&gt;"",INDEX(Periods!$D$5:$D$57,$B869)=1),1,0)</f>
        <v/>
      </c>
      <c r="G869" s="47">
        <f>IF($F869=0,0,IF(AND(OR(INDEX(Employees!$D$5:$D$29,$A869)="",$E869&gt;=INDEX(Employees!$D$5:$D$29,$A869)+N(INDEX(Employees!$U$5:$U$29,$A869))),OR(INDEX(Employees!$E$5:$E$29,$A869)="",$D869&lt;=INDEX(Employees!$E$5:$E$29,$A869))),1,0))</f>
        <v/>
      </c>
      <c r="H869" s="47">
        <f>IF($G869=0,0,IF(INDEX(Employees!$D$5:$D$29,$A869)="",0,DATEDIF(INDEX(Employees!$D$5:$D$29,$A869),$E869,"y")))</f>
        <v/>
      </c>
      <c r="I869" s="48">
        <f>IF($G869=0,0,IF(INDEX('Hours Worked'!$D$5:$BD$29,$A869,$B869)="",N(INDEX(Employees!$H$5:$H$29,$A869)),INDEX('Hours Worked'!$D$5:$BD$29,$A869,$B869)))</f>
        <v/>
      </c>
      <c r="J869" s="48">
        <f>IF(OR($G869=0,INDEX(Employees!$O$5:$O$29,$A869)&lt;&gt;"Yes"),0,IF(COUNTIF(Settings!$D$4:$D$9,"&lt;="&amp;$H869)=0,0,INDEX(Settings!$E$4:$E$9,COUNTIF(Settings!$D$4:$D$9,"&lt;="&amp;$H869))))</f>
        <v/>
      </c>
      <c r="K869" s="48">
        <f>IF($G869=0,0,IF(INDEX(Employees!$I$5:$I$29,$A869)="Per pay period",(N(INDEX(Employees!$J$5:$J$29,$A869))+$J869)/Settings!$B$13,IF(INDEX(Employees!$I$5:$I$29,$A869)="Per hour worked",N(INDEX(Employees!$K$5:$K$29,$A869))*$I869,IF(INDEX(Employees!$I$5:$I$29,$A869)="Front-loaded",IF(OR($B869=1,N($G868)=0),N(INDEX(Employees!$J$5:$J$29,$A869))+$J869,0),0))))</f>
        <v/>
      </c>
      <c r="L869" s="48">
        <f>IF($F869=0,0,SUMIFS('Time Off Log'!$H$5:$H$504,'Time Off Log'!$A$5:$A$504,$C869,'Time Off Log'!$B$5:$B$504,"PTO",'Time Off Log'!$E$5:$E$504,"Approved",'Time Off Log'!$C$5:$C$504,"&gt;="&amp;INDEX(Periods!$E$5:$E$57,$B869),'Time Off Log'!$C$5:$C$504,"&lt;="&amp;INDEX(Periods!$F$5:$F$57,$B869)))</f>
        <v/>
      </c>
      <c r="M869" s="48">
        <f>IF($B869=1,N(INDEX(Employees!$N$5:$N$29,$A869)),P868)</f>
        <v/>
      </c>
      <c r="N869" s="48">
        <f>IF(INDEX(Employees!$L$5:$L$29,$A869)="",K869,MAX(0,MIN(K869,INDEX(Employees!$L$5:$L$29,$A869)-(M869-L869))))</f>
        <v/>
      </c>
      <c r="O869" s="48">
        <f>K869-N869</f>
        <v/>
      </c>
      <c r="P869" s="48">
        <f>M869-L869+N869</f>
        <v/>
      </c>
      <c r="Q869" s="48">
        <f>IF($G869=0,0,IF(INDEX(Employees!$P$5:$P$29,$A869)="Per pay period",(N(INDEX(Employees!$Q$5:$Q$29,$A869)))/Settings!$B$13,IF(INDEX(Employees!$P$5:$P$29,$A869)="Per hour worked",N(INDEX(Employees!$R$5:$R$29,$A869))*$I869,IF(INDEX(Employees!$P$5:$P$29,$A869)="Front-loaded",IF(OR($B869=1,N($G868)=0),N(INDEX(Employees!$Q$5:$Q$29,$A869)),0),0))))</f>
        <v/>
      </c>
      <c r="R869" s="48">
        <f>IF($F869=0,0,SUMIFS('Time Off Log'!$H$5:$H$504,'Time Off Log'!$A$5:$A$504,$C869,'Time Off Log'!$B$5:$B$504,"Sick",'Time Off Log'!$E$5:$E$504,"Approved",'Time Off Log'!$C$5:$C$504,"&gt;="&amp;INDEX(Periods!$E$5:$E$57,$B869),'Time Off Log'!$C$5:$C$504,"&lt;="&amp;INDEX(Periods!$F$5:$F$57,$B869)))</f>
        <v/>
      </c>
      <c r="S869" s="48">
        <f>IF($B869=1,N(INDEX(Employees!$T$5:$T$29,$A869)),V868)</f>
        <v/>
      </c>
      <c r="T869" s="48">
        <f>IF(INDEX(Employees!$S$5:$S$29,$A869)="",Q869,MAX(0,MIN(Q869,INDEX(Employees!$S$5:$S$29,$A869)-(S869-R869))))</f>
        <v/>
      </c>
      <c r="U869" s="48">
        <f>Q869-T869</f>
        <v/>
      </c>
      <c r="V869" s="48">
        <f>S869-R869+T869</f>
        <v/>
      </c>
    </row>
    <row r="870">
      <c r="A870" s="47" t="n">
        <v>17</v>
      </c>
      <c r="B870" s="47" t="n">
        <v>18</v>
      </c>
      <c r="C870" s="48">
        <f>INDEX(Employees!$B$5:$B$29,$A870)&amp;""</f>
        <v/>
      </c>
      <c r="D870" s="49">
        <f>INDEX(Periods!$B$5:$B$57,$B870)</f>
        <v/>
      </c>
      <c r="E870" s="49">
        <f>INDEX(Periods!$C$5:$C$57,$B870)</f>
        <v/>
      </c>
      <c r="F870" s="47">
        <f>IF(AND($C870&lt;&gt;"",INDEX(Periods!$D$5:$D$57,$B870)=1),1,0)</f>
        <v/>
      </c>
      <c r="G870" s="47">
        <f>IF($F870=0,0,IF(AND(OR(INDEX(Employees!$D$5:$D$29,$A870)="",$E870&gt;=INDEX(Employees!$D$5:$D$29,$A870)+N(INDEX(Employees!$U$5:$U$29,$A870))),OR(INDEX(Employees!$E$5:$E$29,$A870)="",$D870&lt;=INDEX(Employees!$E$5:$E$29,$A870))),1,0))</f>
        <v/>
      </c>
      <c r="H870" s="47">
        <f>IF($G870=0,0,IF(INDEX(Employees!$D$5:$D$29,$A870)="",0,DATEDIF(INDEX(Employees!$D$5:$D$29,$A870),$E870,"y")))</f>
        <v/>
      </c>
      <c r="I870" s="48">
        <f>IF($G870=0,0,IF(INDEX('Hours Worked'!$D$5:$BD$29,$A870,$B870)="",N(INDEX(Employees!$H$5:$H$29,$A870)),INDEX('Hours Worked'!$D$5:$BD$29,$A870,$B870)))</f>
        <v/>
      </c>
      <c r="J870" s="48">
        <f>IF(OR($G870=0,INDEX(Employees!$O$5:$O$29,$A870)&lt;&gt;"Yes"),0,IF(COUNTIF(Settings!$D$4:$D$9,"&lt;="&amp;$H870)=0,0,INDEX(Settings!$E$4:$E$9,COUNTIF(Settings!$D$4:$D$9,"&lt;="&amp;$H870))))</f>
        <v/>
      </c>
      <c r="K870" s="48">
        <f>IF($G870=0,0,IF(INDEX(Employees!$I$5:$I$29,$A870)="Per pay period",(N(INDEX(Employees!$J$5:$J$29,$A870))+$J870)/Settings!$B$13,IF(INDEX(Employees!$I$5:$I$29,$A870)="Per hour worked",N(INDEX(Employees!$K$5:$K$29,$A870))*$I870,IF(INDEX(Employees!$I$5:$I$29,$A870)="Front-loaded",IF(OR($B870=1,N($G869)=0),N(INDEX(Employees!$J$5:$J$29,$A870))+$J870,0),0))))</f>
        <v/>
      </c>
      <c r="L870" s="48">
        <f>IF($F870=0,0,SUMIFS('Time Off Log'!$H$5:$H$504,'Time Off Log'!$A$5:$A$504,$C870,'Time Off Log'!$B$5:$B$504,"PTO",'Time Off Log'!$E$5:$E$504,"Approved",'Time Off Log'!$C$5:$C$504,"&gt;="&amp;INDEX(Periods!$E$5:$E$57,$B870),'Time Off Log'!$C$5:$C$504,"&lt;="&amp;INDEX(Periods!$F$5:$F$57,$B870)))</f>
        <v/>
      </c>
      <c r="M870" s="48">
        <f>IF($B870=1,N(INDEX(Employees!$N$5:$N$29,$A870)),P869)</f>
        <v/>
      </c>
      <c r="N870" s="48">
        <f>IF(INDEX(Employees!$L$5:$L$29,$A870)="",K870,MAX(0,MIN(K870,INDEX(Employees!$L$5:$L$29,$A870)-(M870-L870))))</f>
        <v/>
      </c>
      <c r="O870" s="48">
        <f>K870-N870</f>
        <v/>
      </c>
      <c r="P870" s="48">
        <f>M870-L870+N870</f>
        <v/>
      </c>
      <c r="Q870" s="48">
        <f>IF($G870=0,0,IF(INDEX(Employees!$P$5:$P$29,$A870)="Per pay period",(N(INDEX(Employees!$Q$5:$Q$29,$A870)))/Settings!$B$13,IF(INDEX(Employees!$P$5:$P$29,$A870)="Per hour worked",N(INDEX(Employees!$R$5:$R$29,$A870))*$I870,IF(INDEX(Employees!$P$5:$P$29,$A870)="Front-loaded",IF(OR($B870=1,N($G869)=0),N(INDEX(Employees!$Q$5:$Q$29,$A870)),0),0))))</f>
        <v/>
      </c>
      <c r="R870" s="48">
        <f>IF($F870=0,0,SUMIFS('Time Off Log'!$H$5:$H$504,'Time Off Log'!$A$5:$A$504,$C870,'Time Off Log'!$B$5:$B$504,"Sick",'Time Off Log'!$E$5:$E$504,"Approved",'Time Off Log'!$C$5:$C$504,"&gt;="&amp;INDEX(Periods!$E$5:$E$57,$B870),'Time Off Log'!$C$5:$C$504,"&lt;="&amp;INDEX(Periods!$F$5:$F$57,$B870)))</f>
        <v/>
      </c>
      <c r="S870" s="48">
        <f>IF($B870=1,N(INDEX(Employees!$T$5:$T$29,$A870)),V869)</f>
        <v/>
      </c>
      <c r="T870" s="48">
        <f>IF(INDEX(Employees!$S$5:$S$29,$A870)="",Q870,MAX(0,MIN(Q870,INDEX(Employees!$S$5:$S$29,$A870)-(S870-R870))))</f>
        <v/>
      </c>
      <c r="U870" s="48">
        <f>Q870-T870</f>
        <v/>
      </c>
      <c r="V870" s="48">
        <f>S870-R870+T870</f>
        <v/>
      </c>
    </row>
    <row r="871">
      <c r="A871" s="47" t="n">
        <v>17</v>
      </c>
      <c r="B871" s="47" t="n">
        <v>19</v>
      </c>
      <c r="C871" s="48">
        <f>INDEX(Employees!$B$5:$B$29,$A871)&amp;""</f>
        <v/>
      </c>
      <c r="D871" s="49">
        <f>INDEX(Periods!$B$5:$B$57,$B871)</f>
        <v/>
      </c>
      <c r="E871" s="49">
        <f>INDEX(Periods!$C$5:$C$57,$B871)</f>
        <v/>
      </c>
      <c r="F871" s="47">
        <f>IF(AND($C871&lt;&gt;"",INDEX(Periods!$D$5:$D$57,$B871)=1),1,0)</f>
        <v/>
      </c>
      <c r="G871" s="47">
        <f>IF($F871=0,0,IF(AND(OR(INDEX(Employees!$D$5:$D$29,$A871)="",$E871&gt;=INDEX(Employees!$D$5:$D$29,$A871)+N(INDEX(Employees!$U$5:$U$29,$A871))),OR(INDEX(Employees!$E$5:$E$29,$A871)="",$D871&lt;=INDEX(Employees!$E$5:$E$29,$A871))),1,0))</f>
        <v/>
      </c>
      <c r="H871" s="47">
        <f>IF($G871=0,0,IF(INDEX(Employees!$D$5:$D$29,$A871)="",0,DATEDIF(INDEX(Employees!$D$5:$D$29,$A871),$E871,"y")))</f>
        <v/>
      </c>
      <c r="I871" s="48">
        <f>IF($G871=0,0,IF(INDEX('Hours Worked'!$D$5:$BD$29,$A871,$B871)="",N(INDEX(Employees!$H$5:$H$29,$A871)),INDEX('Hours Worked'!$D$5:$BD$29,$A871,$B871)))</f>
        <v/>
      </c>
      <c r="J871" s="48">
        <f>IF(OR($G871=0,INDEX(Employees!$O$5:$O$29,$A871)&lt;&gt;"Yes"),0,IF(COUNTIF(Settings!$D$4:$D$9,"&lt;="&amp;$H871)=0,0,INDEX(Settings!$E$4:$E$9,COUNTIF(Settings!$D$4:$D$9,"&lt;="&amp;$H871))))</f>
        <v/>
      </c>
      <c r="K871" s="48">
        <f>IF($G871=0,0,IF(INDEX(Employees!$I$5:$I$29,$A871)="Per pay period",(N(INDEX(Employees!$J$5:$J$29,$A871))+$J871)/Settings!$B$13,IF(INDEX(Employees!$I$5:$I$29,$A871)="Per hour worked",N(INDEX(Employees!$K$5:$K$29,$A871))*$I871,IF(INDEX(Employees!$I$5:$I$29,$A871)="Front-loaded",IF(OR($B871=1,N($G870)=0),N(INDEX(Employees!$J$5:$J$29,$A871))+$J871,0),0))))</f>
        <v/>
      </c>
      <c r="L871" s="48">
        <f>IF($F871=0,0,SUMIFS('Time Off Log'!$H$5:$H$504,'Time Off Log'!$A$5:$A$504,$C871,'Time Off Log'!$B$5:$B$504,"PTO",'Time Off Log'!$E$5:$E$504,"Approved",'Time Off Log'!$C$5:$C$504,"&gt;="&amp;INDEX(Periods!$E$5:$E$57,$B871),'Time Off Log'!$C$5:$C$504,"&lt;="&amp;INDEX(Periods!$F$5:$F$57,$B871)))</f>
        <v/>
      </c>
      <c r="M871" s="48">
        <f>IF($B871=1,N(INDEX(Employees!$N$5:$N$29,$A871)),P870)</f>
        <v/>
      </c>
      <c r="N871" s="48">
        <f>IF(INDEX(Employees!$L$5:$L$29,$A871)="",K871,MAX(0,MIN(K871,INDEX(Employees!$L$5:$L$29,$A871)-(M871-L871))))</f>
        <v/>
      </c>
      <c r="O871" s="48">
        <f>K871-N871</f>
        <v/>
      </c>
      <c r="P871" s="48">
        <f>M871-L871+N871</f>
        <v/>
      </c>
      <c r="Q871" s="48">
        <f>IF($G871=0,0,IF(INDEX(Employees!$P$5:$P$29,$A871)="Per pay period",(N(INDEX(Employees!$Q$5:$Q$29,$A871)))/Settings!$B$13,IF(INDEX(Employees!$P$5:$P$29,$A871)="Per hour worked",N(INDEX(Employees!$R$5:$R$29,$A871))*$I871,IF(INDEX(Employees!$P$5:$P$29,$A871)="Front-loaded",IF(OR($B871=1,N($G870)=0),N(INDEX(Employees!$Q$5:$Q$29,$A871)),0),0))))</f>
        <v/>
      </c>
      <c r="R871" s="48">
        <f>IF($F871=0,0,SUMIFS('Time Off Log'!$H$5:$H$504,'Time Off Log'!$A$5:$A$504,$C871,'Time Off Log'!$B$5:$B$504,"Sick",'Time Off Log'!$E$5:$E$504,"Approved",'Time Off Log'!$C$5:$C$504,"&gt;="&amp;INDEX(Periods!$E$5:$E$57,$B871),'Time Off Log'!$C$5:$C$504,"&lt;="&amp;INDEX(Periods!$F$5:$F$57,$B871)))</f>
        <v/>
      </c>
      <c r="S871" s="48">
        <f>IF($B871=1,N(INDEX(Employees!$T$5:$T$29,$A871)),V870)</f>
        <v/>
      </c>
      <c r="T871" s="48">
        <f>IF(INDEX(Employees!$S$5:$S$29,$A871)="",Q871,MAX(0,MIN(Q871,INDEX(Employees!$S$5:$S$29,$A871)-(S871-R871))))</f>
        <v/>
      </c>
      <c r="U871" s="48">
        <f>Q871-T871</f>
        <v/>
      </c>
      <c r="V871" s="48">
        <f>S871-R871+T871</f>
        <v/>
      </c>
    </row>
    <row r="872">
      <c r="A872" s="47" t="n">
        <v>17</v>
      </c>
      <c r="B872" s="47" t="n">
        <v>20</v>
      </c>
      <c r="C872" s="48">
        <f>INDEX(Employees!$B$5:$B$29,$A872)&amp;""</f>
        <v/>
      </c>
      <c r="D872" s="49">
        <f>INDEX(Periods!$B$5:$B$57,$B872)</f>
        <v/>
      </c>
      <c r="E872" s="49">
        <f>INDEX(Periods!$C$5:$C$57,$B872)</f>
        <v/>
      </c>
      <c r="F872" s="47">
        <f>IF(AND($C872&lt;&gt;"",INDEX(Periods!$D$5:$D$57,$B872)=1),1,0)</f>
        <v/>
      </c>
      <c r="G872" s="47">
        <f>IF($F872=0,0,IF(AND(OR(INDEX(Employees!$D$5:$D$29,$A872)="",$E872&gt;=INDEX(Employees!$D$5:$D$29,$A872)+N(INDEX(Employees!$U$5:$U$29,$A872))),OR(INDEX(Employees!$E$5:$E$29,$A872)="",$D872&lt;=INDEX(Employees!$E$5:$E$29,$A872))),1,0))</f>
        <v/>
      </c>
      <c r="H872" s="47">
        <f>IF($G872=0,0,IF(INDEX(Employees!$D$5:$D$29,$A872)="",0,DATEDIF(INDEX(Employees!$D$5:$D$29,$A872),$E872,"y")))</f>
        <v/>
      </c>
      <c r="I872" s="48">
        <f>IF($G872=0,0,IF(INDEX('Hours Worked'!$D$5:$BD$29,$A872,$B872)="",N(INDEX(Employees!$H$5:$H$29,$A872)),INDEX('Hours Worked'!$D$5:$BD$29,$A872,$B872)))</f>
        <v/>
      </c>
      <c r="J872" s="48">
        <f>IF(OR($G872=0,INDEX(Employees!$O$5:$O$29,$A872)&lt;&gt;"Yes"),0,IF(COUNTIF(Settings!$D$4:$D$9,"&lt;="&amp;$H872)=0,0,INDEX(Settings!$E$4:$E$9,COUNTIF(Settings!$D$4:$D$9,"&lt;="&amp;$H872))))</f>
        <v/>
      </c>
      <c r="K872" s="48">
        <f>IF($G872=0,0,IF(INDEX(Employees!$I$5:$I$29,$A872)="Per pay period",(N(INDEX(Employees!$J$5:$J$29,$A872))+$J872)/Settings!$B$13,IF(INDEX(Employees!$I$5:$I$29,$A872)="Per hour worked",N(INDEX(Employees!$K$5:$K$29,$A872))*$I872,IF(INDEX(Employees!$I$5:$I$29,$A872)="Front-loaded",IF(OR($B872=1,N($G871)=0),N(INDEX(Employees!$J$5:$J$29,$A872))+$J872,0),0))))</f>
        <v/>
      </c>
      <c r="L872" s="48">
        <f>IF($F872=0,0,SUMIFS('Time Off Log'!$H$5:$H$504,'Time Off Log'!$A$5:$A$504,$C872,'Time Off Log'!$B$5:$B$504,"PTO",'Time Off Log'!$E$5:$E$504,"Approved",'Time Off Log'!$C$5:$C$504,"&gt;="&amp;INDEX(Periods!$E$5:$E$57,$B872),'Time Off Log'!$C$5:$C$504,"&lt;="&amp;INDEX(Periods!$F$5:$F$57,$B872)))</f>
        <v/>
      </c>
      <c r="M872" s="48">
        <f>IF($B872=1,N(INDEX(Employees!$N$5:$N$29,$A872)),P871)</f>
        <v/>
      </c>
      <c r="N872" s="48">
        <f>IF(INDEX(Employees!$L$5:$L$29,$A872)="",K872,MAX(0,MIN(K872,INDEX(Employees!$L$5:$L$29,$A872)-(M872-L872))))</f>
        <v/>
      </c>
      <c r="O872" s="48">
        <f>K872-N872</f>
        <v/>
      </c>
      <c r="P872" s="48">
        <f>M872-L872+N872</f>
        <v/>
      </c>
      <c r="Q872" s="48">
        <f>IF($G872=0,0,IF(INDEX(Employees!$P$5:$P$29,$A872)="Per pay period",(N(INDEX(Employees!$Q$5:$Q$29,$A872)))/Settings!$B$13,IF(INDEX(Employees!$P$5:$P$29,$A872)="Per hour worked",N(INDEX(Employees!$R$5:$R$29,$A872))*$I872,IF(INDEX(Employees!$P$5:$P$29,$A872)="Front-loaded",IF(OR($B872=1,N($G871)=0),N(INDEX(Employees!$Q$5:$Q$29,$A872)),0),0))))</f>
        <v/>
      </c>
      <c r="R872" s="48">
        <f>IF($F872=0,0,SUMIFS('Time Off Log'!$H$5:$H$504,'Time Off Log'!$A$5:$A$504,$C872,'Time Off Log'!$B$5:$B$504,"Sick",'Time Off Log'!$E$5:$E$504,"Approved",'Time Off Log'!$C$5:$C$504,"&gt;="&amp;INDEX(Periods!$E$5:$E$57,$B872),'Time Off Log'!$C$5:$C$504,"&lt;="&amp;INDEX(Periods!$F$5:$F$57,$B872)))</f>
        <v/>
      </c>
      <c r="S872" s="48">
        <f>IF($B872=1,N(INDEX(Employees!$T$5:$T$29,$A872)),V871)</f>
        <v/>
      </c>
      <c r="T872" s="48">
        <f>IF(INDEX(Employees!$S$5:$S$29,$A872)="",Q872,MAX(0,MIN(Q872,INDEX(Employees!$S$5:$S$29,$A872)-(S872-R872))))</f>
        <v/>
      </c>
      <c r="U872" s="48">
        <f>Q872-T872</f>
        <v/>
      </c>
      <c r="V872" s="48">
        <f>S872-R872+T872</f>
        <v/>
      </c>
    </row>
    <row r="873">
      <c r="A873" s="47" t="n">
        <v>17</v>
      </c>
      <c r="B873" s="47" t="n">
        <v>21</v>
      </c>
      <c r="C873" s="48">
        <f>INDEX(Employees!$B$5:$B$29,$A873)&amp;""</f>
        <v/>
      </c>
      <c r="D873" s="49">
        <f>INDEX(Periods!$B$5:$B$57,$B873)</f>
        <v/>
      </c>
      <c r="E873" s="49">
        <f>INDEX(Periods!$C$5:$C$57,$B873)</f>
        <v/>
      </c>
      <c r="F873" s="47">
        <f>IF(AND($C873&lt;&gt;"",INDEX(Periods!$D$5:$D$57,$B873)=1),1,0)</f>
        <v/>
      </c>
      <c r="G873" s="47">
        <f>IF($F873=0,0,IF(AND(OR(INDEX(Employees!$D$5:$D$29,$A873)="",$E873&gt;=INDEX(Employees!$D$5:$D$29,$A873)+N(INDEX(Employees!$U$5:$U$29,$A873))),OR(INDEX(Employees!$E$5:$E$29,$A873)="",$D873&lt;=INDEX(Employees!$E$5:$E$29,$A873))),1,0))</f>
        <v/>
      </c>
      <c r="H873" s="47">
        <f>IF($G873=0,0,IF(INDEX(Employees!$D$5:$D$29,$A873)="",0,DATEDIF(INDEX(Employees!$D$5:$D$29,$A873),$E873,"y")))</f>
        <v/>
      </c>
      <c r="I873" s="48">
        <f>IF($G873=0,0,IF(INDEX('Hours Worked'!$D$5:$BD$29,$A873,$B873)="",N(INDEX(Employees!$H$5:$H$29,$A873)),INDEX('Hours Worked'!$D$5:$BD$29,$A873,$B873)))</f>
        <v/>
      </c>
      <c r="J873" s="48">
        <f>IF(OR($G873=0,INDEX(Employees!$O$5:$O$29,$A873)&lt;&gt;"Yes"),0,IF(COUNTIF(Settings!$D$4:$D$9,"&lt;="&amp;$H873)=0,0,INDEX(Settings!$E$4:$E$9,COUNTIF(Settings!$D$4:$D$9,"&lt;="&amp;$H873))))</f>
        <v/>
      </c>
      <c r="K873" s="48">
        <f>IF($G873=0,0,IF(INDEX(Employees!$I$5:$I$29,$A873)="Per pay period",(N(INDEX(Employees!$J$5:$J$29,$A873))+$J873)/Settings!$B$13,IF(INDEX(Employees!$I$5:$I$29,$A873)="Per hour worked",N(INDEX(Employees!$K$5:$K$29,$A873))*$I873,IF(INDEX(Employees!$I$5:$I$29,$A873)="Front-loaded",IF(OR($B873=1,N($G872)=0),N(INDEX(Employees!$J$5:$J$29,$A873))+$J873,0),0))))</f>
        <v/>
      </c>
      <c r="L873" s="48">
        <f>IF($F873=0,0,SUMIFS('Time Off Log'!$H$5:$H$504,'Time Off Log'!$A$5:$A$504,$C873,'Time Off Log'!$B$5:$B$504,"PTO",'Time Off Log'!$E$5:$E$504,"Approved",'Time Off Log'!$C$5:$C$504,"&gt;="&amp;INDEX(Periods!$E$5:$E$57,$B873),'Time Off Log'!$C$5:$C$504,"&lt;="&amp;INDEX(Periods!$F$5:$F$57,$B873)))</f>
        <v/>
      </c>
      <c r="M873" s="48">
        <f>IF($B873=1,N(INDEX(Employees!$N$5:$N$29,$A873)),P872)</f>
        <v/>
      </c>
      <c r="N873" s="48">
        <f>IF(INDEX(Employees!$L$5:$L$29,$A873)="",K873,MAX(0,MIN(K873,INDEX(Employees!$L$5:$L$29,$A873)-(M873-L873))))</f>
        <v/>
      </c>
      <c r="O873" s="48">
        <f>K873-N873</f>
        <v/>
      </c>
      <c r="P873" s="48">
        <f>M873-L873+N873</f>
        <v/>
      </c>
      <c r="Q873" s="48">
        <f>IF($G873=0,0,IF(INDEX(Employees!$P$5:$P$29,$A873)="Per pay period",(N(INDEX(Employees!$Q$5:$Q$29,$A873)))/Settings!$B$13,IF(INDEX(Employees!$P$5:$P$29,$A873)="Per hour worked",N(INDEX(Employees!$R$5:$R$29,$A873))*$I873,IF(INDEX(Employees!$P$5:$P$29,$A873)="Front-loaded",IF(OR($B873=1,N($G872)=0),N(INDEX(Employees!$Q$5:$Q$29,$A873)),0),0))))</f>
        <v/>
      </c>
      <c r="R873" s="48">
        <f>IF($F873=0,0,SUMIFS('Time Off Log'!$H$5:$H$504,'Time Off Log'!$A$5:$A$504,$C873,'Time Off Log'!$B$5:$B$504,"Sick",'Time Off Log'!$E$5:$E$504,"Approved",'Time Off Log'!$C$5:$C$504,"&gt;="&amp;INDEX(Periods!$E$5:$E$57,$B873),'Time Off Log'!$C$5:$C$504,"&lt;="&amp;INDEX(Periods!$F$5:$F$57,$B873)))</f>
        <v/>
      </c>
      <c r="S873" s="48">
        <f>IF($B873=1,N(INDEX(Employees!$T$5:$T$29,$A873)),V872)</f>
        <v/>
      </c>
      <c r="T873" s="48">
        <f>IF(INDEX(Employees!$S$5:$S$29,$A873)="",Q873,MAX(0,MIN(Q873,INDEX(Employees!$S$5:$S$29,$A873)-(S873-R873))))</f>
        <v/>
      </c>
      <c r="U873" s="48">
        <f>Q873-T873</f>
        <v/>
      </c>
      <c r="V873" s="48">
        <f>S873-R873+T873</f>
        <v/>
      </c>
    </row>
    <row r="874">
      <c r="A874" s="47" t="n">
        <v>17</v>
      </c>
      <c r="B874" s="47" t="n">
        <v>22</v>
      </c>
      <c r="C874" s="48">
        <f>INDEX(Employees!$B$5:$B$29,$A874)&amp;""</f>
        <v/>
      </c>
      <c r="D874" s="49">
        <f>INDEX(Periods!$B$5:$B$57,$B874)</f>
        <v/>
      </c>
      <c r="E874" s="49">
        <f>INDEX(Periods!$C$5:$C$57,$B874)</f>
        <v/>
      </c>
      <c r="F874" s="47">
        <f>IF(AND($C874&lt;&gt;"",INDEX(Periods!$D$5:$D$57,$B874)=1),1,0)</f>
        <v/>
      </c>
      <c r="G874" s="47">
        <f>IF($F874=0,0,IF(AND(OR(INDEX(Employees!$D$5:$D$29,$A874)="",$E874&gt;=INDEX(Employees!$D$5:$D$29,$A874)+N(INDEX(Employees!$U$5:$U$29,$A874))),OR(INDEX(Employees!$E$5:$E$29,$A874)="",$D874&lt;=INDEX(Employees!$E$5:$E$29,$A874))),1,0))</f>
        <v/>
      </c>
      <c r="H874" s="47">
        <f>IF($G874=0,0,IF(INDEX(Employees!$D$5:$D$29,$A874)="",0,DATEDIF(INDEX(Employees!$D$5:$D$29,$A874),$E874,"y")))</f>
        <v/>
      </c>
      <c r="I874" s="48">
        <f>IF($G874=0,0,IF(INDEX('Hours Worked'!$D$5:$BD$29,$A874,$B874)="",N(INDEX(Employees!$H$5:$H$29,$A874)),INDEX('Hours Worked'!$D$5:$BD$29,$A874,$B874)))</f>
        <v/>
      </c>
      <c r="J874" s="48">
        <f>IF(OR($G874=0,INDEX(Employees!$O$5:$O$29,$A874)&lt;&gt;"Yes"),0,IF(COUNTIF(Settings!$D$4:$D$9,"&lt;="&amp;$H874)=0,0,INDEX(Settings!$E$4:$E$9,COUNTIF(Settings!$D$4:$D$9,"&lt;="&amp;$H874))))</f>
        <v/>
      </c>
      <c r="K874" s="48">
        <f>IF($G874=0,0,IF(INDEX(Employees!$I$5:$I$29,$A874)="Per pay period",(N(INDEX(Employees!$J$5:$J$29,$A874))+$J874)/Settings!$B$13,IF(INDEX(Employees!$I$5:$I$29,$A874)="Per hour worked",N(INDEX(Employees!$K$5:$K$29,$A874))*$I874,IF(INDEX(Employees!$I$5:$I$29,$A874)="Front-loaded",IF(OR($B874=1,N($G873)=0),N(INDEX(Employees!$J$5:$J$29,$A874))+$J874,0),0))))</f>
        <v/>
      </c>
      <c r="L874" s="48">
        <f>IF($F874=0,0,SUMIFS('Time Off Log'!$H$5:$H$504,'Time Off Log'!$A$5:$A$504,$C874,'Time Off Log'!$B$5:$B$504,"PTO",'Time Off Log'!$E$5:$E$504,"Approved",'Time Off Log'!$C$5:$C$504,"&gt;="&amp;INDEX(Periods!$E$5:$E$57,$B874),'Time Off Log'!$C$5:$C$504,"&lt;="&amp;INDEX(Periods!$F$5:$F$57,$B874)))</f>
        <v/>
      </c>
      <c r="M874" s="48">
        <f>IF($B874=1,N(INDEX(Employees!$N$5:$N$29,$A874)),P873)</f>
        <v/>
      </c>
      <c r="N874" s="48">
        <f>IF(INDEX(Employees!$L$5:$L$29,$A874)="",K874,MAX(0,MIN(K874,INDEX(Employees!$L$5:$L$29,$A874)-(M874-L874))))</f>
        <v/>
      </c>
      <c r="O874" s="48">
        <f>K874-N874</f>
        <v/>
      </c>
      <c r="P874" s="48">
        <f>M874-L874+N874</f>
        <v/>
      </c>
      <c r="Q874" s="48">
        <f>IF($G874=0,0,IF(INDEX(Employees!$P$5:$P$29,$A874)="Per pay period",(N(INDEX(Employees!$Q$5:$Q$29,$A874)))/Settings!$B$13,IF(INDEX(Employees!$P$5:$P$29,$A874)="Per hour worked",N(INDEX(Employees!$R$5:$R$29,$A874))*$I874,IF(INDEX(Employees!$P$5:$P$29,$A874)="Front-loaded",IF(OR($B874=1,N($G873)=0),N(INDEX(Employees!$Q$5:$Q$29,$A874)),0),0))))</f>
        <v/>
      </c>
      <c r="R874" s="48">
        <f>IF($F874=0,0,SUMIFS('Time Off Log'!$H$5:$H$504,'Time Off Log'!$A$5:$A$504,$C874,'Time Off Log'!$B$5:$B$504,"Sick",'Time Off Log'!$E$5:$E$504,"Approved",'Time Off Log'!$C$5:$C$504,"&gt;="&amp;INDEX(Periods!$E$5:$E$57,$B874),'Time Off Log'!$C$5:$C$504,"&lt;="&amp;INDEX(Periods!$F$5:$F$57,$B874)))</f>
        <v/>
      </c>
      <c r="S874" s="48">
        <f>IF($B874=1,N(INDEX(Employees!$T$5:$T$29,$A874)),V873)</f>
        <v/>
      </c>
      <c r="T874" s="48">
        <f>IF(INDEX(Employees!$S$5:$S$29,$A874)="",Q874,MAX(0,MIN(Q874,INDEX(Employees!$S$5:$S$29,$A874)-(S874-R874))))</f>
        <v/>
      </c>
      <c r="U874" s="48">
        <f>Q874-T874</f>
        <v/>
      </c>
      <c r="V874" s="48">
        <f>S874-R874+T874</f>
        <v/>
      </c>
    </row>
    <row r="875">
      <c r="A875" s="47" t="n">
        <v>17</v>
      </c>
      <c r="B875" s="47" t="n">
        <v>23</v>
      </c>
      <c r="C875" s="48">
        <f>INDEX(Employees!$B$5:$B$29,$A875)&amp;""</f>
        <v/>
      </c>
      <c r="D875" s="49">
        <f>INDEX(Periods!$B$5:$B$57,$B875)</f>
        <v/>
      </c>
      <c r="E875" s="49">
        <f>INDEX(Periods!$C$5:$C$57,$B875)</f>
        <v/>
      </c>
      <c r="F875" s="47">
        <f>IF(AND($C875&lt;&gt;"",INDEX(Periods!$D$5:$D$57,$B875)=1),1,0)</f>
        <v/>
      </c>
      <c r="G875" s="47">
        <f>IF($F875=0,0,IF(AND(OR(INDEX(Employees!$D$5:$D$29,$A875)="",$E875&gt;=INDEX(Employees!$D$5:$D$29,$A875)+N(INDEX(Employees!$U$5:$U$29,$A875))),OR(INDEX(Employees!$E$5:$E$29,$A875)="",$D875&lt;=INDEX(Employees!$E$5:$E$29,$A875))),1,0))</f>
        <v/>
      </c>
      <c r="H875" s="47">
        <f>IF($G875=0,0,IF(INDEX(Employees!$D$5:$D$29,$A875)="",0,DATEDIF(INDEX(Employees!$D$5:$D$29,$A875),$E875,"y")))</f>
        <v/>
      </c>
      <c r="I875" s="48">
        <f>IF($G875=0,0,IF(INDEX('Hours Worked'!$D$5:$BD$29,$A875,$B875)="",N(INDEX(Employees!$H$5:$H$29,$A875)),INDEX('Hours Worked'!$D$5:$BD$29,$A875,$B875)))</f>
        <v/>
      </c>
      <c r="J875" s="48">
        <f>IF(OR($G875=0,INDEX(Employees!$O$5:$O$29,$A875)&lt;&gt;"Yes"),0,IF(COUNTIF(Settings!$D$4:$D$9,"&lt;="&amp;$H875)=0,0,INDEX(Settings!$E$4:$E$9,COUNTIF(Settings!$D$4:$D$9,"&lt;="&amp;$H875))))</f>
        <v/>
      </c>
      <c r="K875" s="48">
        <f>IF($G875=0,0,IF(INDEX(Employees!$I$5:$I$29,$A875)="Per pay period",(N(INDEX(Employees!$J$5:$J$29,$A875))+$J875)/Settings!$B$13,IF(INDEX(Employees!$I$5:$I$29,$A875)="Per hour worked",N(INDEX(Employees!$K$5:$K$29,$A875))*$I875,IF(INDEX(Employees!$I$5:$I$29,$A875)="Front-loaded",IF(OR($B875=1,N($G874)=0),N(INDEX(Employees!$J$5:$J$29,$A875))+$J875,0),0))))</f>
        <v/>
      </c>
      <c r="L875" s="48">
        <f>IF($F875=0,0,SUMIFS('Time Off Log'!$H$5:$H$504,'Time Off Log'!$A$5:$A$504,$C875,'Time Off Log'!$B$5:$B$504,"PTO",'Time Off Log'!$E$5:$E$504,"Approved",'Time Off Log'!$C$5:$C$504,"&gt;="&amp;INDEX(Periods!$E$5:$E$57,$B875),'Time Off Log'!$C$5:$C$504,"&lt;="&amp;INDEX(Periods!$F$5:$F$57,$B875)))</f>
        <v/>
      </c>
      <c r="M875" s="48">
        <f>IF($B875=1,N(INDEX(Employees!$N$5:$N$29,$A875)),P874)</f>
        <v/>
      </c>
      <c r="N875" s="48">
        <f>IF(INDEX(Employees!$L$5:$L$29,$A875)="",K875,MAX(0,MIN(K875,INDEX(Employees!$L$5:$L$29,$A875)-(M875-L875))))</f>
        <v/>
      </c>
      <c r="O875" s="48">
        <f>K875-N875</f>
        <v/>
      </c>
      <c r="P875" s="48">
        <f>M875-L875+N875</f>
        <v/>
      </c>
      <c r="Q875" s="48">
        <f>IF($G875=0,0,IF(INDEX(Employees!$P$5:$P$29,$A875)="Per pay period",(N(INDEX(Employees!$Q$5:$Q$29,$A875)))/Settings!$B$13,IF(INDEX(Employees!$P$5:$P$29,$A875)="Per hour worked",N(INDEX(Employees!$R$5:$R$29,$A875))*$I875,IF(INDEX(Employees!$P$5:$P$29,$A875)="Front-loaded",IF(OR($B875=1,N($G874)=0),N(INDEX(Employees!$Q$5:$Q$29,$A875)),0),0))))</f>
        <v/>
      </c>
      <c r="R875" s="48">
        <f>IF($F875=0,0,SUMIFS('Time Off Log'!$H$5:$H$504,'Time Off Log'!$A$5:$A$504,$C875,'Time Off Log'!$B$5:$B$504,"Sick",'Time Off Log'!$E$5:$E$504,"Approved",'Time Off Log'!$C$5:$C$504,"&gt;="&amp;INDEX(Periods!$E$5:$E$57,$B875),'Time Off Log'!$C$5:$C$504,"&lt;="&amp;INDEX(Periods!$F$5:$F$57,$B875)))</f>
        <v/>
      </c>
      <c r="S875" s="48">
        <f>IF($B875=1,N(INDEX(Employees!$T$5:$T$29,$A875)),V874)</f>
        <v/>
      </c>
      <c r="T875" s="48">
        <f>IF(INDEX(Employees!$S$5:$S$29,$A875)="",Q875,MAX(0,MIN(Q875,INDEX(Employees!$S$5:$S$29,$A875)-(S875-R875))))</f>
        <v/>
      </c>
      <c r="U875" s="48">
        <f>Q875-T875</f>
        <v/>
      </c>
      <c r="V875" s="48">
        <f>S875-R875+T875</f>
        <v/>
      </c>
    </row>
    <row r="876">
      <c r="A876" s="47" t="n">
        <v>17</v>
      </c>
      <c r="B876" s="47" t="n">
        <v>24</v>
      </c>
      <c r="C876" s="48">
        <f>INDEX(Employees!$B$5:$B$29,$A876)&amp;""</f>
        <v/>
      </c>
      <c r="D876" s="49">
        <f>INDEX(Periods!$B$5:$B$57,$B876)</f>
        <v/>
      </c>
      <c r="E876" s="49">
        <f>INDEX(Periods!$C$5:$C$57,$B876)</f>
        <v/>
      </c>
      <c r="F876" s="47">
        <f>IF(AND($C876&lt;&gt;"",INDEX(Periods!$D$5:$D$57,$B876)=1),1,0)</f>
        <v/>
      </c>
      <c r="G876" s="47">
        <f>IF($F876=0,0,IF(AND(OR(INDEX(Employees!$D$5:$D$29,$A876)="",$E876&gt;=INDEX(Employees!$D$5:$D$29,$A876)+N(INDEX(Employees!$U$5:$U$29,$A876))),OR(INDEX(Employees!$E$5:$E$29,$A876)="",$D876&lt;=INDEX(Employees!$E$5:$E$29,$A876))),1,0))</f>
        <v/>
      </c>
      <c r="H876" s="47">
        <f>IF($G876=0,0,IF(INDEX(Employees!$D$5:$D$29,$A876)="",0,DATEDIF(INDEX(Employees!$D$5:$D$29,$A876),$E876,"y")))</f>
        <v/>
      </c>
      <c r="I876" s="48">
        <f>IF($G876=0,0,IF(INDEX('Hours Worked'!$D$5:$BD$29,$A876,$B876)="",N(INDEX(Employees!$H$5:$H$29,$A876)),INDEX('Hours Worked'!$D$5:$BD$29,$A876,$B876)))</f>
        <v/>
      </c>
      <c r="J876" s="48">
        <f>IF(OR($G876=0,INDEX(Employees!$O$5:$O$29,$A876)&lt;&gt;"Yes"),0,IF(COUNTIF(Settings!$D$4:$D$9,"&lt;="&amp;$H876)=0,0,INDEX(Settings!$E$4:$E$9,COUNTIF(Settings!$D$4:$D$9,"&lt;="&amp;$H876))))</f>
        <v/>
      </c>
      <c r="K876" s="48">
        <f>IF($G876=0,0,IF(INDEX(Employees!$I$5:$I$29,$A876)="Per pay period",(N(INDEX(Employees!$J$5:$J$29,$A876))+$J876)/Settings!$B$13,IF(INDEX(Employees!$I$5:$I$29,$A876)="Per hour worked",N(INDEX(Employees!$K$5:$K$29,$A876))*$I876,IF(INDEX(Employees!$I$5:$I$29,$A876)="Front-loaded",IF(OR($B876=1,N($G875)=0),N(INDEX(Employees!$J$5:$J$29,$A876))+$J876,0),0))))</f>
        <v/>
      </c>
      <c r="L876" s="48">
        <f>IF($F876=0,0,SUMIFS('Time Off Log'!$H$5:$H$504,'Time Off Log'!$A$5:$A$504,$C876,'Time Off Log'!$B$5:$B$504,"PTO",'Time Off Log'!$E$5:$E$504,"Approved",'Time Off Log'!$C$5:$C$504,"&gt;="&amp;INDEX(Periods!$E$5:$E$57,$B876),'Time Off Log'!$C$5:$C$504,"&lt;="&amp;INDEX(Periods!$F$5:$F$57,$B876)))</f>
        <v/>
      </c>
      <c r="M876" s="48">
        <f>IF($B876=1,N(INDEX(Employees!$N$5:$N$29,$A876)),P875)</f>
        <v/>
      </c>
      <c r="N876" s="48">
        <f>IF(INDEX(Employees!$L$5:$L$29,$A876)="",K876,MAX(0,MIN(K876,INDEX(Employees!$L$5:$L$29,$A876)-(M876-L876))))</f>
        <v/>
      </c>
      <c r="O876" s="48">
        <f>K876-N876</f>
        <v/>
      </c>
      <c r="P876" s="48">
        <f>M876-L876+N876</f>
        <v/>
      </c>
      <c r="Q876" s="48">
        <f>IF($G876=0,0,IF(INDEX(Employees!$P$5:$P$29,$A876)="Per pay period",(N(INDEX(Employees!$Q$5:$Q$29,$A876)))/Settings!$B$13,IF(INDEX(Employees!$P$5:$P$29,$A876)="Per hour worked",N(INDEX(Employees!$R$5:$R$29,$A876))*$I876,IF(INDEX(Employees!$P$5:$P$29,$A876)="Front-loaded",IF(OR($B876=1,N($G875)=0),N(INDEX(Employees!$Q$5:$Q$29,$A876)),0),0))))</f>
        <v/>
      </c>
      <c r="R876" s="48">
        <f>IF($F876=0,0,SUMIFS('Time Off Log'!$H$5:$H$504,'Time Off Log'!$A$5:$A$504,$C876,'Time Off Log'!$B$5:$B$504,"Sick",'Time Off Log'!$E$5:$E$504,"Approved",'Time Off Log'!$C$5:$C$504,"&gt;="&amp;INDEX(Periods!$E$5:$E$57,$B876),'Time Off Log'!$C$5:$C$504,"&lt;="&amp;INDEX(Periods!$F$5:$F$57,$B876)))</f>
        <v/>
      </c>
      <c r="S876" s="48">
        <f>IF($B876=1,N(INDEX(Employees!$T$5:$T$29,$A876)),V875)</f>
        <v/>
      </c>
      <c r="T876" s="48">
        <f>IF(INDEX(Employees!$S$5:$S$29,$A876)="",Q876,MAX(0,MIN(Q876,INDEX(Employees!$S$5:$S$29,$A876)-(S876-R876))))</f>
        <v/>
      </c>
      <c r="U876" s="48">
        <f>Q876-T876</f>
        <v/>
      </c>
      <c r="V876" s="48">
        <f>S876-R876+T876</f>
        <v/>
      </c>
    </row>
    <row r="877">
      <c r="A877" s="47" t="n">
        <v>17</v>
      </c>
      <c r="B877" s="47" t="n">
        <v>25</v>
      </c>
      <c r="C877" s="48">
        <f>INDEX(Employees!$B$5:$B$29,$A877)&amp;""</f>
        <v/>
      </c>
      <c r="D877" s="49">
        <f>INDEX(Periods!$B$5:$B$57,$B877)</f>
        <v/>
      </c>
      <c r="E877" s="49">
        <f>INDEX(Periods!$C$5:$C$57,$B877)</f>
        <v/>
      </c>
      <c r="F877" s="47">
        <f>IF(AND($C877&lt;&gt;"",INDEX(Periods!$D$5:$D$57,$B877)=1),1,0)</f>
        <v/>
      </c>
      <c r="G877" s="47">
        <f>IF($F877=0,0,IF(AND(OR(INDEX(Employees!$D$5:$D$29,$A877)="",$E877&gt;=INDEX(Employees!$D$5:$D$29,$A877)+N(INDEX(Employees!$U$5:$U$29,$A877))),OR(INDEX(Employees!$E$5:$E$29,$A877)="",$D877&lt;=INDEX(Employees!$E$5:$E$29,$A877))),1,0))</f>
        <v/>
      </c>
      <c r="H877" s="47">
        <f>IF($G877=0,0,IF(INDEX(Employees!$D$5:$D$29,$A877)="",0,DATEDIF(INDEX(Employees!$D$5:$D$29,$A877),$E877,"y")))</f>
        <v/>
      </c>
      <c r="I877" s="48">
        <f>IF($G877=0,0,IF(INDEX('Hours Worked'!$D$5:$BD$29,$A877,$B877)="",N(INDEX(Employees!$H$5:$H$29,$A877)),INDEX('Hours Worked'!$D$5:$BD$29,$A877,$B877)))</f>
        <v/>
      </c>
      <c r="J877" s="48">
        <f>IF(OR($G877=0,INDEX(Employees!$O$5:$O$29,$A877)&lt;&gt;"Yes"),0,IF(COUNTIF(Settings!$D$4:$D$9,"&lt;="&amp;$H877)=0,0,INDEX(Settings!$E$4:$E$9,COUNTIF(Settings!$D$4:$D$9,"&lt;="&amp;$H877))))</f>
        <v/>
      </c>
      <c r="K877" s="48">
        <f>IF($G877=0,0,IF(INDEX(Employees!$I$5:$I$29,$A877)="Per pay period",(N(INDEX(Employees!$J$5:$J$29,$A877))+$J877)/Settings!$B$13,IF(INDEX(Employees!$I$5:$I$29,$A877)="Per hour worked",N(INDEX(Employees!$K$5:$K$29,$A877))*$I877,IF(INDEX(Employees!$I$5:$I$29,$A877)="Front-loaded",IF(OR($B877=1,N($G876)=0),N(INDEX(Employees!$J$5:$J$29,$A877))+$J877,0),0))))</f>
        <v/>
      </c>
      <c r="L877" s="48">
        <f>IF($F877=0,0,SUMIFS('Time Off Log'!$H$5:$H$504,'Time Off Log'!$A$5:$A$504,$C877,'Time Off Log'!$B$5:$B$504,"PTO",'Time Off Log'!$E$5:$E$504,"Approved",'Time Off Log'!$C$5:$C$504,"&gt;="&amp;INDEX(Periods!$E$5:$E$57,$B877),'Time Off Log'!$C$5:$C$504,"&lt;="&amp;INDEX(Periods!$F$5:$F$57,$B877)))</f>
        <v/>
      </c>
      <c r="M877" s="48">
        <f>IF($B877=1,N(INDEX(Employees!$N$5:$N$29,$A877)),P876)</f>
        <v/>
      </c>
      <c r="N877" s="48">
        <f>IF(INDEX(Employees!$L$5:$L$29,$A877)="",K877,MAX(0,MIN(K877,INDEX(Employees!$L$5:$L$29,$A877)-(M877-L877))))</f>
        <v/>
      </c>
      <c r="O877" s="48">
        <f>K877-N877</f>
        <v/>
      </c>
      <c r="P877" s="48">
        <f>M877-L877+N877</f>
        <v/>
      </c>
      <c r="Q877" s="48">
        <f>IF($G877=0,0,IF(INDEX(Employees!$P$5:$P$29,$A877)="Per pay period",(N(INDEX(Employees!$Q$5:$Q$29,$A877)))/Settings!$B$13,IF(INDEX(Employees!$P$5:$P$29,$A877)="Per hour worked",N(INDEX(Employees!$R$5:$R$29,$A877))*$I877,IF(INDEX(Employees!$P$5:$P$29,$A877)="Front-loaded",IF(OR($B877=1,N($G876)=0),N(INDEX(Employees!$Q$5:$Q$29,$A877)),0),0))))</f>
        <v/>
      </c>
      <c r="R877" s="48">
        <f>IF($F877=0,0,SUMIFS('Time Off Log'!$H$5:$H$504,'Time Off Log'!$A$5:$A$504,$C877,'Time Off Log'!$B$5:$B$504,"Sick",'Time Off Log'!$E$5:$E$504,"Approved",'Time Off Log'!$C$5:$C$504,"&gt;="&amp;INDEX(Periods!$E$5:$E$57,$B877),'Time Off Log'!$C$5:$C$504,"&lt;="&amp;INDEX(Periods!$F$5:$F$57,$B877)))</f>
        <v/>
      </c>
      <c r="S877" s="48">
        <f>IF($B877=1,N(INDEX(Employees!$T$5:$T$29,$A877)),V876)</f>
        <v/>
      </c>
      <c r="T877" s="48">
        <f>IF(INDEX(Employees!$S$5:$S$29,$A877)="",Q877,MAX(0,MIN(Q877,INDEX(Employees!$S$5:$S$29,$A877)-(S877-R877))))</f>
        <v/>
      </c>
      <c r="U877" s="48">
        <f>Q877-T877</f>
        <v/>
      </c>
      <c r="V877" s="48">
        <f>S877-R877+T877</f>
        <v/>
      </c>
    </row>
    <row r="878">
      <c r="A878" s="47" t="n">
        <v>17</v>
      </c>
      <c r="B878" s="47" t="n">
        <v>26</v>
      </c>
      <c r="C878" s="48">
        <f>INDEX(Employees!$B$5:$B$29,$A878)&amp;""</f>
        <v/>
      </c>
      <c r="D878" s="49">
        <f>INDEX(Periods!$B$5:$B$57,$B878)</f>
        <v/>
      </c>
      <c r="E878" s="49">
        <f>INDEX(Periods!$C$5:$C$57,$B878)</f>
        <v/>
      </c>
      <c r="F878" s="47">
        <f>IF(AND($C878&lt;&gt;"",INDEX(Periods!$D$5:$D$57,$B878)=1),1,0)</f>
        <v/>
      </c>
      <c r="G878" s="47">
        <f>IF($F878=0,0,IF(AND(OR(INDEX(Employees!$D$5:$D$29,$A878)="",$E878&gt;=INDEX(Employees!$D$5:$D$29,$A878)+N(INDEX(Employees!$U$5:$U$29,$A878))),OR(INDEX(Employees!$E$5:$E$29,$A878)="",$D878&lt;=INDEX(Employees!$E$5:$E$29,$A878))),1,0))</f>
        <v/>
      </c>
      <c r="H878" s="47">
        <f>IF($G878=0,0,IF(INDEX(Employees!$D$5:$D$29,$A878)="",0,DATEDIF(INDEX(Employees!$D$5:$D$29,$A878),$E878,"y")))</f>
        <v/>
      </c>
      <c r="I878" s="48">
        <f>IF($G878=0,0,IF(INDEX('Hours Worked'!$D$5:$BD$29,$A878,$B878)="",N(INDEX(Employees!$H$5:$H$29,$A878)),INDEX('Hours Worked'!$D$5:$BD$29,$A878,$B878)))</f>
        <v/>
      </c>
      <c r="J878" s="48">
        <f>IF(OR($G878=0,INDEX(Employees!$O$5:$O$29,$A878)&lt;&gt;"Yes"),0,IF(COUNTIF(Settings!$D$4:$D$9,"&lt;="&amp;$H878)=0,0,INDEX(Settings!$E$4:$E$9,COUNTIF(Settings!$D$4:$D$9,"&lt;="&amp;$H878))))</f>
        <v/>
      </c>
      <c r="K878" s="48">
        <f>IF($G878=0,0,IF(INDEX(Employees!$I$5:$I$29,$A878)="Per pay period",(N(INDEX(Employees!$J$5:$J$29,$A878))+$J878)/Settings!$B$13,IF(INDEX(Employees!$I$5:$I$29,$A878)="Per hour worked",N(INDEX(Employees!$K$5:$K$29,$A878))*$I878,IF(INDEX(Employees!$I$5:$I$29,$A878)="Front-loaded",IF(OR($B878=1,N($G877)=0),N(INDEX(Employees!$J$5:$J$29,$A878))+$J878,0),0))))</f>
        <v/>
      </c>
      <c r="L878" s="48">
        <f>IF($F878=0,0,SUMIFS('Time Off Log'!$H$5:$H$504,'Time Off Log'!$A$5:$A$504,$C878,'Time Off Log'!$B$5:$B$504,"PTO",'Time Off Log'!$E$5:$E$504,"Approved",'Time Off Log'!$C$5:$C$504,"&gt;="&amp;INDEX(Periods!$E$5:$E$57,$B878),'Time Off Log'!$C$5:$C$504,"&lt;="&amp;INDEX(Periods!$F$5:$F$57,$B878)))</f>
        <v/>
      </c>
      <c r="M878" s="48">
        <f>IF($B878=1,N(INDEX(Employees!$N$5:$N$29,$A878)),P877)</f>
        <v/>
      </c>
      <c r="N878" s="48">
        <f>IF(INDEX(Employees!$L$5:$L$29,$A878)="",K878,MAX(0,MIN(K878,INDEX(Employees!$L$5:$L$29,$A878)-(M878-L878))))</f>
        <v/>
      </c>
      <c r="O878" s="48">
        <f>K878-N878</f>
        <v/>
      </c>
      <c r="P878" s="48">
        <f>M878-L878+N878</f>
        <v/>
      </c>
      <c r="Q878" s="48">
        <f>IF($G878=0,0,IF(INDEX(Employees!$P$5:$P$29,$A878)="Per pay period",(N(INDEX(Employees!$Q$5:$Q$29,$A878)))/Settings!$B$13,IF(INDEX(Employees!$P$5:$P$29,$A878)="Per hour worked",N(INDEX(Employees!$R$5:$R$29,$A878))*$I878,IF(INDEX(Employees!$P$5:$P$29,$A878)="Front-loaded",IF(OR($B878=1,N($G877)=0),N(INDEX(Employees!$Q$5:$Q$29,$A878)),0),0))))</f>
        <v/>
      </c>
      <c r="R878" s="48">
        <f>IF($F878=0,0,SUMIFS('Time Off Log'!$H$5:$H$504,'Time Off Log'!$A$5:$A$504,$C878,'Time Off Log'!$B$5:$B$504,"Sick",'Time Off Log'!$E$5:$E$504,"Approved",'Time Off Log'!$C$5:$C$504,"&gt;="&amp;INDEX(Periods!$E$5:$E$57,$B878),'Time Off Log'!$C$5:$C$504,"&lt;="&amp;INDEX(Periods!$F$5:$F$57,$B878)))</f>
        <v/>
      </c>
      <c r="S878" s="48">
        <f>IF($B878=1,N(INDEX(Employees!$T$5:$T$29,$A878)),V877)</f>
        <v/>
      </c>
      <c r="T878" s="48">
        <f>IF(INDEX(Employees!$S$5:$S$29,$A878)="",Q878,MAX(0,MIN(Q878,INDEX(Employees!$S$5:$S$29,$A878)-(S878-R878))))</f>
        <v/>
      </c>
      <c r="U878" s="48">
        <f>Q878-T878</f>
        <v/>
      </c>
      <c r="V878" s="48">
        <f>S878-R878+T878</f>
        <v/>
      </c>
    </row>
    <row r="879">
      <c r="A879" s="47" t="n">
        <v>17</v>
      </c>
      <c r="B879" s="47" t="n">
        <v>27</v>
      </c>
      <c r="C879" s="48">
        <f>INDEX(Employees!$B$5:$B$29,$A879)&amp;""</f>
        <v/>
      </c>
      <c r="D879" s="49">
        <f>INDEX(Periods!$B$5:$B$57,$B879)</f>
        <v/>
      </c>
      <c r="E879" s="49">
        <f>INDEX(Periods!$C$5:$C$57,$B879)</f>
        <v/>
      </c>
      <c r="F879" s="47">
        <f>IF(AND($C879&lt;&gt;"",INDEX(Periods!$D$5:$D$57,$B879)=1),1,0)</f>
        <v/>
      </c>
      <c r="G879" s="47">
        <f>IF($F879=0,0,IF(AND(OR(INDEX(Employees!$D$5:$D$29,$A879)="",$E879&gt;=INDEX(Employees!$D$5:$D$29,$A879)+N(INDEX(Employees!$U$5:$U$29,$A879))),OR(INDEX(Employees!$E$5:$E$29,$A879)="",$D879&lt;=INDEX(Employees!$E$5:$E$29,$A879))),1,0))</f>
        <v/>
      </c>
      <c r="H879" s="47">
        <f>IF($G879=0,0,IF(INDEX(Employees!$D$5:$D$29,$A879)="",0,DATEDIF(INDEX(Employees!$D$5:$D$29,$A879),$E879,"y")))</f>
        <v/>
      </c>
      <c r="I879" s="48">
        <f>IF($G879=0,0,IF(INDEX('Hours Worked'!$D$5:$BD$29,$A879,$B879)="",N(INDEX(Employees!$H$5:$H$29,$A879)),INDEX('Hours Worked'!$D$5:$BD$29,$A879,$B879)))</f>
        <v/>
      </c>
      <c r="J879" s="48">
        <f>IF(OR($G879=0,INDEX(Employees!$O$5:$O$29,$A879)&lt;&gt;"Yes"),0,IF(COUNTIF(Settings!$D$4:$D$9,"&lt;="&amp;$H879)=0,0,INDEX(Settings!$E$4:$E$9,COUNTIF(Settings!$D$4:$D$9,"&lt;="&amp;$H879))))</f>
        <v/>
      </c>
      <c r="K879" s="48">
        <f>IF($G879=0,0,IF(INDEX(Employees!$I$5:$I$29,$A879)="Per pay period",(N(INDEX(Employees!$J$5:$J$29,$A879))+$J879)/Settings!$B$13,IF(INDEX(Employees!$I$5:$I$29,$A879)="Per hour worked",N(INDEX(Employees!$K$5:$K$29,$A879))*$I879,IF(INDEX(Employees!$I$5:$I$29,$A879)="Front-loaded",IF(OR($B879=1,N($G878)=0),N(INDEX(Employees!$J$5:$J$29,$A879))+$J879,0),0))))</f>
        <v/>
      </c>
      <c r="L879" s="48">
        <f>IF($F879=0,0,SUMIFS('Time Off Log'!$H$5:$H$504,'Time Off Log'!$A$5:$A$504,$C879,'Time Off Log'!$B$5:$B$504,"PTO",'Time Off Log'!$E$5:$E$504,"Approved",'Time Off Log'!$C$5:$C$504,"&gt;="&amp;INDEX(Periods!$E$5:$E$57,$B879),'Time Off Log'!$C$5:$C$504,"&lt;="&amp;INDEX(Periods!$F$5:$F$57,$B879)))</f>
        <v/>
      </c>
      <c r="M879" s="48">
        <f>IF($B879=1,N(INDEX(Employees!$N$5:$N$29,$A879)),P878)</f>
        <v/>
      </c>
      <c r="N879" s="48">
        <f>IF(INDEX(Employees!$L$5:$L$29,$A879)="",K879,MAX(0,MIN(K879,INDEX(Employees!$L$5:$L$29,$A879)-(M879-L879))))</f>
        <v/>
      </c>
      <c r="O879" s="48">
        <f>K879-N879</f>
        <v/>
      </c>
      <c r="P879" s="48">
        <f>M879-L879+N879</f>
        <v/>
      </c>
      <c r="Q879" s="48">
        <f>IF($G879=0,0,IF(INDEX(Employees!$P$5:$P$29,$A879)="Per pay period",(N(INDEX(Employees!$Q$5:$Q$29,$A879)))/Settings!$B$13,IF(INDEX(Employees!$P$5:$P$29,$A879)="Per hour worked",N(INDEX(Employees!$R$5:$R$29,$A879))*$I879,IF(INDEX(Employees!$P$5:$P$29,$A879)="Front-loaded",IF(OR($B879=1,N($G878)=0),N(INDEX(Employees!$Q$5:$Q$29,$A879)),0),0))))</f>
        <v/>
      </c>
      <c r="R879" s="48">
        <f>IF($F879=0,0,SUMIFS('Time Off Log'!$H$5:$H$504,'Time Off Log'!$A$5:$A$504,$C879,'Time Off Log'!$B$5:$B$504,"Sick",'Time Off Log'!$E$5:$E$504,"Approved",'Time Off Log'!$C$5:$C$504,"&gt;="&amp;INDEX(Periods!$E$5:$E$57,$B879),'Time Off Log'!$C$5:$C$504,"&lt;="&amp;INDEX(Periods!$F$5:$F$57,$B879)))</f>
        <v/>
      </c>
      <c r="S879" s="48">
        <f>IF($B879=1,N(INDEX(Employees!$T$5:$T$29,$A879)),V878)</f>
        <v/>
      </c>
      <c r="T879" s="48">
        <f>IF(INDEX(Employees!$S$5:$S$29,$A879)="",Q879,MAX(0,MIN(Q879,INDEX(Employees!$S$5:$S$29,$A879)-(S879-R879))))</f>
        <v/>
      </c>
      <c r="U879" s="48">
        <f>Q879-T879</f>
        <v/>
      </c>
      <c r="V879" s="48">
        <f>S879-R879+T879</f>
        <v/>
      </c>
    </row>
    <row r="880">
      <c r="A880" s="47" t="n">
        <v>17</v>
      </c>
      <c r="B880" s="47" t="n">
        <v>28</v>
      </c>
      <c r="C880" s="48">
        <f>INDEX(Employees!$B$5:$B$29,$A880)&amp;""</f>
        <v/>
      </c>
      <c r="D880" s="49">
        <f>INDEX(Periods!$B$5:$B$57,$B880)</f>
        <v/>
      </c>
      <c r="E880" s="49">
        <f>INDEX(Periods!$C$5:$C$57,$B880)</f>
        <v/>
      </c>
      <c r="F880" s="47">
        <f>IF(AND($C880&lt;&gt;"",INDEX(Periods!$D$5:$D$57,$B880)=1),1,0)</f>
        <v/>
      </c>
      <c r="G880" s="47">
        <f>IF($F880=0,0,IF(AND(OR(INDEX(Employees!$D$5:$D$29,$A880)="",$E880&gt;=INDEX(Employees!$D$5:$D$29,$A880)+N(INDEX(Employees!$U$5:$U$29,$A880))),OR(INDEX(Employees!$E$5:$E$29,$A880)="",$D880&lt;=INDEX(Employees!$E$5:$E$29,$A880))),1,0))</f>
        <v/>
      </c>
      <c r="H880" s="47">
        <f>IF($G880=0,0,IF(INDEX(Employees!$D$5:$D$29,$A880)="",0,DATEDIF(INDEX(Employees!$D$5:$D$29,$A880),$E880,"y")))</f>
        <v/>
      </c>
      <c r="I880" s="48">
        <f>IF($G880=0,0,IF(INDEX('Hours Worked'!$D$5:$BD$29,$A880,$B880)="",N(INDEX(Employees!$H$5:$H$29,$A880)),INDEX('Hours Worked'!$D$5:$BD$29,$A880,$B880)))</f>
        <v/>
      </c>
      <c r="J880" s="48">
        <f>IF(OR($G880=0,INDEX(Employees!$O$5:$O$29,$A880)&lt;&gt;"Yes"),0,IF(COUNTIF(Settings!$D$4:$D$9,"&lt;="&amp;$H880)=0,0,INDEX(Settings!$E$4:$E$9,COUNTIF(Settings!$D$4:$D$9,"&lt;="&amp;$H880))))</f>
        <v/>
      </c>
      <c r="K880" s="48">
        <f>IF($G880=0,0,IF(INDEX(Employees!$I$5:$I$29,$A880)="Per pay period",(N(INDEX(Employees!$J$5:$J$29,$A880))+$J880)/Settings!$B$13,IF(INDEX(Employees!$I$5:$I$29,$A880)="Per hour worked",N(INDEX(Employees!$K$5:$K$29,$A880))*$I880,IF(INDEX(Employees!$I$5:$I$29,$A880)="Front-loaded",IF(OR($B880=1,N($G879)=0),N(INDEX(Employees!$J$5:$J$29,$A880))+$J880,0),0))))</f>
        <v/>
      </c>
      <c r="L880" s="48">
        <f>IF($F880=0,0,SUMIFS('Time Off Log'!$H$5:$H$504,'Time Off Log'!$A$5:$A$504,$C880,'Time Off Log'!$B$5:$B$504,"PTO",'Time Off Log'!$E$5:$E$504,"Approved",'Time Off Log'!$C$5:$C$504,"&gt;="&amp;INDEX(Periods!$E$5:$E$57,$B880),'Time Off Log'!$C$5:$C$504,"&lt;="&amp;INDEX(Periods!$F$5:$F$57,$B880)))</f>
        <v/>
      </c>
      <c r="M880" s="48">
        <f>IF($B880=1,N(INDEX(Employees!$N$5:$N$29,$A880)),P879)</f>
        <v/>
      </c>
      <c r="N880" s="48">
        <f>IF(INDEX(Employees!$L$5:$L$29,$A880)="",K880,MAX(0,MIN(K880,INDEX(Employees!$L$5:$L$29,$A880)-(M880-L880))))</f>
        <v/>
      </c>
      <c r="O880" s="48">
        <f>K880-N880</f>
        <v/>
      </c>
      <c r="P880" s="48">
        <f>M880-L880+N880</f>
        <v/>
      </c>
      <c r="Q880" s="48">
        <f>IF($G880=0,0,IF(INDEX(Employees!$P$5:$P$29,$A880)="Per pay period",(N(INDEX(Employees!$Q$5:$Q$29,$A880)))/Settings!$B$13,IF(INDEX(Employees!$P$5:$P$29,$A880)="Per hour worked",N(INDEX(Employees!$R$5:$R$29,$A880))*$I880,IF(INDEX(Employees!$P$5:$P$29,$A880)="Front-loaded",IF(OR($B880=1,N($G879)=0),N(INDEX(Employees!$Q$5:$Q$29,$A880)),0),0))))</f>
        <v/>
      </c>
      <c r="R880" s="48">
        <f>IF($F880=0,0,SUMIFS('Time Off Log'!$H$5:$H$504,'Time Off Log'!$A$5:$A$504,$C880,'Time Off Log'!$B$5:$B$504,"Sick",'Time Off Log'!$E$5:$E$504,"Approved",'Time Off Log'!$C$5:$C$504,"&gt;="&amp;INDEX(Periods!$E$5:$E$57,$B880),'Time Off Log'!$C$5:$C$504,"&lt;="&amp;INDEX(Periods!$F$5:$F$57,$B880)))</f>
        <v/>
      </c>
      <c r="S880" s="48">
        <f>IF($B880=1,N(INDEX(Employees!$T$5:$T$29,$A880)),V879)</f>
        <v/>
      </c>
      <c r="T880" s="48">
        <f>IF(INDEX(Employees!$S$5:$S$29,$A880)="",Q880,MAX(0,MIN(Q880,INDEX(Employees!$S$5:$S$29,$A880)-(S880-R880))))</f>
        <v/>
      </c>
      <c r="U880" s="48">
        <f>Q880-T880</f>
        <v/>
      </c>
      <c r="V880" s="48">
        <f>S880-R880+T880</f>
        <v/>
      </c>
    </row>
    <row r="881">
      <c r="A881" s="47" t="n">
        <v>17</v>
      </c>
      <c r="B881" s="47" t="n">
        <v>29</v>
      </c>
      <c r="C881" s="48">
        <f>INDEX(Employees!$B$5:$B$29,$A881)&amp;""</f>
        <v/>
      </c>
      <c r="D881" s="49">
        <f>INDEX(Periods!$B$5:$B$57,$B881)</f>
        <v/>
      </c>
      <c r="E881" s="49">
        <f>INDEX(Periods!$C$5:$C$57,$B881)</f>
        <v/>
      </c>
      <c r="F881" s="47">
        <f>IF(AND($C881&lt;&gt;"",INDEX(Periods!$D$5:$D$57,$B881)=1),1,0)</f>
        <v/>
      </c>
      <c r="G881" s="47">
        <f>IF($F881=0,0,IF(AND(OR(INDEX(Employees!$D$5:$D$29,$A881)="",$E881&gt;=INDEX(Employees!$D$5:$D$29,$A881)+N(INDEX(Employees!$U$5:$U$29,$A881))),OR(INDEX(Employees!$E$5:$E$29,$A881)="",$D881&lt;=INDEX(Employees!$E$5:$E$29,$A881))),1,0))</f>
        <v/>
      </c>
      <c r="H881" s="47">
        <f>IF($G881=0,0,IF(INDEX(Employees!$D$5:$D$29,$A881)="",0,DATEDIF(INDEX(Employees!$D$5:$D$29,$A881),$E881,"y")))</f>
        <v/>
      </c>
      <c r="I881" s="48">
        <f>IF($G881=0,0,IF(INDEX('Hours Worked'!$D$5:$BD$29,$A881,$B881)="",N(INDEX(Employees!$H$5:$H$29,$A881)),INDEX('Hours Worked'!$D$5:$BD$29,$A881,$B881)))</f>
        <v/>
      </c>
      <c r="J881" s="48">
        <f>IF(OR($G881=0,INDEX(Employees!$O$5:$O$29,$A881)&lt;&gt;"Yes"),0,IF(COUNTIF(Settings!$D$4:$D$9,"&lt;="&amp;$H881)=0,0,INDEX(Settings!$E$4:$E$9,COUNTIF(Settings!$D$4:$D$9,"&lt;="&amp;$H881))))</f>
        <v/>
      </c>
      <c r="K881" s="48">
        <f>IF($G881=0,0,IF(INDEX(Employees!$I$5:$I$29,$A881)="Per pay period",(N(INDEX(Employees!$J$5:$J$29,$A881))+$J881)/Settings!$B$13,IF(INDEX(Employees!$I$5:$I$29,$A881)="Per hour worked",N(INDEX(Employees!$K$5:$K$29,$A881))*$I881,IF(INDEX(Employees!$I$5:$I$29,$A881)="Front-loaded",IF(OR($B881=1,N($G880)=0),N(INDEX(Employees!$J$5:$J$29,$A881))+$J881,0),0))))</f>
        <v/>
      </c>
      <c r="L881" s="48">
        <f>IF($F881=0,0,SUMIFS('Time Off Log'!$H$5:$H$504,'Time Off Log'!$A$5:$A$504,$C881,'Time Off Log'!$B$5:$B$504,"PTO",'Time Off Log'!$E$5:$E$504,"Approved",'Time Off Log'!$C$5:$C$504,"&gt;="&amp;INDEX(Periods!$E$5:$E$57,$B881),'Time Off Log'!$C$5:$C$504,"&lt;="&amp;INDEX(Periods!$F$5:$F$57,$B881)))</f>
        <v/>
      </c>
      <c r="M881" s="48">
        <f>IF($B881=1,N(INDEX(Employees!$N$5:$N$29,$A881)),P880)</f>
        <v/>
      </c>
      <c r="N881" s="48">
        <f>IF(INDEX(Employees!$L$5:$L$29,$A881)="",K881,MAX(0,MIN(K881,INDEX(Employees!$L$5:$L$29,$A881)-(M881-L881))))</f>
        <v/>
      </c>
      <c r="O881" s="48">
        <f>K881-N881</f>
        <v/>
      </c>
      <c r="P881" s="48">
        <f>M881-L881+N881</f>
        <v/>
      </c>
      <c r="Q881" s="48">
        <f>IF($G881=0,0,IF(INDEX(Employees!$P$5:$P$29,$A881)="Per pay period",(N(INDEX(Employees!$Q$5:$Q$29,$A881)))/Settings!$B$13,IF(INDEX(Employees!$P$5:$P$29,$A881)="Per hour worked",N(INDEX(Employees!$R$5:$R$29,$A881))*$I881,IF(INDEX(Employees!$P$5:$P$29,$A881)="Front-loaded",IF(OR($B881=1,N($G880)=0),N(INDEX(Employees!$Q$5:$Q$29,$A881)),0),0))))</f>
        <v/>
      </c>
      <c r="R881" s="48">
        <f>IF($F881=0,0,SUMIFS('Time Off Log'!$H$5:$H$504,'Time Off Log'!$A$5:$A$504,$C881,'Time Off Log'!$B$5:$B$504,"Sick",'Time Off Log'!$E$5:$E$504,"Approved",'Time Off Log'!$C$5:$C$504,"&gt;="&amp;INDEX(Periods!$E$5:$E$57,$B881),'Time Off Log'!$C$5:$C$504,"&lt;="&amp;INDEX(Periods!$F$5:$F$57,$B881)))</f>
        <v/>
      </c>
      <c r="S881" s="48">
        <f>IF($B881=1,N(INDEX(Employees!$T$5:$T$29,$A881)),V880)</f>
        <v/>
      </c>
      <c r="T881" s="48">
        <f>IF(INDEX(Employees!$S$5:$S$29,$A881)="",Q881,MAX(0,MIN(Q881,INDEX(Employees!$S$5:$S$29,$A881)-(S881-R881))))</f>
        <v/>
      </c>
      <c r="U881" s="48">
        <f>Q881-T881</f>
        <v/>
      </c>
      <c r="V881" s="48">
        <f>S881-R881+T881</f>
        <v/>
      </c>
    </row>
    <row r="882">
      <c r="A882" s="47" t="n">
        <v>17</v>
      </c>
      <c r="B882" s="47" t="n">
        <v>30</v>
      </c>
      <c r="C882" s="48">
        <f>INDEX(Employees!$B$5:$B$29,$A882)&amp;""</f>
        <v/>
      </c>
      <c r="D882" s="49">
        <f>INDEX(Periods!$B$5:$B$57,$B882)</f>
        <v/>
      </c>
      <c r="E882" s="49">
        <f>INDEX(Periods!$C$5:$C$57,$B882)</f>
        <v/>
      </c>
      <c r="F882" s="47">
        <f>IF(AND($C882&lt;&gt;"",INDEX(Periods!$D$5:$D$57,$B882)=1),1,0)</f>
        <v/>
      </c>
      <c r="G882" s="47">
        <f>IF($F882=0,0,IF(AND(OR(INDEX(Employees!$D$5:$D$29,$A882)="",$E882&gt;=INDEX(Employees!$D$5:$D$29,$A882)+N(INDEX(Employees!$U$5:$U$29,$A882))),OR(INDEX(Employees!$E$5:$E$29,$A882)="",$D882&lt;=INDEX(Employees!$E$5:$E$29,$A882))),1,0))</f>
        <v/>
      </c>
      <c r="H882" s="47">
        <f>IF($G882=0,0,IF(INDEX(Employees!$D$5:$D$29,$A882)="",0,DATEDIF(INDEX(Employees!$D$5:$D$29,$A882),$E882,"y")))</f>
        <v/>
      </c>
      <c r="I882" s="48">
        <f>IF($G882=0,0,IF(INDEX('Hours Worked'!$D$5:$BD$29,$A882,$B882)="",N(INDEX(Employees!$H$5:$H$29,$A882)),INDEX('Hours Worked'!$D$5:$BD$29,$A882,$B882)))</f>
        <v/>
      </c>
      <c r="J882" s="48">
        <f>IF(OR($G882=0,INDEX(Employees!$O$5:$O$29,$A882)&lt;&gt;"Yes"),0,IF(COUNTIF(Settings!$D$4:$D$9,"&lt;="&amp;$H882)=0,0,INDEX(Settings!$E$4:$E$9,COUNTIF(Settings!$D$4:$D$9,"&lt;="&amp;$H882))))</f>
        <v/>
      </c>
      <c r="K882" s="48">
        <f>IF($G882=0,0,IF(INDEX(Employees!$I$5:$I$29,$A882)="Per pay period",(N(INDEX(Employees!$J$5:$J$29,$A882))+$J882)/Settings!$B$13,IF(INDEX(Employees!$I$5:$I$29,$A882)="Per hour worked",N(INDEX(Employees!$K$5:$K$29,$A882))*$I882,IF(INDEX(Employees!$I$5:$I$29,$A882)="Front-loaded",IF(OR($B882=1,N($G881)=0),N(INDEX(Employees!$J$5:$J$29,$A882))+$J882,0),0))))</f>
        <v/>
      </c>
      <c r="L882" s="48">
        <f>IF($F882=0,0,SUMIFS('Time Off Log'!$H$5:$H$504,'Time Off Log'!$A$5:$A$504,$C882,'Time Off Log'!$B$5:$B$504,"PTO",'Time Off Log'!$E$5:$E$504,"Approved",'Time Off Log'!$C$5:$C$504,"&gt;="&amp;INDEX(Periods!$E$5:$E$57,$B882),'Time Off Log'!$C$5:$C$504,"&lt;="&amp;INDEX(Periods!$F$5:$F$57,$B882)))</f>
        <v/>
      </c>
      <c r="M882" s="48">
        <f>IF($B882=1,N(INDEX(Employees!$N$5:$N$29,$A882)),P881)</f>
        <v/>
      </c>
      <c r="N882" s="48">
        <f>IF(INDEX(Employees!$L$5:$L$29,$A882)="",K882,MAX(0,MIN(K882,INDEX(Employees!$L$5:$L$29,$A882)-(M882-L882))))</f>
        <v/>
      </c>
      <c r="O882" s="48">
        <f>K882-N882</f>
        <v/>
      </c>
      <c r="P882" s="48">
        <f>M882-L882+N882</f>
        <v/>
      </c>
      <c r="Q882" s="48">
        <f>IF($G882=0,0,IF(INDEX(Employees!$P$5:$P$29,$A882)="Per pay period",(N(INDEX(Employees!$Q$5:$Q$29,$A882)))/Settings!$B$13,IF(INDEX(Employees!$P$5:$P$29,$A882)="Per hour worked",N(INDEX(Employees!$R$5:$R$29,$A882))*$I882,IF(INDEX(Employees!$P$5:$P$29,$A882)="Front-loaded",IF(OR($B882=1,N($G881)=0),N(INDEX(Employees!$Q$5:$Q$29,$A882)),0),0))))</f>
        <v/>
      </c>
      <c r="R882" s="48">
        <f>IF($F882=0,0,SUMIFS('Time Off Log'!$H$5:$H$504,'Time Off Log'!$A$5:$A$504,$C882,'Time Off Log'!$B$5:$B$504,"Sick",'Time Off Log'!$E$5:$E$504,"Approved",'Time Off Log'!$C$5:$C$504,"&gt;="&amp;INDEX(Periods!$E$5:$E$57,$B882),'Time Off Log'!$C$5:$C$504,"&lt;="&amp;INDEX(Periods!$F$5:$F$57,$B882)))</f>
        <v/>
      </c>
      <c r="S882" s="48">
        <f>IF($B882=1,N(INDEX(Employees!$T$5:$T$29,$A882)),V881)</f>
        <v/>
      </c>
      <c r="T882" s="48">
        <f>IF(INDEX(Employees!$S$5:$S$29,$A882)="",Q882,MAX(0,MIN(Q882,INDEX(Employees!$S$5:$S$29,$A882)-(S882-R882))))</f>
        <v/>
      </c>
      <c r="U882" s="48">
        <f>Q882-T882</f>
        <v/>
      </c>
      <c r="V882" s="48">
        <f>S882-R882+T882</f>
        <v/>
      </c>
    </row>
    <row r="883">
      <c r="A883" s="47" t="n">
        <v>17</v>
      </c>
      <c r="B883" s="47" t="n">
        <v>31</v>
      </c>
      <c r="C883" s="48">
        <f>INDEX(Employees!$B$5:$B$29,$A883)&amp;""</f>
        <v/>
      </c>
      <c r="D883" s="49">
        <f>INDEX(Periods!$B$5:$B$57,$B883)</f>
        <v/>
      </c>
      <c r="E883" s="49">
        <f>INDEX(Periods!$C$5:$C$57,$B883)</f>
        <v/>
      </c>
      <c r="F883" s="47">
        <f>IF(AND($C883&lt;&gt;"",INDEX(Periods!$D$5:$D$57,$B883)=1),1,0)</f>
        <v/>
      </c>
      <c r="G883" s="47">
        <f>IF($F883=0,0,IF(AND(OR(INDEX(Employees!$D$5:$D$29,$A883)="",$E883&gt;=INDEX(Employees!$D$5:$D$29,$A883)+N(INDEX(Employees!$U$5:$U$29,$A883))),OR(INDEX(Employees!$E$5:$E$29,$A883)="",$D883&lt;=INDEX(Employees!$E$5:$E$29,$A883))),1,0))</f>
        <v/>
      </c>
      <c r="H883" s="47">
        <f>IF($G883=0,0,IF(INDEX(Employees!$D$5:$D$29,$A883)="",0,DATEDIF(INDEX(Employees!$D$5:$D$29,$A883),$E883,"y")))</f>
        <v/>
      </c>
      <c r="I883" s="48">
        <f>IF($G883=0,0,IF(INDEX('Hours Worked'!$D$5:$BD$29,$A883,$B883)="",N(INDEX(Employees!$H$5:$H$29,$A883)),INDEX('Hours Worked'!$D$5:$BD$29,$A883,$B883)))</f>
        <v/>
      </c>
      <c r="J883" s="48">
        <f>IF(OR($G883=0,INDEX(Employees!$O$5:$O$29,$A883)&lt;&gt;"Yes"),0,IF(COUNTIF(Settings!$D$4:$D$9,"&lt;="&amp;$H883)=0,0,INDEX(Settings!$E$4:$E$9,COUNTIF(Settings!$D$4:$D$9,"&lt;="&amp;$H883))))</f>
        <v/>
      </c>
      <c r="K883" s="48">
        <f>IF($G883=0,0,IF(INDEX(Employees!$I$5:$I$29,$A883)="Per pay period",(N(INDEX(Employees!$J$5:$J$29,$A883))+$J883)/Settings!$B$13,IF(INDEX(Employees!$I$5:$I$29,$A883)="Per hour worked",N(INDEX(Employees!$K$5:$K$29,$A883))*$I883,IF(INDEX(Employees!$I$5:$I$29,$A883)="Front-loaded",IF(OR($B883=1,N($G882)=0),N(INDEX(Employees!$J$5:$J$29,$A883))+$J883,0),0))))</f>
        <v/>
      </c>
      <c r="L883" s="48">
        <f>IF($F883=0,0,SUMIFS('Time Off Log'!$H$5:$H$504,'Time Off Log'!$A$5:$A$504,$C883,'Time Off Log'!$B$5:$B$504,"PTO",'Time Off Log'!$E$5:$E$504,"Approved",'Time Off Log'!$C$5:$C$504,"&gt;="&amp;INDEX(Periods!$E$5:$E$57,$B883),'Time Off Log'!$C$5:$C$504,"&lt;="&amp;INDEX(Periods!$F$5:$F$57,$B883)))</f>
        <v/>
      </c>
      <c r="M883" s="48">
        <f>IF($B883=1,N(INDEX(Employees!$N$5:$N$29,$A883)),P882)</f>
        <v/>
      </c>
      <c r="N883" s="48">
        <f>IF(INDEX(Employees!$L$5:$L$29,$A883)="",K883,MAX(0,MIN(K883,INDEX(Employees!$L$5:$L$29,$A883)-(M883-L883))))</f>
        <v/>
      </c>
      <c r="O883" s="48">
        <f>K883-N883</f>
        <v/>
      </c>
      <c r="P883" s="48">
        <f>M883-L883+N883</f>
        <v/>
      </c>
      <c r="Q883" s="48">
        <f>IF($G883=0,0,IF(INDEX(Employees!$P$5:$P$29,$A883)="Per pay period",(N(INDEX(Employees!$Q$5:$Q$29,$A883)))/Settings!$B$13,IF(INDEX(Employees!$P$5:$P$29,$A883)="Per hour worked",N(INDEX(Employees!$R$5:$R$29,$A883))*$I883,IF(INDEX(Employees!$P$5:$P$29,$A883)="Front-loaded",IF(OR($B883=1,N($G882)=0),N(INDEX(Employees!$Q$5:$Q$29,$A883)),0),0))))</f>
        <v/>
      </c>
      <c r="R883" s="48">
        <f>IF($F883=0,0,SUMIFS('Time Off Log'!$H$5:$H$504,'Time Off Log'!$A$5:$A$504,$C883,'Time Off Log'!$B$5:$B$504,"Sick",'Time Off Log'!$E$5:$E$504,"Approved",'Time Off Log'!$C$5:$C$504,"&gt;="&amp;INDEX(Periods!$E$5:$E$57,$B883),'Time Off Log'!$C$5:$C$504,"&lt;="&amp;INDEX(Periods!$F$5:$F$57,$B883)))</f>
        <v/>
      </c>
      <c r="S883" s="48">
        <f>IF($B883=1,N(INDEX(Employees!$T$5:$T$29,$A883)),V882)</f>
        <v/>
      </c>
      <c r="T883" s="48">
        <f>IF(INDEX(Employees!$S$5:$S$29,$A883)="",Q883,MAX(0,MIN(Q883,INDEX(Employees!$S$5:$S$29,$A883)-(S883-R883))))</f>
        <v/>
      </c>
      <c r="U883" s="48">
        <f>Q883-T883</f>
        <v/>
      </c>
      <c r="V883" s="48">
        <f>S883-R883+T883</f>
        <v/>
      </c>
    </row>
    <row r="884">
      <c r="A884" s="47" t="n">
        <v>17</v>
      </c>
      <c r="B884" s="47" t="n">
        <v>32</v>
      </c>
      <c r="C884" s="48">
        <f>INDEX(Employees!$B$5:$B$29,$A884)&amp;""</f>
        <v/>
      </c>
      <c r="D884" s="49">
        <f>INDEX(Periods!$B$5:$B$57,$B884)</f>
        <v/>
      </c>
      <c r="E884" s="49">
        <f>INDEX(Periods!$C$5:$C$57,$B884)</f>
        <v/>
      </c>
      <c r="F884" s="47">
        <f>IF(AND($C884&lt;&gt;"",INDEX(Periods!$D$5:$D$57,$B884)=1),1,0)</f>
        <v/>
      </c>
      <c r="G884" s="47">
        <f>IF($F884=0,0,IF(AND(OR(INDEX(Employees!$D$5:$D$29,$A884)="",$E884&gt;=INDEX(Employees!$D$5:$D$29,$A884)+N(INDEX(Employees!$U$5:$U$29,$A884))),OR(INDEX(Employees!$E$5:$E$29,$A884)="",$D884&lt;=INDEX(Employees!$E$5:$E$29,$A884))),1,0))</f>
        <v/>
      </c>
      <c r="H884" s="47">
        <f>IF($G884=0,0,IF(INDEX(Employees!$D$5:$D$29,$A884)="",0,DATEDIF(INDEX(Employees!$D$5:$D$29,$A884),$E884,"y")))</f>
        <v/>
      </c>
      <c r="I884" s="48">
        <f>IF($G884=0,0,IF(INDEX('Hours Worked'!$D$5:$BD$29,$A884,$B884)="",N(INDEX(Employees!$H$5:$H$29,$A884)),INDEX('Hours Worked'!$D$5:$BD$29,$A884,$B884)))</f>
        <v/>
      </c>
      <c r="J884" s="48">
        <f>IF(OR($G884=0,INDEX(Employees!$O$5:$O$29,$A884)&lt;&gt;"Yes"),0,IF(COUNTIF(Settings!$D$4:$D$9,"&lt;="&amp;$H884)=0,0,INDEX(Settings!$E$4:$E$9,COUNTIF(Settings!$D$4:$D$9,"&lt;="&amp;$H884))))</f>
        <v/>
      </c>
      <c r="K884" s="48">
        <f>IF($G884=0,0,IF(INDEX(Employees!$I$5:$I$29,$A884)="Per pay period",(N(INDEX(Employees!$J$5:$J$29,$A884))+$J884)/Settings!$B$13,IF(INDEX(Employees!$I$5:$I$29,$A884)="Per hour worked",N(INDEX(Employees!$K$5:$K$29,$A884))*$I884,IF(INDEX(Employees!$I$5:$I$29,$A884)="Front-loaded",IF(OR($B884=1,N($G883)=0),N(INDEX(Employees!$J$5:$J$29,$A884))+$J884,0),0))))</f>
        <v/>
      </c>
      <c r="L884" s="48">
        <f>IF($F884=0,0,SUMIFS('Time Off Log'!$H$5:$H$504,'Time Off Log'!$A$5:$A$504,$C884,'Time Off Log'!$B$5:$B$504,"PTO",'Time Off Log'!$E$5:$E$504,"Approved",'Time Off Log'!$C$5:$C$504,"&gt;="&amp;INDEX(Periods!$E$5:$E$57,$B884),'Time Off Log'!$C$5:$C$504,"&lt;="&amp;INDEX(Periods!$F$5:$F$57,$B884)))</f>
        <v/>
      </c>
      <c r="M884" s="48">
        <f>IF($B884=1,N(INDEX(Employees!$N$5:$N$29,$A884)),P883)</f>
        <v/>
      </c>
      <c r="N884" s="48">
        <f>IF(INDEX(Employees!$L$5:$L$29,$A884)="",K884,MAX(0,MIN(K884,INDEX(Employees!$L$5:$L$29,$A884)-(M884-L884))))</f>
        <v/>
      </c>
      <c r="O884" s="48">
        <f>K884-N884</f>
        <v/>
      </c>
      <c r="P884" s="48">
        <f>M884-L884+N884</f>
        <v/>
      </c>
      <c r="Q884" s="48">
        <f>IF($G884=0,0,IF(INDEX(Employees!$P$5:$P$29,$A884)="Per pay period",(N(INDEX(Employees!$Q$5:$Q$29,$A884)))/Settings!$B$13,IF(INDEX(Employees!$P$5:$P$29,$A884)="Per hour worked",N(INDEX(Employees!$R$5:$R$29,$A884))*$I884,IF(INDEX(Employees!$P$5:$P$29,$A884)="Front-loaded",IF(OR($B884=1,N($G883)=0),N(INDEX(Employees!$Q$5:$Q$29,$A884)),0),0))))</f>
        <v/>
      </c>
      <c r="R884" s="48">
        <f>IF($F884=0,0,SUMIFS('Time Off Log'!$H$5:$H$504,'Time Off Log'!$A$5:$A$504,$C884,'Time Off Log'!$B$5:$B$504,"Sick",'Time Off Log'!$E$5:$E$504,"Approved",'Time Off Log'!$C$5:$C$504,"&gt;="&amp;INDEX(Periods!$E$5:$E$57,$B884),'Time Off Log'!$C$5:$C$504,"&lt;="&amp;INDEX(Periods!$F$5:$F$57,$B884)))</f>
        <v/>
      </c>
      <c r="S884" s="48">
        <f>IF($B884=1,N(INDEX(Employees!$T$5:$T$29,$A884)),V883)</f>
        <v/>
      </c>
      <c r="T884" s="48">
        <f>IF(INDEX(Employees!$S$5:$S$29,$A884)="",Q884,MAX(0,MIN(Q884,INDEX(Employees!$S$5:$S$29,$A884)-(S884-R884))))</f>
        <v/>
      </c>
      <c r="U884" s="48">
        <f>Q884-T884</f>
        <v/>
      </c>
      <c r="V884" s="48">
        <f>S884-R884+T884</f>
        <v/>
      </c>
    </row>
    <row r="885">
      <c r="A885" s="47" t="n">
        <v>17</v>
      </c>
      <c r="B885" s="47" t="n">
        <v>33</v>
      </c>
      <c r="C885" s="48">
        <f>INDEX(Employees!$B$5:$B$29,$A885)&amp;""</f>
        <v/>
      </c>
      <c r="D885" s="49">
        <f>INDEX(Periods!$B$5:$B$57,$B885)</f>
        <v/>
      </c>
      <c r="E885" s="49">
        <f>INDEX(Periods!$C$5:$C$57,$B885)</f>
        <v/>
      </c>
      <c r="F885" s="47">
        <f>IF(AND($C885&lt;&gt;"",INDEX(Periods!$D$5:$D$57,$B885)=1),1,0)</f>
        <v/>
      </c>
      <c r="G885" s="47">
        <f>IF($F885=0,0,IF(AND(OR(INDEX(Employees!$D$5:$D$29,$A885)="",$E885&gt;=INDEX(Employees!$D$5:$D$29,$A885)+N(INDEX(Employees!$U$5:$U$29,$A885))),OR(INDEX(Employees!$E$5:$E$29,$A885)="",$D885&lt;=INDEX(Employees!$E$5:$E$29,$A885))),1,0))</f>
        <v/>
      </c>
      <c r="H885" s="47">
        <f>IF($G885=0,0,IF(INDEX(Employees!$D$5:$D$29,$A885)="",0,DATEDIF(INDEX(Employees!$D$5:$D$29,$A885),$E885,"y")))</f>
        <v/>
      </c>
      <c r="I885" s="48">
        <f>IF($G885=0,0,IF(INDEX('Hours Worked'!$D$5:$BD$29,$A885,$B885)="",N(INDEX(Employees!$H$5:$H$29,$A885)),INDEX('Hours Worked'!$D$5:$BD$29,$A885,$B885)))</f>
        <v/>
      </c>
      <c r="J885" s="48">
        <f>IF(OR($G885=0,INDEX(Employees!$O$5:$O$29,$A885)&lt;&gt;"Yes"),0,IF(COUNTIF(Settings!$D$4:$D$9,"&lt;="&amp;$H885)=0,0,INDEX(Settings!$E$4:$E$9,COUNTIF(Settings!$D$4:$D$9,"&lt;="&amp;$H885))))</f>
        <v/>
      </c>
      <c r="K885" s="48">
        <f>IF($G885=0,0,IF(INDEX(Employees!$I$5:$I$29,$A885)="Per pay period",(N(INDEX(Employees!$J$5:$J$29,$A885))+$J885)/Settings!$B$13,IF(INDEX(Employees!$I$5:$I$29,$A885)="Per hour worked",N(INDEX(Employees!$K$5:$K$29,$A885))*$I885,IF(INDEX(Employees!$I$5:$I$29,$A885)="Front-loaded",IF(OR($B885=1,N($G884)=0),N(INDEX(Employees!$J$5:$J$29,$A885))+$J885,0),0))))</f>
        <v/>
      </c>
      <c r="L885" s="48">
        <f>IF($F885=0,0,SUMIFS('Time Off Log'!$H$5:$H$504,'Time Off Log'!$A$5:$A$504,$C885,'Time Off Log'!$B$5:$B$504,"PTO",'Time Off Log'!$E$5:$E$504,"Approved",'Time Off Log'!$C$5:$C$504,"&gt;="&amp;INDEX(Periods!$E$5:$E$57,$B885),'Time Off Log'!$C$5:$C$504,"&lt;="&amp;INDEX(Periods!$F$5:$F$57,$B885)))</f>
        <v/>
      </c>
      <c r="M885" s="48">
        <f>IF($B885=1,N(INDEX(Employees!$N$5:$N$29,$A885)),P884)</f>
        <v/>
      </c>
      <c r="N885" s="48">
        <f>IF(INDEX(Employees!$L$5:$L$29,$A885)="",K885,MAX(0,MIN(K885,INDEX(Employees!$L$5:$L$29,$A885)-(M885-L885))))</f>
        <v/>
      </c>
      <c r="O885" s="48">
        <f>K885-N885</f>
        <v/>
      </c>
      <c r="P885" s="48">
        <f>M885-L885+N885</f>
        <v/>
      </c>
      <c r="Q885" s="48">
        <f>IF($G885=0,0,IF(INDEX(Employees!$P$5:$P$29,$A885)="Per pay period",(N(INDEX(Employees!$Q$5:$Q$29,$A885)))/Settings!$B$13,IF(INDEX(Employees!$P$5:$P$29,$A885)="Per hour worked",N(INDEX(Employees!$R$5:$R$29,$A885))*$I885,IF(INDEX(Employees!$P$5:$P$29,$A885)="Front-loaded",IF(OR($B885=1,N($G884)=0),N(INDEX(Employees!$Q$5:$Q$29,$A885)),0),0))))</f>
        <v/>
      </c>
      <c r="R885" s="48">
        <f>IF($F885=0,0,SUMIFS('Time Off Log'!$H$5:$H$504,'Time Off Log'!$A$5:$A$504,$C885,'Time Off Log'!$B$5:$B$504,"Sick",'Time Off Log'!$E$5:$E$504,"Approved",'Time Off Log'!$C$5:$C$504,"&gt;="&amp;INDEX(Periods!$E$5:$E$57,$B885),'Time Off Log'!$C$5:$C$504,"&lt;="&amp;INDEX(Periods!$F$5:$F$57,$B885)))</f>
        <v/>
      </c>
      <c r="S885" s="48">
        <f>IF($B885=1,N(INDEX(Employees!$T$5:$T$29,$A885)),V884)</f>
        <v/>
      </c>
      <c r="T885" s="48">
        <f>IF(INDEX(Employees!$S$5:$S$29,$A885)="",Q885,MAX(0,MIN(Q885,INDEX(Employees!$S$5:$S$29,$A885)-(S885-R885))))</f>
        <v/>
      </c>
      <c r="U885" s="48">
        <f>Q885-T885</f>
        <v/>
      </c>
      <c r="V885" s="48">
        <f>S885-R885+T885</f>
        <v/>
      </c>
    </row>
    <row r="886">
      <c r="A886" s="47" t="n">
        <v>17</v>
      </c>
      <c r="B886" s="47" t="n">
        <v>34</v>
      </c>
      <c r="C886" s="48">
        <f>INDEX(Employees!$B$5:$B$29,$A886)&amp;""</f>
        <v/>
      </c>
      <c r="D886" s="49">
        <f>INDEX(Periods!$B$5:$B$57,$B886)</f>
        <v/>
      </c>
      <c r="E886" s="49">
        <f>INDEX(Periods!$C$5:$C$57,$B886)</f>
        <v/>
      </c>
      <c r="F886" s="47">
        <f>IF(AND($C886&lt;&gt;"",INDEX(Periods!$D$5:$D$57,$B886)=1),1,0)</f>
        <v/>
      </c>
      <c r="G886" s="47">
        <f>IF($F886=0,0,IF(AND(OR(INDEX(Employees!$D$5:$D$29,$A886)="",$E886&gt;=INDEX(Employees!$D$5:$D$29,$A886)+N(INDEX(Employees!$U$5:$U$29,$A886))),OR(INDEX(Employees!$E$5:$E$29,$A886)="",$D886&lt;=INDEX(Employees!$E$5:$E$29,$A886))),1,0))</f>
        <v/>
      </c>
      <c r="H886" s="47">
        <f>IF($G886=0,0,IF(INDEX(Employees!$D$5:$D$29,$A886)="",0,DATEDIF(INDEX(Employees!$D$5:$D$29,$A886),$E886,"y")))</f>
        <v/>
      </c>
      <c r="I886" s="48">
        <f>IF($G886=0,0,IF(INDEX('Hours Worked'!$D$5:$BD$29,$A886,$B886)="",N(INDEX(Employees!$H$5:$H$29,$A886)),INDEX('Hours Worked'!$D$5:$BD$29,$A886,$B886)))</f>
        <v/>
      </c>
      <c r="J886" s="48">
        <f>IF(OR($G886=0,INDEX(Employees!$O$5:$O$29,$A886)&lt;&gt;"Yes"),0,IF(COUNTIF(Settings!$D$4:$D$9,"&lt;="&amp;$H886)=0,0,INDEX(Settings!$E$4:$E$9,COUNTIF(Settings!$D$4:$D$9,"&lt;="&amp;$H886))))</f>
        <v/>
      </c>
      <c r="K886" s="48">
        <f>IF($G886=0,0,IF(INDEX(Employees!$I$5:$I$29,$A886)="Per pay period",(N(INDEX(Employees!$J$5:$J$29,$A886))+$J886)/Settings!$B$13,IF(INDEX(Employees!$I$5:$I$29,$A886)="Per hour worked",N(INDEX(Employees!$K$5:$K$29,$A886))*$I886,IF(INDEX(Employees!$I$5:$I$29,$A886)="Front-loaded",IF(OR($B886=1,N($G885)=0),N(INDEX(Employees!$J$5:$J$29,$A886))+$J886,0),0))))</f>
        <v/>
      </c>
      <c r="L886" s="48">
        <f>IF($F886=0,0,SUMIFS('Time Off Log'!$H$5:$H$504,'Time Off Log'!$A$5:$A$504,$C886,'Time Off Log'!$B$5:$B$504,"PTO",'Time Off Log'!$E$5:$E$504,"Approved",'Time Off Log'!$C$5:$C$504,"&gt;="&amp;INDEX(Periods!$E$5:$E$57,$B886),'Time Off Log'!$C$5:$C$504,"&lt;="&amp;INDEX(Periods!$F$5:$F$57,$B886)))</f>
        <v/>
      </c>
      <c r="M886" s="48">
        <f>IF($B886=1,N(INDEX(Employees!$N$5:$N$29,$A886)),P885)</f>
        <v/>
      </c>
      <c r="N886" s="48">
        <f>IF(INDEX(Employees!$L$5:$L$29,$A886)="",K886,MAX(0,MIN(K886,INDEX(Employees!$L$5:$L$29,$A886)-(M886-L886))))</f>
        <v/>
      </c>
      <c r="O886" s="48">
        <f>K886-N886</f>
        <v/>
      </c>
      <c r="P886" s="48">
        <f>M886-L886+N886</f>
        <v/>
      </c>
      <c r="Q886" s="48">
        <f>IF($G886=0,0,IF(INDEX(Employees!$P$5:$P$29,$A886)="Per pay period",(N(INDEX(Employees!$Q$5:$Q$29,$A886)))/Settings!$B$13,IF(INDEX(Employees!$P$5:$P$29,$A886)="Per hour worked",N(INDEX(Employees!$R$5:$R$29,$A886))*$I886,IF(INDEX(Employees!$P$5:$P$29,$A886)="Front-loaded",IF(OR($B886=1,N($G885)=0),N(INDEX(Employees!$Q$5:$Q$29,$A886)),0),0))))</f>
        <v/>
      </c>
      <c r="R886" s="48">
        <f>IF($F886=0,0,SUMIFS('Time Off Log'!$H$5:$H$504,'Time Off Log'!$A$5:$A$504,$C886,'Time Off Log'!$B$5:$B$504,"Sick",'Time Off Log'!$E$5:$E$504,"Approved",'Time Off Log'!$C$5:$C$504,"&gt;="&amp;INDEX(Periods!$E$5:$E$57,$B886),'Time Off Log'!$C$5:$C$504,"&lt;="&amp;INDEX(Periods!$F$5:$F$57,$B886)))</f>
        <v/>
      </c>
      <c r="S886" s="48">
        <f>IF($B886=1,N(INDEX(Employees!$T$5:$T$29,$A886)),V885)</f>
        <v/>
      </c>
      <c r="T886" s="48">
        <f>IF(INDEX(Employees!$S$5:$S$29,$A886)="",Q886,MAX(0,MIN(Q886,INDEX(Employees!$S$5:$S$29,$A886)-(S886-R886))))</f>
        <v/>
      </c>
      <c r="U886" s="48">
        <f>Q886-T886</f>
        <v/>
      </c>
      <c r="V886" s="48">
        <f>S886-R886+T886</f>
        <v/>
      </c>
    </row>
    <row r="887">
      <c r="A887" s="47" t="n">
        <v>17</v>
      </c>
      <c r="B887" s="47" t="n">
        <v>35</v>
      </c>
      <c r="C887" s="48">
        <f>INDEX(Employees!$B$5:$B$29,$A887)&amp;""</f>
        <v/>
      </c>
      <c r="D887" s="49">
        <f>INDEX(Periods!$B$5:$B$57,$B887)</f>
        <v/>
      </c>
      <c r="E887" s="49">
        <f>INDEX(Periods!$C$5:$C$57,$B887)</f>
        <v/>
      </c>
      <c r="F887" s="47">
        <f>IF(AND($C887&lt;&gt;"",INDEX(Periods!$D$5:$D$57,$B887)=1),1,0)</f>
        <v/>
      </c>
      <c r="G887" s="47">
        <f>IF($F887=0,0,IF(AND(OR(INDEX(Employees!$D$5:$D$29,$A887)="",$E887&gt;=INDEX(Employees!$D$5:$D$29,$A887)+N(INDEX(Employees!$U$5:$U$29,$A887))),OR(INDEX(Employees!$E$5:$E$29,$A887)="",$D887&lt;=INDEX(Employees!$E$5:$E$29,$A887))),1,0))</f>
        <v/>
      </c>
      <c r="H887" s="47">
        <f>IF($G887=0,0,IF(INDEX(Employees!$D$5:$D$29,$A887)="",0,DATEDIF(INDEX(Employees!$D$5:$D$29,$A887),$E887,"y")))</f>
        <v/>
      </c>
      <c r="I887" s="48">
        <f>IF($G887=0,0,IF(INDEX('Hours Worked'!$D$5:$BD$29,$A887,$B887)="",N(INDEX(Employees!$H$5:$H$29,$A887)),INDEX('Hours Worked'!$D$5:$BD$29,$A887,$B887)))</f>
        <v/>
      </c>
      <c r="J887" s="48">
        <f>IF(OR($G887=0,INDEX(Employees!$O$5:$O$29,$A887)&lt;&gt;"Yes"),0,IF(COUNTIF(Settings!$D$4:$D$9,"&lt;="&amp;$H887)=0,0,INDEX(Settings!$E$4:$E$9,COUNTIF(Settings!$D$4:$D$9,"&lt;="&amp;$H887))))</f>
        <v/>
      </c>
      <c r="K887" s="48">
        <f>IF($G887=0,0,IF(INDEX(Employees!$I$5:$I$29,$A887)="Per pay period",(N(INDEX(Employees!$J$5:$J$29,$A887))+$J887)/Settings!$B$13,IF(INDEX(Employees!$I$5:$I$29,$A887)="Per hour worked",N(INDEX(Employees!$K$5:$K$29,$A887))*$I887,IF(INDEX(Employees!$I$5:$I$29,$A887)="Front-loaded",IF(OR($B887=1,N($G886)=0),N(INDEX(Employees!$J$5:$J$29,$A887))+$J887,0),0))))</f>
        <v/>
      </c>
      <c r="L887" s="48">
        <f>IF($F887=0,0,SUMIFS('Time Off Log'!$H$5:$H$504,'Time Off Log'!$A$5:$A$504,$C887,'Time Off Log'!$B$5:$B$504,"PTO",'Time Off Log'!$E$5:$E$504,"Approved",'Time Off Log'!$C$5:$C$504,"&gt;="&amp;INDEX(Periods!$E$5:$E$57,$B887),'Time Off Log'!$C$5:$C$504,"&lt;="&amp;INDEX(Periods!$F$5:$F$57,$B887)))</f>
        <v/>
      </c>
      <c r="M887" s="48">
        <f>IF($B887=1,N(INDEX(Employees!$N$5:$N$29,$A887)),P886)</f>
        <v/>
      </c>
      <c r="N887" s="48">
        <f>IF(INDEX(Employees!$L$5:$L$29,$A887)="",K887,MAX(0,MIN(K887,INDEX(Employees!$L$5:$L$29,$A887)-(M887-L887))))</f>
        <v/>
      </c>
      <c r="O887" s="48">
        <f>K887-N887</f>
        <v/>
      </c>
      <c r="P887" s="48">
        <f>M887-L887+N887</f>
        <v/>
      </c>
      <c r="Q887" s="48">
        <f>IF($G887=0,0,IF(INDEX(Employees!$P$5:$P$29,$A887)="Per pay period",(N(INDEX(Employees!$Q$5:$Q$29,$A887)))/Settings!$B$13,IF(INDEX(Employees!$P$5:$P$29,$A887)="Per hour worked",N(INDEX(Employees!$R$5:$R$29,$A887))*$I887,IF(INDEX(Employees!$P$5:$P$29,$A887)="Front-loaded",IF(OR($B887=1,N($G886)=0),N(INDEX(Employees!$Q$5:$Q$29,$A887)),0),0))))</f>
        <v/>
      </c>
      <c r="R887" s="48">
        <f>IF($F887=0,0,SUMIFS('Time Off Log'!$H$5:$H$504,'Time Off Log'!$A$5:$A$504,$C887,'Time Off Log'!$B$5:$B$504,"Sick",'Time Off Log'!$E$5:$E$504,"Approved",'Time Off Log'!$C$5:$C$504,"&gt;="&amp;INDEX(Periods!$E$5:$E$57,$B887),'Time Off Log'!$C$5:$C$504,"&lt;="&amp;INDEX(Periods!$F$5:$F$57,$B887)))</f>
        <v/>
      </c>
      <c r="S887" s="48">
        <f>IF($B887=1,N(INDEX(Employees!$T$5:$T$29,$A887)),V886)</f>
        <v/>
      </c>
      <c r="T887" s="48">
        <f>IF(INDEX(Employees!$S$5:$S$29,$A887)="",Q887,MAX(0,MIN(Q887,INDEX(Employees!$S$5:$S$29,$A887)-(S887-R887))))</f>
        <v/>
      </c>
      <c r="U887" s="48">
        <f>Q887-T887</f>
        <v/>
      </c>
      <c r="V887" s="48">
        <f>S887-R887+T887</f>
        <v/>
      </c>
    </row>
    <row r="888">
      <c r="A888" s="47" t="n">
        <v>17</v>
      </c>
      <c r="B888" s="47" t="n">
        <v>36</v>
      </c>
      <c r="C888" s="48">
        <f>INDEX(Employees!$B$5:$B$29,$A888)&amp;""</f>
        <v/>
      </c>
      <c r="D888" s="49">
        <f>INDEX(Periods!$B$5:$B$57,$B888)</f>
        <v/>
      </c>
      <c r="E888" s="49">
        <f>INDEX(Periods!$C$5:$C$57,$B888)</f>
        <v/>
      </c>
      <c r="F888" s="47">
        <f>IF(AND($C888&lt;&gt;"",INDEX(Periods!$D$5:$D$57,$B888)=1),1,0)</f>
        <v/>
      </c>
      <c r="G888" s="47">
        <f>IF($F888=0,0,IF(AND(OR(INDEX(Employees!$D$5:$D$29,$A888)="",$E888&gt;=INDEX(Employees!$D$5:$D$29,$A888)+N(INDEX(Employees!$U$5:$U$29,$A888))),OR(INDEX(Employees!$E$5:$E$29,$A888)="",$D888&lt;=INDEX(Employees!$E$5:$E$29,$A888))),1,0))</f>
        <v/>
      </c>
      <c r="H888" s="47">
        <f>IF($G888=0,0,IF(INDEX(Employees!$D$5:$D$29,$A888)="",0,DATEDIF(INDEX(Employees!$D$5:$D$29,$A888),$E888,"y")))</f>
        <v/>
      </c>
      <c r="I888" s="48">
        <f>IF($G888=0,0,IF(INDEX('Hours Worked'!$D$5:$BD$29,$A888,$B888)="",N(INDEX(Employees!$H$5:$H$29,$A888)),INDEX('Hours Worked'!$D$5:$BD$29,$A888,$B888)))</f>
        <v/>
      </c>
      <c r="J888" s="48">
        <f>IF(OR($G888=0,INDEX(Employees!$O$5:$O$29,$A888)&lt;&gt;"Yes"),0,IF(COUNTIF(Settings!$D$4:$D$9,"&lt;="&amp;$H888)=0,0,INDEX(Settings!$E$4:$E$9,COUNTIF(Settings!$D$4:$D$9,"&lt;="&amp;$H888))))</f>
        <v/>
      </c>
      <c r="K888" s="48">
        <f>IF($G888=0,0,IF(INDEX(Employees!$I$5:$I$29,$A888)="Per pay period",(N(INDEX(Employees!$J$5:$J$29,$A888))+$J888)/Settings!$B$13,IF(INDEX(Employees!$I$5:$I$29,$A888)="Per hour worked",N(INDEX(Employees!$K$5:$K$29,$A888))*$I888,IF(INDEX(Employees!$I$5:$I$29,$A888)="Front-loaded",IF(OR($B888=1,N($G887)=0),N(INDEX(Employees!$J$5:$J$29,$A888))+$J888,0),0))))</f>
        <v/>
      </c>
      <c r="L888" s="48">
        <f>IF($F888=0,0,SUMIFS('Time Off Log'!$H$5:$H$504,'Time Off Log'!$A$5:$A$504,$C888,'Time Off Log'!$B$5:$B$504,"PTO",'Time Off Log'!$E$5:$E$504,"Approved",'Time Off Log'!$C$5:$C$504,"&gt;="&amp;INDEX(Periods!$E$5:$E$57,$B888),'Time Off Log'!$C$5:$C$504,"&lt;="&amp;INDEX(Periods!$F$5:$F$57,$B888)))</f>
        <v/>
      </c>
      <c r="M888" s="48">
        <f>IF($B888=1,N(INDEX(Employees!$N$5:$N$29,$A888)),P887)</f>
        <v/>
      </c>
      <c r="N888" s="48">
        <f>IF(INDEX(Employees!$L$5:$L$29,$A888)="",K888,MAX(0,MIN(K888,INDEX(Employees!$L$5:$L$29,$A888)-(M888-L888))))</f>
        <v/>
      </c>
      <c r="O888" s="48">
        <f>K888-N888</f>
        <v/>
      </c>
      <c r="P888" s="48">
        <f>M888-L888+N888</f>
        <v/>
      </c>
      <c r="Q888" s="48">
        <f>IF($G888=0,0,IF(INDEX(Employees!$P$5:$P$29,$A888)="Per pay period",(N(INDEX(Employees!$Q$5:$Q$29,$A888)))/Settings!$B$13,IF(INDEX(Employees!$P$5:$P$29,$A888)="Per hour worked",N(INDEX(Employees!$R$5:$R$29,$A888))*$I888,IF(INDEX(Employees!$P$5:$P$29,$A888)="Front-loaded",IF(OR($B888=1,N($G887)=0),N(INDEX(Employees!$Q$5:$Q$29,$A888)),0),0))))</f>
        <v/>
      </c>
      <c r="R888" s="48">
        <f>IF($F888=0,0,SUMIFS('Time Off Log'!$H$5:$H$504,'Time Off Log'!$A$5:$A$504,$C888,'Time Off Log'!$B$5:$B$504,"Sick",'Time Off Log'!$E$5:$E$504,"Approved",'Time Off Log'!$C$5:$C$504,"&gt;="&amp;INDEX(Periods!$E$5:$E$57,$B888),'Time Off Log'!$C$5:$C$504,"&lt;="&amp;INDEX(Periods!$F$5:$F$57,$B888)))</f>
        <v/>
      </c>
      <c r="S888" s="48">
        <f>IF($B888=1,N(INDEX(Employees!$T$5:$T$29,$A888)),V887)</f>
        <v/>
      </c>
      <c r="T888" s="48">
        <f>IF(INDEX(Employees!$S$5:$S$29,$A888)="",Q888,MAX(0,MIN(Q888,INDEX(Employees!$S$5:$S$29,$A888)-(S888-R888))))</f>
        <v/>
      </c>
      <c r="U888" s="48">
        <f>Q888-T888</f>
        <v/>
      </c>
      <c r="V888" s="48">
        <f>S888-R888+T888</f>
        <v/>
      </c>
    </row>
    <row r="889">
      <c r="A889" s="47" t="n">
        <v>17</v>
      </c>
      <c r="B889" s="47" t="n">
        <v>37</v>
      </c>
      <c r="C889" s="48">
        <f>INDEX(Employees!$B$5:$B$29,$A889)&amp;""</f>
        <v/>
      </c>
      <c r="D889" s="49">
        <f>INDEX(Periods!$B$5:$B$57,$B889)</f>
        <v/>
      </c>
      <c r="E889" s="49">
        <f>INDEX(Periods!$C$5:$C$57,$B889)</f>
        <v/>
      </c>
      <c r="F889" s="47">
        <f>IF(AND($C889&lt;&gt;"",INDEX(Periods!$D$5:$D$57,$B889)=1),1,0)</f>
        <v/>
      </c>
      <c r="G889" s="47">
        <f>IF($F889=0,0,IF(AND(OR(INDEX(Employees!$D$5:$D$29,$A889)="",$E889&gt;=INDEX(Employees!$D$5:$D$29,$A889)+N(INDEX(Employees!$U$5:$U$29,$A889))),OR(INDEX(Employees!$E$5:$E$29,$A889)="",$D889&lt;=INDEX(Employees!$E$5:$E$29,$A889))),1,0))</f>
        <v/>
      </c>
      <c r="H889" s="47">
        <f>IF($G889=0,0,IF(INDEX(Employees!$D$5:$D$29,$A889)="",0,DATEDIF(INDEX(Employees!$D$5:$D$29,$A889),$E889,"y")))</f>
        <v/>
      </c>
      <c r="I889" s="48">
        <f>IF($G889=0,0,IF(INDEX('Hours Worked'!$D$5:$BD$29,$A889,$B889)="",N(INDEX(Employees!$H$5:$H$29,$A889)),INDEX('Hours Worked'!$D$5:$BD$29,$A889,$B889)))</f>
        <v/>
      </c>
      <c r="J889" s="48">
        <f>IF(OR($G889=0,INDEX(Employees!$O$5:$O$29,$A889)&lt;&gt;"Yes"),0,IF(COUNTIF(Settings!$D$4:$D$9,"&lt;="&amp;$H889)=0,0,INDEX(Settings!$E$4:$E$9,COUNTIF(Settings!$D$4:$D$9,"&lt;="&amp;$H889))))</f>
        <v/>
      </c>
      <c r="K889" s="48">
        <f>IF($G889=0,0,IF(INDEX(Employees!$I$5:$I$29,$A889)="Per pay period",(N(INDEX(Employees!$J$5:$J$29,$A889))+$J889)/Settings!$B$13,IF(INDEX(Employees!$I$5:$I$29,$A889)="Per hour worked",N(INDEX(Employees!$K$5:$K$29,$A889))*$I889,IF(INDEX(Employees!$I$5:$I$29,$A889)="Front-loaded",IF(OR($B889=1,N($G888)=0),N(INDEX(Employees!$J$5:$J$29,$A889))+$J889,0),0))))</f>
        <v/>
      </c>
      <c r="L889" s="48">
        <f>IF($F889=0,0,SUMIFS('Time Off Log'!$H$5:$H$504,'Time Off Log'!$A$5:$A$504,$C889,'Time Off Log'!$B$5:$B$504,"PTO",'Time Off Log'!$E$5:$E$504,"Approved",'Time Off Log'!$C$5:$C$504,"&gt;="&amp;INDEX(Periods!$E$5:$E$57,$B889),'Time Off Log'!$C$5:$C$504,"&lt;="&amp;INDEX(Periods!$F$5:$F$57,$B889)))</f>
        <v/>
      </c>
      <c r="M889" s="48">
        <f>IF($B889=1,N(INDEX(Employees!$N$5:$N$29,$A889)),P888)</f>
        <v/>
      </c>
      <c r="N889" s="48">
        <f>IF(INDEX(Employees!$L$5:$L$29,$A889)="",K889,MAX(0,MIN(K889,INDEX(Employees!$L$5:$L$29,$A889)-(M889-L889))))</f>
        <v/>
      </c>
      <c r="O889" s="48">
        <f>K889-N889</f>
        <v/>
      </c>
      <c r="P889" s="48">
        <f>M889-L889+N889</f>
        <v/>
      </c>
      <c r="Q889" s="48">
        <f>IF($G889=0,0,IF(INDEX(Employees!$P$5:$P$29,$A889)="Per pay period",(N(INDEX(Employees!$Q$5:$Q$29,$A889)))/Settings!$B$13,IF(INDEX(Employees!$P$5:$P$29,$A889)="Per hour worked",N(INDEX(Employees!$R$5:$R$29,$A889))*$I889,IF(INDEX(Employees!$P$5:$P$29,$A889)="Front-loaded",IF(OR($B889=1,N($G888)=0),N(INDEX(Employees!$Q$5:$Q$29,$A889)),0),0))))</f>
        <v/>
      </c>
      <c r="R889" s="48">
        <f>IF($F889=0,0,SUMIFS('Time Off Log'!$H$5:$H$504,'Time Off Log'!$A$5:$A$504,$C889,'Time Off Log'!$B$5:$B$504,"Sick",'Time Off Log'!$E$5:$E$504,"Approved",'Time Off Log'!$C$5:$C$504,"&gt;="&amp;INDEX(Periods!$E$5:$E$57,$B889),'Time Off Log'!$C$5:$C$504,"&lt;="&amp;INDEX(Periods!$F$5:$F$57,$B889)))</f>
        <v/>
      </c>
      <c r="S889" s="48">
        <f>IF($B889=1,N(INDEX(Employees!$T$5:$T$29,$A889)),V888)</f>
        <v/>
      </c>
      <c r="T889" s="48">
        <f>IF(INDEX(Employees!$S$5:$S$29,$A889)="",Q889,MAX(0,MIN(Q889,INDEX(Employees!$S$5:$S$29,$A889)-(S889-R889))))</f>
        <v/>
      </c>
      <c r="U889" s="48">
        <f>Q889-T889</f>
        <v/>
      </c>
      <c r="V889" s="48">
        <f>S889-R889+T889</f>
        <v/>
      </c>
    </row>
    <row r="890">
      <c r="A890" s="47" t="n">
        <v>17</v>
      </c>
      <c r="B890" s="47" t="n">
        <v>38</v>
      </c>
      <c r="C890" s="48">
        <f>INDEX(Employees!$B$5:$B$29,$A890)&amp;""</f>
        <v/>
      </c>
      <c r="D890" s="49">
        <f>INDEX(Periods!$B$5:$B$57,$B890)</f>
        <v/>
      </c>
      <c r="E890" s="49">
        <f>INDEX(Periods!$C$5:$C$57,$B890)</f>
        <v/>
      </c>
      <c r="F890" s="47">
        <f>IF(AND($C890&lt;&gt;"",INDEX(Periods!$D$5:$D$57,$B890)=1),1,0)</f>
        <v/>
      </c>
      <c r="G890" s="47">
        <f>IF($F890=0,0,IF(AND(OR(INDEX(Employees!$D$5:$D$29,$A890)="",$E890&gt;=INDEX(Employees!$D$5:$D$29,$A890)+N(INDEX(Employees!$U$5:$U$29,$A890))),OR(INDEX(Employees!$E$5:$E$29,$A890)="",$D890&lt;=INDEX(Employees!$E$5:$E$29,$A890))),1,0))</f>
        <v/>
      </c>
      <c r="H890" s="47">
        <f>IF($G890=0,0,IF(INDEX(Employees!$D$5:$D$29,$A890)="",0,DATEDIF(INDEX(Employees!$D$5:$D$29,$A890),$E890,"y")))</f>
        <v/>
      </c>
      <c r="I890" s="48">
        <f>IF($G890=0,0,IF(INDEX('Hours Worked'!$D$5:$BD$29,$A890,$B890)="",N(INDEX(Employees!$H$5:$H$29,$A890)),INDEX('Hours Worked'!$D$5:$BD$29,$A890,$B890)))</f>
        <v/>
      </c>
      <c r="J890" s="48">
        <f>IF(OR($G890=0,INDEX(Employees!$O$5:$O$29,$A890)&lt;&gt;"Yes"),0,IF(COUNTIF(Settings!$D$4:$D$9,"&lt;="&amp;$H890)=0,0,INDEX(Settings!$E$4:$E$9,COUNTIF(Settings!$D$4:$D$9,"&lt;="&amp;$H890))))</f>
        <v/>
      </c>
      <c r="K890" s="48">
        <f>IF($G890=0,0,IF(INDEX(Employees!$I$5:$I$29,$A890)="Per pay period",(N(INDEX(Employees!$J$5:$J$29,$A890))+$J890)/Settings!$B$13,IF(INDEX(Employees!$I$5:$I$29,$A890)="Per hour worked",N(INDEX(Employees!$K$5:$K$29,$A890))*$I890,IF(INDEX(Employees!$I$5:$I$29,$A890)="Front-loaded",IF(OR($B890=1,N($G889)=0),N(INDEX(Employees!$J$5:$J$29,$A890))+$J890,0),0))))</f>
        <v/>
      </c>
      <c r="L890" s="48">
        <f>IF($F890=0,0,SUMIFS('Time Off Log'!$H$5:$H$504,'Time Off Log'!$A$5:$A$504,$C890,'Time Off Log'!$B$5:$B$504,"PTO",'Time Off Log'!$E$5:$E$504,"Approved",'Time Off Log'!$C$5:$C$504,"&gt;="&amp;INDEX(Periods!$E$5:$E$57,$B890),'Time Off Log'!$C$5:$C$504,"&lt;="&amp;INDEX(Periods!$F$5:$F$57,$B890)))</f>
        <v/>
      </c>
      <c r="M890" s="48">
        <f>IF($B890=1,N(INDEX(Employees!$N$5:$N$29,$A890)),P889)</f>
        <v/>
      </c>
      <c r="N890" s="48">
        <f>IF(INDEX(Employees!$L$5:$L$29,$A890)="",K890,MAX(0,MIN(K890,INDEX(Employees!$L$5:$L$29,$A890)-(M890-L890))))</f>
        <v/>
      </c>
      <c r="O890" s="48">
        <f>K890-N890</f>
        <v/>
      </c>
      <c r="P890" s="48">
        <f>M890-L890+N890</f>
        <v/>
      </c>
      <c r="Q890" s="48">
        <f>IF($G890=0,0,IF(INDEX(Employees!$P$5:$P$29,$A890)="Per pay period",(N(INDEX(Employees!$Q$5:$Q$29,$A890)))/Settings!$B$13,IF(INDEX(Employees!$P$5:$P$29,$A890)="Per hour worked",N(INDEX(Employees!$R$5:$R$29,$A890))*$I890,IF(INDEX(Employees!$P$5:$P$29,$A890)="Front-loaded",IF(OR($B890=1,N($G889)=0),N(INDEX(Employees!$Q$5:$Q$29,$A890)),0),0))))</f>
        <v/>
      </c>
      <c r="R890" s="48">
        <f>IF($F890=0,0,SUMIFS('Time Off Log'!$H$5:$H$504,'Time Off Log'!$A$5:$A$504,$C890,'Time Off Log'!$B$5:$B$504,"Sick",'Time Off Log'!$E$5:$E$504,"Approved",'Time Off Log'!$C$5:$C$504,"&gt;="&amp;INDEX(Periods!$E$5:$E$57,$B890),'Time Off Log'!$C$5:$C$504,"&lt;="&amp;INDEX(Periods!$F$5:$F$57,$B890)))</f>
        <v/>
      </c>
      <c r="S890" s="48">
        <f>IF($B890=1,N(INDEX(Employees!$T$5:$T$29,$A890)),V889)</f>
        <v/>
      </c>
      <c r="T890" s="48">
        <f>IF(INDEX(Employees!$S$5:$S$29,$A890)="",Q890,MAX(0,MIN(Q890,INDEX(Employees!$S$5:$S$29,$A890)-(S890-R890))))</f>
        <v/>
      </c>
      <c r="U890" s="48">
        <f>Q890-T890</f>
        <v/>
      </c>
      <c r="V890" s="48">
        <f>S890-R890+T890</f>
        <v/>
      </c>
    </row>
    <row r="891">
      <c r="A891" s="47" t="n">
        <v>17</v>
      </c>
      <c r="B891" s="47" t="n">
        <v>39</v>
      </c>
      <c r="C891" s="48">
        <f>INDEX(Employees!$B$5:$B$29,$A891)&amp;""</f>
        <v/>
      </c>
      <c r="D891" s="49">
        <f>INDEX(Periods!$B$5:$B$57,$B891)</f>
        <v/>
      </c>
      <c r="E891" s="49">
        <f>INDEX(Periods!$C$5:$C$57,$B891)</f>
        <v/>
      </c>
      <c r="F891" s="47">
        <f>IF(AND($C891&lt;&gt;"",INDEX(Periods!$D$5:$D$57,$B891)=1),1,0)</f>
        <v/>
      </c>
      <c r="G891" s="47">
        <f>IF($F891=0,0,IF(AND(OR(INDEX(Employees!$D$5:$D$29,$A891)="",$E891&gt;=INDEX(Employees!$D$5:$D$29,$A891)+N(INDEX(Employees!$U$5:$U$29,$A891))),OR(INDEX(Employees!$E$5:$E$29,$A891)="",$D891&lt;=INDEX(Employees!$E$5:$E$29,$A891))),1,0))</f>
        <v/>
      </c>
      <c r="H891" s="47">
        <f>IF($G891=0,0,IF(INDEX(Employees!$D$5:$D$29,$A891)="",0,DATEDIF(INDEX(Employees!$D$5:$D$29,$A891),$E891,"y")))</f>
        <v/>
      </c>
      <c r="I891" s="48">
        <f>IF($G891=0,0,IF(INDEX('Hours Worked'!$D$5:$BD$29,$A891,$B891)="",N(INDEX(Employees!$H$5:$H$29,$A891)),INDEX('Hours Worked'!$D$5:$BD$29,$A891,$B891)))</f>
        <v/>
      </c>
      <c r="J891" s="48">
        <f>IF(OR($G891=0,INDEX(Employees!$O$5:$O$29,$A891)&lt;&gt;"Yes"),0,IF(COUNTIF(Settings!$D$4:$D$9,"&lt;="&amp;$H891)=0,0,INDEX(Settings!$E$4:$E$9,COUNTIF(Settings!$D$4:$D$9,"&lt;="&amp;$H891))))</f>
        <v/>
      </c>
      <c r="K891" s="48">
        <f>IF($G891=0,0,IF(INDEX(Employees!$I$5:$I$29,$A891)="Per pay period",(N(INDEX(Employees!$J$5:$J$29,$A891))+$J891)/Settings!$B$13,IF(INDEX(Employees!$I$5:$I$29,$A891)="Per hour worked",N(INDEX(Employees!$K$5:$K$29,$A891))*$I891,IF(INDEX(Employees!$I$5:$I$29,$A891)="Front-loaded",IF(OR($B891=1,N($G890)=0),N(INDEX(Employees!$J$5:$J$29,$A891))+$J891,0),0))))</f>
        <v/>
      </c>
      <c r="L891" s="48">
        <f>IF($F891=0,0,SUMIFS('Time Off Log'!$H$5:$H$504,'Time Off Log'!$A$5:$A$504,$C891,'Time Off Log'!$B$5:$B$504,"PTO",'Time Off Log'!$E$5:$E$504,"Approved",'Time Off Log'!$C$5:$C$504,"&gt;="&amp;INDEX(Periods!$E$5:$E$57,$B891),'Time Off Log'!$C$5:$C$504,"&lt;="&amp;INDEX(Periods!$F$5:$F$57,$B891)))</f>
        <v/>
      </c>
      <c r="M891" s="48">
        <f>IF($B891=1,N(INDEX(Employees!$N$5:$N$29,$A891)),P890)</f>
        <v/>
      </c>
      <c r="N891" s="48">
        <f>IF(INDEX(Employees!$L$5:$L$29,$A891)="",K891,MAX(0,MIN(K891,INDEX(Employees!$L$5:$L$29,$A891)-(M891-L891))))</f>
        <v/>
      </c>
      <c r="O891" s="48">
        <f>K891-N891</f>
        <v/>
      </c>
      <c r="P891" s="48">
        <f>M891-L891+N891</f>
        <v/>
      </c>
      <c r="Q891" s="48">
        <f>IF($G891=0,0,IF(INDEX(Employees!$P$5:$P$29,$A891)="Per pay period",(N(INDEX(Employees!$Q$5:$Q$29,$A891)))/Settings!$B$13,IF(INDEX(Employees!$P$5:$P$29,$A891)="Per hour worked",N(INDEX(Employees!$R$5:$R$29,$A891))*$I891,IF(INDEX(Employees!$P$5:$P$29,$A891)="Front-loaded",IF(OR($B891=1,N($G890)=0),N(INDEX(Employees!$Q$5:$Q$29,$A891)),0),0))))</f>
        <v/>
      </c>
      <c r="R891" s="48">
        <f>IF($F891=0,0,SUMIFS('Time Off Log'!$H$5:$H$504,'Time Off Log'!$A$5:$A$504,$C891,'Time Off Log'!$B$5:$B$504,"Sick",'Time Off Log'!$E$5:$E$504,"Approved",'Time Off Log'!$C$5:$C$504,"&gt;="&amp;INDEX(Periods!$E$5:$E$57,$B891),'Time Off Log'!$C$5:$C$504,"&lt;="&amp;INDEX(Periods!$F$5:$F$57,$B891)))</f>
        <v/>
      </c>
      <c r="S891" s="48">
        <f>IF($B891=1,N(INDEX(Employees!$T$5:$T$29,$A891)),V890)</f>
        <v/>
      </c>
      <c r="T891" s="48">
        <f>IF(INDEX(Employees!$S$5:$S$29,$A891)="",Q891,MAX(0,MIN(Q891,INDEX(Employees!$S$5:$S$29,$A891)-(S891-R891))))</f>
        <v/>
      </c>
      <c r="U891" s="48">
        <f>Q891-T891</f>
        <v/>
      </c>
      <c r="V891" s="48">
        <f>S891-R891+T891</f>
        <v/>
      </c>
    </row>
    <row r="892">
      <c r="A892" s="47" t="n">
        <v>17</v>
      </c>
      <c r="B892" s="47" t="n">
        <v>40</v>
      </c>
      <c r="C892" s="48">
        <f>INDEX(Employees!$B$5:$B$29,$A892)&amp;""</f>
        <v/>
      </c>
      <c r="D892" s="49">
        <f>INDEX(Periods!$B$5:$B$57,$B892)</f>
        <v/>
      </c>
      <c r="E892" s="49">
        <f>INDEX(Periods!$C$5:$C$57,$B892)</f>
        <v/>
      </c>
      <c r="F892" s="47">
        <f>IF(AND($C892&lt;&gt;"",INDEX(Periods!$D$5:$D$57,$B892)=1),1,0)</f>
        <v/>
      </c>
      <c r="G892" s="47">
        <f>IF($F892=0,0,IF(AND(OR(INDEX(Employees!$D$5:$D$29,$A892)="",$E892&gt;=INDEX(Employees!$D$5:$D$29,$A892)+N(INDEX(Employees!$U$5:$U$29,$A892))),OR(INDEX(Employees!$E$5:$E$29,$A892)="",$D892&lt;=INDEX(Employees!$E$5:$E$29,$A892))),1,0))</f>
        <v/>
      </c>
      <c r="H892" s="47">
        <f>IF($G892=0,0,IF(INDEX(Employees!$D$5:$D$29,$A892)="",0,DATEDIF(INDEX(Employees!$D$5:$D$29,$A892),$E892,"y")))</f>
        <v/>
      </c>
      <c r="I892" s="48">
        <f>IF($G892=0,0,IF(INDEX('Hours Worked'!$D$5:$BD$29,$A892,$B892)="",N(INDEX(Employees!$H$5:$H$29,$A892)),INDEX('Hours Worked'!$D$5:$BD$29,$A892,$B892)))</f>
        <v/>
      </c>
      <c r="J892" s="48">
        <f>IF(OR($G892=0,INDEX(Employees!$O$5:$O$29,$A892)&lt;&gt;"Yes"),0,IF(COUNTIF(Settings!$D$4:$D$9,"&lt;="&amp;$H892)=0,0,INDEX(Settings!$E$4:$E$9,COUNTIF(Settings!$D$4:$D$9,"&lt;="&amp;$H892))))</f>
        <v/>
      </c>
      <c r="K892" s="48">
        <f>IF($G892=0,0,IF(INDEX(Employees!$I$5:$I$29,$A892)="Per pay period",(N(INDEX(Employees!$J$5:$J$29,$A892))+$J892)/Settings!$B$13,IF(INDEX(Employees!$I$5:$I$29,$A892)="Per hour worked",N(INDEX(Employees!$K$5:$K$29,$A892))*$I892,IF(INDEX(Employees!$I$5:$I$29,$A892)="Front-loaded",IF(OR($B892=1,N($G891)=0),N(INDEX(Employees!$J$5:$J$29,$A892))+$J892,0),0))))</f>
        <v/>
      </c>
      <c r="L892" s="48">
        <f>IF($F892=0,0,SUMIFS('Time Off Log'!$H$5:$H$504,'Time Off Log'!$A$5:$A$504,$C892,'Time Off Log'!$B$5:$B$504,"PTO",'Time Off Log'!$E$5:$E$504,"Approved",'Time Off Log'!$C$5:$C$504,"&gt;="&amp;INDEX(Periods!$E$5:$E$57,$B892),'Time Off Log'!$C$5:$C$504,"&lt;="&amp;INDEX(Periods!$F$5:$F$57,$B892)))</f>
        <v/>
      </c>
      <c r="M892" s="48">
        <f>IF($B892=1,N(INDEX(Employees!$N$5:$N$29,$A892)),P891)</f>
        <v/>
      </c>
      <c r="N892" s="48">
        <f>IF(INDEX(Employees!$L$5:$L$29,$A892)="",K892,MAX(0,MIN(K892,INDEX(Employees!$L$5:$L$29,$A892)-(M892-L892))))</f>
        <v/>
      </c>
      <c r="O892" s="48">
        <f>K892-N892</f>
        <v/>
      </c>
      <c r="P892" s="48">
        <f>M892-L892+N892</f>
        <v/>
      </c>
      <c r="Q892" s="48">
        <f>IF($G892=0,0,IF(INDEX(Employees!$P$5:$P$29,$A892)="Per pay period",(N(INDEX(Employees!$Q$5:$Q$29,$A892)))/Settings!$B$13,IF(INDEX(Employees!$P$5:$P$29,$A892)="Per hour worked",N(INDEX(Employees!$R$5:$R$29,$A892))*$I892,IF(INDEX(Employees!$P$5:$P$29,$A892)="Front-loaded",IF(OR($B892=1,N($G891)=0),N(INDEX(Employees!$Q$5:$Q$29,$A892)),0),0))))</f>
        <v/>
      </c>
      <c r="R892" s="48">
        <f>IF($F892=0,0,SUMIFS('Time Off Log'!$H$5:$H$504,'Time Off Log'!$A$5:$A$504,$C892,'Time Off Log'!$B$5:$B$504,"Sick",'Time Off Log'!$E$5:$E$504,"Approved",'Time Off Log'!$C$5:$C$504,"&gt;="&amp;INDEX(Periods!$E$5:$E$57,$B892),'Time Off Log'!$C$5:$C$504,"&lt;="&amp;INDEX(Periods!$F$5:$F$57,$B892)))</f>
        <v/>
      </c>
      <c r="S892" s="48">
        <f>IF($B892=1,N(INDEX(Employees!$T$5:$T$29,$A892)),V891)</f>
        <v/>
      </c>
      <c r="T892" s="48">
        <f>IF(INDEX(Employees!$S$5:$S$29,$A892)="",Q892,MAX(0,MIN(Q892,INDEX(Employees!$S$5:$S$29,$A892)-(S892-R892))))</f>
        <v/>
      </c>
      <c r="U892" s="48">
        <f>Q892-T892</f>
        <v/>
      </c>
      <c r="V892" s="48">
        <f>S892-R892+T892</f>
        <v/>
      </c>
    </row>
    <row r="893">
      <c r="A893" s="47" t="n">
        <v>17</v>
      </c>
      <c r="B893" s="47" t="n">
        <v>41</v>
      </c>
      <c r="C893" s="48">
        <f>INDEX(Employees!$B$5:$B$29,$A893)&amp;""</f>
        <v/>
      </c>
      <c r="D893" s="49">
        <f>INDEX(Periods!$B$5:$B$57,$B893)</f>
        <v/>
      </c>
      <c r="E893" s="49">
        <f>INDEX(Periods!$C$5:$C$57,$B893)</f>
        <v/>
      </c>
      <c r="F893" s="47">
        <f>IF(AND($C893&lt;&gt;"",INDEX(Periods!$D$5:$D$57,$B893)=1),1,0)</f>
        <v/>
      </c>
      <c r="G893" s="47">
        <f>IF($F893=0,0,IF(AND(OR(INDEX(Employees!$D$5:$D$29,$A893)="",$E893&gt;=INDEX(Employees!$D$5:$D$29,$A893)+N(INDEX(Employees!$U$5:$U$29,$A893))),OR(INDEX(Employees!$E$5:$E$29,$A893)="",$D893&lt;=INDEX(Employees!$E$5:$E$29,$A893))),1,0))</f>
        <v/>
      </c>
      <c r="H893" s="47">
        <f>IF($G893=0,0,IF(INDEX(Employees!$D$5:$D$29,$A893)="",0,DATEDIF(INDEX(Employees!$D$5:$D$29,$A893),$E893,"y")))</f>
        <v/>
      </c>
      <c r="I893" s="48">
        <f>IF($G893=0,0,IF(INDEX('Hours Worked'!$D$5:$BD$29,$A893,$B893)="",N(INDEX(Employees!$H$5:$H$29,$A893)),INDEX('Hours Worked'!$D$5:$BD$29,$A893,$B893)))</f>
        <v/>
      </c>
      <c r="J893" s="48">
        <f>IF(OR($G893=0,INDEX(Employees!$O$5:$O$29,$A893)&lt;&gt;"Yes"),0,IF(COUNTIF(Settings!$D$4:$D$9,"&lt;="&amp;$H893)=0,0,INDEX(Settings!$E$4:$E$9,COUNTIF(Settings!$D$4:$D$9,"&lt;="&amp;$H893))))</f>
        <v/>
      </c>
      <c r="K893" s="48">
        <f>IF($G893=0,0,IF(INDEX(Employees!$I$5:$I$29,$A893)="Per pay period",(N(INDEX(Employees!$J$5:$J$29,$A893))+$J893)/Settings!$B$13,IF(INDEX(Employees!$I$5:$I$29,$A893)="Per hour worked",N(INDEX(Employees!$K$5:$K$29,$A893))*$I893,IF(INDEX(Employees!$I$5:$I$29,$A893)="Front-loaded",IF(OR($B893=1,N($G892)=0),N(INDEX(Employees!$J$5:$J$29,$A893))+$J893,0),0))))</f>
        <v/>
      </c>
      <c r="L893" s="48">
        <f>IF($F893=0,0,SUMIFS('Time Off Log'!$H$5:$H$504,'Time Off Log'!$A$5:$A$504,$C893,'Time Off Log'!$B$5:$B$504,"PTO",'Time Off Log'!$E$5:$E$504,"Approved",'Time Off Log'!$C$5:$C$504,"&gt;="&amp;INDEX(Periods!$E$5:$E$57,$B893),'Time Off Log'!$C$5:$C$504,"&lt;="&amp;INDEX(Periods!$F$5:$F$57,$B893)))</f>
        <v/>
      </c>
      <c r="M893" s="48">
        <f>IF($B893=1,N(INDEX(Employees!$N$5:$N$29,$A893)),P892)</f>
        <v/>
      </c>
      <c r="N893" s="48">
        <f>IF(INDEX(Employees!$L$5:$L$29,$A893)="",K893,MAX(0,MIN(K893,INDEX(Employees!$L$5:$L$29,$A893)-(M893-L893))))</f>
        <v/>
      </c>
      <c r="O893" s="48">
        <f>K893-N893</f>
        <v/>
      </c>
      <c r="P893" s="48">
        <f>M893-L893+N893</f>
        <v/>
      </c>
      <c r="Q893" s="48">
        <f>IF($G893=0,0,IF(INDEX(Employees!$P$5:$P$29,$A893)="Per pay period",(N(INDEX(Employees!$Q$5:$Q$29,$A893)))/Settings!$B$13,IF(INDEX(Employees!$P$5:$P$29,$A893)="Per hour worked",N(INDEX(Employees!$R$5:$R$29,$A893))*$I893,IF(INDEX(Employees!$P$5:$P$29,$A893)="Front-loaded",IF(OR($B893=1,N($G892)=0),N(INDEX(Employees!$Q$5:$Q$29,$A893)),0),0))))</f>
        <v/>
      </c>
      <c r="R893" s="48">
        <f>IF($F893=0,0,SUMIFS('Time Off Log'!$H$5:$H$504,'Time Off Log'!$A$5:$A$504,$C893,'Time Off Log'!$B$5:$B$504,"Sick",'Time Off Log'!$E$5:$E$504,"Approved",'Time Off Log'!$C$5:$C$504,"&gt;="&amp;INDEX(Periods!$E$5:$E$57,$B893),'Time Off Log'!$C$5:$C$504,"&lt;="&amp;INDEX(Periods!$F$5:$F$57,$B893)))</f>
        <v/>
      </c>
      <c r="S893" s="48">
        <f>IF($B893=1,N(INDEX(Employees!$T$5:$T$29,$A893)),V892)</f>
        <v/>
      </c>
      <c r="T893" s="48">
        <f>IF(INDEX(Employees!$S$5:$S$29,$A893)="",Q893,MAX(0,MIN(Q893,INDEX(Employees!$S$5:$S$29,$A893)-(S893-R893))))</f>
        <v/>
      </c>
      <c r="U893" s="48">
        <f>Q893-T893</f>
        <v/>
      </c>
      <c r="V893" s="48">
        <f>S893-R893+T893</f>
        <v/>
      </c>
    </row>
    <row r="894">
      <c r="A894" s="47" t="n">
        <v>17</v>
      </c>
      <c r="B894" s="47" t="n">
        <v>42</v>
      </c>
      <c r="C894" s="48">
        <f>INDEX(Employees!$B$5:$B$29,$A894)&amp;""</f>
        <v/>
      </c>
      <c r="D894" s="49">
        <f>INDEX(Periods!$B$5:$B$57,$B894)</f>
        <v/>
      </c>
      <c r="E894" s="49">
        <f>INDEX(Periods!$C$5:$C$57,$B894)</f>
        <v/>
      </c>
      <c r="F894" s="47">
        <f>IF(AND($C894&lt;&gt;"",INDEX(Periods!$D$5:$D$57,$B894)=1),1,0)</f>
        <v/>
      </c>
      <c r="G894" s="47">
        <f>IF($F894=0,0,IF(AND(OR(INDEX(Employees!$D$5:$D$29,$A894)="",$E894&gt;=INDEX(Employees!$D$5:$D$29,$A894)+N(INDEX(Employees!$U$5:$U$29,$A894))),OR(INDEX(Employees!$E$5:$E$29,$A894)="",$D894&lt;=INDEX(Employees!$E$5:$E$29,$A894))),1,0))</f>
        <v/>
      </c>
      <c r="H894" s="47">
        <f>IF($G894=0,0,IF(INDEX(Employees!$D$5:$D$29,$A894)="",0,DATEDIF(INDEX(Employees!$D$5:$D$29,$A894),$E894,"y")))</f>
        <v/>
      </c>
      <c r="I894" s="48">
        <f>IF($G894=0,0,IF(INDEX('Hours Worked'!$D$5:$BD$29,$A894,$B894)="",N(INDEX(Employees!$H$5:$H$29,$A894)),INDEX('Hours Worked'!$D$5:$BD$29,$A894,$B894)))</f>
        <v/>
      </c>
      <c r="J894" s="48">
        <f>IF(OR($G894=0,INDEX(Employees!$O$5:$O$29,$A894)&lt;&gt;"Yes"),0,IF(COUNTIF(Settings!$D$4:$D$9,"&lt;="&amp;$H894)=0,0,INDEX(Settings!$E$4:$E$9,COUNTIF(Settings!$D$4:$D$9,"&lt;="&amp;$H894))))</f>
        <v/>
      </c>
      <c r="K894" s="48">
        <f>IF($G894=0,0,IF(INDEX(Employees!$I$5:$I$29,$A894)="Per pay period",(N(INDEX(Employees!$J$5:$J$29,$A894))+$J894)/Settings!$B$13,IF(INDEX(Employees!$I$5:$I$29,$A894)="Per hour worked",N(INDEX(Employees!$K$5:$K$29,$A894))*$I894,IF(INDEX(Employees!$I$5:$I$29,$A894)="Front-loaded",IF(OR($B894=1,N($G893)=0),N(INDEX(Employees!$J$5:$J$29,$A894))+$J894,0),0))))</f>
        <v/>
      </c>
      <c r="L894" s="48">
        <f>IF($F894=0,0,SUMIFS('Time Off Log'!$H$5:$H$504,'Time Off Log'!$A$5:$A$504,$C894,'Time Off Log'!$B$5:$B$504,"PTO",'Time Off Log'!$E$5:$E$504,"Approved",'Time Off Log'!$C$5:$C$504,"&gt;="&amp;INDEX(Periods!$E$5:$E$57,$B894),'Time Off Log'!$C$5:$C$504,"&lt;="&amp;INDEX(Periods!$F$5:$F$57,$B894)))</f>
        <v/>
      </c>
      <c r="M894" s="48">
        <f>IF($B894=1,N(INDEX(Employees!$N$5:$N$29,$A894)),P893)</f>
        <v/>
      </c>
      <c r="N894" s="48">
        <f>IF(INDEX(Employees!$L$5:$L$29,$A894)="",K894,MAX(0,MIN(K894,INDEX(Employees!$L$5:$L$29,$A894)-(M894-L894))))</f>
        <v/>
      </c>
      <c r="O894" s="48">
        <f>K894-N894</f>
        <v/>
      </c>
      <c r="P894" s="48">
        <f>M894-L894+N894</f>
        <v/>
      </c>
      <c r="Q894" s="48">
        <f>IF($G894=0,0,IF(INDEX(Employees!$P$5:$P$29,$A894)="Per pay period",(N(INDEX(Employees!$Q$5:$Q$29,$A894)))/Settings!$B$13,IF(INDEX(Employees!$P$5:$P$29,$A894)="Per hour worked",N(INDEX(Employees!$R$5:$R$29,$A894))*$I894,IF(INDEX(Employees!$P$5:$P$29,$A894)="Front-loaded",IF(OR($B894=1,N($G893)=0),N(INDEX(Employees!$Q$5:$Q$29,$A894)),0),0))))</f>
        <v/>
      </c>
      <c r="R894" s="48">
        <f>IF($F894=0,0,SUMIFS('Time Off Log'!$H$5:$H$504,'Time Off Log'!$A$5:$A$504,$C894,'Time Off Log'!$B$5:$B$504,"Sick",'Time Off Log'!$E$5:$E$504,"Approved",'Time Off Log'!$C$5:$C$504,"&gt;="&amp;INDEX(Periods!$E$5:$E$57,$B894),'Time Off Log'!$C$5:$C$504,"&lt;="&amp;INDEX(Periods!$F$5:$F$57,$B894)))</f>
        <v/>
      </c>
      <c r="S894" s="48">
        <f>IF($B894=1,N(INDEX(Employees!$T$5:$T$29,$A894)),V893)</f>
        <v/>
      </c>
      <c r="T894" s="48">
        <f>IF(INDEX(Employees!$S$5:$S$29,$A894)="",Q894,MAX(0,MIN(Q894,INDEX(Employees!$S$5:$S$29,$A894)-(S894-R894))))</f>
        <v/>
      </c>
      <c r="U894" s="48">
        <f>Q894-T894</f>
        <v/>
      </c>
      <c r="V894" s="48">
        <f>S894-R894+T894</f>
        <v/>
      </c>
    </row>
    <row r="895">
      <c r="A895" s="47" t="n">
        <v>17</v>
      </c>
      <c r="B895" s="47" t="n">
        <v>43</v>
      </c>
      <c r="C895" s="48">
        <f>INDEX(Employees!$B$5:$B$29,$A895)&amp;""</f>
        <v/>
      </c>
      <c r="D895" s="49">
        <f>INDEX(Periods!$B$5:$B$57,$B895)</f>
        <v/>
      </c>
      <c r="E895" s="49">
        <f>INDEX(Periods!$C$5:$C$57,$B895)</f>
        <v/>
      </c>
      <c r="F895" s="47">
        <f>IF(AND($C895&lt;&gt;"",INDEX(Periods!$D$5:$D$57,$B895)=1),1,0)</f>
        <v/>
      </c>
      <c r="G895" s="47">
        <f>IF($F895=0,0,IF(AND(OR(INDEX(Employees!$D$5:$D$29,$A895)="",$E895&gt;=INDEX(Employees!$D$5:$D$29,$A895)+N(INDEX(Employees!$U$5:$U$29,$A895))),OR(INDEX(Employees!$E$5:$E$29,$A895)="",$D895&lt;=INDEX(Employees!$E$5:$E$29,$A895))),1,0))</f>
        <v/>
      </c>
      <c r="H895" s="47">
        <f>IF($G895=0,0,IF(INDEX(Employees!$D$5:$D$29,$A895)="",0,DATEDIF(INDEX(Employees!$D$5:$D$29,$A895),$E895,"y")))</f>
        <v/>
      </c>
      <c r="I895" s="48">
        <f>IF($G895=0,0,IF(INDEX('Hours Worked'!$D$5:$BD$29,$A895,$B895)="",N(INDEX(Employees!$H$5:$H$29,$A895)),INDEX('Hours Worked'!$D$5:$BD$29,$A895,$B895)))</f>
        <v/>
      </c>
      <c r="J895" s="48">
        <f>IF(OR($G895=0,INDEX(Employees!$O$5:$O$29,$A895)&lt;&gt;"Yes"),0,IF(COUNTIF(Settings!$D$4:$D$9,"&lt;="&amp;$H895)=0,0,INDEX(Settings!$E$4:$E$9,COUNTIF(Settings!$D$4:$D$9,"&lt;="&amp;$H895))))</f>
        <v/>
      </c>
      <c r="K895" s="48">
        <f>IF($G895=0,0,IF(INDEX(Employees!$I$5:$I$29,$A895)="Per pay period",(N(INDEX(Employees!$J$5:$J$29,$A895))+$J895)/Settings!$B$13,IF(INDEX(Employees!$I$5:$I$29,$A895)="Per hour worked",N(INDEX(Employees!$K$5:$K$29,$A895))*$I895,IF(INDEX(Employees!$I$5:$I$29,$A895)="Front-loaded",IF(OR($B895=1,N($G894)=0),N(INDEX(Employees!$J$5:$J$29,$A895))+$J895,0),0))))</f>
        <v/>
      </c>
      <c r="L895" s="48">
        <f>IF($F895=0,0,SUMIFS('Time Off Log'!$H$5:$H$504,'Time Off Log'!$A$5:$A$504,$C895,'Time Off Log'!$B$5:$B$504,"PTO",'Time Off Log'!$E$5:$E$504,"Approved",'Time Off Log'!$C$5:$C$504,"&gt;="&amp;INDEX(Periods!$E$5:$E$57,$B895),'Time Off Log'!$C$5:$C$504,"&lt;="&amp;INDEX(Periods!$F$5:$F$57,$B895)))</f>
        <v/>
      </c>
      <c r="M895" s="48">
        <f>IF($B895=1,N(INDEX(Employees!$N$5:$N$29,$A895)),P894)</f>
        <v/>
      </c>
      <c r="N895" s="48">
        <f>IF(INDEX(Employees!$L$5:$L$29,$A895)="",K895,MAX(0,MIN(K895,INDEX(Employees!$L$5:$L$29,$A895)-(M895-L895))))</f>
        <v/>
      </c>
      <c r="O895" s="48">
        <f>K895-N895</f>
        <v/>
      </c>
      <c r="P895" s="48">
        <f>M895-L895+N895</f>
        <v/>
      </c>
      <c r="Q895" s="48">
        <f>IF($G895=0,0,IF(INDEX(Employees!$P$5:$P$29,$A895)="Per pay period",(N(INDEX(Employees!$Q$5:$Q$29,$A895)))/Settings!$B$13,IF(INDEX(Employees!$P$5:$P$29,$A895)="Per hour worked",N(INDEX(Employees!$R$5:$R$29,$A895))*$I895,IF(INDEX(Employees!$P$5:$P$29,$A895)="Front-loaded",IF(OR($B895=1,N($G894)=0),N(INDEX(Employees!$Q$5:$Q$29,$A895)),0),0))))</f>
        <v/>
      </c>
      <c r="R895" s="48">
        <f>IF($F895=0,0,SUMIFS('Time Off Log'!$H$5:$H$504,'Time Off Log'!$A$5:$A$504,$C895,'Time Off Log'!$B$5:$B$504,"Sick",'Time Off Log'!$E$5:$E$504,"Approved",'Time Off Log'!$C$5:$C$504,"&gt;="&amp;INDEX(Periods!$E$5:$E$57,$B895),'Time Off Log'!$C$5:$C$504,"&lt;="&amp;INDEX(Periods!$F$5:$F$57,$B895)))</f>
        <v/>
      </c>
      <c r="S895" s="48">
        <f>IF($B895=1,N(INDEX(Employees!$T$5:$T$29,$A895)),V894)</f>
        <v/>
      </c>
      <c r="T895" s="48">
        <f>IF(INDEX(Employees!$S$5:$S$29,$A895)="",Q895,MAX(0,MIN(Q895,INDEX(Employees!$S$5:$S$29,$A895)-(S895-R895))))</f>
        <v/>
      </c>
      <c r="U895" s="48">
        <f>Q895-T895</f>
        <v/>
      </c>
      <c r="V895" s="48">
        <f>S895-R895+T895</f>
        <v/>
      </c>
    </row>
    <row r="896">
      <c r="A896" s="47" t="n">
        <v>17</v>
      </c>
      <c r="B896" s="47" t="n">
        <v>44</v>
      </c>
      <c r="C896" s="48">
        <f>INDEX(Employees!$B$5:$B$29,$A896)&amp;""</f>
        <v/>
      </c>
      <c r="D896" s="49">
        <f>INDEX(Periods!$B$5:$B$57,$B896)</f>
        <v/>
      </c>
      <c r="E896" s="49">
        <f>INDEX(Periods!$C$5:$C$57,$B896)</f>
        <v/>
      </c>
      <c r="F896" s="47">
        <f>IF(AND($C896&lt;&gt;"",INDEX(Periods!$D$5:$D$57,$B896)=1),1,0)</f>
        <v/>
      </c>
      <c r="G896" s="47">
        <f>IF($F896=0,0,IF(AND(OR(INDEX(Employees!$D$5:$D$29,$A896)="",$E896&gt;=INDEX(Employees!$D$5:$D$29,$A896)+N(INDEX(Employees!$U$5:$U$29,$A896))),OR(INDEX(Employees!$E$5:$E$29,$A896)="",$D896&lt;=INDEX(Employees!$E$5:$E$29,$A896))),1,0))</f>
        <v/>
      </c>
      <c r="H896" s="47">
        <f>IF($G896=0,0,IF(INDEX(Employees!$D$5:$D$29,$A896)="",0,DATEDIF(INDEX(Employees!$D$5:$D$29,$A896),$E896,"y")))</f>
        <v/>
      </c>
      <c r="I896" s="48">
        <f>IF($G896=0,0,IF(INDEX('Hours Worked'!$D$5:$BD$29,$A896,$B896)="",N(INDEX(Employees!$H$5:$H$29,$A896)),INDEX('Hours Worked'!$D$5:$BD$29,$A896,$B896)))</f>
        <v/>
      </c>
      <c r="J896" s="48">
        <f>IF(OR($G896=0,INDEX(Employees!$O$5:$O$29,$A896)&lt;&gt;"Yes"),0,IF(COUNTIF(Settings!$D$4:$D$9,"&lt;="&amp;$H896)=0,0,INDEX(Settings!$E$4:$E$9,COUNTIF(Settings!$D$4:$D$9,"&lt;="&amp;$H896))))</f>
        <v/>
      </c>
      <c r="K896" s="48">
        <f>IF($G896=0,0,IF(INDEX(Employees!$I$5:$I$29,$A896)="Per pay period",(N(INDEX(Employees!$J$5:$J$29,$A896))+$J896)/Settings!$B$13,IF(INDEX(Employees!$I$5:$I$29,$A896)="Per hour worked",N(INDEX(Employees!$K$5:$K$29,$A896))*$I896,IF(INDEX(Employees!$I$5:$I$29,$A896)="Front-loaded",IF(OR($B896=1,N($G895)=0),N(INDEX(Employees!$J$5:$J$29,$A896))+$J896,0),0))))</f>
        <v/>
      </c>
      <c r="L896" s="48">
        <f>IF($F896=0,0,SUMIFS('Time Off Log'!$H$5:$H$504,'Time Off Log'!$A$5:$A$504,$C896,'Time Off Log'!$B$5:$B$504,"PTO",'Time Off Log'!$E$5:$E$504,"Approved",'Time Off Log'!$C$5:$C$504,"&gt;="&amp;INDEX(Periods!$E$5:$E$57,$B896),'Time Off Log'!$C$5:$C$504,"&lt;="&amp;INDEX(Periods!$F$5:$F$57,$B896)))</f>
        <v/>
      </c>
      <c r="M896" s="48">
        <f>IF($B896=1,N(INDEX(Employees!$N$5:$N$29,$A896)),P895)</f>
        <v/>
      </c>
      <c r="N896" s="48">
        <f>IF(INDEX(Employees!$L$5:$L$29,$A896)="",K896,MAX(0,MIN(K896,INDEX(Employees!$L$5:$L$29,$A896)-(M896-L896))))</f>
        <v/>
      </c>
      <c r="O896" s="48">
        <f>K896-N896</f>
        <v/>
      </c>
      <c r="P896" s="48">
        <f>M896-L896+N896</f>
        <v/>
      </c>
      <c r="Q896" s="48">
        <f>IF($G896=0,0,IF(INDEX(Employees!$P$5:$P$29,$A896)="Per pay period",(N(INDEX(Employees!$Q$5:$Q$29,$A896)))/Settings!$B$13,IF(INDEX(Employees!$P$5:$P$29,$A896)="Per hour worked",N(INDEX(Employees!$R$5:$R$29,$A896))*$I896,IF(INDEX(Employees!$P$5:$P$29,$A896)="Front-loaded",IF(OR($B896=1,N($G895)=0),N(INDEX(Employees!$Q$5:$Q$29,$A896)),0),0))))</f>
        <v/>
      </c>
      <c r="R896" s="48">
        <f>IF($F896=0,0,SUMIFS('Time Off Log'!$H$5:$H$504,'Time Off Log'!$A$5:$A$504,$C896,'Time Off Log'!$B$5:$B$504,"Sick",'Time Off Log'!$E$5:$E$504,"Approved",'Time Off Log'!$C$5:$C$504,"&gt;="&amp;INDEX(Periods!$E$5:$E$57,$B896),'Time Off Log'!$C$5:$C$504,"&lt;="&amp;INDEX(Periods!$F$5:$F$57,$B896)))</f>
        <v/>
      </c>
      <c r="S896" s="48">
        <f>IF($B896=1,N(INDEX(Employees!$T$5:$T$29,$A896)),V895)</f>
        <v/>
      </c>
      <c r="T896" s="48">
        <f>IF(INDEX(Employees!$S$5:$S$29,$A896)="",Q896,MAX(0,MIN(Q896,INDEX(Employees!$S$5:$S$29,$A896)-(S896-R896))))</f>
        <v/>
      </c>
      <c r="U896" s="48">
        <f>Q896-T896</f>
        <v/>
      </c>
      <c r="V896" s="48">
        <f>S896-R896+T896</f>
        <v/>
      </c>
    </row>
    <row r="897">
      <c r="A897" s="47" t="n">
        <v>17</v>
      </c>
      <c r="B897" s="47" t="n">
        <v>45</v>
      </c>
      <c r="C897" s="48">
        <f>INDEX(Employees!$B$5:$B$29,$A897)&amp;""</f>
        <v/>
      </c>
      <c r="D897" s="49">
        <f>INDEX(Periods!$B$5:$B$57,$B897)</f>
        <v/>
      </c>
      <c r="E897" s="49">
        <f>INDEX(Periods!$C$5:$C$57,$B897)</f>
        <v/>
      </c>
      <c r="F897" s="47">
        <f>IF(AND($C897&lt;&gt;"",INDEX(Periods!$D$5:$D$57,$B897)=1),1,0)</f>
        <v/>
      </c>
      <c r="G897" s="47">
        <f>IF($F897=0,0,IF(AND(OR(INDEX(Employees!$D$5:$D$29,$A897)="",$E897&gt;=INDEX(Employees!$D$5:$D$29,$A897)+N(INDEX(Employees!$U$5:$U$29,$A897))),OR(INDEX(Employees!$E$5:$E$29,$A897)="",$D897&lt;=INDEX(Employees!$E$5:$E$29,$A897))),1,0))</f>
        <v/>
      </c>
      <c r="H897" s="47">
        <f>IF($G897=0,0,IF(INDEX(Employees!$D$5:$D$29,$A897)="",0,DATEDIF(INDEX(Employees!$D$5:$D$29,$A897),$E897,"y")))</f>
        <v/>
      </c>
      <c r="I897" s="48">
        <f>IF($G897=0,0,IF(INDEX('Hours Worked'!$D$5:$BD$29,$A897,$B897)="",N(INDEX(Employees!$H$5:$H$29,$A897)),INDEX('Hours Worked'!$D$5:$BD$29,$A897,$B897)))</f>
        <v/>
      </c>
      <c r="J897" s="48">
        <f>IF(OR($G897=0,INDEX(Employees!$O$5:$O$29,$A897)&lt;&gt;"Yes"),0,IF(COUNTIF(Settings!$D$4:$D$9,"&lt;="&amp;$H897)=0,0,INDEX(Settings!$E$4:$E$9,COUNTIF(Settings!$D$4:$D$9,"&lt;="&amp;$H897))))</f>
        <v/>
      </c>
      <c r="K897" s="48">
        <f>IF($G897=0,0,IF(INDEX(Employees!$I$5:$I$29,$A897)="Per pay period",(N(INDEX(Employees!$J$5:$J$29,$A897))+$J897)/Settings!$B$13,IF(INDEX(Employees!$I$5:$I$29,$A897)="Per hour worked",N(INDEX(Employees!$K$5:$K$29,$A897))*$I897,IF(INDEX(Employees!$I$5:$I$29,$A897)="Front-loaded",IF(OR($B897=1,N($G896)=0),N(INDEX(Employees!$J$5:$J$29,$A897))+$J897,0),0))))</f>
        <v/>
      </c>
      <c r="L897" s="48">
        <f>IF($F897=0,0,SUMIFS('Time Off Log'!$H$5:$H$504,'Time Off Log'!$A$5:$A$504,$C897,'Time Off Log'!$B$5:$B$504,"PTO",'Time Off Log'!$E$5:$E$504,"Approved",'Time Off Log'!$C$5:$C$504,"&gt;="&amp;INDEX(Periods!$E$5:$E$57,$B897),'Time Off Log'!$C$5:$C$504,"&lt;="&amp;INDEX(Periods!$F$5:$F$57,$B897)))</f>
        <v/>
      </c>
      <c r="M897" s="48">
        <f>IF($B897=1,N(INDEX(Employees!$N$5:$N$29,$A897)),P896)</f>
        <v/>
      </c>
      <c r="N897" s="48">
        <f>IF(INDEX(Employees!$L$5:$L$29,$A897)="",K897,MAX(0,MIN(K897,INDEX(Employees!$L$5:$L$29,$A897)-(M897-L897))))</f>
        <v/>
      </c>
      <c r="O897" s="48">
        <f>K897-N897</f>
        <v/>
      </c>
      <c r="P897" s="48">
        <f>M897-L897+N897</f>
        <v/>
      </c>
      <c r="Q897" s="48">
        <f>IF($G897=0,0,IF(INDEX(Employees!$P$5:$P$29,$A897)="Per pay period",(N(INDEX(Employees!$Q$5:$Q$29,$A897)))/Settings!$B$13,IF(INDEX(Employees!$P$5:$P$29,$A897)="Per hour worked",N(INDEX(Employees!$R$5:$R$29,$A897))*$I897,IF(INDEX(Employees!$P$5:$P$29,$A897)="Front-loaded",IF(OR($B897=1,N($G896)=0),N(INDEX(Employees!$Q$5:$Q$29,$A897)),0),0))))</f>
        <v/>
      </c>
      <c r="R897" s="48">
        <f>IF($F897=0,0,SUMIFS('Time Off Log'!$H$5:$H$504,'Time Off Log'!$A$5:$A$504,$C897,'Time Off Log'!$B$5:$B$504,"Sick",'Time Off Log'!$E$5:$E$504,"Approved",'Time Off Log'!$C$5:$C$504,"&gt;="&amp;INDEX(Periods!$E$5:$E$57,$B897),'Time Off Log'!$C$5:$C$504,"&lt;="&amp;INDEX(Periods!$F$5:$F$57,$B897)))</f>
        <v/>
      </c>
      <c r="S897" s="48">
        <f>IF($B897=1,N(INDEX(Employees!$T$5:$T$29,$A897)),V896)</f>
        <v/>
      </c>
      <c r="T897" s="48">
        <f>IF(INDEX(Employees!$S$5:$S$29,$A897)="",Q897,MAX(0,MIN(Q897,INDEX(Employees!$S$5:$S$29,$A897)-(S897-R897))))</f>
        <v/>
      </c>
      <c r="U897" s="48">
        <f>Q897-T897</f>
        <v/>
      </c>
      <c r="V897" s="48">
        <f>S897-R897+T897</f>
        <v/>
      </c>
    </row>
    <row r="898">
      <c r="A898" s="47" t="n">
        <v>17</v>
      </c>
      <c r="B898" s="47" t="n">
        <v>46</v>
      </c>
      <c r="C898" s="48">
        <f>INDEX(Employees!$B$5:$B$29,$A898)&amp;""</f>
        <v/>
      </c>
      <c r="D898" s="49">
        <f>INDEX(Periods!$B$5:$B$57,$B898)</f>
        <v/>
      </c>
      <c r="E898" s="49">
        <f>INDEX(Periods!$C$5:$C$57,$B898)</f>
        <v/>
      </c>
      <c r="F898" s="47">
        <f>IF(AND($C898&lt;&gt;"",INDEX(Periods!$D$5:$D$57,$B898)=1),1,0)</f>
        <v/>
      </c>
      <c r="G898" s="47">
        <f>IF($F898=0,0,IF(AND(OR(INDEX(Employees!$D$5:$D$29,$A898)="",$E898&gt;=INDEX(Employees!$D$5:$D$29,$A898)+N(INDEX(Employees!$U$5:$U$29,$A898))),OR(INDEX(Employees!$E$5:$E$29,$A898)="",$D898&lt;=INDEX(Employees!$E$5:$E$29,$A898))),1,0))</f>
        <v/>
      </c>
      <c r="H898" s="47">
        <f>IF($G898=0,0,IF(INDEX(Employees!$D$5:$D$29,$A898)="",0,DATEDIF(INDEX(Employees!$D$5:$D$29,$A898),$E898,"y")))</f>
        <v/>
      </c>
      <c r="I898" s="48">
        <f>IF($G898=0,0,IF(INDEX('Hours Worked'!$D$5:$BD$29,$A898,$B898)="",N(INDEX(Employees!$H$5:$H$29,$A898)),INDEX('Hours Worked'!$D$5:$BD$29,$A898,$B898)))</f>
        <v/>
      </c>
      <c r="J898" s="48">
        <f>IF(OR($G898=0,INDEX(Employees!$O$5:$O$29,$A898)&lt;&gt;"Yes"),0,IF(COUNTIF(Settings!$D$4:$D$9,"&lt;="&amp;$H898)=0,0,INDEX(Settings!$E$4:$E$9,COUNTIF(Settings!$D$4:$D$9,"&lt;="&amp;$H898))))</f>
        <v/>
      </c>
      <c r="K898" s="48">
        <f>IF($G898=0,0,IF(INDEX(Employees!$I$5:$I$29,$A898)="Per pay period",(N(INDEX(Employees!$J$5:$J$29,$A898))+$J898)/Settings!$B$13,IF(INDEX(Employees!$I$5:$I$29,$A898)="Per hour worked",N(INDEX(Employees!$K$5:$K$29,$A898))*$I898,IF(INDEX(Employees!$I$5:$I$29,$A898)="Front-loaded",IF(OR($B898=1,N($G897)=0),N(INDEX(Employees!$J$5:$J$29,$A898))+$J898,0),0))))</f>
        <v/>
      </c>
      <c r="L898" s="48">
        <f>IF($F898=0,0,SUMIFS('Time Off Log'!$H$5:$H$504,'Time Off Log'!$A$5:$A$504,$C898,'Time Off Log'!$B$5:$B$504,"PTO",'Time Off Log'!$E$5:$E$504,"Approved",'Time Off Log'!$C$5:$C$504,"&gt;="&amp;INDEX(Periods!$E$5:$E$57,$B898),'Time Off Log'!$C$5:$C$504,"&lt;="&amp;INDEX(Periods!$F$5:$F$57,$B898)))</f>
        <v/>
      </c>
      <c r="M898" s="48">
        <f>IF($B898=1,N(INDEX(Employees!$N$5:$N$29,$A898)),P897)</f>
        <v/>
      </c>
      <c r="N898" s="48">
        <f>IF(INDEX(Employees!$L$5:$L$29,$A898)="",K898,MAX(0,MIN(K898,INDEX(Employees!$L$5:$L$29,$A898)-(M898-L898))))</f>
        <v/>
      </c>
      <c r="O898" s="48">
        <f>K898-N898</f>
        <v/>
      </c>
      <c r="P898" s="48">
        <f>M898-L898+N898</f>
        <v/>
      </c>
      <c r="Q898" s="48">
        <f>IF($G898=0,0,IF(INDEX(Employees!$P$5:$P$29,$A898)="Per pay period",(N(INDEX(Employees!$Q$5:$Q$29,$A898)))/Settings!$B$13,IF(INDEX(Employees!$P$5:$P$29,$A898)="Per hour worked",N(INDEX(Employees!$R$5:$R$29,$A898))*$I898,IF(INDEX(Employees!$P$5:$P$29,$A898)="Front-loaded",IF(OR($B898=1,N($G897)=0),N(INDEX(Employees!$Q$5:$Q$29,$A898)),0),0))))</f>
        <v/>
      </c>
      <c r="R898" s="48">
        <f>IF($F898=0,0,SUMIFS('Time Off Log'!$H$5:$H$504,'Time Off Log'!$A$5:$A$504,$C898,'Time Off Log'!$B$5:$B$504,"Sick",'Time Off Log'!$E$5:$E$504,"Approved",'Time Off Log'!$C$5:$C$504,"&gt;="&amp;INDEX(Periods!$E$5:$E$57,$B898),'Time Off Log'!$C$5:$C$504,"&lt;="&amp;INDEX(Periods!$F$5:$F$57,$B898)))</f>
        <v/>
      </c>
      <c r="S898" s="48">
        <f>IF($B898=1,N(INDEX(Employees!$T$5:$T$29,$A898)),V897)</f>
        <v/>
      </c>
      <c r="T898" s="48">
        <f>IF(INDEX(Employees!$S$5:$S$29,$A898)="",Q898,MAX(0,MIN(Q898,INDEX(Employees!$S$5:$S$29,$A898)-(S898-R898))))</f>
        <v/>
      </c>
      <c r="U898" s="48">
        <f>Q898-T898</f>
        <v/>
      </c>
      <c r="V898" s="48">
        <f>S898-R898+T898</f>
        <v/>
      </c>
    </row>
    <row r="899">
      <c r="A899" s="47" t="n">
        <v>17</v>
      </c>
      <c r="B899" s="47" t="n">
        <v>47</v>
      </c>
      <c r="C899" s="48">
        <f>INDEX(Employees!$B$5:$B$29,$A899)&amp;""</f>
        <v/>
      </c>
      <c r="D899" s="49">
        <f>INDEX(Periods!$B$5:$B$57,$B899)</f>
        <v/>
      </c>
      <c r="E899" s="49">
        <f>INDEX(Periods!$C$5:$C$57,$B899)</f>
        <v/>
      </c>
      <c r="F899" s="47">
        <f>IF(AND($C899&lt;&gt;"",INDEX(Periods!$D$5:$D$57,$B899)=1),1,0)</f>
        <v/>
      </c>
      <c r="G899" s="47">
        <f>IF($F899=0,0,IF(AND(OR(INDEX(Employees!$D$5:$D$29,$A899)="",$E899&gt;=INDEX(Employees!$D$5:$D$29,$A899)+N(INDEX(Employees!$U$5:$U$29,$A899))),OR(INDEX(Employees!$E$5:$E$29,$A899)="",$D899&lt;=INDEX(Employees!$E$5:$E$29,$A899))),1,0))</f>
        <v/>
      </c>
      <c r="H899" s="47">
        <f>IF($G899=0,0,IF(INDEX(Employees!$D$5:$D$29,$A899)="",0,DATEDIF(INDEX(Employees!$D$5:$D$29,$A899),$E899,"y")))</f>
        <v/>
      </c>
      <c r="I899" s="48">
        <f>IF($G899=0,0,IF(INDEX('Hours Worked'!$D$5:$BD$29,$A899,$B899)="",N(INDEX(Employees!$H$5:$H$29,$A899)),INDEX('Hours Worked'!$D$5:$BD$29,$A899,$B899)))</f>
        <v/>
      </c>
      <c r="J899" s="48">
        <f>IF(OR($G899=0,INDEX(Employees!$O$5:$O$29,$A899)&lt;&gt;"Yes"),0,IF(COUNTIF(Settings!$D$4:$D$9,"&lt;="&amp;$H899)=0,0,INDEX(Settings!$E$4:$E$9,COUNTIF(Settings!$D$4:$D$9,"&lt;="&amp;$H899))))</f>
        <v/>
      </c>
      <c r="K899" s="48">
        <f>IF($G899=0,0,IF(INDEX(Employees!$I$5:$I$29,$A899)="Per pay period",(N(INDEX(Employees!$J$5:$J$29,$A899))+$J899)/Settings!$B$13,IF(INDEX(Employees!$I$5:$I$29,$A899)="Per hour worked",N(INDEX(Employees!$K$5:$K$29,$A899))*$I899,IF(INDEX(Employees!$I$5:$I$29,$A899)="Front-loaded",IF(OR($B899=1,N($G898)=0),N(INDEX(Employees!$J$5:$J$29,$A899))+$J899,0),0))))</f>
        <v/>
      </c>
      <c r="L899" s="48">
        <f>IF($F899=0,0,SUMIFS('Time Off Log'!$H$5:$H$504,'Time Off Log'!$A$5:$A$504,$C899,'Time Off Log'!$B$5:$B$504,"PTO",'Time Off Log'!$E$5:$E$504,"Approved",'Time Off Log'!$C$5:$C$504,"&gt;="&amp;INDEX(Periods!$E$5:$E$57,$B899),'Time Off Log'!$C$5:$C$504,"&lt;="&amp;INDEX(Periods!$F$5:$F$57,$B899)))</f>
        <v/>
      </c>
      <c r="M899" s="48">
        <f>IF($B899=1,N(INDEX(Employees!$N$5:$N$29,$A899)),P898)</f>
        <v/>
      </c>
      <c r="N899" s="48">
        <f>IF(INDEX(Employees!$L$5:$L$29,$A899)="",K899,MAX(0,MIN(K899,INDEX(Employees!$L$5:$L$29,$A899)-(M899-L899))))</f>
        <v/>
      </c>
      <c r="O899" s="48">
        <f>K899-N899</f>
        <v/>
      </c>
      <c r="P899" s="48">
        <f>M899-L899+N899</f>
        <v/>
      </c>
      <c r="Q899" s="48">
        <f>IF($G899=0,0,IF(INDEX(Employees!$P$5:$P$29,$A899)="Per pay period",(N(INDEX(Employees!$Q$5:$Q$29,$A899)))/Settings!$B$13,IF(INDEX(Employees!$P$5:$P$29,$A899)="Per hour worked",N(INDEX(Employees!$R$5:$R$29,$A899))*$I899,IF(INDEX(Employees!$P$5:$P$29,$A899)="Front-loaded",IF(OR($B899=1,N($G898)=0),N(INDEX(Employees!$Q$5:$Q$29,$A899)),0),0))))</f>
        <v/>
      </c>
      <c r="R899" s="48">
        <f>IF($F899=0,0,SUMIFS('Time Off Log'!$H$5:$H$504,'Time Off Log'!$A$5:$A$504,$C899,'Time Off Log'!$B$5:$B$504,"Sick",'Time Off Log'!$E$5:$E$504,"Approved",'Time Off Log'!$C$5:$C$504,"&gt;="&amp;INDEX(Periods!$E$5:$E$57,$B899),'Time Off Log'!$C$5:$C$504,"&lt;="&amp;INDEX(Periods!$F$5:$F$57,$B899)))</f>
        <v/>
      </c>
      <c r="S899" s="48">
        <f>IF($B899=1,N(INDEX(Employees!$T$5:$T$29,$A899)),V898)</f>
        <v/>
      </c>
      <c r="T899" s="48">
        <f>IF(INDEX(Employees!$S$5:$S$29,$A899)="",Q899,MAX(0,MIN(Q899,INDEX(Employees!$S$5:$S$29,$A899)-(S899-R899))))</f>
        <v/>
      </c>
      <c r="U899" s="48">
        <f>Q899-T899</f>
        <v/>
      </c>
      <c r="V899" s="48">
        <f>S899-R899+T899</f>
        <v/>
      </c>
    </row>
    <row r="900">
      <c r="A900" s="47" t="n">
        <v>17</v>
      </c>
      <c r="B900" s="47" t="n">
        <v>48</v>
      </c>
      <c r="C900" s="48">
        <f>INDEX(Employees!$B$5:$B$29,$A900)&amp;""</f>
        <v/>
      </c>
      <c r="D900" s="49">
        <f>INDEX(Periods!$B$5:$B$57,$B900)</f>
        <v/>
      </c>
      <c r="E900" s="49">
        <f>INDEX(Periods!$C$5:$C$57,$B900)</f>
        <v/>
      </c>
      <c r="F900" s="47">
        <f>IF(AND($C900&lt;&gt;"",INDEX(Periods!$D$5:$D$57,$B900)=1),1,0)</f>
        <v/>
      </c>
      <c r="G900" s="47">
        <f>IF($F900=0,0,IF(AND(OR(INDEX(Employees!$D$5:$D$29,$A900)="",$E900&gt;=INDEX(Employees!$D$5:$D$29,$A900)+N(INDEX(Employees!$U$5:$U$29,$A900))),OR(INDEX(Employees!$E$5:$E$29,$A900)="",$D900&lt;=INDEX(Employees!$E$5:$E$29,$A900))),1,0))</f>
        <v/>
      </c>
      <c r="H900" s="47">
        <f>IF($G900=0,0,IF(INDEX(Employees!$D$5:$D$29,$A900)="",0,DATEDIF(INDEX(Employees!$D$5:$D$29,$A900),$E900,"y")))</f>
        <v/>
      </c>
      <c r="I900" s="48">
        <f>IF($G900=0,0,IF(INDEX('Hours Worked'!$D$5:$BD$29,$A900,$B900)="",N(INDEX(Employees!$H$5:$H$29,$A900)),INDEX('Hours Worked'!$D$5:$BD$29,$A900,$B900)))</f>
        <v/>
      </c>
      <c r="J900" s="48">
        <f>IF(OR($G900=0,INDEX(Employees!$O$5:$O$29,$A900)&lt;&gt;"Yes"),0,IF(COUNTIF(Settings!$D$4:$D$9,"&lt;="&amp;$H900)=0,0,INDEX(Settings!$E$4:$E$9,COUNTIF(Settings!$D$4:$D$9,"&lt;="&amp;$H900))))</f>
        <v/>
      </c>
      <c r="K900" s="48">
        <f>IF($G900=0,0,IF(INDEX(Employees!$I$5:$I$29,$A900)="Per pay period",(N(INDEX(Employees!$J$5:$J$29,$A900))+$J900)/Settings!$B$13,IF(INDEX(Employees!$I$5:$I$29,$A900)="Per hour worked",N(INDEX(Employees!$K$5:$K$29,$A900))*$I900,IF(INDEX(Employees!$I$5:$I$29,$A900)="Front-loaded",IF(OR($B900=1,N($G899)=0),N(INDEX(Employees!$J$5:$J$29,$A900))+$J900,0),0))))</f>
        <v/>
      </c>
      <c r="L900" s="48">
        <f>IF($F900=0,0,SUMIFS('Time Off Log'!$H$5:$H$504,'Time Off Log'!$A$5:$A$504,$C900,'Time Off Log'!$B$5:$B$504,"PTO",'Time Off Log'!$E$5:$E$504,"Approved",'Time Off Log'!$C$5:$C$504,"&gt;="&amp;INDEX(Periods!$E$5:$E$57,$B900),'Time Off Log'!$C$5:$C$504,"&lt;="&amp;INDEX(Periods!$F$5:$F$57,$B900)))</f>
        <v/>
      </c>
      <c r="M900" s="48">
        <f>IF($B900=1,N(INDEX(Employees!$N$5:$N$29,$A900)),P899)</f>
        <v/>
      </c>
      <c r="N900" s="48">
        <f>IF(INDEX(Employees!$L$5:$L$29,$A900)="",K900,MAX(0,MIN(K900,INDEX(Employees!$L$5:$L$29,$A900)-(M900-L900))))</f>
        <v/>
      </c>
      <c r="O900" s="48">
        <f>K900-N900</f>
        <v/>
      </c>
      <c r="P900" s="48">
        <f>M900-L900+N900</f>
        <v/>
      </c>
      <c r="Q900" s="48">
        <f>IF($G900=0,0,IF(INDEX(Employees!$P$5:$P$29,$A900)="Per pay period",(N(INDEX(Employees!$Q$5:$Q$29,$A900)))/Settings!$B$13,IF(INDEX(Employees!$P$5:$P$29,$A900)="Per hour worked",N(INDEX(Employees!$R$5:$R$29,$A900))*$I900,IF(INDEX(Employees!$P$5:$P$29,$A900)="Front-loaded",IF(OR($B900=1,N($G899)=0),N(INDEX(Employees!$Q$5:$Q$29,$A900)),0),0))))</f>
        <v/>
      </c>
      <c r="R900" s="48">
        <f>IF($F900=0,0,SUMIFS('Time Off Log'!$H$5:$H$504,'Time Off Log'!$A$5:$A$504,$C900,'Time Off Log'!$B$5:$B$504,"Sick",'Time Off Log'!$E$5:$E$504,"Approved",'Time Off Log'!$C$5:$C$504,"&gt;="&amp;INDEX(Periods!$E$5:$E$57,$B900),'Time Off Log'!$C$5:$C$504,"&lt;="&amp;INDEX(Periods!$F$5:$F$57,$B900)))</f>
        <v/>
      </c>
      <c r="S900" s="48">
        <f>IF($B900=1,N(INDEX(Employees!$T$5:$T$29,$A900)),V899)</f>
        <v/>
      </c>
      <c r="T900" s="48">
        <f>IF(INDEX(Employees!$S$5:$S$29,$A900)="",Q900,MAX(0,MIN(Q900,INDEX(Employees!$S$5:$S$29,$A900)-(S900-R900))))</f>
        <v/>
      </c>
      <c r="U900" s="48">
        <f>Q900-T900</f>
        <v/>
      </c>
      <c r="V900" s="48">
        <f>S900-R900+T900</f>
        <v/>
      </c>
    </row>
    <row r="901">
      <c r="A901" s="47" t="n">
        <v>17</v>
      </c>
      <c r="B901" s="47" t="n">
        <v>49</v>
      </c>
      <c r="C901" s="48">
        <f>INDEX(Employees!$B$5:$B$29,$A901)&amp;""</f>
        <v/>
      </c>
      <c r="D901" s="49">
        <f>INDEX(Periods!$B$5:$B$57,$B901)</f>
        <v/>
      </c>
      <c r="E901" s="49">
        <f>INDEX(Periods!$C$5:$C$57,$B901)</f>
        <v/>
      </c>
      <c r="F901" s="47">
        <f>IF(AND($C901&lt;&gt;"",INDEX(Periods!$D$5:$D$57,$B901)=1),1,0)</f>
        <v/>
      </c>
      <c r="G901" s="47">
        <f>IF($F901=0,0,IF(AND(OR(INDEX(Employees!$D$5:$D$29,$A901)="",$E901&gt;=INDEX(Employees!$D$5:$D$29,$A901)+N(INDEX(Employees!$U$5:$U$29,$A901))),OR(INDEX(Employees!$E$5:$E$29,$A901)="",$D901&lt;=INDEX(Employees!$E$5:$E$29,$A901))),1,0))</f>
        <v/>
      </c>
      <c r="H901" s="47">
        <f>IF($G901=0,0,IF(INDEX(Employees!$D$5:$D$29,$A901)="",0,DATEDIF(INDEX(Employees!$D$5:$D$29,$A901),$E901,"y")))</f>
        <v/>
      </c>
      <c r="I901" s="48">
        <f>IF($G901=0,0,IF(INDEX('Hours Worked'!$D$5:$BD$29,$A901,$B901)="",N(INDEX(Employees!$H$5:$H$29,$A901)),INDEX('Hours Worked'!$D$5:$BD$29,$A901,$B901)))</f>
        <v/>
      </c>
      <c r="J901" s="48">
        <f>IF(OR($G901=0,INDEX(Employees!$O$5:$O$29,$A901)&lt;&gt;"Yes"),0,IF(COUNTIF(Settings!$D$4:$D$9,"&lt;="&amp;$H901)=0,0,INDEX(Settings!$E$4:$E$9,COUNTIF(Settings!$D$4:$D$9,"&lt;="&amp;$H901))))</f>
        <v/>
      </c>
      <c r="K901" s="48">
        <f>IF($G901=0,0,IF(INDEX(Employees!$I$5:$I$29,$A901)="Per pay period",(N(INDEX(Employees!$J$5:$J$29,$A901))+$J901)/Settings!$B$13,IF(INDEX(Employees!$I$5:$I$29,$A901)="Per hour worked",N(INDEX(Employees!$K$5:$K$29,$A901))*$I901,IF(INDEX(Employees!$I$5:$I$29,$A901)="Front-loaded",IF(OR($B901=1,N($G900)=0),N(INDEX(Employees!$J$5:$J$29,$A901))+$J901,0),0))))</f>
        <v/>
      </c>
      <c r="L901" s="48">
        <f>IF($F901=0,0,SUMIFS('Time Off Log'!$H$5:$H$504,'Time Off Log'!$A$5:$A$504,$C901,'Time Off Log'!$B$5:$B$504,"PTO",'Time Off Log'!$E$5:$E$504,"Approved",'Time Off Log'!$C$5:$C$504,"&gt;="&amp;INDEX(Periods!$E$5:$E$57,$B901),'Time Off Log'!$C$5:$C$504,"&lt;="&amp;INDEX(Periods!$F$5:$F$57,$B901)))</f>
        <v/>
      </c>
      <c r="M901" s="48">
        <f>IF($B901=1,N(INDEX(Employees!$N$5:$N$29,$A901)),P900)</f>
        <v/>
      </c>
      <c r="N901" s="48">
        <f>IF(INDEX(Employees!$L$5:$L$29,$A901)="",K901,MAX(0,MIN(K901,INDEX(Employees!$L$5:$L$29,$A901)-(M901-L901))))</f>
        <v/>
      </c>
      <c r="O901" s="48">
        <f>K901-N901</f>
        <v/>
      </c>
      <c r="P901" s="48">
        <f>M901-L901+N901</f>
        <v/>
      </c>
      <c r="Q901" s="48">
        <f>IF($G901=0,0,IF(INDEX(Employees!$P$5:$P$29,$A901)="Per pay period",(N(INDEX(Employees!$Q$5:$Q$29,$A901)))/Settings!$B$13,IF(INDEX(Employees!$P$5:$P$29,$A901)="Per hour worked",N(INDEX(Employees!$R$5:$R$29,$A901))*$I901,IF(INDEX(Employees!$P$5:$P$29,$A901)="Front-loaded",IF(OR($B901=1,N($G900)=0),N(INDEX(Employees!$Q$5:$Q$29,$A901)),0),0))))</f>
        <v/>
      </c>
      <c r="R901" s="48">
        <f>IF($F901=0,0,SUMIFS('Time Off Log'!$H$5:$H$504,'Time Off Log'!$A$5:$A$504,$C901,'Time Off Log'!$B$5:$B$504,"Sick",'Time Off Log'!$E$5:$E$504,"Approved",'Time Off Log'!$C$5:$C$504,"&gt;="&amp;INDEX(Periods!$E$5:$E$57,$B901),'Time Off Log'!$C$5:$C$504,"&lt;="&amp;INDEX(Periods!$F$5:$F$57,$B901)))</f>
        <v/>
      </c>
      <c r="S901" s="48">
        <f>IF($B901=1,N(INDEX(Employees!$T$5:$T$29,$A901)),V900)</f>
        <v/>
      </c>
      <c r="T901" s="48">
        <f>IF(INDEX(Employees!$S$5:$S$29,$A901)="",Q901,MAX(0,MIN(Q901,INDEX(Employees!$S$5:$S$29,$A901)-(S901-R901))))</f>
        <v/>
      </c>
      <c r="U901" s="48">
        <f>Q901-T901</f>
        <v/>
      </c>
      <c r="V901" s="48">
        <f>S901-R901+T901</f>
        <v/>
      </c>
    </row>
    <row r="902">
      <c r="A902" s="47" t="n">
        <v>17</v>
      </c>
      <c r="B902" s="47" t="n">
        <v>50</v>
      </c>
      <c r="C902" s="48">
        <f>INDEX(Employees!$B$5:$B$29,$A902)&amp;""</f>
        <v/>
      </c>
      <c r="D902" s="49">
        <f>INDEX(Periods!$B$5:$B$57,$B902)</f>
        <v/>
      </c>
      <c r="E902" s="49">
        <f>INDEX(Periods!$C$5:$C$57,$B902)</f>
        <v/>
      </c>
      <c r="F902" s="47">
        <f>IF(AND($C902&lt;&gt;"",INDEX(Periods!$D$5:$D$57,$B902)=1),1,0)</f>
        <v/>
      </c>
      <c r="G902" s="47">
        <f>IF($F902=0,0,IF(AND(OR(INDEX(Employees!$D$5:$D$29,$A902)="",$E902&gt;=INDEX(Employees!$D$5:$D$29,$A902)+N(INDEX(Employees!$U$5:$U$29,$A902))),OR(INDEX(Employees!$E$5:$E$29,$A902)="",$D902&lt;=INDEX(Employees!$E$5:$E$29,$A902))),1,0))</f>
        <v/>
      </c>
      <c r="H902" s="47">
        <f>IF($G902=0,0,IF(INDEX(Employees!$D$5:$D$29,$A902)="",0,DATEDIF(INDEX(Employees!$D$5:$D$29,$A902),$E902,"y")))</f>
        <v/>
      </c>
      <c r="I902" s="48">
        <f>IF($G902=0,0,IF(INDEX('Hours Worked'!$D$5:$BD$29,$A902,$B902)="",N(INDEX(Employees!$H$5:$H$29,$A902)),INDEX('Hours Worked'!$D$5:$BD$29,$A902,$B902)))</f>
        <v/>
      </c>
      <c r="J902" s="48">
        <f>IF(OR($G902=0,INDEX(Employees!$O$5:$O$29,$A902)&lt;&gt;"Yes"),0,IF(COUNTIF(Settings!$D$4:$D$9,"&lt;="&amp;$H902)=0,0,INDEX(Settings!$E$4:$E$9,COUNTIF(Settings!$D$4:$D$9,"&lt;="&amp;$H902))))</f>
        <v/>
      </c>
      <c r="K902" s="48">
        <f>IF($G902=0,0,IF(INDEX(Employees!$I$5:$I$29,$A902)="Per pay period",(N(INDEX(Employees!$J$5:$J$29,$A902))+$J902)/Settings!$B$13,IF(INDEX(Employees!$I$5:$I$29,$A902)="Per hour worked",N(INDEX(Employees!$K$5:$K$29,$A902))*$I902,IF(INDEX(Employees!$I$5:$I$29,$A902)="Front-loaded",IF(OR($B902=1,N($G901)=0),N(INDEX(Employees!$J$5:$J$29,$A902))+$J902,0),0))))</f>
        <v/>
      </c>
      <c r="L902" s="48">
        <f>IF($F902=0,0,SUMIFS('Time Off Log'!$H$5:$H$504,'Time Off Log'!$A$5:$A$504,$C902,'Time Off Log'!$B$5:$B$504,"PTO",'Time Off Log'!$E$5:$E$504,"Approved",'Time Off Log'!$C$5:$C$504,"&gt;="&amp;INDEX(Periods!$E$5:$E$57,$B902),'Time Off Log'!$C$5:$C$504,"&lt;="&amp;INDEX(Periods!$F$5:$F$57,$B902)))</f>
        <v/>
      </c>
      <c r="M902" s="48">
        <f>IF($B902=1,N(INDEX(Employees!$N$5:$N$29,$A902)),P901)</f>
        <v/>
      </c>
      <c r="N902" s="48">
        <f>IF(INDEX(Employees!$L$5:$L$29,$A902)="",K902,MAX(0,MIN(K902,INDEX(Employees!$L$5:$L$29,$A902)-(M902-L902))))</f>
        <v/>
      </c>
      <c r="O902" s="48">
        <f>K902-N902</f>
        <v/>
      </c>
      <c r="P902" s="48">
        <f>M902-L902+N902</f>
        <v/>
      </c>
      <c r="Q902" s="48">
        <f>IF($G902=0,0,IF(INDEX(Employees!$P$5:$P$29,$A902)="Per pay period",(N(INDEX(Employees!$Q$5:$Q$29,$A902)))/Settings!$B$13,IF(INDEX(Employees!$P$5:$P$29,$A902)="Per hour worked",N(INDEX(Employees!$R$5:$R$29,$A902))*$I902,IF(INDEX(Employees!$P$5:$P$29,$A902)="Front-loaded",IF(OR($B902=1,N($G901)=0),N(INDEX(Employees!$Q$5:$Q$29,$A902)),0),0))))</f>
        <v/>
      </c>
      <c r="R902" s="48">
        <f>IF($F902=0,0,SUMIFS('Time Off Log'!$H$5:$H$504,'Time Off Log'!$A$5:$A$504,$C902,'Time Off Log'!$B$5:$B$504,"Sick",'Time Off Log'!$E$5:$E$504,"Approved",'Time Off Log'!$C$5:$C$504,"&gt;="&amp;INDEX(Periods!$E$5:$E$57,$B902),'Time Off Log'!$C$5:$C$504,"&lt;="&amp;INDEX(Periods!$F$5:$F$57,$B902)))</f>
        <v/>
      </c>
      <c r="S902" s="48">
        <f>IF($B902=1,N(INDEX(Employees!$T$5:$T$29,$A902)),V901)</f>
        <v/>
      </c>
      <c r="T902" s="48">
        <f>IF(INDEX(Employees!$S$5:$S$29,$A902)="",Q902,MAX(0,MIN(Q902,INDEX(Employees!$S$5:$S$29,$A902)-(S902-R902))))</f>
        <v/>
      </c>
      <c r="U902" s="48">
        <f>Q902-T902</f>
        <v/>
      </c>
      <c r="V902" s="48">
        <f>S902-R902+T902</f>
        <v/>
      </c>
    </row>
    <row r="903">
      <c r="A903" s="47" t="n">
        <v>17</v>
      </c>
      <c r="B903" s="47" t="n">
        <v>51</v>
      </c>
      <c r="C903" s="48">
        <f>INDEX(Employees!$B$5:$B$29,$A903)&amp;""</f>
        <v/>
      </c>
      <c r="D903" s="49">
        <f>INDEX(Periods!$B$5:$B$57,$B903)</f>
        <v/>
      </c>
      <c r="E903" s="49">
        <f>INDEX(Periods!$C$5:$C$57,$B903)</f>
        <v/>
      </c>
      <c r="F903" s="47">
        <f>IF(AND($C903&lt;&gt;"",INDEX(Periods!$D$5:$D$57,$B903)=1),1,0)</f>
        <v/>
      </c>
      <c r="G903" s="47">
        <f>IF($F903=0,0,IF(AND(OR(INDEX(Employees!$D$5:$D$29,$A903)="",$E903&gt;=INDEX(Employees!$D$5:$D$29,$A903)+N(INDEX(Employees!$U$5:$U$29,$A903))),OR(INDEX(Employees!$E$5:$E$29,$A903)="",$D903&lt;=INDEX(Employees!$E$5:$E$29,$A903))),1,0))</f>
        <v/>
      </c>
      <c r="H903" s="47">
        <f>IF($G903=0,0,IF(INDEX(Employees!$D$5:$D$29,$A903)="",0,DATEDIF(INDEX(Employees!$D$5:$D$29,$A903),$E903,"y")))</f>
        <v/>
      </c>
      <c r="I903" s="48">
        <f>IF($G903=0,0,IF(INDEX('Hours Worked'!$D$5:$BD$29,$A903,$B903)="",N(INDEX(Employees!$H$5:$H$29,$A903)),INDEX('Hours Worked'!$D$5:$BD$29,$A903,$B903)))</f>
        <v/>
      </c>
      <c r="J903" s="48">
        <f>IF(OR($G903=0,INDEX(Employees!$O$5:$O$29,$A903)&lt;&gt;"Yes"),0,IF(COUNTIF(Settings!$D$4:$D$9,"&lt;="&amp;$H903)=0,0,INDEX(Settings!$E$4:$E$9,COUNTIF(Settings!$D$4:$D$9,"&lt;="&amp;$H903))))</f>
        <v/>
      </c>
      <c r="K903" s="48">
        <f>IF($G903=0,0,IF(INDEX(Employees!$I$5:$I$29,$A903)="Per pay period",(N(INDEX(Employees!$J$5:$J$29,$A903))+$J903)/Settings!$B$13,IF(INDEX(Employees!$I$5:$I$29,$A903)="Per hour worked",N(INDEX(Employees!$K$5:$K$29,$A903))*$I903,IF(INDEX(Employees!$I$5:$I$29,$A903)="Front-loaded",IF(OR($B903=1,N($G902)=0),N(INDEX(Employees!$J$5:$J$29,$A903))+$J903,0),0))))</f>
        <v/>
      </c>
      <c r="L903" s="48">
        <f>IF($F903=0,0,SUMIFS('Time Off Log'!$H$5:$H$504,'Time Off Log'!$A$5:$A$504,$C903,'Time Off Log'!$B$5:$B$504,"PTO",'Time Off Log'!$E$5:$E$504,"Approved",'Time Off Log'!$C$5:$C$504,"&gt;="&amp;INDEX(Periods!$E$5:$E$57,$B903),'Time Off Log'!$C$5:$C$504,"&lt;="&amp;INDEX(Periods!$F$5:$F$57,$B903)))</f>
        <v/>
      </c>
      <c r="M903" s="48">
        <f>IF($B903=1,N(INDEX(Employees!$N$5:$N$29,$A903)),P902)</f>
        <v/>
      </c>
      <c r="N903" s="48">
        <f>IF(INDEX(Employees!$L$5:$L$29,$A903)="",K903,MAX(0,MIN(K903,INDEX(Employees!$L$5:$L$29,$A903)-(M903-L903))))</f>
        <v/>
      </c>
      <c r="O903" s="48">
        <f>K903-N903</f>
        <v/>
      </c>
      <c r="P903" s="48">
        <f>M903-L903+N903</f>
        <v/>
      </c>
      <c r="Q903" s="48">
        <f>IF($G903=0,0,IF(INDEX(Employees!$P$5:$P$29,$A903)="Per pay period",(N(INDEX(Employees!$Q$5:$Q$29,$A903)))/Settings!$B$13,IF(INDEX(Employees!$P$5:$P$29,$A903)="Per hour worked",N(INDEX(Employees!$R$5:$R$29,$A903))*$I903,IF(INDEX(Employees!$P$5:$P$29,$A903)="Front-loaded",IF(OR($B903=1,N($G902)=0),N(INDEX(Employees!$Q$5:$Q$29,$A903)),0),0))))</f>
        <v/>
      </c>
      <c r="R903" s="48">
        <f>IF($F903=0,0,SUMIFS('Time Off Log'!$H$5:$H$504,'Time Off Log'!$A$5:$A$504,$C903,'Time Off Log'!$B$5:$B$504,"Sick",'Time Off Log'!$E$5:$E$504,"Approved",'Time Off Log'!$C$5:$C$504,"&gt;="&amp;INDEX(Periods!$E$5:$E$57,$B903),'Time Off Log'!$C$5:$C$504,"&lt;="&amp;INDEX(Periods!$F$5:$F$57,$B903)))</f>
        <v/>
      </c>
      <c r="S903" s="48">
        <f>IF($B903=1,N(INDEX(Employees!$T$5:$T$29,$A903)),V902)</f>
        <v/>
      </c>
      <c r="T903" s="48">
        <f>IF(INDEX(Employees!$S$5:$S$29,$A903)="",Q903,MAX(0,MIN(Q903,INDEX(Employees!$S$5:$S$29,$A903)-(S903-R903))))</f>
        <v/>
      </c>
      <c r="U903" s="48">
        <f>Q903-T903</f>
        <v/>
      </c>
      <c r="V903" s="48">
        <f>S903-R903+T903</f>
        <v/>
      </c>
    </row>
    <row r="904">
      <c r="A904" s="47" t="n">
        <v>17</v>
      </c>
      <c r="B904" s="47" t="n">
        <v>52</v>
      </c>
      <c r="C904" s="48">
        <f>INDEX(Employees!$B$5:$B$29,$A904)&amp;""</f>
        <v/>
      </c>
      <c r="D904" s="49">
        <f>INDEX(Periods!$B$5:$B$57,$B904)</f>
        <v/>
      </c>
      <c r="E904" s="49">
        <f>INDEX(Periods!$C$5:$C$57,$B904)</f>
        <v/>
      </c>
      <c r="F904" s="47">
        <f>IF(AND($C904&lt;&gt;"",INDEX(Periods!$D$5:$D$57,$B904)=1),1,0)</f>
        <v/>
      </c>
      <c r="G904" s="47">
        <f>IF($F904=0,0,IF(AND(OR(INDEX(Employees!$D$5:$D$29,$A904)="",$E904&gt;=INDEX(Employees!$D$5:$D$29,$A904)+N(INDEX(Employees!$U$5:$U$29,$A904))),OR(INDEX(Employees!$E$5:$E$29,$A904)="",$D904&lt;=INDEX(Employees!$E$5:$E$29,$A904))),1,0))</f>
        <v/>
      </c>
      <c r="H904" s="47">
        <f>IF($G904=0,0,IF(INDEX(Employees!$D$5:$D$29,$A904)="",0,DATEDIF(INDEX(Employees!$D$5:$D$29,$A904),$E904,"y")))</f>
        <v/>
      </c>
      <c r="I904" s="48">
        <f>IF($G904=0,0,IF(INDEX('Hours Worked'!$D$5:$BD$29,$A904,$B904)="",N(INDEX(Employees!$H$5:$H$29,$A904)),INDEX('Hours Worked'!$D$5:$BD$29,$A904,$B904)))</f>
        <v/>
      </c>
      <c r="J904" s="48">
        <f>IF(OR($G904=0,INDEX(Employees!$O$5:$O$29,$A904)&lt;&gt;"Yes"),0,IF(COUNTIF(Settings!$D$4:$D$9,"&lt;="&amp;$H904)=0,0,INDEX(Settings!$E$4:$E$9,COUNTIF(Settings!$D$4:$D$9,"&lt;="&amp;$H904))))</f>
        <v/>
      </c>
      <c r="K904" s="48">
        <f>IF($G904=0,0,IF(INDEX(Employees!$I$5:$I$29,$A904)="Per pay period",(N(INDEX(Employees!$J$5:$J$29,$A904))+$J904)/Settings!$B$13,IF(INDEX(Employees!$I$5:$I$29,$A904)="Per hour worked",N(INDEX(Employees!$K$5:$K$29,$A904))*$I904,IF(INDEX(Employees!$I$5:$I$29,$A904)="Front-loaded",IF(OR($B904=1,N($G903)=0),N(INDEX(Employees!$J$5:$J$29,$A904))+$J904,0),0))))</f>
        <v/>
      </c>
      <c r="L904" s="48">
        <f>IF($F904=0,0,SUMIFS('Time Off Log'!$H$5:$H$504,'Time Off Log'!$A$5:$A$504,$C904,'Time Off Log'!$B$5:$B$504,"PTO",'Time Off Log'!$E$5:$E$504,"Approved",'Time Off Log'!$C$5:$C$504,"&gt;="&amp;INDEX(Periods!$E$5:$E$57,$B904),'Time Off Log'!$C$5:$C$504,"&lt;="&amp;INDEX(Periods!$F$5:$F$57,$B904)))</f>
        <v/>
      </c>
      <c r="M904" s="48">
        <f>IF($B904=1,N(INDEX(Employees!$N$5:$N$29,$A904)),P903)</f>
        <v/>
      </c>
      <c r="N904" s="48">
        <f>IF(INDEX(Employees!$L$5:$L$29,$A904)="",K904,MAX(0,MIN(K904,INDEX(Employees!$L$5:$L$29,$A904)-(M904-L904))))</f>
        <v/>
      </c>
      <c r="O904" s="48">
        <f>K904-N904</f>
        <v/>
      </c>
      <c r="P904" s="48">
        <f>M904-L904+N904</f>
        <v/>
      </c>
      <c r="Q904" s="48">
        <f>IF($G904=0,0,IF(INDEX(Employees!$P$5:$P$29,$A904)="Per pay period",(N(INDEX(Employees!$Q$5:$Q$29,$A904)))/Settings!$B$13,IF(INDEX(Employees!$P$5:$P$29,$A904)="Per hour worked",N(INDEX(Employees!$R$5:$R$29,$A904))*$I904,IF(INDEX(Employees!$P$5:$P$29,$A904)="Front-loaded",IF(OR($B904=1,N($G903)=0),N(INDEX(Employees!$Q$5:$Q$29,$A904)),0),0))))</f>
        <v/>
      </c>
      <c r="R904" s="48">
        <f>IF($F904=0,0,SUMIFS('Time Off Log'!$H$5:$H$504,'Time Off Log'!$A$5:$A$504,$C904,'Time Off Log'!$B$5:$B$504,"Sick",'Time Off Log'!$E$5:$E$504,"Approved",'Time Off Log'!$C$5:$C$504,"&gt;="&amp;INDEX(Periods!$E$5:$E$57,$B904),'Time Off Log'!$C$5:$C$504,"&lt;="&amp;INDEX(Periods!$F$5:$F$57,$B904)))</f>
        <v/>
      </c>
      <c r="S904" s="48">
        <f>IF($B904=1,N(INDEX(Employees!$T$5:$T$29,$A904)),V903)</f>
        <v/>
      </c>
      <c r="T904" s="48">
        <f>IF(INDEX(Employees!$S$5:$S$29,$A904)="",Q904,MAX(0,MIN(Q904,INDEX(Employees!$S$5:$S$29,$A904)-(S904-R904))))</f>
        <v/>
      </c>
      <c r="U904" s="48">
        <f>Q904-T904</f>
        <v/>
      </c>
      <c r="V904" s="48">
        <f>S904-R904+T904</f>
        <v/>
      </c>
    </row>
    <row r="905">
      <c r="A905" s="47" t="n">
        <v>17</v>
      </c>
      <c r="B905" s="47" t="n">
        <v>53</v>
      </c>
      <c r="C905" s="48">
        <f>INDEX(Employees!$B$5:$B$29,$A905)&amp;""</f>
        <v/>
      </c>
      <c r="D905" s="49">
        <f>INDEX(Periods!$B$5:$B$57,$B905)</f>
        <v/>
      </c>
      <c r="E905" s="49">
        <f>INDEX(Periods!$C$5:$C$57,$B905)</f>
        <v/>
      </c>
      <c r="F905" s="47">
        <f>IF(AND($C905&lt;&gt;"",INDEX(Periods!$D$5:$D$57,$B905)=1),1,0)</f>
        <v/>
      </c>
      <c r="G905" s="47">
        <f>IF($F905=0,0,IF(AND(OR(INDEX(Employees!$D$5:$D$29,$A905)="",$E905&gt;=INDEX(Employees!$D$5:$D$29,$A905)+N(INDEX(Employees!$U$5:$U$29,$A905))),OR(INDEX(Employees!$E$5:$E$29,$A905)="",$D905&lt;=INDEX(Employees!$E$5:$E$29,$A905))),1,0))</f>
        <v/>
      </c>
      <c r="H905" s="47">
        <f>IF($G905=0,0,IF(INDEX(Employees!$D$5:$D$29,$A905)="",0,DATEDIF(INDEX(Employees!$D$5:$D$29,$A905),$E905,"y")))</f>
        <v/>
      </c>
      <c r="I905" s="48">
        <f>IF($G905=0,0,IF(INDEX('Hours Worked'!$D$5:$BD$29,$A905,$B905)="",N(INDEX(Employees!$H$5:$H$29,$A905)),INDEX('Hours Worked'!$D$5:$BD$29,$A905,$B905)))</f>
        <v/>
      </c>
      <c r="J905" s="48">
        <f>IF(OR($G905=0,INDEX(Employees!$O$5:$O$29,$A905)&lt;&gt;"Yes"),0,IF(COUNTIF(Settings!$D$4:$D$9,"&lt;="&amp;$H905)=0,0,INDEX(Settings!$E$4:$E$9,COUNTIF(Settings!$D$4:$D$9,"&lt;="&amp;$H905))))</f>
        <v/>
      </c>
      <c r="K905" s="48">
        <f>IF($G905=0,0,IF(INDEX(Employees!$I$5:$I$29,$A905)="Per pay period",(N(INDEX(Employees!$J$5:$J$29,$A905))+$J905)/Settings!$B$13,IF(INDEX(Employees!$I$5:$I$29,$A905)="Per hour worked",N(INDEX(Employees!$K$5:$K$29,$A905))*$I905,IF(INDEX(Employees!$I$5:$I$29,$A905)="Front-loaded",IF(OR($B905=1,N($G904)=0),N(INDEX(Employees!$J$5:$J$29,$A905))+$J905,0),0))))</f>
        <v/>
      </c>
      <c r="L905" s="48">
        <f>IF($F905=0,0,SUMIFS('Time Off Log'!$H$5:$H$504,'Time Off Log'!$A$5:$A$504,$C905,'Time Off Log'!$B$5:$B$504,"PTO",'Time Off Log'!$E$5:$E$504,"Approved",'Time Off Log'!$C$5:$C$504,"&gt;="&amp;INDEX(Periods!$E$5:$E$57,$B905),'Time Off Log'!$C$5:$C$504,"&lt;="&amp;INDEX(Periods!$F$5:$F$57,$B905)))</f>
        <v/>
      </c>
      <c r="M905" s="48">
        <f>IF($B905=1,N(INDEX(Employees!$N$5:$N$29,$A905)),P904)</f>
        <v/>
      </c>
      <c r="N905" s="48">
        <f>IF(INDEX(Employees!$L$5:$L$29,$A905)="",K905,MAX(0,MIN(K905,INDEX(Employees!$L$5:$L$29,$A905)-(M905-L905))))</f>
        <v/>
      </c>
      <c r="O905" s="48">
        <f>K905-N905</f>
        <v/>
      </c>
      <c r="P905" s="48">
        <f>M905-L905+N905</f>
        <v/>
      </c>
      <c r="Q905" s="48">
        <f>IF($G905=0,0,IF(INDEX(Employees!$P$5:$P$29,$A905)="Per pay period",(N(INDEX(Employees!$Q$5:$Q$29,$A905)))/Settings!$B$13,IF(INDEX(Employees!$P$5:$P$29,$A905)="Per hour worked",N(INDEX(Employees!$R$5:$R$29,$A905))*$I905,IF(INDEX(Employees!$P$5:$P$29,$A905)="Front-loaded",IF(OR($B905=1,N($G904)=0),N(INDEX(Employees!$Q$5:$Q$29,$A905)),0),0))))</f>
        <v/>
      </c>
      <c r="R905" s="48">
        <f>IF($F905=0,0,SUMIFS('Time Off Log'!$H$5:$H$504,'Time Off Log'!$A$5:$A$504,$C905,'Time Off Log'!$B$5:$B$504,"Sick",'Time Off Log'!$E$5:$E$504,"Approved",'Time Off Log'!$C$5:$C$504,"&gt;="&amp;INDEX(Periods!$E$5:$E$57,$B905),'Time Off Log'!$C$5:$C$504,"&lt;="&amp;INDEX(Periods!$F$5:$F$57,$B905)))</f>
        <v/>
      </c>
      <c r="S905" s="48">
        <f>IF($B905=1,N(INDEX(Employees!$T$5:$T$29,$A905)),V904)</f>
        <v/>
      </c>
      <c r="T905" s="48">
        <f>IF(INDEX(Employees!$S$5:$S$29,$A905)="",Q905,MAX(0,MIN(Q905,INDEX(Employees!$S$5:$S$29,$A905)-(S905-R905))))</f>
        <v/>
      </c>
      <c r="U905" s="48">
        <f>Q905-T905</f>
        <v/>
      </c>
      <c r="V905" s="48">
        <f>S905-R905+T905</f>
        <v/>
      </c>
    </row>
    <row r="906">
      <c r="A906" s="50" t="n">
        <v>18</v>
      </c>
      <c r="B906" s="50" t="n">
        <v>1</v>
      </c>
      <c r="C906" s="51">
        <f>INDEX(Employees!$B$5:$B$29,$A906)&amp;""</f>
        <v/>
      </c>
      <c r="D906" s="52">
        <f>INDEX(Periods!$B$5:$B$57,$B906)</f>
        <v/>
      </c>
      <c r="E906" s="52">
        <f>INDEX(Periods!$C$5:$C$57,$B906)</f>
        <v/>
      </c>
      <c r="F906" s="50">
        <f>IF(AND($C906&lt;&gt;"",INDEX(Periods!$D$5:$D$57,$B906)=1),1,0)</f>
        <v/>
      </c>
      <c r="G906" s="50">
        <f>IF($F906=0,0,IF(AND(OR(INDEX(Employees!$D$5:$D$29,$A906)="",$E906&gt;=INDEX(Employees!$D$5:$D$29,$A906)+N(INDEX(Employees!$U$5:$U$29,$A906))),OR(INDEX(Employees!$E$5:$E$29,$A906)="",$D906&lt;=INDEX(Employees!$E$5:$E$29,$A906))),1,0))</f>
        <v/>
      </c>
      <c r="H906" s="50">
        <f>IF($G906=0,0,IF(INDEX(Employees!$D$5:$D$29,$A906)="",0,DATEDIF(INDEX(Employees!$D$5:$D$29,$A906),$E906,"y")))</f>
        <v/>
      </c>
      <c r="I906" s="51">
        <f>IF($G906=0,0,IF(INDEX('Hours Worked'!$D$5:$BD$29,$A906,$B906)="",N(INDEX(Employees!$H$5:$H$29,$A906)),INDEX('Hours Worked'!$D$5:$BD$29,$A906,$B906)))</f>
        <v/>
      </c>
      <c r="J906" s="51">
        <f>IF(OR($G906=0,INDEX(Employees!$O$5:$O$29,$A906)&lt;&gt;"Yes"),0,IF(COUNTIF(Settings!$D$4:$D$9,"&lt;="&amp;$H906)=0,0,INDEX(Settings!$E$4:$E$9,COUNTIF(Settings!$D$4:$D$9,"&lt;="&amp;$H906))))</f>
        <v/>
      </c>
      <c r="K906" s="51">
        <f>IF($G906=0,0,IF(INDEX(Employees!$I$5:$I$29,$A906)="Per pay period",(N(INDEX(Employees!$J$5:$J$29,$A906))+$J906)/Settings!$B$13,IF(INDEX(Employees!$I$5:$I$29,$A906)="Per hour worked",N(INDEX(Employees!$K$5:$K$29,$A906))*$I906,IF(INDEX(Employees!$I$5:$I$29,$A906)="Front-loaded",IF(OR($B906=1,N($G905)=0),N(INDEX(Employees!$J$5:$J$29,$A906))+$J906,0),0))))</f>
        <v/>
      </c>
      <c r="L906" s="51">
        <f>IF($F906=0,0,SUMIFS('Time Off Log'!$H$5:$H$504,'Time Off Log'!$A$5:$A$504,$C906,'Time Off Log'!$B$5:$B$504,"PTO",'Time Off Log'!$E$5:$E$504,"Approved",'Time Off Log'!$C$5:$C$504,"&gt;="&amp;INDEX(Periods!$E$5:$E$57,$B906),'Time Off Log'!$C$5:$C$504,"&lt;="&amp;INDEX(Periods!$F$5:$F$57,$B906)))</f>
        <v/>
      </c>
      <c r="M906" s="51">
        <f>N(INDEX(Employees!$N$5:$N$29,$A906))</f>
        <v/>
      </c>
      <c r="N906" s="51">
        <f>IF(INDEX(Employees!$L$5:$L$29,$A906)="",K906,MAX(0,MIN(K906,INDEX(Employees!$L$5:$L$29,$A906)-(M906-L906))))</f>
        <v/>
      </c>
      <c r="O906" s="51">
        <f>K906-N906</f>
        <v/>
      </c>
      <c r="P906" s="51">
        <f>M906-L906+N906</f>
        <v/>
      </c>
      <c r="Q906" s="51">
        <f>IF($G906=0,0,IF(INDEX(Employees!$P$5:$P$29,$A906)="Per pay period",(N(INDEX(Employees!$Q$5:$Q$29,$A906)))/Settings!$B$13,IF(INDEX(Employees!$P$5:$P$29,$A906)="Per hour worked",N(INDEX(Employees!$R$5:$R$29,$A906))*$I906,IF(INDEX(Employees!$P$5:$P$29,$A906)="Front-loaded",IF(OR($B906=1,N($G905)=0),N(INDEX(Employees!$Q$5:$Q$29,$A906)),0),0))))</f>
        <v/>
      </c>
      <c r="R906" s="51">
        <f>IF($F906=0,0,SUMIFS('Time Off Log'!$H$5:$H$504,'Time Off Log'!$A$5:$A$504,$C906,'Time Off Log'!$B$5:$B$504,"Sick",'Time Off Log'!$E$5:$E$504,"Approved",'Time Off Log'!$C$5:$C$504,"&gt;="&amp;INDEX(Periods!$E$5:$E$57,$B906),'Time Off Log'!$C$5:$C$504,"&lt;="&amp;INDEX(Periods!$F$5:$F$57,$B906)))</f>
        <v/>
      </c>
      <c r="S906" s="51">
        <f>N(INDEX(Employees!$T$5:$T$29,$A906))</f>
        <v/>
      </c>
      <c r="T906" s="51">
        <f>IF(INDEX(Employees!$S$5:$S$29,$A906)="",Q906,MAX(0,MIN(Q906,INDEX(Employees!$S$5:$S$29,$A906)-(S906-R906))))</f>
        <v/>
      </c>
      <c r="U906" s="51">
        <f>Q906-T906</f>
        <v/>
      </c>
      <c r="V906" s="51">
        <f>S906-R906+T906</f>
        <v/>
      </c>
    </row>
    <row r="907">
      <c r="A907" s="50" t="n">
        <v>18</v>
      </c>
      <c r="B907" s="50" t="n">
        <v>2</v>
      </c>
      <c r="C907" s="51">
        <f>INDEX(Employees!$B$5:$B$29,$A907)&amp;""</f>
        <v/>
      </c>
      <c r="D907" s="52">
        <f>INDEX(Periods!$B$5:$B$57,$B907)</f>
        <v/>
      </c>
      <c r="E907" s="52">
        <f>INDEX(Periods!$C$5:$C$57,$B907)</f>
        <v/>
      </c>
      <c r="F907" s="50">
        <f>IF(AND($C907&lt;&gt;"",INDEX(Periods!$D$5:$D$57,$B907)=1),1,0)</f>
        <v/>
      </c>
      <c r="G907" s="50">
        <f>IF($F907=0,0,IF(AND(OR(INDEX(Employees!$D$5:$D$29,$A907)="",$E907&gt;=INDEX(Employees!$D$5:$D$29,$A907)+N(INDEX(Employees!$U$5:$U$29,$A907))),OR(INDEX(Employees!$E$5:$E$29,$A907)="",$D907&lt;=INDEX(Employees!$E$5:$E$29,$A907))),1,0))</f>
        <v/>
      </c>
      <c r="H907" s="50">
        <f>IF($G907=0,0,IF(INDEX(Employees!$D$5:$D$29,$A907)="",0,DATEDIF(INDEX(Employees!$D$5:$D$29,$A907),$E907,"y")))</f>
        <v/>
      </c>
      <c r="I907" s="51">
        <f>IF($G907=0,0,IF(INDEX('Hours Worked'!$D$5:$BD$29,$A907,$B907)="",N(INDEX(Employees!$H$5:$H$29,$A907)),INDEX('Hours Worked'!$D$5:$BD$29,$A907,$B907)))</f>
        <v/>
      </c>
      <c r="J907" s="51">
        <f>IF(OR($G907=0,INDEX(Employees!$O$5:$O$29,$A907)&lt;&gt;"Yes"),0,IF(COUNTIF(Settings!$D$4:$D$9,"&lt;="&amp;$H907)=0,0,INDEX(Settings!$E$4:$E$9,COUNTIF(Settings!$D$4:$D$9,"&lt;="&amp;$H907))))</f>
        <v/>
      </c>
      <c r="K907" s="51">
        <f>IF($G907=0,0,IF(INDEX(Employees!$I$5:$I$29,$A907)="Per pay period",(N(INDEX(Employees!$J$5:$J$29,$A907))+$J907)/Settings!$B$13,IF(INDEX(Employees!$I$5:$I$29,$A907)="Per hour worked",N(INDEX(Employees!$K$5:$K$29,$A907))*$I907,IF(INDEX(Employees!$I$5:$I$29,$A907)="Front-loaded",IF(OR($B907=1,N($G906)=0),N(INDEX(Employees!$J$5:$J$29,$A907))+$J907,0),0))))</f>
        <v/>
      </c>
      <c r="L907" s="51">
        <f>IF($F907=0,0,SUMIFS('Time Off Log'!$H$5:$H$504,'Time Off Log'!$A$5:$A$504,$C907,'Time Off Log'!$B$5:$B$504,"PTO",'Time Off Log'!$E$5:$E$504,"Approved",'Time Off Log'!$C$5:$C$504,"&gt;="&amp;INDEX(Periods!$E$5:$E$57,$B907),'Time Off Log'!$C$5:$C$504,"&lt;="&amp;INDEX(Periods!$F$5:$F$57,$B907)))</f>
        <v/>
      </c>
      <c r="M907" s="51">
        <f>IF($B907=1,N(INDEX(Employees!$N$5:$N$29,$A907)),P906)</f>
        <v/>
      </c>
      <c r="N907" s="51">
        <f>IF(INDEX(Employees!$L$5:$L$29,$A907)="",K907,MAX(0,MIN(K907,INDEX(Employees!$L$5:$L$29,$A907)-(M907-L907))))</f>
        <v/>
      </c>
      <c r="O907" s="51">
        <f>K907-N907</f>
        <v/>
      </c>
      <c r="P907" s="51">
        <f>M907-L907+N907</f>
        <v/>
      </c>
      <c r="Q907" s="51">
        <f>IF($G907=0,0,IF(INDEX(Employees!$P$5:$P$29,$A907)="Per pay period",(N(INDEX(Employees!$Q$5:$Q$29,$A907)))/Settings!$B$13,IF(INDEX(Employees!$P$5:$P$29,$A907)="Per hour worked",N(INDEX(Employees!$R$5:$R$29,$A907))*$I907,IF(INDEX(Employees!$P$5:$P$29,$A907)="Front-loaded",IF(OR($B907=1,N($G906)=0),N(INDEX(Employees!$Q$5:$Q$29,$A907)),0),0))))</f>
        <v/>
      </c>
      <c r="R907" s="51">
        <f>IF($F907=0,0,SUMIFS('Time Off Log'!$H$5:$H$504,'Time Off Log'!$A$5:$A$504,$C907,'Time Off Log'!$B$5:$B$504,"Sick",'Time Off Log'!$E$5:$E$504,"Approved",'Time Off Log'!$C$5:$C$504,"&gt;="&amp;INDEX(Periods!$E$5:$E$57,$B907),'Time Off Log'!$C$5:$C$504,"&lt;="&amp;INDEX(Periods!$F$5:$F$57,$B907)))</f>
        <v/>
      </c>
      <c r="S907" s="51">
        <f>IF($B907=1,N(INDEX(Employees!$T$5:$T$29,$A907)),V906)</f>
        <v/>
      </c>
      <c r="T907" s="51">
        <f>IF(INDEX(Employees!$S$5:$S$29,$A907)="",Q907,MAX(0,MIN(Q907,INDEX(Employees!$S$5:$S$29,$A907)-(S907-R907))))</f>
        <v/>
      </c>
      <c r="U907" s="51">
        <f>Q907-T907</f>
        <v/>
      </c>
      <c r="V907" s="51">
        <f>S907-R907+T907</f>
        <v/>
      </c>
    </row>
    <row r="908">
      <c r="A908" s="50" t="n">
        <v>18</v>
      </c>
      <c r="B908" s="50" t="n">
        <v>3</v>
      </c>
      <c r="C908" s="51">
        <f>INDEX(Employees!$B$5:$B$29,$A908)&amp;""</f>
        <v/>
      </c>
      <c r="D908" s="52">
        <f>INDEX(Periods!$B$5:$B$57,$B908)</f>
        <v/>
      </c>
      <c r="E908" s="52">
        <f>INDEX(Periods!$C$5:$C$57,$B908)</f>
        <v/>
      </c>
      <c r="F908" s="50">
        <f>IF(AND($C908&lt;&gt;"",INDEX(Periods!$D$5:$D$57,$B908)=1),1,0)</f>
        <v/>
      </c>
      <c r="G908" s="50">
        <f>IF($F908=0,0,IF(AND(OR(INDEX(Employees!$D$5:$D$29,$A908)="",$E908&gt;=INDEX(Employees!$D$5:$D$29,$A908)+N(INDEX(Employees!$U$5:$U$29,$A908))),OR(INDEX(Employees!$E$5:$E$29,$A908)="",$D908&lt;=INDEX(Employees!$E$5:$E$29,$A908))),1,0))</f>
        <v/>
      </c>
      <c r="H908" s="50">
        <f>IF($G908=0,0,IF(INDEX(Employees!$D$5:$D$29,$A908)="",0,DATEDIF(INDEX(Employees!$D$5:$D$29,$A908),$E908,"y")))</f>
        <v/>
      </c>
      <c r="I908" s="51">
        <f>IF($G908=0,0,IF(INDEX('Hours Worked'!$D$5:$BD$29,$A908,$B908)="",N(INDEX(Employees!$H$5:$H$29,$A908)),INDEX('Hours Worked'!$D$5:$BD$29,$A908,$B908)))</f>
        <v/>
      </c>
      <c r="J908" s="51">
        <f>IF(OR($G908=0,INDEX(Employees!$O$5:$O$29,$A908)&lt;&gt;"Yes"),0,IF(COUNTIF(Settings!$D$4:$D$9,"&lt;="&amp;$H908)=0,0,INDEX(Settings!$E$4:$E$9,COUNTIF(Settings!$D$4:$D$9,"&lt;="&amp;$H908))))</f>
        <v/>
      </c>
      <c r="K908" s="51">
        <f>IF($G908=0,0,IF(INDEX(Employees!$I$5:$I$29,$A908)="Per pay period",(N(INDEX(Employees!$J$5:$J$29,$A908))+$J908)/Settings!$B$13,IF(INDEX(Employees!$I$5:$I$29,$A908)="Per hour worked",N(INDEX(Employees!$K$5:$K$29,$A908))*$I908,IF(INDEX(Employees!$I$5:$I$29,$A908)="Front-loaded",IF(OR($B908=1,N($G907)=0),N(INDEX(Employees!$J$5:$J$29,$A908))+$J908,0),0))))</f>
        <v/>
      </c>
      <c r="L908" s="51">
        <f>IF($F908=0,0,SUMIFS('Time Off Log'!$H$5:$H$504,'Time Off Log'!$A$5:$A$504,$C908,'Time Off Log'!$B$5:$B$504,"PTO",'Time Off Log'!$E$5:$E$504,"Approved",'Time Off Log'!$C$5:$C$504,"&gt;="&amp;INDEX(Periods!$E$5:$E$57,$B908),'Time Off Log'!$C$5:$C$504,"&lt;="&amp;INDEX(Periods!$F$5:$F$57,$B908)))</f>
        <v/>
      </c>
      <c r="M908" s="51">
        <f>IF($B908=1,N(INDEX(Employees!$N$5:$N$29,$A908)),P907)</f>
        <v/>
      </c>
      <c r="N908" s="51">
        <f>IF(INDEX(Employees!$L$5:$L$29,$A908)="",K908,MAX(0,MIN(K908,INDEX(Employees!$L$5:$L$29,$A908)-(M908-L908))))</f>
        <v/>
      </c>
      <c r="O908" s="51">
        <f>K908-N908</f>
        <v/>
      </c>
      <c r="P908" s="51">
        <f>M908-L908+N908</f>
        <v/>
      </c>
      <c r="Q908" s="51">
        <f>IF($G908=0,0,IF(INDEX(Employees!$P$5:$P$29,$A908)="Per pay period",(N(INDEX(Employees!$Q$5:$Q$29,$A908)))/Settings!$B$13,IF(INDEX(Employees!$P$5:$P$29,$A908)="Per hour worked",N(INDEX(Employees!$R$5:$R$29,$A908))*$I908,IF(INDEX(Employees!$P$5:$P$29,$A908)="Front-loaded",IF(OR($B908=1,N($G907)=0),N(INDEX(Employees!$Q$5:$Q$29,$A908)),0),0))))</f>
        <v/>
      </c>
      <c r="R908" s="51">
        <f>IF($F908=0,0,SUMIFS('Time Off Log'!$H$5:$H$504,'Time Off Log'!$A$5:$A$504,$C908,'Time Off Log'!$B$5:$B$504,"Sick",'Time Off Log'!$E$5:$E$504,"Approved",'Time Off Log'!$C$5:$C$504,"&gt;="&amp;INDEX(Periods!$E$5:$E$57,$B908),'Time Off Log'!$C$5:$C$504,"&lt;="&amp;INDEX(Periods!$F$5:$F$57,$B908)))</f>
        <v/>
      </c>
      <c r="S908" s="51">
        <f>IF($B908=1,N(INDEX(Employees!$T$5:$T$29,$A908)),V907)</f>
        <v/>
      </c>
      <c r="T908" s="51">
        <f>IF(INDEX(Employees!$S$5:$S$29,$A908)="",Q908,MAX(0,MIN(Q908,INDEX(Employees!$S$5:$S$29,$A908)-(S908-R908))))</f>
        <v/>
      </c>
      <c r="U908" s="51">
        <f>Q908-T908</f>
        <v/>
      </c>
      <c r="V908" s="51">
        <f>S908-R908+T908</f>
        <v/>
      </c>
    </row>
    <row r="909">
      <c r="A909" s="50" t="n">
        <v>18</v>
      </c>
      <c r="B909" s="50" t="n">
        <v>4</v>
      </c>
      <c r="C909" s="51">
        <f>INDEX(Employees!$B$5:$B$29,$A909)&amp;""</f>
        <v/>
      </c>
      <c r="D909" s="52">
        <f>INDEX(Periods!$B$5:$B$57,$B909)</f>
        <v/>
      </c>
      <c r="E909" s="52">
        <f>INDEX(Periods!$C$5:$C$57,$B909)</f>
        <v/>
      </c>
      <c r="F909" s="50">
        <f>IF(AND($C909&lt;&gt;"",INDEX(Periods!$D$5:$D$57,$B909)=1),1,0)</f>
        <v/>
      </c>
      <c r="G909" s="50">
        <f>IF($F909=0,0,IF(AND(OR(INDEX(Employees!$D$5:$D$29,$A909)="",$E909&gt;=INDEX(Employees!$D$5:$D$29,$A909)+N(INDEX(Employees!$U$5:$U$29,$A909))),OR(INDEX(Employees!$E$5:$E$29,$A909)="",$D909&lt;=INDEX(Employees!$E$5:$E$29,$A909))),1,0))</f>
        <v/>
      </c>
      <c r="H909" s="50">
        <f>IF($G909=0,0,IF(INDEX(Employees!$D$5:$D$29,$A909)="",0,DATEDIF(INDEX(Employees!$D$5:$D$29,$A909),$E909,"y")))</f>
        <v/>
      </c>
      <c r="I909" s="51">
        <f>IF($G909=0,0,IF(INDEX('Hours Worked'!$D$5:$BD$29,$A909,$B909)="",N(INDEX(Employees!$H$5:$H$29,$A909)),INDEX('Hours Worked'!$D$5:$BD$29,$A909,$B909)))</f>
        <v/>
      </c>
      <c r="J909" s="51">
        <f>IF(OR($G909=0,INDEX(Employees!$O$5:$O$29,$A909)&lt;&gt;"Yes"),0,IF(COUNTIF(Settings!$D$4:$D$9,"&lt;="&amp;$H909)=0,0,INDEX(Settings!$E$4:$E$9,COUNTIF(Settings!$D$4:$D$9,"&lt;="&amp;$H909))))</f>
        <v/>
      </c>
      <c r="K909" s="51">
        <f>IF($G909=0,0,IF(INDEX(Employees!$I$5:$I$29,$A909)="Per pay period",(N(INDEX(Employees!$J$5:$J$29,$A909))+$J909)/Settings!$B$13,IF(INDEX(Employees!$I$5:$I$29,$A909)="Per hour worked",N(INDEX(Employees!$K$5:$K$29,$A909))*$I909,IF(INDEX(Employees!$I$5:$I$29,$A909)="Front-loaded",IF(OR($B909=1,N($G908)=0),N(INDEX(Employees!$J$5:$J$29,$A909))+$J909,0),0))))</f>
        <v/>
      </c>
      <c r="L909" s="51">
        <f>IF($F909=0,0,SUMIFS('Time Off Log'!$H$5:$H$504,'Time Off Log'!$A$5:$A$504,$C909,'Time Off Log'!$B$5:$B$504,"PTO",'Time Off Log'!$E$5:$E$504,"Approved",'Time Off Log'!$C$5:$C$504,"&gt;="&amp;INDEX(Periods!$E$5:$E$57,$B909),'Time Off Log'!$C$5:$C$504,"&lt;="&amp;INDEX(Periods!$F$5:$F$57,$B909)))</f>
        <v/>
      </c>
      <c r="M909" s="51">
        <f>IF($B909=1,N(INDEX(Employees!$N$5:$N$29,$A909)),P908)</f>
        <v/>
      </c>
      <c r="N909" s="51">
        <f>IF(INDEX(Employees!$L$5:$L$29,$A909)="",K909,MAX(0,MIN(K909,INDEX(Employees!$L$5:$L$29,$A909)-(M909-L909))))</f>
        <v/>
      </c>
      <c r="O909" s="51">
        <f>K909-N909</f>
        <v/>
      </c>
      <c r="P909" s="51">
        <f>M909-L909+N909</f>
        <v/>
      </c>
      <c r="Q909" s="51">
        <f>IF($G909=0,0,IF(INDEX(Employees!$P$5:$P$29,$A909)="Per pay period",(N(INDEX(Employees!$Q$5:$Q$29,$A909)))/Settings!$B$13,IF(INDEX(Employees!$P$5:$P$29,$A909)="Per hour worked",N(INDEX(Employees!$R$5:$R$29,$A909))*$I909,IF(INDEX(Employees!$P$5:$P$29,$A909)="Front-loaded",IF(OR($B909=1,N($G908)=0),N(INDEX(Employees!$Q$5:$Q$29,$A909)),0),0))))</f>
        <v/>
      </c>
      <c r="R909" s="51">
        <f>IF($F909=0,0,SUMIFS('Time Off Log'!$H$5:$H$504,'Time Off Log'!$A$5:$A$504,$C909,'Time Off Log'!$B$5:$B$504,"Sick",'Time Off Log'!$E$5:$E$504,"Approved",'Time Off Log'!$C$5:$C$504,"&gt;="&amp;INDEX(Periods!$E$5:$E$57,$B909),'Time Off Log'!$C$5:$C$504,"&lt;="&amp;INDEX(Periods!$F$5:$F$57,$B909)))</f>
        <v/>
      </c>
      <c r="S909" s="51">
        <f>IF($B909=1,N(INDEX(Employees!$T$5:$T$29,$A909)),V908)</f>
        <v/>
      </c>
      <c r="T909" s="51">
        <f>IF(INDEX(Employees!$S$5:$S$29,$A909)="",Q909,MAX(0,MIN(Q909,INDEX(Employees!$S$5:$S$29,$A909)-(S909-R909))))</f>
        <v/>
      </c>
      <c r="U909" s="51">
        <f>Q909-T909</f>
        <v/>
      </c>
      <c r="V909" s="51">
        <f>S909-R909+T909</f>
        <v/>
      </c>
    </row>
    <row r="910">
      <c r="A910" s="50" t="n">
        <v>18</v>
      </c>
      <c r="B910" s="50" t="n">
        <v>5</v>
      </c>
      <c r="C910" s="51">
        <f>INDEX(Employees!$B$5:$B$29,$A910)&amp;""</f>
        <v/>
      </c>
      <c r="D910" s="52">
        <f>INDEX(Periods!$B$5:$B$57,$B910)</f>
        <v/>
      </c>
      <c r="E910" s="52">
        <f>INDEX(Periods!$C$5:$C$57,$B910)</f>
        <v/>
      </c>
      <c r="F910" s="50">
        <f>IF(AND($C910&lt;&gt;"",INDEX(Periods!$D$5:$D$57,$B910)=1),1,0)</f>
        <v/>
      </c>
      <c r="G910" s="50">
        <f>IF($F910=0,0,IF(AND(OR(INDEX(Employees!$D$5:$D$29,$A910)="",$E910&gt;=INDEX(Employees!$D$5:$D$29,$A910)+N(INDEX(Employees!$U$5:$U$29,$A910))),OR(INDEX(Employees!$E$5:$E$29,$A910)="",$D910&lt;=INDEX(Employees!$E$5:$E$29,$A910))),1,0))</f>
        <v/>
      </c>
      <c r="H910" s="50">
        <f>IF($G910=0,0,IF(INDEX(Employees!$D$5:$D$29,$A910)="",0,DATEDIF(INDEX(Employees!$D$5:$D$29,$A910),$E910,"y")))</f>
        <v/>
      </c>
      <c r="I910" s="51">
        <f>IF($G910=0,0,IF(INDEX('Hours Worked'!$D$5:$BD$29,$A910,$B910)="",N(INDEX(Employees!$H$5:$H$29,$A910)),INDEX('Hours Worked'!$D$5:$BD$29,$A910,$B910)))</f>
        <v/>
      </c>
      <c r="J910" s="51">
        <f>IF(OR($G910=0,INDEX(Employees!$O$5:$O$29,$A910)&lt;&gt;"Yes"),0,IF(COUNTIF(Settings!$D$4:$D$9,"&lt;="&amp;$H910)=0,0,INDEX(Settings!$E$4:$E$9,COUNTIF(Settings!$D$4:$D$9,"&lt;="&amp;$H910))))</f>
        <v/>
      </c>
      <c r="K910" s="51">
        <f>IF($G910=0,0,IF(INDEX(Employees!$I$5:$I$29,$A910)="Per pay period",(N(INDEX(Employees!$J$5:$J$29,$A910))+$J910)/Settings!$B$13,IF(INDEX(Employees!$I$5:$I$29,$A910)="Per hour worked",N(INDEX(Employees!$K$5:$K$29,$A910))*$I910,IF(INDEX(Employees!$I$5:$I$29,$A910)="Front-loaded",IF(OR($B910=1,N($G909)=0),N(INDEX(Employees!$J$5:$J$29,$A910))+$J910,0),0))))</f>
        <v/>
      </c>
      <c r="L910" s="51">
        <f>IF($F910=0,0,SUMIFS('Time Off Log'!$H$5:$H$504,'Time Off Log'!$A$5:$A$504,$C910,'Time Off Log'!$B$5:$B$504,"PTO",'Time Off Log'!$E$5:$E$504,"Approved",'Time Off Log'!$C$5:$C$504,"&gt;="&amp;INDEX(Periods!$E$5:$E$57,$B910),'Time Off Log'!$C$5:$C$504,"&lt;="&amp;INDEX(Periods!$F$5:$F$57,$B910)))</f>
        <v/>
      </c>
      <c r="M910" s="51">
        <f>IF($B910=1,N(INDEX(Employees!$N$5:$N$29,$A910)),P909)</f>
        <v/>
      </c>
      <c r="N910" s="51">
        <f>IF(INDEX(Employees!$L$5:$L$29,$A910)="",K910,MAX(0,MIN(K910,INDEX(Employees!$L$5:$L$29,$A910)-(M910-L910))))</f>
        <v/>
      </c>
      <c r="O910" s="51">
        <f>K910-N910</f>
        <v/>
      </c>
      <c r="P910" s="51">
        <f>M910-L910+N910</f>
        <v/>
      </c>
      <c r="Q910" s="51">
        <f>IF($G910=0,0,IF(INDEX(Employees!$P$5:$P$29,$A910)="Per pay period",(N(INDEX(Employees!$Q$5:$Q$29,$A910)))/Settings!$B$13,IF(INDEX(Employees!$P$5:$P$29,$A910)="Per hour worked",N(INDEX(Employees!$R$5:$R$29,$A910))*$I910,IF(INDEX(Employees!$P$5:$P$29,$A910)="Front-loaded",IF(OR($B910=1,N($G909)=0),N(INDEX(Employees!$Q$5:$Q$29,$A910)),0),0))))</f>
        <v/>
      </c>
      <c r="R910" s="51">
        <f>IF($F910=0,0,SUMIFS('Time Off Log'!$H$5:$H$504,'Time Off Log'!$A$5:$A$504,$C910,'Time Off Log'!$B$5:$B$504,"Sick",'Time Off Log'!$E$5:$E$504,"Approved",'Time Off Log'!$C$5:$C$504,"&gt;="&amp;INDEX(Periods!$E$5:$E$57,$B910),'Time Off Log'!$C$5:$C$504,"&lt;="&amp;INDEX(Periods!$F$5:$F$57,$B910)))</f>
        <v/>
      </c>
      <c r="S910" s="51">
        <f>IF($B910=1,N(INDEX(Employees!$T$5:$T$29,$A910)),V909)</f>
        <v/>
      </c>
      <c r="T910" s="51">
        <f>IF(INDEX(Employees!$S$5:$S$29,$A910)="",Q910,MAX(0,MIN(Q910,INDEX(Employees!$S$5:$S$29,$A910)-(S910-R910))))</f>
        <v/>
      </c>
      <c r="U910" s="51">
        <f>Q910-T910</f>
        <v/>
      </c>
      <c r="V910" s="51">
        <f>S910-R910+T910</f>
        <v/>
      </c>
    </row>
    <row r="911">
      <c r="A911" s="50" t="n">
        <v>18</v>
      </c>
      <c r="B911" s="50" t="n">
        <v>6</v>
      </c>
      <c r="C911" s="51">
        <f>INDEX(Employees!$B$5:$B$29,$A911)&amp;""</f>
        <v/>
      </c>
      <c r="D911" s="52">
        <f>INDEX(Periods!$B$5:$B$57,$B911)</f>
        <v/>
      </c>
      <c r="E911" s="52">
        <f>INDEX(Periods!$C$5:$C$57,$B911)</f>
        <v/>
      </c>
      <c r="F911" s="50">
        <f>IF(AND($C911&lt;&gt;"",INDEX(Periods!$D$5:$D$57,$B911)=1),1,0)</f>
        <v/>
      </c>
      <c r="G911" s="50">
        <f>IF($F911=0,0,IF(AND(OR(INDEX(Employees!$D$5:$D$29,$A911)="",$E911&gt;=INDEX(Employees!$D$5:$D$29,$A911)+N(INDEX(Employees!$U$5:$U$29,$A911))),OR(INDEX(Employees!$E$5:$E$29,$A911)="",$D911&lt;=INDEX(Employees!$E$5:$E$29,$A911))),1,0))</f>
        <v/>
      </c>
      <c r="H911" s="50">
        <f>IF($G911=0,0,IF(INDEX(Employees!$D$5:$D$29,$A911)="",0,DATEDIF(INDEX(Employees!$D$5:$D$29,$A911),$E911,"y")))</f>
        <v/>
      </c>
      <c r="I911" s="51">
        <f>IF($G911=0,0,IF(INDEX('Hours Worked'!$D$5:$BD$29,$A911,$B911)="",N(INDEX(Employees!$H$5:$H$29,$A911)),INDEX('Hours Worked'!$D$5:$BD$29,$A911,$B911)))</f>
        <v/>
      </c>
      <c r="J911" s="51">
        <f>IF(OR($G911=0,INDEX(Employees!$O$5:$O$29,$A911)&lt;&gt;"Yes"),0,IF(COUNTIF(Settings!$D$4:$D$9,"&lt;="&amp;$H911)=0,0,INDEX(Settings!$E$4:$E$9,COUNTIF(Settings!$D$4:$D$9,"&lt;="&amp;$H911))))</f>
        <v/>
      </c>
      <c r="K911" s="51">
        <f>IF($G911=0,0,IF(INDEX(Employees!$I$5:$I$29,$A911)="Per pay period",(N(INDEX(Employees!$J$5:$J$29,$A911))+$J911)/Settings!$B$13,IF(INDEX(Employees!$I$5:$I$29,$A911)="Per hour worked",N(INDEX(Employees!$K$5:$K$29,$A911))*$I911,IF(INDEX(Employees!$I$5:$I$29,$A911)="Front-loaded",IF(OR($B911=1,N($G910)=0),N(INDEX(Employees!$J$5:$J$29,$A911))+$J911,0),0))))</f>
        <v/>
      </c>
      <c r="L911" s="51">
        <f>IF($F911=0,0,SUMIFS('Time Off Log'!$H$5:$H$504,'Time Off Log'!$A$5:$A$504,$C911,'Time Off Log'!$B$5:$B$504,"PTO",'Time Off Log'!$E$5:$E$504,"Approved",'Time Off Log'!$C$5:$C$504,"&gt;="&amp;INDEX(Periods!$E$5:$E$57,$B911),'Time Off Log'!$C$5:$C$504,"&lt;="&amp;INDEX(Periods!$F$5:$F$57,$B911)))</f>
        <v/>
      </c>
      <c r="M911" s="51">
        <f>IF($B911=1,N(INDEX(Employees!$N$5:$N$29,$A911)),P910)</f>
        <v/>
      </c>
      <c r="N911" s="51">
        <f>IF(INDEX(Employees!$L$5:$L$29,$A911)="",K911,MAX(0,MIN(K911,INDEX(Employees!$L$5:$L$29,$A911)-(M911-L911))))</f>
        <v/>
      </c>
      <c r="O911" s="51">
        <f>K911-N911</f>
        <v/>
      </c>
      <c r="P911" s="51">
        <f>M911-L911+N911</f>
        <v/>
      </c>
      <c r="Q911" s="51">
        <f>IF($G911=0,0,IF(INDEX(Employees!$P$5:$P$29,$A911)="Per pay period",(N(INDEX(Employees!$Q$5:$Q$29,$A911)))/Settings!$B$13,IF(INDEX(Employees!$P$5:$P$29,$A911)="Per hour worked",N(INDEX(Employees!$R$5:$R$29,$A911))*$I911,IF(INDEX(Employees!$P$5:$P$29,$A911)="Front-loaded",IF(OR($B911=1,N($G910)=0),N(INDEX(Employees!$Q$5:$Q$29,$A911)),0),0))))</f>
        <v/>
      </c>
      <c r="R911" s="51">
        <f>IF($F911=0,0,SUMIFS('Time Off Log'!$H$5:$H$504,'Time Off Log'!$A$5:$A$504,$C911,'Time Off Log'!$B$5:$B$504,"Sick",'Time Off Log'!$E$5:$E$504,"Approved",'Time Off Log'!$C$5:$C$504,"&gt;="&amp;INDEX(Periods!$E$5:$E$57,$B911),'Time Off Log'!$C$5:$C$504,"&lt;="&amp;INDEX(Periods!$F$5:$F$57,$B911)))</f>
        <v/>
      </c>
      <c r="S911" s="51">
        <f>IF($B911=1,N(INDEX(Employees!$T$5:$T$29,$A911)),V910)</f>
        <v/>
      </c>
      <c r="T911" s="51">
        <f>IF(INDEX(Employees!$S$5:$S$29,$A911)="",Q911,MAX(0,MIN(Q911,INDEX(Employees!$S$5:$S$29,$A911)-(S911-R911))))</f>
        <v/>
      </c>
      <c r="U911" s="51">
        <f>Q911-T911</f>
        <v/>
      </c>
      <c r="V911" s="51">
        <f>S911-R911+T911</f>
        <v/>
      </c>
    </row>
    <row r="912">
      <c r="A912" s="50" t="n">
        <v>18</v>
      </c>
      <c r="B912" s="50" t="n">
        <v>7</v>
      </c>
      <c r="C912" s="51">
        <f>INDEX(Employees!$B$5:$B$29,$A912)&amp;""</f>
        <v/>
      </c>
      <c r="D912" s="52">
        <f>INDEX(Periods!$B$5:$B$57,$B912)</f>
        <v/>
      </c>
      <c r="E912" s="52">
        <f>INDEX(Periods!$C$5:$C$57,$B912)</f>
        <v/>
      </c>
      <c r="F912" s="50">
        <f>IF(AND($C912&lt;&gt;"",INDEX(Periods!$D$5:$D$57,$B912)=1),1,0)</f>
        <v/>
      </c>
      <c r="G912" s="50">
        <f>IF($F912=0,0,IF(AND(OR(INDEX(Employees!$D$5:$D$29,$A912)="",$E912&gt;=INDEX(Employees!$D$5:$D$29,$A912)+N(INDEX(Employees!$U$5:$U$29,$A912))),OR(INDEX(Employees!$E$5:$E$29,$A912)="",$D912&lt;=INDEX(Employees!$E$5:$E$29,$A912))),1,0))</f>
        <v/>
      </c>
      <c r="H912" s="50">
        <f>IF($G912=0,0,IF(INDEX(Employees!$D$5:$D$29,$A912)="",0,DATEDIF(INDEX(Employees!$D$5:$D$29,$A912),$E912,"y")))</f>
        <v/>
      </c>
      <c r="I912" s="51">
        <f>IF($G912=0,0,IF(INDEX('Hours Worked'!$D$5:$BD$29,$A912,$B912)="",N(INDEX(Employees!$H$5:$H$29,$A912)),INDEX('Hours Worked'!$D$5:$BD$29,$A912,$B912)))</f>
        <v/>
      </c>
      <c r="J912" s="51">
        <f>IF(OR($G912=0,INDEX(Employees!$O$5:$O$29,$A912)&lt;&gt;"Yes"),0,IF(COUNTIF(Settings!$D$4:$D$9,"&lt;="&amp;$H912)=0,0,INDEX(Settings!$E$4:$E$9,COUNTIF(Settings!$D$4:$D$9,"&lt;="&amp;$H912))))</f>
        <v/>
      </c>
      <c r="K912" s="51">
        <f>IF($G912=0,0,IF(INDEX(Employees!$I$5:$I$29,$A912)="Per pay period",(N(INDEX(Employees!$J$5:$J$29,$A912))+$J912)/Settings!$B$13,IF(INDEX(Employees!$I$5:$I$29,$A912)="Per hour worked",N(INDEX(Employees!$K$5:$K$29,$A912))*$I912,IF(INDEX(Employees!$I$5:$I$29,$A912)="Front-loaded",IF(OR($B912=1,N($G911)=0),N(INDEX(Employees!$J$5:$J$29,$A912))+$J912,0),0))))</f>
        <v/>
      </c>
      <c r="L912" s="51">
        <f>IF($F912=0,0,SUMIFS('Time Off Log'!$H$5:$H$504,'Time Off Log'!$A$5:$A$504,$C912,'Time Off Log'!$B$5:$B$504,"PTO",'Time Off Log'!$E$5:$E$504,"Approved",'Time Off Log'!$C$5:$C$504,"&gt;="&amp;INDEX(Periods!$E$5:$E$57,$B912),'Time Off Log'!$C$5:$C$504,"&lt;="&amp;INDEX(Periods!$F$5:$F$57,$B912)))</f>
        <v/>
      </c>
      <c r="M912" s="51">
        <f>IF($B912=1,N(INDEX(Employees!$N$5:$N$29,$A912)),P911)</f>
        <v/>
      </c>
      <c r="N912" s="51">
        <f>IF(INDEX(Employees!$L$5:$L$29,$A912)="",K912,MAX(0,MIN(K912,INDEX(Employees!$L$5:$L$29,$A912)-(M912-L912))))</f>
        <v/>
      </c>
      <c r="O912" s="51">
        <f>K912-N912</f>
        <v/>
      </c>
      <c r="P912" s="51">
        <f>M912-L912+N912</f>
        <v/>
      </c>
      <c r="Q912" s="51">
        <f>IF($G912=0,0,IF(INDEX(Employees!$P$5:$P$29,$A912)="Per pay period",(N(INDEX(Employees!$Q$5:$Q$29,$A912)))/Settings!$B$13,IF(INDEX(Employees!$P$5:$P$29,$A912)="Per hour worked",N(INDEX(Employees!$R$5:$R$29,$A912))*$I912,IF(INDEX(Employees!$P$5:$P$29,$A912)="Front-loaded",IF(OR($B912=1,N($G911)=0),N(INDEX(Employees!$Q$5:$Q$29,$A912)),0),0))))</f>
        <v/>
      </c>
      <c r="R912" s="51">
        <f>IF($F912=0,0,SUMIFS('Time Off Log'!$H$5:$H$504,'Time Off Log'!$A$5:$A$504,$C912,'Time Off Log'!$B$5:$B$504,"Sick",'Time Off Log'!$E$5:$E$504,"Approved",'Time Off Log'!$C$5:$C$504,"&gt;="&amp;INDEX(Periods!$E$5:$E$57,$B912),'Time Off Log'!$C$5:$C$504,"&lt;="&amp;INDEX(Periods!$F$5:$F$57,$B912)))</f>
        <v/>
      </c>
      <c r="S912" s="51">
        <f>IF($B912=1,N(INDEX(Employees!$T$5:$T$29,$A912)),V911)</f>
        <v/>
      </c>
      <c r="T912" s="51">
        <f>IF(INDEX(Employees!$S$5:$S$29,$A912)="",Q912,MAX(0,MIN(Q912,INDEX(Employees!$S$5:$S$29,$A912)-(S912-R912))))</f>
        <v/>
      </c>
      <c r="U912" s="51">
        <f>Q912-T912</f>
        <v/>
      </c>
      <c r="V912" s="51">
        <f>S912-R912+T912</f>
        <v/>
      </c>
    </row>
    <row r="913">
      <c r="A913" s="50" t="n">
        <v>18</v>
      </c>
      <c r="B913" s="50" t="n">
        <v>8</v>
      </c>
      <c r="C913" s="51">
        <f>INDEX(Employees!$B$5:$B$29,$A913)&amp;""</f>
        <v/>
      </c>
      <c r="D913" s="52">
        <f>INDEX(Periods!$B$5:$B$57,$B913)</f>
        <v/>
      </c>
      <c r="E913" s="52">
        <f>INDEX(Periods!$C$5:$C$57,$B913)</f>
        <v/>
      </c>
      <c r="F913" s="50">
        <f>IF(AND($C913&lt;&gt;"",INDEX(Periods!$D$5:$D$57,$B913)=1),1,0)</f>
        <v/>
      </c>
      <c r="G913" s="50">
        <f>IF($F913=0,0,IF(AND(OR(INDEX(Employees!$D$5:$D$29,$A913)="",$E913&gt;=INDEX(Employees!$D$5:$D$29,$A913)+N(INDEX(Employees!$U$5:$U$29,$A913))),OR(INDEX(Employees!$E$5:$E$29,$A913)="",$D913&lt;=INDEX(Employees!$E$5:$E$29,$A913))),1,0))</f>
        <v/>
      </c>
      <c r="H913" s="50">
        <f>IF($G913=0,0,IF(INDEX(Employees!$D$5:$D$29,$A913)="",0,DATEDIF(INDEX(Employees!$D$5:$D$29,$A913),$E913,"y")))</f>
        <v/>
      </c>
      <c r="I913" s="51">
        <f>IF($G913=0,0,IF(INDEX('Hours Worked'!$D$5:$BD$29,$A913,$B913)="",N(INDEX(Employees!$H$5:$H$29,$A913)),INDEX('Hours Worked'!$D$5:$BD$29,$A913,$B913)))</f>
        <v/>
      </c>
      <c r="J913" s="51">
        <f>IF(OR($G913=0,INDEX(Employees!$O$5:$O$29,$A913)&lt;&gt;"Yes"),0,IF(COUNTIF(Settings!$D$4:$D$9,"&lt;="&amp;$H913)=0,0,INDEX(Settings!$E$4:$E$9,COUNTIF(Settings!$D$4:$D$9,"&lt;="&amp;$H913))))</f>
        <v/>
      </c>
      <c r="K913" s="51">
        <f>IF($G913=0,0,IF(INDEX(Employees!$I$5:$I$29,$A913)="Per pay period",(N(INDEX(Employees!$J$5:$J$29,$A913))+$J913)/Settings!$B$13,IF(INDEX(Employees!$I$5:$I$29,$A913)="Per hour worked",N(INDEX(Employees!$K$5:$K$29,$A913))*$I913,IF(INDEX(Employees!$I$5:$I$29,$A913)="Front-loaded",IF(OR($B913=1,N($G912)=0),N(INDEX(Employees!$J$5:$J$29,$A913))+$J913,0),0))))</f>
        <v/>
      </c>
      <c r="L913" s="51">
        <f>IF($F913=0,0,SUMIFS('Time Off Log'!$H$5:$H$504,'Time Off Log'!$A$5:$A$504,$C913,'Time Off Log'!$B$5:$B$504,"PTO",'Time Off Log'!$E$5:$E$504,"Approved",'Time Off Log'!$C$5:$C$504,"&gt;="&amp;INDEX(Periods!$E$5:$E$57,$B913),'Time Off Log'!$C$5:$C$504,"&lt;="&amp;INDEX(Periods!$F$5:$F$57,$B913)))</f>
        <v/>
      </c>
      <c r="M913" s="51">
        <f>IF($B913=1,N(INDEX(Employees!$N$5:$N$29,$A913)),P912)</f>
        <v/>
      </c>
      <c r="N913" s="51">
        <f>IF(INDEX(Employees!$L$5:$L$29,$A913)="",K913,MAX(0,MIN(K913,INDEX(Employees!$L$5:$L$29,$A913)-(M913-L913))))</f>
        <v/>
      </c>
      <c r="O913" s="51">
        <f>K913-N913</f>
        <v/>
      </c>
      <c r="P913" s="51">
        <f>M913-L913+N913</f>
        <v/>
      </c>
      <c r="Q913" s="51">
        <f>IF($G913=0,0,IF(INDEX(Employees!$P$5:$P$29,$A913)="Per pay period",(N(INDEX(Employees!$Q$5:$Q$29,$A913)))/Settings!$B$13,IF(INDEX(Employees!$P$5:$P$29,$A913)="Per hour worked",N(INDEX(Employees!$R$5:$R$29,$A913))*$I913,IF(INDEX(Employees!$P$5:$P$29,$A913)="Front-loaded",IF(OR($B913=1,N($G912)=0),N(INDEX(Employees!$Q$5:$Q$29,$A913)),0),0))))</f>
        <v/>
      </c>
      <c r="R913" s="51">
        <f>IF($F913=0,0,SUMIFS('Time Off Log'!$H$5:$H$504,'Time Off Log'!$A$5:$A$504,$C913,'Time Off Log'!$B$5:$B$504,"Sick",'Time Off Log'!$E$5:$E$504,"Approved",'Time Off Log'!$C$5:$C$504,"&gt;="&amp;INDEX(Periods!$E$5:$E$57,$B913),'Time Off Log'!$C$5:$C$504,"&lt;="&amp;INDEX(Periods!$F$5:$F$57,$B913)))</f>
        <v/>
      </c>
      <c r="S913" s="51">
        <f>IF($B913=1,N(INDEX(Employees!$T$5:$T$29,$A913)),V912)</f>
        <v/>
      </c>
      <c r="T913" s="51">
        <f>IF(INDEX(Employees!$S$5:$S$29,$A913)="",Q913,MAX(0,MIN(Q913,INDEX(Employees!$S$5:$S$29,$A913)-(S913-R913))))</f>
        <v/>
      </c>
      <c r="U913" s="51">
        <f>Q913-T913</f>
        <v/>
      </c>
      <c r="V913" s="51">
        <f>S913-R913+T913</f>
        <v/>
      </c>
    </row>
    <row r="914">
      <c r="A914" s="50" t="n">
        <v>18</v>
      </c>
      <c r="B914" s="50" t="n">
        <v>9</v>
      </c>
      <c r="C914" s="51">
        <f>INDEX(Employees!$B$5:$B$29,$A914)&amp;""</f>
        <v/>
      </c>
      <c r="D914" s="52">
        <f>INDEX(Periods!$B$5:$B$57,$B914)</f>
        <v/>
      </c>
      <c r="E914" s="52">
        <f>INDEX(Periods!$C$5:$C$57,$B914)</f>
        <v/>
      </c>
      <c r="F914" s="50">
        <f>IF(AND($C914&lt;&gt;"",INDEX(Periods!$D$5:$D$57,$B914)=1),1,0)</f>
        <v/>
      </c>
      <c r="G914" s="50">
        <f>IF($F914=0,0,IF(AND(OR(INDEX(Employees!$D$5:$D$29,$A914)="",$E914&gt;=INDEX(Employees!$D$5:$D$29,$A914)+N(INDEX(Employees!$U$5:$U$29,$A914))),OR(INDEX(Employees!$E$5:$E$29,$A914)="",$D914&lt;=INDEX(Employees!$E$5:$E$29,$A914))),1,0))</f>
        <v/>
      </c>
      <c r="H914" s="50">
        <f>IF($G914=0,0,IF(INDEX(Employees!$D$5:$D$29,$A914)="",0,DATEDIF(INDEX(Employees!$D$5:$D$29,$A914),$E914,"y")))</f>
        <v/>
      </c>
      <c r="I914" s="51">
        <f>IF($G914=0,0,IF(INDEX('Hours Worked'!$D$5:$BD$29,$A914,$B914)="",N(INDEX(Employees!$H$5:$H$29,$A914)),INDEX('Hours Worked'!$D$5:$BD$29,$A914,$B914)))</f>
        <v/>
      </c>
      <c r="J914" s="51">
        <f>IF(OR($G914=0,INDEX(Employees!$O$5:$O$29,$A914)&lt;&gt;"Yes"),0,IF(COUNTIF(Settings!$D$4:$D$9,"&lt;="&amp;$H914)=0,0,INDEX(Settings!$E$4:$E$9,COUNTIF(Settings!$D$4:$D$9,"&lt;="&amp;$H914))))</f>
        <v/>
      </c>
      <c r="K914" s="51">
        <f>IF($G914=0,0,IF(INDEX(Employees!$I$5:$I$29,$A914)="Per pay period",(N(INDEX(Employees!$J$5:$J$29,$A914))+$J914)/Settings!$B$13,IF(INDEX(Employees!$I$5:$I$29,$A914)="Per hour worked",N(INDEX(Employees!$K$5:$K$29,$A914))*$I914,IF(INDEX(Employees!$I$5:$I$29,$A914)="Front-loaded",IF(OR($B914=1,N($G913)=0),N(INDEX(Employees!$J$5:$J$29,$A914))+$J914,0),0))))</f>
        <v/>
      </c>
      <c r="L914" s="51">
        <f>IF($F914=0,0,SUMIFS('Time Off Log'!$H$5:$H$504,'Time Off Log'!$A$5:$A$504,$C914,'Time Off Log'!$B$5:$B$504,"PTO",'Time Off Log'!$E$5:$E$504,"Approved",'Time Off Log'!$C$5:$C$504,"&gt;="&amp;INDEX(Periods!$E$5:$E$57,$B914),'Time Off Log'!$C$5:$C$504,"&lt;="&amp;INDEX(Periods!$F$5:$F$57,$B914)))</f>
        <v/>
      </c>
      <c r="M914" s="51">
        <f>IF($B914=1,N(INDEX(Employees!$N$5:$N$29,$A914)),P913)</f>
        <v/>
      </c>
      <c r="N914" s="51">
        <f>IF(INDEX(Employees!$L$5:$L$29,$A914)="",K914,MAX(0,MIN(K914,INDEX(Employees!$L$5:$L$29,$A914)-(M914-L914))))</f>
        <v/>
      </c>
      <c r="O914" s="51">
        <f>K914-N914</f>
        <v/>
      </c>
      <c r="P914" s="51">
        <f>M914-L914+N914</f>
        <v/>
      </c>
      <c r="Q914" s="51">
        <f>IF($G914=0,0,IF(INDEX(Employees!$P$5:$P$29,$A914)="Per pay period",(N(INDEX(Employees!$Q$5:$Q$29,$A914)))/Settings!$B$13,IF(INDEX(Employees!$P$5:$P$29,$A914)="Per hour worked",N(INDEX(Employees!$R$5:$R$29,$A914))*$I914,IF(INDEX(Employees!$P$5:$P$29,$A914)="Front-loaded",IF(OR($B914=1,N($G913)=0),N(INDEX(Employees!$Q$5:$Q$29,$A914)),0),0))))</f>
        <v/>
      </c>
      <c r="R914" s="51">
        <f>IF($F914=0,0,SUMIFS('Time Off Log'!$H$5:$H$504,'Time Off Log'!$A$5:$A$504,$C914,'Time Off Log'!$B$5:$B$504,"Sick",'Time Off Log'!$E$5:$E$504,"Approved",'Time Off Log'!$C$5:$C$504,"&gt;="&amp;INDEX(Periods!$E$5:$E$57,$B914),'Time Off Log'!$C$5:$C$504,"&lt;="&amp;INDEX(Periods!$F$5:$F$57,$B914)))</f>
        <v/>
      </c>
      <c r="S914" s="51">
        <f>IF($B914=1,N(INDEX(Employees!$T$5:$T$29,$A914)),V913)</f>
        <v/>
      </c>
      <c r="T914" s="51">
        <f>IF(INDEX(Employees!$S$5:$S$29,$A914)="",Q914,MAX(0,MIN(Q914,INDEX(Employees!$S$5:$S$29,$A914)-(S914-R914))))</f>
        <v/>
      </c>
      <c r="U914" s="51">
        <f>Q914-T914</f>
        <v/>
      </c>
      <c r="V914" s="51">
        <f>S914-R914+T914</f>
        <v/>
      </c>
    </row>
    <row r="915">
      <c r="A915" s="50" t="n">
        <v>18</v>
      </c>
      <c r="B915" s="50" t="n">
        <v>10</v>
      </c>
      <c r="C915" s="51">
        <f>INDEX(Employees!$B$5:$B$29,$A915)&amp;""</f>
        <v/>
      </c>
      <c r="D915" s="52">
        <f>INDEX(Periods!$B$5:$B$57,$B915)</f>
        <v/>
      </c>
      <c r="E915" s="52">
        <f>INDEX(Periods!$C$5:$C$57,$B915)</f>
        <v/>
      </c>
      <c r="F915" s="50">
        <f>IF(AND($C915&lt;&gt;"",INDEX(Periods!$D$5:$D$57,$B915)=1),1,0)</f>
        <v/>
      </c>
      <c r="G915" s="50">
        <f>IF($F915=0,0,IF(AND(OR(INDEX(Employees!$D$5:$D$29,$A915)="",$E915&gt;=INDEX(Employees!$D$5:$D$29,$A915)+N(INDEX(Employees!$U$5:$U$29,$A915))),OR(INDEX(Employees!$E$5:$E$29,$A915)="",$D915&lt;=INDEX(Employees!$E$5:$E$29,$A915))),1,0))</f>
        <v/>
      </c>
      <c r="H915" s="50">
        <f>IF($G915=0,0,IF(INDEX(Employees!$D$5:$D$29,$A915)="",0,DATEDIF(INDEX(Employees!$D$5:$D$29,$A915),$E915,"y")))</f>
        <v/>
      </c>
      <c r="I915" s="51">
        <f>IF($G915=0,0,IF(INDEX('Hours Worked'!$D$5:$BD$29,$A915,$B915)="",N(INDEX(Employees!$H$5:$H$29,$A915)),INDEX('Hours Worked'!$D$5:$BD$29,$A915,$B915)))</f>
        <v/>
      </c>
      <c r="J915" s="51">
        <f>IF(OR($G915=0,INDEX(Employees!$O$5:$O$29,$A915)&lt;&gt;"Yes"),0,IF(COUNTIF(Settings!$D$4:$D$9,"&lt;="&amp;$H915)=0,0,INDEX(Settings!$E$4:$E$9,COUNTIF(Settings!$D$4:$D$9,"&lt;="&amp;$H915))))</f>
        <v/>
      </c>
      <c r="K915" s="51">
        <f>IF($G915=0,0,IF(INDEX(Employees!$I$5:$I$29,$A915)="Per pay period",(N(INDEX(Employees!$J$5:$J$29,$A915))+$J915)/Settings!$B$13,IF(INDEX(Employees!$I$5:$I$29,$A915)="Per hour worked",N(INDEX(Employees!$K$5:$K$29,$A915))*$I915,IF(INDEX(Employees!$I$5:$I$29,$A915)="Front-loaded",IF(OR($B915=1,N($G914)=0),N(INDEX(Employees!$J$5:$J$29,$A915))+$J915,0),0))))</f>
        <v/>
      </c>
      <c r="L915" s="51">
        <f>IF($F915=0,0,SUMIFS('Time Off Log'!$H$5:$H$504,'Time Off Log'!$A$5:$A$504,$C915,'Time Off Log'!$B$5:$B$504,"PTO",'Time Off Log'!$E$5:$E$504,"Approved",'Time Off Log'!$C$5:$C$504,"&gt;="&amp;INDEX(Periods!$E$5:$E$57,$B915),'Time Off Log'!$C$5:$C$504,"&lt;="&amp;INDEX(Periods!$F$5:$F$57,$B915)))</f>
        <v/>
      </c>
      <c r="M915" s="51">
        <f>IF($B915=1,N(INDEX(Employees!$N$5:$N$29,$A915)),P914)</f>
        <v/>
      </c>
      <c r="N915" s="51">
        <f>IF(INDEX(Employees!$L$5:$L$29,$A915)="",K915,MAX(0,MIN(K915,INDEX(Employees!$L$5:$L$29,$A915)-(M915-L915))))</f>
        <v/>
      </c>
      <c r="O915" s="51">
        <f>K915-N915</f>
        <v/>
      </c>
      <c r="P915" s="51">
        <f>M915-L915+N915</f>
        <v/>
      </c>
      <c r="Q915" s="51">
        <f>IF($G915=0,0,IF(INDEX(Employees!$P$5:$P$29,$A915)="Per pay period",(N(INDEX(Employees!$Q$5:$Q$29,$A915)))/Settings!$B$13,IF(INDEX(Employees!$P$5:$P$29,$A915)="Per hour worked",N(INDEX(Employees!$R$5:$R$29,$A915))*$I915,IF(INDEX(Employees!$P$5:$P$29,$A915)="Front-loaded",IF(OR($B915=1,N($G914)=0),N(INDEX(Employees!$Q$5:$Q$29,$A915)),0),0))))</f>
        <v/>
      </c>
      <c r="R915" s="51">
        <f>IF($F915=0,0,SUMIFS('Time Off Log'!$H$5:$H$504,'Time Off Log'!$A$5:$A$504,$C915,'Time Off Log'!$B$5:$B$504,"Sick",'Time Off Log'!$E$5:$E$504,"Approved",'Time Off Log'!$C$5:$C$504,"&gt;="&amp;INDEX(Periods!$E$5:$E$57,$B915),'Time Off Log'!$C$5:$C$504,"&lt;="&amp;INDEX(Periods!$F$5:$F$57,$B915)))</f>
        <v/>
      </c>
      <c r="S915" s="51">
        <f>IF($B915=1,N(INDEX(Employees!$T$5:$T$29,$A915)),V914)</f>
        <v/>
      </c>
      <c r="T915" s="51">
        <f>IF(INDEX(Employees!$S$5:$S$29,$A915)="",Q915,MAX(0,MIN(Q915,INDEX(Employees!$S$5:$S$29,$A915)-(S915-R915))))</f>
        <v/>
      </c>
      <c r="U915" s="51">
        <f>Q915-T915</f>
        <v/>
      </c>
      <c r="V915" s="51">
        <f>S915-R915+T915</f>
        <v/>
      </c>
    </row>
    <row r="916">
      <c r="A916" s="50" t="n">
        <v>18</v>
      </c>
      <c r="B916" s="50" t="n">
        <v>11</v>
      </c>
      <c r="C916" s="51">
        <f>INDEX(Employees!$B$5:$B$29,$A916)&amp;""</f>
        <v/>
      </c>
      <c r="D916" s="52">
        <f>INDEX(Periods!$B$5:$B$57,$B916)</f>
        <v/>
      </c>
      <c r="E916" s="52">
        <f>INDEX(Periods!$C$5:$C$57,$B916)</f>
        <v/>
      </c>
      <c r="F916" s="50">
        <f>IF(AND($C916&lt;&gt;"",INDEX(Periods!$D$5:$D$57,$B916)=1),1,0)</f>
        <v/>
      </c>
      <c r="G916" s="50">
        <f>IF($F916=0,0,IF(AND(OR(INDEX(Employees!$D$5:$D$29,$A916)="",$E916&gt;=INDEX(Employees!$D$5:$D$29,$A916)+N(INDEX(Employees!$U$5:$U$29,$A916))),OR(INDEX(Employees!$E$5:$E$29,$A916)="",$D916&lt;=INDEX(Employees!$E$5:$E$29,$A916))),1,0))</f>
        <v/>
      </c>
      <c r="H916" s="50">
        <f>IF($G916=0,0,IF(INDEX(Employees!$D$5:$D$29,$A916)="",0,DATEDIF(INDEX(Employees!$D$5:$D$29,$A916),$E916,"y")))</f>
        <v/>
      </c>
      <c r="I916" s="51">
        <f>IF($G916=0,0,IF(INDEX('Hours Worked'!$D$5:$BD$29,$A916,$B916)="",N(INDEX(Employees!$H$5:$H$29,$A916)),INDEX('Hours Worked'!$D$5:$BD$29,$A916,$B916)))</f>
        <v/>
      </c>
      <c r="J916" s="51">
        <f>IF(OR($G916=0,INDEX(Employees!$O$5:$O$29,$A916)&lt;&gt;"Yes"),0,IF(COUNTIF(Settings!$D$4:$D$9,"&lt;="&amp;$H916)=0,0,INDEX(Settings!$E$4:$E$9,COUNTIF(Settings!$D$4:$D$9,"&lt;="&amp;$H916))))</f>
        <v/>
      </c>
      <c r="K916" s="51">
        <f>IF($G916=0,0,IF(INDEX(Employees!$I$5:$I$29,$A916)="Per pay period",(N(INDEX(Employees!$J$5:$J$29,$A916))+$J916)/Settings!$B$13,IF(INDEX(Employees!$I$5:$I$29,$A916)="Per hour worked",N(INDEX(Employees!$K$5:$K$29,$A916))*$I916,IF(INDEX(Employees!$I$5:$I$29,$A916)="Front-loaded",IF(OR($B916=1,N($G915)=0),N(INDEX(Employees!$J$5:$J$29,$A916))+$J916,0),0))))</f>
        <v/>
      </c>
      <c r="L916" s="51">
        <f>IF($F916=0,0,SUMIFS('Time Off Log'!$H$5:$H$504,'Time Off Log'!$A$5:$A$504,$C916,'Time Off Log'!$B$5:$B$504,"PTO",'Time Off Log'!$E$5:$E$504,"Approved",'Time Off Log'!$C$5:$C$504,"&gt;="&amp;INDEX(Periods!$E$5:$E$57,$B916),'Time Off Log'!$C$5:$C$504,"&lt;="&amp;INDEX(Periods!$F$5:$F$57,$B916)))</f>
        <v/>
      </c>
      <c r="M916" s="51">
        <f>IF($B916=1,N(INDEX(Employees!$N$5:$N$29,$A916)),P915)</f>
        <v/>
      </c>
      <c r="N916" s="51">
        <f>IF(INDEX(Employees!$L$5:$L$29,$A916)="",K916,MAX(0,MIN(K916,INDEX(Employees!$L$5:$L$29,$A916)-(M916-L916))))</f>
        <v/>
      </c>
      <c r="O916" s="51">
        <f>K916-N916</f>
        <v/>
      </c>
      <c r="P916" s="51">
        <f>M916-L916+N916</f>
        <v/>
      </c>
      <c r="Q916" s="51">
        <f>IF($G916=0,0,IF(INDEX(Employees!$P$5:$P$29,$A916)="Per pay period",(N(INDEX(Employees!$Q$5:$Q$29,$A916)))/Settings!$B$13,IF(INDEX(Employees!$P$5:$P$29,$A916)="Per hour worked",N(INDEX(Employees!$R$5:$R$29,$A916))*$I916,IF(INDEX(Employees!$P$5:$P$29,$A916)="Front-loaded",IF(OR($B916=1,N($G915)=0),N(INDEX(Employees!$Q$5:$Q$29,$A916)),0),0))))</f>
        <v/>
      </c>
      <c r="R916" s="51">
        <f>IF($F916=0,0,SUMIFS('Time Off Log'!$H$5:$H$504,'Time Off Log'!$A$5:$A$504,$C916,'Time Off Log'!$B$5:$B$504,"Sick",'Time Off Log'!$E$5:$E$504,"Approved",'Time Off Log'!$C$5:$C$504,"&gt;="&amp;INDEX(Periods!$E$5:$E$57,$B916),'Time Off Log'!$C$5:$C$504,"&lt;="&amp;INDEX(Periods!$F$5:$F$57,$B916)))</f>
        <v/>
      </c>
      <c r="S916" s="51">
        <f>IF($B916=1,N(INDEX(Employees!$T$5:$T$29,$A916)),V915)</f>
        <v/>
      </c>
      <c r="T916" s="51">
        <f>IF(INDEX(Employees!$S$5:$S$29,$A916)="",Q916,MAX(0,MIN(Q916,INDEX(Employees!$S$5:$S$29,$A916)-(S916-R916))))</f>
        <v/>
      </c>
      <c r="U916" s="51">
        <f>Q916-T916</f>
        <v/>
      </c>
      <c r="V916" s="51">
        <f>S916-R916+T916</f>
        <v/>
      </c>
    </row>
    <row r="917">
      <c r="A917" s="50" t="n">
        <v>18</v>
      </c>
      <c r="B917" s="50" t="n">
        <v>12</v>
      </c>
      <c r="C917" s="51">
        <f>INDEX(Employees!$B$5:$B$29,$A917)&amp;""</f>
        <v/>
      </c>
      <c r="D917" s="52">
        <f>INDEX(Periods!$B$5:$B$57,$B917)</f>
        <v/>
      </c>
      <c r="E917" s="52">
        <f>INDEX(Periods!$C$5:$C$57,$B917)</f>
        <v/>
      </c>
      <c r="F917" s="50">
        <f>IF(AND($C917&lt;&gt;"",INDEX(Periods!$D$5:$D$57,$B917)=1),1,0)</f>
        <v/>
      </c>
      <c r="G917" s="50">
        <f>IF($F917=0,0,IF(AND(OR(INDEX(Employees!$D$5:$D$29,$A917)="",$E917&gt;=INDEX(Employees!$D$5:$D$29,$A917)+N(INDEX(Employees!$U$5:$U$29,$A917))),OR(INDEX(Employees!$E$5:$E$29,$A917)="",$D917&lt;=INDEX(Employees!$E$5:$E$29,$A917))),1,0))</f>
        <v/>
      </c>
      <c r="H917" s="50">
        <f>IF($G917=0,0,IF(INDEX(Employees!$D$5:$D$29,$A917)="",0,DATEDIF(INDEX(Employees!$D$5:$D$29,$A917),$E917,"y")))</f>
        <v/>
      </c>
      <c r="I917" s="51">
        <f>IF($G917=0,0,IF(INDEX('Hours Worked'!$D$5:$BD$29,$A917,$B917)="",N(INDEX(Employees!$H$5:$H$29,$A917)),INDEX('Hours Worked'!$D$5:$BD$29,$A917,$B917)))</f>
        <v/>
      </c>
      <c r="J917" s="51">
        <f>IF(OR($G917=0,INDEX(Employees!$O$5:$O$29,$A917)&lt;&gt;"Yes"),0,IF(COUNTIF(Settings!$D$4:$D$9,"&lt;="&amp;$H917)=0,0,INDEX(Settings!$E$4:$E$9,COUNTIF(Settings!$D$4:$D$9,"&lt;="&amp;$H917))))</f>
        <v/>
      </c>
      <c r="K917" s="51">
        <f>IF($G917=0,0,IF(INDEX(Employees!$I$5:$I$29,$A917)="Per pay period",(N(INDEX(Employees!$J$5:$J$29,$A917))+$J917)/Settings!$B$13,IF(INDEX(Employees!$I$5:$I$29,$A917)="Per hour worked",N(INDEX(Employees!$K$5:$K$29,$A917))*$I917,IF(INDEX(Employees!$I$5:$I$29,$A917)="Front-loaded",IF(OR($B917=1,N($G916)=0),N(INDEX(Employees!$J$5:$J$29,$A917))+$J917,0),0))))</f>
        <v/>
      </c>
      <c r="L917" s="51">
        <f>IF($F917=0,0,SUMIFS('Time Off Log'!$H$5:$H$504,'Time Off Log'!$A$5:$A$504,$C917,'Time Off Log'!$B$5:$B$504,"PTO",'Time Off Log'!$E$5:$E$504,"Approved",'Time Off Log'!$C$5:$C$504,"&gt;="&amp;INDEX(Periods!$E$5:$E$57,$B917),'Time Off Log'!$C$5:$C$504,"&lt;="&amp;INDEX(Periods!$F$5:$F$57,$B917)))</f>
        <v/>
      </c>
      <c r="M917" s="51">
        <f>IF($B917=1,N(INDEX(Employees!$N$5:$N$29,$A917)),P916)</f>
        <v/>
      </c>
      <c r="N917" s="51">
        <f>IF(INDEX(Employees!$L$5:$L$29,$A917)="",K917,MAX(0,MIN(K917,INDEX(Employees!$L$5:$L$29,$A917)-(M917-L917))))</f>
        <v/>
      </c>
      <c r="O917" s="51">
        <f>K917-N917</f>
        <v/>
      </c>
      <c r="P917" s="51">
        <f>M917-L917+N917</f>
        <v/>
      </c>
      <c r="Q917" s="51">
        <f>IF($G917=0,0,IF(INDEX(Employees!$P$5:$P$29,$A917)="Per pay period",(N(INDEX(Employees!$Q$5:$Q$29,$A917)))/Settings!$B$13,IF(INDEX(Employees!$P$5:$P$29,$A917)="Per hour worked",N(INDEX(Employees!$R$5:$R$29,$A917))*$I917,IF(INDEX(Employees!$P$5:$P$29,$A917)="Front-loaded",IF(OR($B917=1,N($G916)=0),N(INDEX(Employees!$Q$5:$Q$29,$A917)),0),0))))</f>
        <v/>
      </c>
      <c r="R917" s="51">
        <f>IF($F917=0,0,SUMIFS('Time Off Log'!$H$5:$H$504,'Time Off Log'!$A$5:$A$504,$C917,'Time Off Log'!$B$5:$B$504,"Sick",'Time Off Log'!$E$5:$E$504,"Approved",'Time Off Log'!$C$5:$C$504,"&gt;="&amp;INDEX(Periods!$E$5:$E$57,$B917),'Time Off Log'!$C$5:$C$504,"&lt;="&amp;INDEX(Periods!$F$5:$F$57,$B917)))</f>
        <v/>
      </c>
      <c r="S917" s="51">
        <f>IF($B917=1,N(INDEX(Employees!$T$5:$T$29,$A917)),V916)</f>
        <v/>
      </c>
      <c r="T917" s="51">
        <f>IF(INDEX(Employees!$S$5:$S$29,$A917)="",Q917,MAX(0,MIN(Q917,INDEX(Employees!$S$5:$S$29,$A917)-(S917-R917))))</f>
        <v/>
      </c>
      <c r="U917" s="51">
        <f>Q917-T917</f>
        <v/>
      </c>
      <c r="V917" s="51">
        <f>S917-R917+T917</f>
        <v/>
      </c>
    </row>
    <row r="918">
      <c r="A918" s="50" t="n">
        <v>18</v>
      </c>
      <c r="B918" s="50" t="n">
        <v>13</v>
      </c>
      <c r="C918" s="51">
        <f>INDEX(Employees!$B$5:$B$29,$A918)&amp;""</f>
        <v/>
      </c>
      <c r="D918" s="52">
        <f>INDEX(Periods!$B$5:$B$57,$B918)</f>
        <v/>
      </c>
      <c r="E918" s="52">
        <f>INDEX(Periods!$C$5:$C$57,$B918)</f>
        <v/>
      </c>
      <c r="F918" s="50">
        <f>IF(AND($C918&lt;&gt;"",INDEX(Periods!$D$5:$D$57,$B918)=1),1,0)</f>
        <v/>
      </c>
      <c r="G918" s="50">
        <f>IF($F918=0,0,IF(AND(OR(INDEX(Employees!$D$5:$D$29,$A918)="",$E918&gt;=INDEX(Employees!$D$5:$D$29,$A918)+N(INDEX(Employees!$U$5:$U$29,$A918))),OR(INDEX(Employees!$E$5:$E$29,$A918)="",$D918&lt;=INDEX(Employees!$E$5:$E$29,$A918))),1,0))</f>
        <v/>
      </c>
      <c r="H918" s="50">
        <f>IF($G918=0,0,IF(INDEX(Employees!$D$5:$D$29,$A918)="",0,DATEDIF(INDEX(Employees!$D$5:$D$29,$A918),$E918,"y")))</f>
        <v/>
      </c>
      <c r="I918" s="51">
        <f>IF($G918=0,0,IF(INDEX('Hours Worked'!$D$5:$BD$29,$A918,$B918)="",N(INDEX(Employees!$H$5:$H$29,$A918)),INDEX('Hours Worked'!$D$5:$BD$29,$A918,$B918)))</f>
        <v/>
      </c>
      <c r="J918" s="51">
        <f>IF(OR($G918=0,INDEX(Employees!$O$5:$O$29,$A918)&lt;&gt;"Yes"),0,IF(COUNTIF(Settings!$D$4:$D$9,"&lt;="&amp;$H918)=0,0,INDEX(Settings!$E$4:$E$9,COUNTIF(Settings!$D$4:$D$9,"&lt;="&amp;$H918))))</f>
        <v/>
      </c>
      <c r="K918" s="51">
        <f>IF($G918=0,0,IF(INDEX(Employees!$I$5:$I$29,$A918)="Per pay period",(N(INDEX(Employees!$J$5:$J$29,$A918))+$J918)/Settings!$B$13,IF(INDEX(Employees!$I$5:$I$29,$A918)="Per hour worked",N(INDEX(Employees!$K$5:$K$29,$A918))*$I918,IF(INDEX(Employees!$I$5:$I$29,$A918)="Front-loaded",IF(OR($B918=1,N($G917)=0),N(INDEX(Employees!$J$5:$J$29,$A918))+$J918,0),0))))</f>
        <v/>
      </c>
      <c r="L918" s="51">
        <f>IF($F918=0,0,SUMIFS('Time Off Log'!$H$5:$H$504,'Time Off Log'!$A$5:$A$504,$C918,'Time Off Log'!$B$5:$B$504,"PTO",'Time Off Log'!$E$5:$E$504,"Approved",'Time Off Log'!$C$5:$C$504,"&gt;="&amp;INDEX(Periods!$E$5:$E$57,$B918),'Time Off Log'!$C$5:$C$504,"&lt;="&amp;INDEX(Periods!$F$5:$F$57,$B918)))</f>
        <v/>
      </c>
      <c r="M918" s="51">
        <f>IF($B918=1,N(INDEX(Employees!$N$5:$N$29,$A918)),P917)</f>
        <v/>
      </c>
      <c r="N918" s="51">
        <f>IF(INDEX(Employees!$L$5:$L$29,$A918)="",K918,MAX(0,MIN(K918,INDEX(Employees!$L$5:$L$29,$A918)-(M918-L918))))</f>
        <v/>
      </c>
      <c r="O918" s="51">
        <f>K918-N918</f>
        <v/>
      </c>
      <c r="P918" s="51">
        <f>M918-L918+N918</f>
        <v/>
      </c>
      <c r="Q918" s="51">
        <f>IF($G918=0,0,IF(INDEX(Employees!$P$5:$P$29,$A918)="Per pay period",(N(INDEX(Employees!$Q$5:$Q$29,$A918)))/Settings!$B$13,IF(INDEX(Employees!$P$5:$P$29,$A918)="Per hour worked",N(INDEX(Employees!$R$5:$R$29,$A918))*$I918,IF(INDEX(Employees!$P$5:$P$29,$A918)="Front-loaded",IF(OR($B918=1,N($G917)=0),N(INDEX(Employees!$Q$5:$Q$29,$A918)),0),0))))</f>
        <v/>
      </c>
      <c r="R918" s="51">
        <f>IF($F918=0,0,SUMIFS('Time Off Log'!$H$5:$H$504,'Time Off Log'!$A$5:$A$504,$C918,'Time Off Log'!$B$5:$B$504,"Sick",'Time Off Log'!$E$5:$E$504,"Approved",'Time Off Log'!$C$5:$C$504,"&gt;="&amp;INDEX(Periods!$E$5:$E$57,$B918),'Time Off Log'!$C$5:$C$504,"&lt;="&amp;INDEX(Periods!$F$5:$F$57,$B918)))</f>
        <v/>
      </c>
      <c r="S918" s="51">
        <f>IF($B918=1,N(INDEX(Employees!$T$5:$T$29,$A918)),V917)</f>
        <v/>
      </c>
      <c r="T918" s="51">
        <f>IF(INDEX(Employees!$S$5:$S$29,$A918)="",Q918,MAX(0,MIN(Q918,INDEX(Employees!$S$5:$S$29,$A918)-(S918-R918))))</f>
        <v/>
      </c>
      <c r="U918" s="51">
        <f>Q918-T918</f>
        <v/>
      </c>
      <c r="V918" s="51">
        <f>S918-R918+T918</f>
        <v/>
      </c>
    </row>
    <row r="919">
      <c r="A919" s="50" t="n">
        <v>18</v>
      </c>
      <c r="B919" s="50" t="n">
        <v>14</v>
      </c>
      <c r="C919" s="51">
        <f>INDEX(Employees!$B$5:$B$29,$A919)&amp;""</f>
        <v/>
      </c>
      <c r="D919" s="52">
        <f>INDEX(Periods!$B$5:$B$57,$B919)</f>
        <v/>
      </c>
      <c r="E919" s="52">
        <f>INDEX(Periods!$C$5:$C$57,$B919)</f>
        <v/>
      </c>
      <c r="F919" s="50">
        <f>IF(AND($C919&lt;&gt;"",INDEX(Periods!$D$5:$D$57,$B919)=1),1,0)</f>
        <v/>
      </c>
      <c r="G919" s="50">
        <f>IF($F919=0,0,IF(AND(OR(INDEX(Employees!$D$5:$D$29,$A919)="",$E919&gt;=INDEX(Employees!$D$5:$D$29,$A919)+N(INDEX(Employees!$U$5:$U$29,$A919))),OR(INDEX(Employees!$E$5:$E$29,$A919)="",$D919&lt;=INDEX(Employees!$E$5:$E$29,$A919))),1,0))</f>
        <v/>
      </c>
      <c r="H919" s="50">
        <f>IF($G919=0,0,IF(INDEX(Employees!$D$5:$D$29,$A919)="",0,DATEDIF(INDEX(Employees!$D$5:$D$29,$A919),$E919,"y")))</f>
        <v/>
      </c>
      <c r="I919" s="51">
        <f>IF($G919=0,0,IF(INDEX('Hours Worked'!$D$5:$BD$29,$A919,$B919)="",N(INDEX(Employees!$H$5:$H$29,$A919)),INDEX('Hours Worked'!$D$5:$BD$29,$A919,$B919)))</f>
        <v/>
      </c>
      <c r="J919" s="51">
        <f>IF(OR($G919=0,INDEX(Employees!$O$5:$O$29,$A919)&lt;&gt;"Yes"),0,IF(COUNTIF(Settings!$D$4:$D$9,"&lt;="&amp;$H919)=0,0,INDEX(Settings!$E$4:$E$9,COUNTIF(Settings!$D$4:$D$9,"&lt;="&amp;$H919))))</f>
        <v/>
      </c>
      <c r="K919" s="51">
        <f>IF($G919=0,0,IF(INDEX(Employees!$I$5:$I$29,$A919)="Per pay period",(N(INDEX(Employees!$J$5:$J$29,$A919))+$J919)/Settings!$B$13,IF(INDEX(Employees!$I$5:$I$29,$A919)="Per hour worked",N(INDEX(Employees!$K$5:$K$29,$A919))*$I919,IF(INDEX(Employees!$I$5:$I$29,$A919)="Front-loaded",IF(OR($B919=1,N($G918)=0),N(INDEX(Employees!$J$5:$J$29,$A919))+$J919,0),0))))</f>
        <v/>
      </c>
      <c r="L919" s="51">
        <f>IF($F919=0,0,SUMIFS('Time Off Log'!$H$5:$H$504,'Time Off Log'!$A$5:$A$504,$C919,'Time Off Log'!$B$5:$B$504,"PTO",'Time Off Log'!$E$5:$E$504,"Approved",'Time Off Log'!$C$5:$C$504,"&gt;="&amp;INDEX(Periods!$E$5:$E$57,$B919),'Time Off Log'!$C$5:$C$504,"&lt;="&amp;INDEX(Periods!$F$5:$F$57,$B919)))</f>
        <v/>
      </c>
      <c r="M919" s="51">
        <f>IF($B919=1,N(INDEX(Employees!$N$5:$N$29,$A919)),P918)</f>
        <v/>
      </c>
      <c r="N919" s="51">
        <f>IF(INDEX(Employees!$L$5:$L$29,$A919)="",K919,MAX(0,MIN(K919,INDEX(Employees!$L$5:$L$29,$A919)-(M919-L919))))</f>
        <v/>
      </c>
      <c r="O919" s="51">
        <f>K919-N919</f>
        <v/>
      </c>
      <c r="P919" s="51">
        <f>M919-L919+N919</f>
        <v/>
      </c>
      <c r="Q919" s="51">
        <f>IF($G919=0,0,IF(INDEX(Employees!$P$5:$P$29,$A919)="Per pay period",(N(INDEX(Employees!$Q$5:$Q$29,$A919)))/Settings!$B$13,IF(INDEX(Employees!$P$5:$P$29,$A919)="Per hour worked",N(INDEX(Employees!$R$5:$R$29,$A919))*$I919,IF(INDEX(Employees!$P$5:$P$29,$A919)="Front-loaded",IF(OR($B919=1,N($G918)=0),N(INDEX(Employees!$Q$5:$Q$29,$A919)),0),0))))</f>
        <v/>
      </c>
      <c r="R919" s="51">
        <f>IF($F919=0,0,SUMIFS('Time Off Log'!$H$5:$H$504,'Time Off Log'!$A$5:$A$504,$C919,'Time Off Log'!$B$5:$B$504,"Sick",'Time Off Log'!$E$5:$E$504,"Approved",'Time Off Log'!$C$5:$C$504,"&gt;="&amp;INDEX(Periods!$E$5:$E$57,$B919),'Time Off Log'!$C$5:$C$504,"&lt;="&amp;INDEX(Periods!$F$5:$F$57,$B919)))</f>
        <v/>
      </c>
      <c r="S919" s="51">
        <f>IF($B919=1,N(INDEX(Employees!$T$5:$T$29,$A919)),V918)</f>
        <v/>
      </c>
      <c r="T919" s="51">
        <f>IF(INDEX(Employees!$S$5:$S$29,$A919)="",Q919,MAX(0,MIN(Q919,INDEX(Employees!$S$5:$S$29,$A919)-(S919-R919))))</f>
        <v/>
      </c>
      <c r="U919" s="51">
        <f>Q919-T919</f>
        <v/>
      </c>
      <c r="V919" s="51">
        <f>S919-R919+T919</f>
        <v/>
      </c>
    </row>
    <row r="920">
      <c r="A920" s="50" t="n">
        <v>18</v>
      </c>
      <c r="B920" s="50" t="n">
        <v>15</v>
      </c>
      <c r="C920" s="51">
        <f>INDEX(Employees!$B$5:$B$29,$A920)&amp;""</f>
        <v/>
      </c>
      <c r="D920" s="52">
        <f>INDEX(Periods!$B$5:$B$57,$B920)</f>
        <v/>
      </c>
      <c r="E920" s="52">
        <f>INDEX(Periods!$C$5:$C$57,$B920)</f>
        <v/>
      </c>
      <c r="F920" s="50">
        <f>IF(AND($C920&lt;&gt;"",INDEX(Periods!$D$5:$D$57,$B920)=1),1,0)</f>
        <v/>
      </c>
      <c r="G920" s="50">
        <f>IF($F920=0,0,IF(AND(OR(INDEX(Employees!$D$5:$D$29,$A920)="",$E920&gt;=INDEX(Employees!$D$5:$D$29,$A920)+N(INDEX(Employees!$U$5:$U$29,$A920))),OR(INDEX(Employees!$E$5:$E$29,$A920)="",$D920&lt;=INDEX(Employees!$E$5:$E$29,$A920))),1,0))</f>
        <v/>
      </c>
      <c r="H920" s="50">
        <f>IF($G920=0,0,IF(INDEX(Employees!$D$5:$D$29,$A920)="",0,DATEDIF(INDEX(Employees!$D$5:$D$29,$A920),$E920,"y")))</f>
        <v/>
      </c>
      <c r="I920" s="51">
        <f>IF($G920=0,0,IF(INDEX('Hours Worked'!$D$5:$BD$29,$A920,$B920)="",N(INDEX(Employees!$H$5:$H$29,$A920)),INDEX('Hours Worked'!$D$5:$BD$29,$A920,$B920)))</f>
        <v/>
      </c>
      <c r="J920" s="51">
        <f>IF(OR($G920=0,INDEX(Employees!$O$5:$O$29,$A920)&lt;&gt;"Yes"),0,IF(COUNTIF(Settings!$D$4:$D$9,"&lt;="&amp;$H920)=0,0,INDEX(Settings!$E$4:$E$9,COUNTIF(Settings!$D$4:$D$9,"&lt;="&amp;$H920))))</f>
        <v/>
      </c>
      <c r="K920" s="51">
        <f>IF($G920=0,0,IF(INDEX(Employees!$I$5:$I$29,$A920)="Per pay period",(N(INDEX(Employees!$J$5:$J$29,$A920))+$J920)/Settings!$B$13,IF(INDEX(Employees!$I$5:$I$29,$A920)="Per hour worked",N(INDEX(Employees!$K$5:$K$29,$A920))*$I920,IF(INDEX(Employees!$I$5:$I$29,$A920)="Front-loaded",IF(OR($B920=1,N($G919)=0),N(INDEX(Employees!$J$5:$J$29,$A920))+$J920,0),0))))</f>
        <v/>
      </c>
      <c r="L920" s="51">
        <f>IF($F920=0,0,SUMIFS('Time Off Log'!$H$5:$H$504,'Time Off Log'!$A$5:$A$504,$C920,'Time Off Log'!$B$5:$B$504,"PTO",'Time Off Log'!$E$5:$E$504,"Approved",'Time Off Log'!$C$5:$C$504,"&gt;="&amp;INDEX(Periods!$E$5:$E$57,$B920),'Time Off Log'!$C$5:$C$504,"&lt;="&amp;INDEX(Periods!$F$5:$F$57,$B920)))</f>
        <v/>
      </c>
      <c r="M920" s="51">
        <f>IF($B920=1,N(INDEX(Employees!$N$5:$N$29,$A920)),P919)</f>
        <v/>
      </c>
      <c r="N920" s="51">
        <f>IF(INDEX(Employees!$L$5:$L$29,$A920)="",K920,MAX(0,MIN(K920,INDEX(Employees!$L$5:$L$29,$A920)-(M920-L920))))</f>
        <v/>
      </c>
      <c r="O920" s="51">
        <f>K920-N920</f>
        <v/>
      </c>
      <c r="P920" s="51">
        <f>M920-L920+N920</f>
        <v/>
      </c>
      <c r="Q920" s="51">
        <f>IF($G920=0,0,IF(INDEX(Employees!$P$5:$P$29,$A920)="Per pay period",(N(INDEX(Employees!$Q$5:$Q$29,$A920)))/Settings!$B$13,IF(INDEX(Employees!$P$5:$P$29,$A920)="Per hour worked",N(INDEX(Employees!$R$5:$R$29,$A920))*$I920,IF(INDEX(Employees!$P$5:$P$29,$A920)="Front-loaded",IF(OR($B920=1,N($G919)=0),N(INDEX(Employees!$Q$5:$Q$29,$A920)),0),0))))</f>
        <v/>
      </c>
      <c r="R920" s="51">
        <f>IF($F920=0,0,SUMIFS('Time Off Log'!$H$5:$H$504,'Time Off Log'!$A$5:$A$504,$C920,'Time Off Log'!$B$5:$B$504,"Sick",'Time Off Log'!$E$5:$E$504,"Approved",'Time Off Log'!$C$5:$C$504,"&gt;="&amp;INDEX(Periods!$E$5:$E$57,$B920),'Time Off Log'!$C$5:$C$504,"&lt;="&amp;INDEX(Periods!$F$5:$F$57,$B920)))</f>
        <v/>
      </c>
      <c r="S920" s="51">
        <f>IF($B920=1,N(INDEX(Employees!$T$5:$T$29,$A920)),V919)</f>
        <v/>
      </c>
      <c r="T920" s="51">
        <f>IF(INDEX(Employees!$S$5:$S$29,$A920)="",Q920,MAX(0,MIN(Q920,INDEX(Employees!$S$5:$S$29,$A920)-(S920-R920))))</f>
        <v/>
      </c>
      <c r="U920" s="51">
        <f>Q920-T920</f>
        <v/>
      </c>
      <c r="V920" s="51">
        <f>S920-R920+T920</f>
        <v/>
      </c>
    </row>
    <row r="921">
      <c r="A921" s="50" t="n">
        <v>18</v>
      </c>
      <c r="B921" s="50" t="n">
        <v>16</v>
      </c>
      <c r="C921" s="51">
        <f>INDEX(Employees!$B$5:$B$29,$A921)&amp;""</f>
        <v/>
      </c>
      <c r="D921" s="52">
        <f>INDEX(Periods!$B$5:$B$57,$B921)</f>
        <v/>
      </c>
      <c r="E921" s="52">
        <f>INDEX(Periods!$C$5:$C$57,$B921)</f>
        <v/>
      </c>
      <c r="F921" s="50">
        <f>IF(AND($C921&lt;&gt;"",INDEX(Periods!$D$5:$D$57,$B921)=1),1,0)</f>
        <v/>
      </c>
      <c r="G921" s="50">
        <f>IF($F921=0,0,IF(AND(OR(INDEX(Employees!$D$5:$D$29,$A921)="",$E921&gt;=INDEX(Employees!$D$5:$D$29,$A921)+N(INDEX(Employees!$U$5:$U$29,$A921))),OR(INDEX(Employees!$E$5:$E$29,$A921)="",$D921&lt;=INDEX(Employees!$E$5:$E$29,$A921))),1,0))</f>
        <v/>
      </c>
      <c r="H921" s="50">
        <f>IF($G921=0,0,IF(INDEX(Employees!$D$5:$D$29,$A921)="",0,DATEDIF(INDEX(Employees!$D$5:$D$29,$A921),$E921,"y")))</f>
        <v/>
      </c>
      <c r="I921" s="51">
        <f>IF($G921=0,0,IF(INDEX('Hours Worked'!$D$5:$BD$29,$A921,$B921)="",N(INDEX(Employees!$H$5:$H$29,$A921)),INDEX('Hours Worked'!$D$5:$BD$29,$A921,$B921)))</f>
        <v/>
      </c>
      <c r="J921" s="51">
        <f>IF(OR($G921=0,INDEX(Employees!$O$5:$O$29,$A921)&lt;&gt;"Yes"),0,IF(COUNTIF(Settings!$D$4:$D$9,"&lt;="&amp;$H921)=0,0,INDEX(Settings!$E$4:$E$9,COUNTIF(Settings!$D$4:$D$9,"&lt;="&amp;$H921))))</f>
        <v/>
      </c>
      <c r="K921" s="51">
        <f>IF($G921=0,0,IF(INDEX(Employees!$I$5:$I$29,$A921)="Per pay period",(N(INDEX(Employees!$J$5:$J$29,$A921))+$J921)/Settings!$B$13,IF(INDEX(Employees!$I$5:$I$29,$A921)="Per hour worked",N(INDEX(Employees!$K$5:$K$29,$A921))*$I921,IF(INDEX(Employees!$I$5:$I$29,$A921)="Front-loaded",IF(OR($B921=1,N($G920)=0),N(INDEX(Employees!$J$5:$J$29,$A921))+$J921,0),0))))</f>
        <v/>
      </c>
      <c r="L921" s="51">
        <f>IF($F921=0,0,SUMIFS('Time Off Log'!$H$5:$H$504,'Time Off Log'!$A$5:$A$504,$C921,'Time Off Log'!$B$5:$B$504,"PTO",'Time Off Log'!$E$5:$E$504,"Approved",'Time Off Log'!$C$5:$C$504,"&gt;="&amp;INDEX(Periods!$E$5:$E$57,$B921),'Time Off Log'!$C$5:$C$504,"&lt;="&amp;INDEX(Periods!$F$5:$F$57,$B921)))</f>
        <v/>
      </c>
      <c r="M921" s="51">
        <f>IF($B921=1,N(INDEX(Employees!$N$5:$N$29,$A921)),P920)</f>
        <v/>
      </c>
      <c r="N921" s="51">
        <f>IF(INDEX(Employees!$L$5:$L$29,$A921)="",K921,MAX(0,MIN(K921,INDEX(Employees!$L$5:$L$29,$A921)-(M921-L921))))</f>
        <v/>
      </c>
      <c r="O921" s="51">
        <f>K921-N921</f>
        <v/>
      </c>
      <c r="P921" s="51">
        <f>M921-L921+N921</f>
        <v/>
      </c>
      <c r="Q921" s="51">
        <f>IF($G921=0,0,IF(INDEX(Employees!$P$5:$P$29,$A921)="Per pay period",(N(INDEX(Employees!$Q$5:$Q$29,$A921)))/Settings!$B$13,IF(INDEX(Employees!$P$5:$P$29,$A921)="Per hour worked",N(INDEX(Employees!$R$5:$R$29,$A921))*$I921,IF(INDEX(Employees!$P$5:$P$29,$A921)="Front-loaded",IF(OR($B921=1,N($G920)=0),N(INDEX(Employees!$Q$5:$Q$29,$A921)),0),0))))</f>
        <v/>
      </c>
      <c r="R921" s="51">
        <f>IF($F921=0,0,SUMIFS('Time Off Log'!$H$5:$H$504,'Time Off Log'!$A$5:$A$504,$C921,'Time Off Log'!$B$5:$B$504,"Sick",'Time Off Log'!$E$5:$E$504,"Approved",'Time Off Log'!$C$5:$C$504,"&gt;="&amp;INDEX(Periods!$E$5:$E$57,$B921),'Time Off Log'!$C$5:$C$504,"&lt;="&amp;INDEX(Periods!$F$5:$F$57,$B921)))</f>
        <v/>
      </c>
      <c r="S921" s="51">
        <f>IF($B921=1,N(INDEX(Employees!$T$5:$T$29,$A921)),V920)</f>
        <v/>
      </c>
      <c r="T921" s="51">
        <f>IF(INDEX(Employees!$S$5:$S$29,$A921)="",Q921,MAX(0,MIN(Q921,INDEX(Employees!$S$5:$S$29,$A921)-(S921-R921))))</f>
        <v/>
      </c>
      <c r="U921" s="51">
        <f>Q921-T921</f>
        <v/>
      </c>
      <c r="V921" s="51">
        <f>S921-R921+T921</f>
        <v/>
      </c>
    </row>
    <row r="922">
      <c r="A922" s="50" t="n">
        <v>18</v>
      </c>
      <c r="B922" s="50" t="n">
        <v>17</v>
      </c>
      <c r="C922" s="51">
        <f>INDEX(Employees!$B$5:$B$29,$A922)&amp;""</f>
        <v/>
      </c>
      <c r="D922" s="52">
        <f>INDEX(Periods!$B$5:$B$57,$B922)</f>
        <v/>
      </c>
      <c r="E922" s="52">
        <f>INDEX(Periods!$C$5:$C$57,$B922)</f>
        <v/>
      </c>
      <c r="F922" s="50">
        <f>IF(AND($C922&lt;&gt;"",INDEX(Periods!$D$5:$D$57,$B922)=1),1,0)</f>
        <v/>
      </c>
      <c r="G922" s="50">
        <f>IF($F922=0,0,IF(AND(OR(INDEX(Employees!$D$5:$D$29,$A922)="",$E922&gt;=INDEX(Employees!$D$5:$D$29,$A922)+N(INDEX(Employees!$U$5:$U$29,$A922))),OR(INDEX(Employees!$E$5:$E$29,$A922)="",$D922&lt;=INDEX(Employees!$E$5:$E$29,$A922))),1,0))</f>
        <v/>
      </c>
      <c r="H922" s="50">
        <f>IF($G922=0,0,IF(INDEX(Employees!$D$5:$D$29,$A922)="",0,DATEDIF(INDEX(Employees!$D$5:$D$29,$A922),$E922,"y")))</f>
        <v/>
      </c>
      <c r="I922" s="51">
        <f>IF($G922=0,0,IF(INDEX('Hours Worked'!$D$5:$BD$29,$A922,$B922)="",N(INDEX(Employees!$H$5:$H$29,$A922)),INDEX('Hours Worked'!$D$5:$BD$29,$A922,$B922)))</f>
        <v/>
      </c>
      <c r="J922" s="51">
        <f>IF(OR($G922=0,INDEX(Employees!$O$5:$O$29,$A922)&lt;&gt;"Yes"),0,IF(COUNTIF(Settings!$D$4:$D$9,"&lt;="&amp;$H922)=0,0,INDEX(Settings!$E$4:$E$9,COUNTIF(Settings!$D$4:$D$9,"&lt;="&amp;$H922))))</f>
        <v/>
      </c>
      <c r="K922" s="51">
        <f>IF($G922=0,0,IF(INDEX(Employees!$I$5:$I$29,$A922)="Per pay period",(N(INDEX(Employees!$J$5:$J$29,$A922))+$J922)/Settings!$B$13,IF(INDEX(Employees!$I$5:$I$29,$A922)="Per hour worked",N(INDEX(Employees!$K$5:$K$29,$A922))*$I922,IF(INDEX(Employees!$I$5:$I$29,$A922)="Front-loaded",IF(OR($B922=1,N($G921)=0),N(INDEX(Employees!$J$5:$J$29,$A922))+$J922,0),0))))</f>
        <v/>
      </c>
      <c r="L922" s="51">
        <f>IF($F922=0,0,SUMIFS('Time Off Log'!$H$5:$H$504,'Time Off Log'!$A$5:$A$504,$C922,'Time Off Log'!$B$5:$B$504,"PTO",'Time Off Log'!$E$5:$E$504,"Approved",'Time Off Log'!$C$5:$C$504,"&gt;="&amp;INDEX(Periods!$E$5:$E$57,$B922),'Time Off Log'!$C$5:$C$504,"&lt;="&amp;INDEX(Periods!$F$5:$F$57,$B922)))</f>
        <v/>
      </c>
      <c r="M922" s="51">
        <f>IF($B922=1,N(INDEX(Employees!$N$5:$N$29,$A922)),P921)</f>
        <v/>
      </c>
      <c r="N922" s="51">
        <f>IF(INDEX(Employees!$L$5:$L$29,$A922)="",K922,MAX(0,MIN(K922,INDEX(Employees!$L$5:$L$29,$A922)-(M922-L922))))</f>
        <v/>
      </c>
      <c r="O922" s="51">
        <f>K922-N922</f>
        <v/>
      </c>
      <c r="P922" s="51">
        <f>M922-L922+N922</f>
        <v/>
      </c>
      <c r="Q922" s="51">
        <f>IF($G922=0,0,IF(INDEX(Employees!$P$5:$P$29,$A922)="Per pay period",(N(INDEX(Employees!$Q$5:$Q$29,$A922)))/Settings!$B$13,IF(INDEX(Employees!$P$5:$P$29,$A922)="Per hour worked",N(INDEX(Employees!$R$5:$R$29,$A922))*$I922,IF(INDEX(Employees!$P$5:$P$29,$A922)="Front-loaded",IF(OR($B922=1,N($G921)=0),N(INDEX(Employees!$Q$5:$Q$29,$A922)),0),0))))</f>
        <v/>
      </c>
      <c r="R922" s="51">
        <f>IF($F922=0,0,SUMIFS('Time Off Log'!$H$5:$H$504,'Time Off Log'!$A$5:$A$504,$C922,'Time Off Log'!$B$5:$B$504,"Sick",'Time Off Log'!$E$5:$E$504,"Approved",'Time Off Log'!$C$5:$C$504,"&gt;="&amp;INDEX(Periods!$E$5:$E$57,$B922),'Time Off Log'!$C$5:$C$504,"&lt;="&amp;INDEX(Periods!$F$5:$F$57,$B922)))</f>
        <v/>
      </c>
      <c r="S922" s="51">
        <f>IF($B922=1,N(INDEX(Employees!$T$5:$T$29,$A922)),V921)</f>
        <v/>
      </c>
      <c r="T922" s="51">
        <f>IF(INDEX(Employees!$S$5:$S$29,$A922)="",Q922,MAX(0,MIN(Q922,INDEX(Employees!$S$5:$S$29,$A922)-(S922-R922))))</f>
        <v/>
      </c>
      <c r="U922" s="51">
        <f>Q922-T922</f>
        <v/>
      </c>
      <c r="V922" s="51">
        <f>S922-R922+T922</f>
        <v/>
      </c>
    </row>
    <row r="923">
      <c r="A923" s="50" t="n">
        <v>18</v>
      </c>
      <c r="B923" s="50" t="n">
        <v>18</v>
      </c>
      <c r="C923" s="51">
        <f>INDEX(Employees!$B$5:$B$29,$A923)&amp;""</f>
        <v/>
      </c>
      <c r="D923" s="52">
        <f>INDEX(Periods!$B$5:$B$57,$B923)</f>
        <v/>
      </c>
      <c r="E923" s="52">
        <f>INDEX(Periods!$C$5:$C$57,$B923)</f>
        <v/>
      </c>
      <c r="F923" s="50">
        <f>IF(AND($C923&lt;&gt;"",INDEX(Periods!$D$5:$D$57,$B923)=1),1,0)</f>
        <v/>
      </c>
      <c r="G923" s="50">
        <f>IF($F923=0,0,IF(AND(OR(INDEX(Employees!$D$5:$D$29,$A923)="",$E923&gt;=INDEX(Employees!$D$5:$D$29,$A923)+N(INDEX(Employees!$U$5:$U$29,$A923))),OR(INDEX(Employees!$E$5:$E$29,$A923)="",$D923&lt;=INDEX(Employees!$E$5:$E$29,$A923))),1,0))</f>
        <v/>
      </c>
      <c r="H923" s="50">
        <f>IF($G923=0,0,IF(INDEX(Employees!$D$5:$D$29,$A923)="",0,DATEDIF(INDEX(Employees!$D$5:$D$29,$A923),$E923,"y")))</f>
        <v/>
      </c>
      <c r="I923" s="51">
        <f>IF($G923=0,0,IF(INDEX('Hours Worked'!$D$5:$BD$29,$A923,$B923)="",N(INDEX(Employees!$H$5:$H$29,$A923)),INDEX('Hours Worked'!$D$5:$BD$29,$A923,$B923)))</f>
        <v/>
      </c>
      <c r="J923" s="51">
        <f>IF(OR($G923=0,INDEX(Employees!$O$5:$O$29,$A923)&lt;&gt;"Yes"),0,IF(COUNTIF(Settings!$D$4:$D$9,"&lt;="&amp;$H923)=0,0,INDEX(Settings!$E$4:$E$9,COUNTIF(Settings!$D$4:$D$9,"&lt;="&amp;$H923))))</f>
        <v/>
      </c>
      <c r="K923" s="51">
        <f>IF($G923=0,0,IF(INDEX(Employees!$I$5:$I$29,$A923)="Per pay period",(N(INDEX(Employees!$J$5:$J$29,$A923))+$J923)/Settings!$B$13,IF(INDEX(Employees!$I$5:$I$29,$A923)="Per hour worked",N(INDEX(Employees!$K$5:$K$29,$A923))*$I923,IF(INDEX(Employees!$I$5:$I$29,$A923)="Front-loaded",IF(OR($B923=1,N($G922)=0),N(INDEX(Employees!$J$5:$J$29,$A923))+$J923,0),0))))</f>
        <v/>
      </c>
      <c r="L923" s="51">
        <f>IF($F923=0,0,SUMIFS('Time Off Log'!$H$5:$H$504,'Time Off Log'!$A$5:$A$504,$C923,'Time Off Log'!$B$5:$B$504,"PTO",'Time Off Log'!$E$5:$E$504,"Approved",'Time Off Log'!$C$5:$C$504,"&gt;="&amp;INDEX(Periods!$E$5:$E$57,$B923),'Time Off Log'!$C$5:$C$504,"&lt;="&amp;INDEX(Periods!$F$5:$F$57,$B923)))</f>
        <v/>
      </c>
      <c r="M923" s="51">
        <f>IF($B923=1,N(INDEX(Employees!$N$5:$N$29,$A923)),P922)</f>
        <v/>
      </c>
      <c r="N923" s="51">
        <f>IF(INDEX(Employees!$L$5:$L$29,$A923)="",K923,MAX(0,MIN(K923,INDEX(Employees!$L$5:$L$29,$A923)-(M923-L923))))</f>
        <v/>
      </c>
      <c r="O923" s="51">
        <f>K923-N923</f>
        <v/>
      </c>
      <c r="P923" s="51">
        <f>M923-L923+N923</f>
        <v/>
      </c>
      <c r="Q923" s="51">
        <f>IF($G923=0,0,IF(INDEX(Employees!$P$5:$P$29,$A923)="Per pay period",(N(INDEX(Employees!$Q$5:$Q$29,$A923)))/Settings!$B$13,IF(INDEX(Employees!$P$5:$P$29,$A923)="Per hour worked",N(INDEX(Employees!$R$5:$R$29,$A923))*$I923,IF(INDEX(Employees!$P$5:$P$29,$A923)="Front-loaded",IF(OR($B923=1,N($G922)=0),N(INDEX(Employees!$Q$5:$Q$29,$A923)),0),0))))</f>
        <v/>
      </c>
      <c r="R923" s="51">
        <f>IF($F923=0,0,SUMIFS('Time Off Log'!$H$5:$H$504,'Time Off Log'!$A$5:$A$504,$C923,'Time Off Log'!$B$5:$B$504,"Sick",'Time Off Log'!$E$5:$E$504,"Approved",'Time Off Log'!$C$5:$C$504,"&gt;="&amp;INDEX(Periods!$E$5:$E$57,$B923),'Time Off Log'!$C$5:$C$504,"&lt;="&amp;INDEX(Periods!$F$5:$F$57,$B923)))</f>
        <v/>
      </c>
      <c r="S923" s="51">
        <f>IF($B923=1,N(INDEX(Employees!$T$5:$T$29,$A923)),V922)</f>
        <v/>
      </c>
      <c r="T923" s="51">
        <f>IF(INDEX(Employees!$S$5:$S$29,$A923)="",Q923,MAX(0,MIN(Q923,INDEX(Employees!$S$5:$S$29,$A923)-(S923-R923))))</f>
        <v/>
      </c>
      <c r="U923" s="51">
        <f>Q923-T923</f>
        <v/>
      </c>
      <c r="V923" s="51">
        <f>S923-R923+T923</f>
        <v/>
      </c>
    </row>
    <row r="924">
      <c r="A924" s="50" t="n">
        <v>18</v>
      </c>
      <c r="B924" s="50" t="n">
        <v>19</v>
      </c>
      <c r="C924" s="51">
        <f>INDEX(Employees!$B$5:$B$29,$A924)&amp;""</f>
        <v/>
      </c>
      <c r="D924" s="52">
        <f>INDEX(Periods!$B$5:$B$57,$B924)</f>
        <v/>
      </c>
      <c r="E924" s="52">
        <f>INDEX(Periods!$C$5:$C$57,$B924)</f>
        <v/>
      </c>
      <c r="F924" s="50">
        <f>IF(AND($C924&lt;&gt;"",INDEX(Periods!$D$5:$D$57,$B924)=1),1,0)</f>
        <v/>
      </c>
      <c r="G924" s="50">
        <f>IF($F924=0,0,IF(AND(OR(INDEX(Employees!$D$5:$D$29,$A924)="",$E924&gt;=INDEX(Employees!$D$5:$D$29,$A924)+N(INDEX(Employees!$U$5:$U$29,$A924))),OR(INDEX(Employees!$E$5:$E$29,$A924)="",$D924&lt;=INDEX(Employees!$E$5:$E$29,$A924))),1,0))</f>
        <v/>
      </c>
      <c r="H924" s="50">
        <f>IF($G924=0,0,IF(INDEX(Employees!$D$5:$D$29,$A924)="",0,DATEDIF(INDEX(Employees!$D$5:$D$29,$A924),$E924,"y")))</f>
        <v/>
      </c>
      <c r="I924" s="51">
        <f>IF($G924=0,0,IF(INDEX('Hours Worked'!$D$5:$BD$29,$A924,$B924)="",N(INDEX(Employees!$H$5:$H$29,$A924)),INDEX('Hours Worked'!$D$5:$BD$29,$A924,$B924)))</f>
        <v/>
      </c>
      <c r="J924" s="51">
        <f>IF(OR($G924=0,INDEX(Employees!$O$5:$O$29,$A924)&lt;&gt;"Yes"),0,IF(COUNTIF(Settings!$D$4:$D$9,"&lt;="&amp;$H924)=0,0,INDEX(Settings!$E$4:$E$9,COUNTIF(Settings!$D$4:$D$9,"&lt;="&amp;$H924))))</f>
        <v/>
      </c>
      <c r="K924" s="51">
        <f>IF($G924=0,0,IF(INDEX(Employees!$I$5:$I$29,$A924)="Per pay period",(N(INDEX(Employees!$J$5:$J$29,$A924))+$J924)/Settings!$B$13,IF(INDEX(Employees!$I$5:$I$29,$A924)="Per hour worked",N(INDEX(Employees!$K$5:$K$29,$A924))*$I924,IF(INDEX(Employees!$I$5:$I$29,$A924)="Front-loaded",IF(OR($B924=1,N($G923)=0),N(INDEX(Employees!$J$5:$J$29,$A924))+$J924,0),0))))</f>
        <v/>
      </c>
      <c r="L924" s="51">
        <f>IF($F924=0,0,SUMIFS('Time Off Log'!$H$5:$H$504,'Time Off Log'!$A$5:$A$504,$C924,'Time Off Log'!$B$5:$B$504,"PTO",'Time Off Log'!$E$5:$E$504,"Approved",'Time Off Log'!$C$5:$C$504,"&gt;="&amp;INDEX(Periods!$E$5:$E$57,$B924),'Time Off Log'!$C$5:$C$504,"&lt;="&amp;INDEX(Periods!$F$5:$F$57,$B924)))</f>
        <v/>
      </c>
      <c r="M924" s="51">
        <f>IF($B924=1,N(INDEX(Employees!$N$5:$N$29,$A924)),P923)</f>
        <v/>
      </c>
      <c r="N924" s="51">
        <f>IF(INDEX(Employees!$L$5:$L$29,$A924)="",K924,MAX(0,MIN(K924,INDEX(Employees!$L$5:$L$29,$A924)-(M924-L924))))</f>
        <v/>
      </c>
      <c r="O924" s="51">
        <f>K924-N924</f>
        <v/>
      </c>
      <c r="P924" s="51">
        <f>M924-L924+N924</f>
        <v/>
      </c>
      <c r="Q924" s="51">
        <f>IF($G924=0,0,IF(INDEX(Employees!$P$5:$P$29,$A924)="Per pay period",(N(INDEX(Employees!$Q$5:$Q$29,$A924)))/Settings!$B$13,IF(INDEX(Employees!$P$5:$P$29,$A924)="Per hour worked",N(INDEX(Employees!$R$5:$R$29,$A924))*$I924,IF(INDEX(Employees!$P$5:$P$29,$A924)="Front-loaded",IF(OR($B924=1,N($G923)=0),N(INDEX(Employees!$Q$5:$Q$29,$A924)),0),0))))</f>
        <v/>
      </c>
      <c r="R924" s="51">
        <f>IF($F924=0,0,SUMIFS('Time Off Log'!$H$5:$H$504,'Time Off Log'!$A$5:$A$504,$C924,'Time Off Log'!$B$5:$B$504,"Sick",'Time Off Log'!$E$5:$E$504,"Approved",'Time Off Log'!$C$5:$C$504,"&gt;="&amp;INDEX(Periods!$E$5:$E$57,$B924),'Time Off Log'!$C$5:$C$504,"&lt;="&amp;INDEX(Periods!$F$5:$F$57,$B924)))</f>
        <v/>
      </c>
      <c r="S924" s="51">
        <f>IF($B924=1,N(INDEX(Employees!$T$5:$T$29,$A924)),V923)</f>
        <v/>
      </c>
      <c r="T924" s="51">
        <f>IF(INDEX(Employees!$S$5:$S$29,$A924)="",Q924,MAX(0,MIN(Q924,INDEX(Employees!$S$5:$S$29,$A924)-(S924-R924))))</f>
        <v/>
      </c>
      <c r="U924" s="51">
        <f>Q924-T924</f>
        <v/>
      </c>
      <c r="V924" s="51">
        <f>S924-R924+T924</f>
        <v/>
      </c>
    </row>
    <row r="925">
      <c r="A925" s="50" t="n">
        <v>18</v>
      </c>
      <c r="B925" s="50" t="n">
        <v>20</v>
      </c>
      <c r="C925" s="51">
        <f>INDEX(Employees!$B$5:$B$29,$A925)&amp;""</f>
        <v/>
      </c>
      <c r="D925" s="52">
        <f>INDEX(Periods!$B$5:$B$57,$B925)</f>
        <v/>
      </c>
      <c r="E925" s="52">
        <f>INDEX(Periods!$C$5:$C$57,$B925)</f>
        <v/>
      </c>
      <c r="F925" s="50">
        <f>IF(AND($C925&lt;&gt;"",INDEX(Periods!$D$5:$D$57,$B925)=1),1,0)</f>
        <v/>
      </c>
      <c r="G925" s="50">
        <f>IF($F925=0,0,IF(AND(OR(INDEX(Employees!$D$5:$D$29,$A925)="",$E925&gt;=INDEX(Employees!$D$5:$D$29,$A925)+N(INDEX(Employees!$U$5:$U$29,$A925))),OR(INDEX(Employees!$E$5:$E$29,$A925)="",$D925&lt;=INDEX(Employees!$E$5:$E$29,$A925))),1,0))</f>
        <v/>
      </c>
      <c r="H925" s="50">
        <f>IF($G925=0,0,IF(INDEX(Employees!$D$5:$D$29,$A925)="",0,DATEDIF(INDEX(Employees!$D$5:$D$29,$A925),$E925,"y")))</f>
        <v/>
      </c>
      <c r="I925" s="51">
        <f>IF($G925=0,0,IF(INDEX('Hours Worked'!$D$5:$BD$29,$A925,$B925)="",N(INDEX(Employees!$H$5:$H$29,$A925)),INDEX('Hours Worked'!$D$5:$BD$29,$A925,$B925)))</f>
        <v/>
      </c>
      <c r="J925" s="51">
        <f>IF(OR($G925=0,INDEX(Employees!$O$5:$O$29,$A925)&lt;&gt;"Yes"),0,IF(COUNTIF(Settings!$D$4:$D$9,"&lt;="&amp;$H925)=0,0,INDEX(Settings!$E$4:$E$9,COUNTIF(Settings!$D$4:$D$9,"&lt;="&amp;$H925))))</f>
        <v/>
      </c>
      <c r="K925" s="51">
        <f>IF($G925=0,0,IF(INDEX(Employees!$I$5:$I$29,$A925)="Per pay period",(N(INDEX(Employees!$J$5:$J$29,$A925))+$J925)/Settings!$B$13,IF(INDEX(Employees!$I$5:$I$29,$A925)="Per hour worked",N(INDEX(Employees!$K$5:$K$29,$A925))*$I925,IF(INDEX(Employees!$I$5:$I$29,$A925)="Front-loaded",IF(OR($B925=1,N($G924)=0),N(INDEX(Employees!$J$5:$J$29,$A925))+$J925,0),0))))</f>
        <v/>
      </c>
      <c r="L925" s="51">
        <f>IF($F925=0,0,SUMIFS('Time Off Log'!$H$5:$H$504,'Time Off Log'!$A$5:$A$504,$C925,'Time Off Log'!$B$5:$B$504,"PTO",'Time Off Log'!$E$5:$E$504,"Approved",'Time Off Log'!$C$5:$C$504,"&gt;="&amp;INDEX(Periods!$E$5:$E$57,$B925),'Time Off Log'!$C$5:$C$504,"&lt;="&amp;INDEX(Periods!$F$5:$F$57,$B925)))</f>
        <v/>
      </c>
      <c r="M925" s="51">
        <f>IF($B925=1,N(INDEX(Employees!$N$5:$N$29,$A925)),P924)</f>
        <v/>
      </c>
      <c r="N925" s="51">
        <f>IF(INDEX(Employees!$L$5:$L$29,$A925)="",K925,MAX(0,MIN(K925,INDEX(Employees!$L$5:$L$29,$A925)-(M925-L925))))</f>
        <v/>
      </c>
      <c r="O925" s="51">
        <f>K925-N925</f>
        <v/>
      </c>
      <c r="P925" s="51">
        <f>M925-L925+N925</f>
        <v/>
      </c>
      <c r="Q925" s="51">
        <f>IF($G925=0,0,IF(INDEX(Employees!$P$5:$P$29,$A925)="Per pay period",(N(INDEX(Employees!$Q$5:$Q$29,$A925)))/Settings!$B$13,IF(INDEX(Employees!$P$5:$P$29,$A925)="Per hour worked",N(INDEX(Employees!$R$5:$R$29,$A925))*$I925,IF(INDEX(Employees!$P$5:$P$29,$A925)="Front-loaded",IF(OR($B925=1,N($G924)=0),N(INDEX(Employees!$Q$5:$Q$29,$A925)),0),0))))</f>
        <v/>
      </c>
      <c r="R925" s="51">
        <f>IF($F925=0,0,SUMIFS('Time Off Log'!$H$5:$H$504,'Time Off Log'!$A$5:$A$504,$C925,'Time Off Log'!$B$5:$B$504,"Sick",'Time Off Log'!$E$5:$E$504,"Approved",'Time Off Log'!$C$5:$C$504,"&gt;="&amp;INDEX(Periods!$E$5:$E$57,$B925),'Time Off Log'!$C$5:$C$504,"&lt;="&amp;INDEX(Periods!$F$5:$F$57,$B925)))</f>
        <v/>
      </c>
      <c r="S925" s="51">
        <f>IF($B925=1,N(INDEX(Employees!$T$5:$T$29,$A925)),V924)</f>
        <v/>
      </c>
      <c r="T925" s="51">
        <f>IF(INDEX(Employees!$S$5:$S$29,$A925)="",Q925,MAX(0,MIN(Q925,INDEX(Employees!$S$5:$S$29,$A925)-(S925-R925))))</f>
        <v/>
      </c>
      <c r="U925" s="51">
        <f>Q925-T925</f>
        <v/>
      </c>
      <c r="V925" s="51">
        <f>S925-R925+T925</f>
        <v/>
      </c>
    </row>
    <row r="926">
      <c r="A926" s="50" t="n">
        <v>18</v>
      </c>
      <c r="B926" s="50" t="n">
        <v>21</v>
      </c>
      <c r="C926" s="51">
        <f>INDEX(Employees!$B$5:$B$29,$A926)&amp;""</f>
        <v/>
      </c>
      <c r="D926" s="52">
        <f>INDEX(Periods!$B$5:$B$57,$B926)</f>
        <v/>
      </c>
      <c r="E926" s="52">
        <f>INDEX(Periods!$C$5:$C$57,$B926)</f>
        <v/>
      </c>
      <c r="F926" s="50">
        <f>IF(AND($C926&lt;&gt;"",INDEX(Periods!$D$5:$D$57,$B926)=1),1,0)</f>
        <v/>
      </c>
      <c r="G926" s="50">
        <f>IF($F926=0,0,IF(AND(OR(INDEX(Employees!$D$5:$D$29,$A926)="",$E926&gt;=INDEX(Employees!$D$5:$D$29,$A926)+N(INDEX(Employees!$U$5:$U$29,$A926))),OR(INDEX(Employees!$E$5:$E$29,$A926)="",$D926&lt;=INDEX(Employees!$E$5:$E$29,$A926))),1,0))</f>
        <v/>
      </c>
      <c r="H926" s="50">
        <f>IF($G926=0,0,IF(INDEX(Employees!$D$5:$D$29,$A926)="",0,DATEDIF(INDEX(Employees!$D$5:$D$29,$A926),$E926,"y")))</f>
        <v/>
      </c>
      <c r="I926" s="51">
        <f>IF($G926=0,0,IF(INDEX('Hours Worked'!$D$5:$BD$29,$A926,$B926)="",N(INDEX(Employees!$H$5:$H$29,$A926)),INDEX('Hours Worked'!$D$5:$BD$29,$A926,$B926)))</f>
        <v/>
      </c>
      <c r="J926" s="51">
        <f>IF(OR($G926=0,INDEX(Employees!$O$5:$O$29,$A926)&lt;&gt;"Yes"),0,IF(COUNTIF(Settings!$D$4:$D$9,"&lt;="&amp;$H926)=0,0,INDEX(Settings!$E$4:$E$9,COUNTIF(Settings!$D$4:$D$9,"&lt;="&amp;$H926))))</f>
        <v/>
      </c>
      <c r="K926" s="51">
        <f>IF($G926=0,0,IF(INDEX(Employees!$I$5:$I$29,$A926)="Per pay period",(N(INDEX(Employees!$J$5:$J$29,$A926))+$J926)/Settings!$B$13,IF(INDEX(Employees!$I$5:$I$29,$A926)="Per hour worked",N(INDEX(Employees!$K$5:$K$29,$A926))*$I926,IF(INDEX(Employees!$I$5:$I$29,$A926)="Front-loaded",IF(OR($B926=1,N($G925)=0),N(INDEX(Employees!$J$5:$J$29,$A926))+$J926,0),0))))</f>
        <v/>
      </c>
      <c r="L926" s="51">
        <f>IF($F926=0,0,SUMIFS('Time Off Log'!$H$5:$H$504,'Time Off Log'!$A$5:$A$504,$C926,'Time Off Log'!$B$5:$B$504,"PTO",'Time Off Log'!$E$5:$E$504,"Approved",'Time Off Log'!$C$5:$C$504,"&gt;="&amp;INDEX(Periods!$E$5:$E$57,$B926),'Time Off Log'!$C$5:$C$504,"&lt;="&amp;INDEX(Periods!$F$5:$F$57,$B926)))</f>
        <v/>
      </c>
      <c r="M926" s="51">
        <f>IF($B926=1,N(INDEX(Employees!$N$5:$N$29,$A926)),P925)</f>
        <v/>
      </c>
      <c r="N926" s="51">
        <f>IF(INDEX(Employees!$L$5:$L$29,$A926)="",K926,MAX(0,MIN(K926,INDEX(Employees!$L$5:$L$29,$A926)-(M926-L926))))</f>
        <v/>
      </c>
      <c r="O926" s="51">
        <f>K926-N926</f>
        <v/>
      </c>
      <c r="P926" s="51">
        <f>M926-L926+N926</f>
        <v/>
      </c>
      <c r="Q926" s="51">
        <f>IF($G926=0,0,IF(INDEX(Employees!$P$5:$P$29,$A926)="Per pay period",(N(INDEX(Employees!$Q$5:$Q$29,$A926)))/Settings!$B$13,IF(INDEX(Employees!$P$5:$P$29,$A926)="Per hour worked",N(INDEX(Employees!$R$5:$R$29,$A926))*$I926,IF(INDEX(Employees!$P$5:$P$29,$A926)="Front-loaded",IF(OR($B926=1,N($G925)=0),N(INDEX(Employees!$Q$5:$Q$29,$A926)),0),0))))</f>
        <v/>
      </c>
      <c r="R926" s="51">
        <f>IF($F926=0,0,SUMIFS('Time Off Log'!$H$5:$H$504,'Time Off Log'!$A$5:$A$504,$C926,'Time Off Log'!$B$5:$B$504,"Sick",'Time Off Log'!$E$5:$E$504,"Approved",'Time Off Log'!$C$5:$C$504,"&gt;="&amp;INDEX(Periods!$E$5:$E$57,$B926),'Time Off Log'!$C$5:$C$504,"&lt;="&amp;INDEX(Periods!$F$5:$F$57,$B926)))</f>
        <v/>
      </c>
      <c r="S926" s="51">
        <f>IF($B926=1,N(INDEX(Employees!$T$5:$T$29,$A926)),V925)</f>
        <v/>
      </c>
      <c r="T926" s="51">
        <f>IF(INDEX(Employees!$S$5:$S$29,$A926)="",Q926,MAX(0,MIN(Q926,INDEX(Employees!$S$5:$S$29,$A926)-(S926-R926))))</f>
        <v/>
      </c>
      <c r="U926" s="51">
        <f>Q926-T926</f>
        <v/>
      </c>
      <c r="V926" s="51">
        <f>S926-R926+T926</f>
        <v/>
      </c>
    </row>
    <row r="927">
      <c r="A927" s="50" t="n">
        <v>18</v>
      </c>
      <c r="B927" s="50" t="n">
        <v>22</v>
      </c>
      <c r="C927" s="51">
        <f>INDEX(Employees!$B$5:$B$29,$A927)&amp;""</f>
        <v/>
      </c>
      <c r="D927" s="52">
        <f>INDEX(Periods!$B$5:$B$57,$B927)</f>
        <v/>
      </c>
      <c r="E927" s="52">
        <f>INDEX(Periods!$C$5:$C$57,$B927)</f>
        <v/>
      </c>
      <c r="F927" s="50">
        <f>IF(AND($C927&lt;&gt;"",INDEX(Periods!$D$5:$D$57,$B927)=1),1,0)</f>
        <v/>
      </c>
      <c r="G927" s="50">
        <f>IF($F927=0,0,IF(AND(OR(INDEX(Employees!$D$5:$D$29,$A927)="",$E927&gt;=INDEX(Employees!$D$5:$D$29,$A927)+N(INDEX(Employees!$U$5:$U$29,$A927))),OR(INDEX(Employees!$E$5:$E$29,$A927)="",$D927&lt;=INDEX(Employees!$E$5:$E$29,$A927))),1,0))</f>
        <v/>
      </c>
      <c r="H927" s="50">
        <f>IF($G927=0,0,IF(INDEX(Employees!$D$5:$D$29,$A927)="",0,DATEDIF(INDEX(Employees!$D$5:$D$29,$A927),$E927,"y")))</f>
        <v/>
      </c>
      <c r="I927" s="51">
        <f>IF($G927=0,0,IF(INDEX('Hours Worked'!$D$5:$BD$29,$A927,$B927)="",N(INDEX(Employees!$H$5:$H$29,$A927)),INDEX('Hours Worked'!$D$5:$BD$29,$A927,$B927)))</f>
        <v/>
      </c>
      <c r="J927" s="51">
        <f>IF(OR($G927=0,INDEX(Employees!$O$5:$O$29,$A927)&lt;&gt;"Yes"),0,IF(COUNTIF(Settings!$D$4:$D$9,"&lt;="&amp;$H927)=0,0,INDEX(Settings!$E$4:$E$9,COUNTIF(Settings!$D$4:$D$9,"&lt;="&amp;$H927))))</f>
        <v/>
      </c>
      <c r="K927" s="51">
        <f>IF($G927=0,0,IF(INDEX(Employees!$I$5:$I$29,$A927)="Per pay period",(N(INDEX(Employees!$J$5:$J$29,$A927))+$J927)/Settings!$B$13,IF(INDEX(Employees!$I$5:$I$29,$A927)="Per hour worked",N(INDEX(Employees!$K$5:$K$29,$A927))*$I927,IF(INDEX(Employees!$I$5:$I$29,$A927)="Front-loaded",IF(OR($B927=1,N($G926)=0),N(INDEX(Employees!$J$5:$J$29,$A927))+$J927,0),0))))</f>
        <v/>
      </c>
      <c r="L927" s="51">
        <f>IF($F927=0,0,SUMIFS('Time Off Log'!$H$5:$H$504,'Time Off Log'!$A$5:$A$504,$C927,'Time Off Log'!$B$5:$B$504,"PTO",'Time Off Log'!$E$5:$E$504,"Approved",'Time Off Log'!$C$5:$C$504,"&gt;="&amp;INDEX(Periods!$E$5:$E$57,$B927),'Time Off Log'!$C$5:$C$504,"&lt;="&amp;INDEX(Periods!$F$5:$F$57,$B927)))</f>
        <v/>
      </c>
      <c r="M927" s="51">
        <f>IF($B927=1,N(INDEX(Employees!$N$5:$N$29,$A927)),P926)</f>
        <v/>
      </c>
      <c r="N927" s="51">
        <f>IF(INDEX(Employees!$L$5:$L$29,$A927)="",K927,MAX(0,MIN(K927,INDEX(Employees!$L$5:$L$29,$A927)-(M927-L927))))</f>
        <v/>
      </c>
      <c r="O927" s="51">
        <f>K927-N927</f>
        <v/>
      </c>
      <c r="P927" s="51">
        <f>M927-L927+N927</f>
        <v/>
      </c>
      <c r="Q927" s="51">
        <f>IF($G927=0,0,IF(INDEX(Employees!$P$5:$P$29,$A927)="Per pay period",(N(INDEX(Employees!$Q$5:$Q$29,$A927)))/Settings!$B$13,IF(INDEX(Employees!$P$5:$P$29,$A927)="Per hour worked",N(INDEX(Employees!$R$5:$R$29,$A927))*$I927,IF(INDEX(Employees!$P$5:$P$29,$A927)="Front-loaded",IF(OR($B927=1,N($G926)=0),N(INDEX(Employees!$Q$5:$Q$29,$A927)),0),0))))</f>
        <v/>
      </c>
      <c r="R927" s="51">
        <f>IF($F927=0,0,SUMIFS('Time Off Log'!$H$5:$H$504,'Time Off Log'!$A$5:$A$504,$C927,'Time Off Log'!$B$5:$B$504,"Sick",'Time Off Log'!$E$5:$E$504,"Approved",'Time Off Log'!$C$5:$C$504,"&gt;="&amp;INDEX(Periods!$E$5:$E$57,$B927),'Time Off Log'!$C$5:$C$504,"&lt;="&amp;INDEX(Periods!$F$5:$F$57,$B927)))</f>
        <v/>
      </c>
      <c r="S927" s="51">
        <f>IF($B927=1,N(INDEX(Employees!$T$5:$T$29,$A927)),V926)</f>
        <v/>
      </c>
      <c r="T927" s="51">
        <f>IF(INDEX(Employees!$S$5:$S$29,$A927)="",Q927,MAX(0,MIN(Q927,INDEX(Employees!$S$5:$S$29,$A927)-(S927-R927))))</f>
        <v/>
      </c>
      <c r="U927" s="51">
        <f>Q927-T927</f>
        <v/>
      </c>
      <c r="V927" s="51">
        <f>S927-R927+T927</f>
        <v/>
      </c>
    </row>
    <row r="928">
      <c r="A928" s="50" t="n">
        <v>18</v>
      </c>
      <c r="B928" s="50" t="n">
        <v>23</v>
      </c>
      <c r="C928" s="51">
        <f>INDEX(Employees!$B$5:$B$29,$A928)&amp;""</f>
        <v/>
      </c>
      <c r="D928" s="52">
        <f>INDEX(Periods!$B$5:$B$57,$B928)</f>
        <v/>
      </c>
      <c r="E928" s="52">
        <f>INDEX(Periods!$C$5:$C$57,$B928)</f>
        <v/>
      </c>
      <c r="F928" s="50">
        <f>IF(AND($C928&lt;&gt;"",INDEX(Periods!$D$5:$D$57,$B928)=1),1,0)</f>
        <v/>
      </c>
      <c r="G928" s="50">
        <f>IF($F928=0,0,IF(AND(OR(INDEX(Employees!$D$5:$D$29,$A928)="",$E928&gt;=INDEX(Employees!$D$5:$D$29,$A928)+N(INDEX(Employees!$U$5:$U$29,$A928))),OR(INDEX(Employees!$E$5:$E$29,$A928)="",$D928&lt;=INDEX(Employees!$E$5:$E$29,$A928))),1,0))</f>
        <v/>
      </c>
      <c r="H928" s="50">
        <f>IF($G928=0,0,IF(INDEX(Employees!$D$5:$D$29,$A928)="",0,DATEDIF(INDEX(Employees!$D$5:$D$29,$A928),$E928,"y")))</f>
        <v/>
      </c>
      <c r="I928" s="51">
        <f>IF($G928=0,0,IF(INDEX('Hours Worked'!$D$5:$BD$29,$A928,$B928)="",N(INDEX(Employees!$H$5:$H$29,$A928)),INDEX('Hours Worked'!$D$5:$BD$29,$A928,$B928)))</f>
        <v/>
      </c>
      <c r="J928" s="51">
        <f>IF(OR($G928=0,INDEX(Employees!$O$5:$O$29,$A928)&lt;&gt;"Yes"),0,IF(COUNTIF(Settings!$D$4:$D$9,"&lt;="&amp;$H928)=0,0,INDEX(Settings!$E$4:$E$9,COUNTIF(Settings!$D$4:$D$9,"&lt;="&amp;$H928))))</f>
        <v/>
      </c>
      <c r="K928" s="51">
        <f>IF($G928=0,0,IF(INDEX(Employees!$I$5:$I$29,$A928)="Per pay period",(N(INDEX(Employees!$J$5:$J$29,$A928))+$J928)/Settings!$B$13,IF(INDEX(Employees!$I$5:$I$29,$A928)="Per hour worked",N(INDEX(Employees!$K$5:$K$29,$A928))*$I928,IF(INDEX(Employees!$I$5:$I$29,$A928)="Front-loaded",IF(OR($B928=1,N($G927)=0),N(INDEX(Employees!$J$5:$J$29,$A928))+$J928,0),0))))</f>
        <v/>
      </c>
      <c r="L928" s="51">
        <f>IF($F928=0,0,SUMIFS('Time Off Log'!$H$5:$H$504,'Time Off Log'!$A$5:$A$504,$C928,'Time Off Log'!$B$5:$B$504,"PTO",'Time Off Log'!$E$5:$E$504,"Approved",'Time Off Log'!$C$5:$C$504,"&gt;="&amp;INDEX(Periods!$E$5:$E$57,$B928),'Time Off Log'!$C$5:$C$504,"&lt;="&amp;INDEX(Periods!$F$5:$F$57,$B928)))</f>
        <v/>
      </c>
      <c r="M928" s="51">
        <f>IF($B928=1,N(INDEX(Employees!$N$5:$N$29,$A928)),P927)</f>
        <v/>
      </c>
      <c r="N928" s="51">
        <f>IF(INDEX(Employees!$L$5:$L$29,$A928)="",K928,MAX(0,MIN(K928,INDEX(Employees!$L$5:$L$29,$A928)-(M928-L928))))</f>
        <v/>
      </c>
      <c r="O928" s="51">
        <f>K928-N928</f>
        <v/>
      </c>
      <c r="P928" s="51">
        <f>M928-L928+N928</f>
        <v/>
      </c>
      <c r="Q928" s="51">
        <f>IF($G928=0,0,IF(INDEX(Employees!$P$5:$P$29,$A928)="Per pay period",(N(INDEX(Employees!$Q$5:$Q$29,$A928)))/Settings!$B$13,IF(INDEX(Employees!$P$5:$P$29,$A928)="Per hour worked",N(INDEX(Employees!$R$5:$R$29,$A928))*$I928,IF(INDEX(Employees!$P$5:$P$29,$A928)="Front-loaded",IF(OR($B928=1,N($G927)=0),N(INDEX(Employees!$Q$5:$Q$29,$A928)),0),0))))</f>
        <v/>
      </c>
      <c r="R928" s="51">
        <f>IF($F928=0,0,SUMIFS('Time Off Log'!$H$5:$H$504,'Time Off Log'!$A$5:$A$504,$C928,'Time Off Log'!$B$5:$B$504,"Sick",'Time Off Log'!$E$5:$E$504,"Approved",'Time Off Log'!$C$5:$C$504,"&gt;="&amp;INDEX(Periods!$E$5:$E$57,$B928),'Time Off Log'!$C$5:$C$504,"&lt;="&amp;INDEX(Periods!$F$5:$F$57,$B928)))</f>
        <v/>
      </c>
      <c r="S928" s="51">
        <f>IF($B928=1,N(INDEX(Employees!$T$5:$T$29,$A928)),V927)</f>
        <v/>
      </c>
      <c r="T928" s="51">
        <f>IF(INDEX(Employees!$S$5:$S$29,$A928)="",Q928,MAX(0,MIN(Q928,INDEX(Employees!$S$5:$S$29,$A928)-(S928-R928))))</f>
        <v/>
      </c>
      <c r="U928" s="51">
        <f>Q928-T928</f>
        <v/>
      </c>
      <c r="V928" s="51">
        <f>S928-R928+T928</f>
        <v/>
      </c>
    </row>
    <row r="929">
      <c r="A929" s="50" t="n">
        <v>18</v>
      </c>
      <c r="B929" s="50" t="n">
        <v>24</v>
      </c>
      <c r="C929" s="51">
        <f>INDEX(Employees!$B$5:$B$29,$A929)&amp;""</f>
        <v/>
      </c>
      <c r="D929" s="52">
        <f>INDEX(Periods!$B$5:$B$57,$B929)</f>
        <v/>
      </c>
      <c r="E929" s="52">
        <f>INDEX(Periods!$C$5:$C$57,$B929)</f>
        <v/>
      </c>
      <c r="F929" s="50">
        <f>IF(AND($C929&lt;&gt;"",INDEX(Periods!$D$5:$D$57,$B929)=1),1,0)</f>
        <v/>
      </c>
      <c r="G929" s="50">
        <f>IF($F929=0,0,IF(AND(OR(INDEX(Employees!$D$5:$D$29,$A929)="",$E929&gt;=INDEX(Employees!$D$5:$D$29,$A929)+N(INDEX(Employees!$U$5:$U$29,$A929))),OR(INDEX(Employees!$E$5:$E$29,$A929)="",$D929&lt;=INDEX(Employees!$E$5:$E$29,$A929))),1,0))</f>
        <v/>
      </c>
      <c r="H929" s="50">
        <f>IF($G929=0,0,IF(INDEX(Employees!$D$5:$D$29,$A929)="",0,DATEDIF(INDEX(Employees!$D$5:$D$29,$A929),$E929,"y")))</f>
        <v/>
      </c>
      <c r="I929" s="51">
        <f>IF($G929=0,0,IF(INDEX('Hours Worked'!$D$5:$BD$29,$A929,$B929)="",N(INDEX(Employees!$H$5:$H$29,$A929)),INDEX('Hours Worked'!$D$5:$BD$29,$A929,$B929)))</f>
        <v/>
      </c>
      <c r="J929" s="51">
        <f>IF(OR($G929=0,INDEX(Employees!$O$5:$O$29,$A929)&lt;&gt;"Yes"),0,IF(COUNTIF(Settings!$D$4:$D$9,"&lt;="&amp;$H929)=0,0,INDEX(Settings!$E$4:$E$9,COUNTIF(Settings!$D$4:$D$9,"&lt;="&amp;$H929))))</f>
        <v/>
      </c>
      <c r="K929" s="51">
        <f>IF($G929=0,0,IF(INDEX(Employees!$I$5:$I$29,$A929)="Per pay period",(N(INDEX(Employees!$J$5:$J$29,$A929))+$J929)/Settings!$B$13,IF(INDEX(Employees!$I$5:$I$29,$A929)="Per hour worked",N(INDEX(Employees!$K$5:$K$29,$A929))*$I929,IF(INDEX(Employees!$I$5:$I$29,$A929)="Front-loaded",IF(OR($B929=1,N($G928)=0),N(INDEX(Employees!$J$5:$J$29,$A929))+$J929,0),0))))</f>
        <v/>
      </c>
      <c r="L929" s="51">
        <f>IF($F929=0,0,SUMIFS('Time Off Log'!$H$5:$H$504,'Time Off Log'!$A$5:$A$504,$C929,'Time Off Log'!$B$5:$B$504,"PTO",'Time Off Log'!$E$5:$E$504,"Approved",'Time Off Log'!$C$5:$C$504,"&gt;="&amp;INDEX(Periods!$E$5:$E$57,$B929),'Time Off Log'!$C$5:$C$504,"&lt;="&amp;INDEX(Periods!$F$5:$F$57,$B929)))</f>
        <v/>
      </c>
      <c r="M929" s="51">
        <f>IF($B929=1,N(INDEX(Employees!$N$5:$N$29,$A929)),P928)</f>
        <v/>
      </c>
      <c r="N929" s="51">
        <f>IF(INDEX(Employees!$L$5:$L$29,$A929)="",K929,MAX(0,MIN(K929,INDEX(Employees!$L$5:$L$29,$A929)-(M929-L929))))</f>
        <v/>
      </c>
      <c r="O929" s="51">
        <f>K929-N929</f>
        <v/>
      </c>
      <c r="P929" s="51">
        <f>M929-L929+N929</f>
        <v/>
      </c>
      <c r="Q929" s="51">
        <f>IF($G929=0,0,IF(INDEX(Employees!$P$5:$P$29,$A929)="Per pay period",(N(INDEX(Employees!$Q$5:$Q$29,$A929)))/Settings!$B$13,IF(INDEX(Employees!$P$5:$P$29,$A929)="Per hour worked",N(INDEX(Employees!$R$5:$R$29,$A929))*$I929,IF(INDEX(Employees!$P$5:$P$29,$A929)="Front-loaded",IF(OR($B929=1,N($G928)=0),N(INDEX(Employees!$Q$5:$Q$29,$A929)),0),0))))</f>
        <v/>
      </c>
      <c r="R929" s="51">
        <f>IF($F929=0,0,SUMIFS('Time Off Log'!$H$5:$H$504,'Time Off Log'!$A$5:$A$504,$C929,'Time Off Log'!$B$5:$B$504,"Sick",'Time Off Log'!$E$5:$E$504,"Approved",'Time Off Log'!$C$5:$C$504,"&gt;="&amp;INDEX(Periods!$E$5:$E$57,$B929),'Time Off Log'!$C$5:$C$504,"&lt;="&amp;INDEX(Periods!$F$5:$F$57,$B929)))</f>
        <v/>
      </c>
      <c r="S929" s="51">
        <f>IF($B929=1,N(INDEX(Employees!$T$5:$T$29,$A929)),V928)</f>
        <v/>
      </c>
      <c r="T929" s="51">
        <f>IF(INDEX(Employees!$S$5:$S$29,$A929)="",Q929,MAX(0,MIN(Q929,INDEX(Employees!$S$5:$S$29,$A929)-(S929-R929))))</f>
        <v/>
      </c>
      <c r="U929" s="51">
        <f>Q929-T929</f>
        <v/>
      </c>
      <c r="V929" s="51">
        <f>S929-R929+T929</f>
        <v/>
      </c>
    </row>
    <row r="930">
      <c r="A930" s="50" t="n">
        <v>18</v>
      </c>
      <c r="B930" s="50" t="n">
        <v>25</v>
      </c>
      <c r="C930" s="51">
        <f>INDEX(Employees!$B$5:$B$29,$A930)&amp;""</f>
        <v/>
      </c>
      <c r="D930" s="52">
        <f>INDEX(Periods!$B$5:$B$57,$B930)</f>
        <v/>
      </c>
      <c r="E930" s="52">
        <f>INDEX(Periods!$C$5:$C$57,$B930)</f>
        <v/>
      </c>
      <c r="F930" s="50">
        <f>IF(AND($C930&lt;&gt;"",INDEX(Periods!$D$5:$D$57,$B930)=1),1,0)</f>
        <v/>
      </c>
      <c r="G930" s="50">
        <f>IF($F930=0,0,IF(AND(OR(INDEX(Employees!$D$5:$D$29,$A930)="",$E930&gt;=INDEX(Employees!$D$5:$D$29,$A930)+N(INDEX(Employees!$U$5:$U$29,$A930))),OR(INDEX(Employees!$E$5:$E$29,$A930)="",$D930&lt;=INDEX(Employees!$E$5:$E$29,$A930))),1,0))</f>
        <v/>
      </c>
      <c r="H930" s="50">
        <f>IF($G930=0,0,IF(INDEX(Employees!$D$5:$D$29,$A930)="",0,DATEDIF(INDEX(Employees!$D$5:$D$29,$A930),$E930,"y")))</f>
        <v/>
      </c>
      <c r="I930" s="51">
        <f>IF($G930=0,0,IF(INDEX('Hours Worked'!$D$5:$BD$29,$A930,$B930)="",N(INDEX(Employees!$H$5:$H$29,$A930)),INDEX('Hours Worked'!$D$5:$BD$29,$A930,$B930)))</f>
        <v/>
      </c>
      <c r="J930" s="51">
        <f>IF(OR($G930=0,INDEX(Employees!$O$5:$O$29,$A930)&lt;&gt;"Yes"),0,IF(COUNTIF(Settings!$D$4:$D$9,"&lt;="&amp;$H930)=0,0,INDEX(Settings!$E$4:$E$9,COUNTIF(Settings!$D$4:$D$9,"&lt;="&amp;$H930))))</f>
        <v/>
      </c>
      <c r="K930" s="51">
        <f>IF($G930=0,0,IF(INDEX(Employees!$I$5:$I$29,$A930)="Per pay period",(N(INDEX(Employees!$J$5:$J$29,$A930))+$J930)/Settings!$B$13,IF(INDEX(Employees!$I$5:$I$29,$A930)="Per hour worked",N(INDEX(Employees!$K$5:$K$29,$A930))*$I930,IF(INDEX(Employees!$I$5:$I$29,$A930)="Front-loaded",IF(OR($B930=1,N($G929)=0),N(INDEX(Employees!$J$5:$J$29,$A930))+$J930,0),0))))</f>
        <v/>
      </c>
      <c r="L930" s="51">
        <f>IF($F930=0,0,SUMIFS('Time Off Log'!$H$5:$H$504,'Time Off Log'!$A$5:$A$504,$C930,'Time Off Log'!$B$5:$B$504,"PTO",'Time Off Log'!$E$5:$E$504,"Approved",'Time Off Log'!$C$5:$C$504,"&gt;="&amp;INDEX(Periods!$E$5:$E$57,$B930),'Time Off Log'!$C$5:$C$504,"&lt;="&amp;INDEX(Periods!$F$5:$F$57,$B930)))</f>
        <v/>
      </c>
      <c r="M930" s="51">
        <f>IF($B930=1,N(INDEX(Employees!$N$5:$N$29,$A930)),P929)</f>
        <v/>
      </c>
      <c r="N930" s="51">
        <f>IF(INDEX(Employees!$L$5:$L$29,$A930)="",K930,MAX(0,MIN(K930,INDEX(Employees!$L$5:$L$29,$A930)-(M930-L930))))</f>
        <v/>
      </c>
      <c r="O930" s="51">
        <f>K930-N930</f>
        <v/>
      </c>
      <c r="P930" s="51">
        <f>M930-L930+N930</f>
        <v/>
      </c>
      <c r="Q930" s="51">
        <f>IF($G930=0,0,IF(INDEX(Employees!$P$5:$P$29,$A930)="Per pay period",(N(INDEX(Employees!$Q$5:$Q$29,$A930)))/Settings!$B$13,IF(INDEX(Employees!$P$5:$P$29,$A930)="Per hour worked",N(INDEX(Employees!$R$5:$R$29,$A930))*$I930,IF(INDEX(Employees!$P$5:$P$29,$A930)="Front-loaded",IF(OR($B930=1,N($G929)=0),N(INDEX(Employees!$Q$5:$Q$29,$A930)),0),0))))</f>
        <v/>
      </c>
      <c r="R930" s="51">
        <f>IF($F930=0,0,SUMIFS('Time Off Log'!$H$5:$H$504,'Time Off Log'!$A$5:$A$504,$C930,'Time Off Log'!$B$5:$B$504,"Sick",'Time Off Log'!$E$5:$E$504,"Approved",'Time Off Log'!$C$5:$C$504,"&gt;="&amp;INDEX(Periods!$E$5:$E$57,$B930),'Time Off Log'!$C$5:$C$504,"&lt;="&amp;INDEX(Periods!$F$5:$F$57,$B930)))</f>
        <v/>
      </c>
      <c r="S930" s="51">
        <f>IF($B930=1,N(INDEX(Employees!$T$5:$T$29,$A930)),V929)</f>
        <v/>
      </c>
      <c r="T930" s="51">
        <f>IF(INDEX(Employees!$S$5:$S$29,$A930)="",Q930,MAX(0,MIN(Q930,INDEX(Employees!$S$5:$S$29,$A930)-(S930-R930))))</f>
        <v/>
      </c>
      <c r="U930" s="51">
        <f>Q930-T930</f>
        <v/>
      </c>
      <c r="V930" s="51">
        <f>S930-R930+T930</f>
        <v/>
      </c>
    </row>
    <row r="931">
      <c r="A931" s="50" t="n">
        <v>18</v>
      </c>
      <c r="B931" s="50" t="n">
        <v>26</v>
      </c>
      <c r="C931" s="51">
        <f>INDEX(Employees!$B$5:$B$29,$A931)&amp;""</f>
        <v/>
      </c>
      <c r="D931" s="52">
        <f>INDEX(Periods!$B$5:$B$57,$B931)</f>
        <v/>
      </c>
      <c r="E931" s="52">
        <f>INDEX(Periods!$C$5:$C$57,$B931)</f>
        <v/>
      </c>
      <c r="F931" s="50">
        <f>IF(AND($C931&lt;&gt;"",INDEX(Periods!$D$5:$D$57,$B931)=1),1,0)</f>
        <v/>
      </c>
      <c r="G931" s="50">
        <f>IF($F931=0,0,IF(AND(OR(INDEX(Employees!$D$5:$D$29,$A931)="",$E931&gt;=INDEX(Employees!$D$5:$D$29,$A931)+N(INDEX(Employees!$U$5:$U$29,$A931))),OR(INDEX(Employees!$E$5:$E$29,$A931)="",$D931&lt;=INDEX(Employees!$E$5:$E$29,$A931))),1,0))</f>
        <v/>
      </c>
      <c r="H931" s="50">
        <f>IF($G931=0,0,IF(INDEX(Employees!$D$5:$D$29,$A931)="",0,DATEDIF(INDEX(Employees!$D$5:$D$29,$A931),$E931,"y")))</f>
        <v/>
      </c>
      <c r="I931" s="51">
        <f>IF($G931=0,0,IF(INDEX('Hours Worked'!$D$5:$BD$29,$A931,$B931)="",N(INDEX(Employees!$H$5:$H$29,$A931)),INDEX('Hours Worked'!$D$5:$BD$29,$A931,$B931)))</f>
        <v/>
      </c>
      <c r="J931" s="51">
        <f>IF(OR($G931=0,INDEX(Employees!$O$5:$O$29,$A931)&lt;&gt;"Yes"),0,IF(COUNTIF(Settings!$D$4:$D$9,"&lt;="&amp;$H931)=0,0,INDEX(Settings!$E$4:$E$9,COUNTIF(Settings!$D$4:$D$9,"&lt;="&amp;$H931))))</f>
        <v/>
      </c>
      <c r="K931" s="51">
        <f>IF($G931=0,0,IF(INDEX(Employees!$I$5:$I$29,$A931)="Per pay period",(N(INDEX(Employees!$J$5:$J$29,$A931))+$J931)/Settings!$B$13,IF(INDEX(Employees!$I$5:$I$29,$A931)="Per hour worked",N(INDEX(Employees!$K$5:$K$29,$A931))*$I931,IF(INDEX(Employees!$I$5:$I$29,$A931)="Front-loaded",IF(OR($B931=1,N($G930)=0),N(INDEX(Employees!$J$5:$J$29,$A931))+$J931,0),0))))</f>
        <v/>
      </c>
      <c r="L931" s="51">
        <f>IF($F931=0,0,SUMIFS('Time Off Log'!$H$5:$H$504,'Time Off Log'!$A$5:$A$504,$C931,'Time Off Log'!$B$5:$B$504,"PTO",'Time Off Log'!$E$5:$E$504,"Approved",'Time Off Log'!$C$5:$C$504,"&gt;="&amp;INDEX(Periods!$E$5:$E$57,$B931),'Time Off Log'!$C$5:$C$504,"&lt;="&amp;INDEX(Periods!$F$5:$F$57,$B931)))</f>
        <v/>
      </c>
      <c r="M931" s="51">
        <f>IF($B931=1,N(INDEX(Employees!$N$5:$N$29,$A931)),P930)</f>
        <v/>
      </c>
      <c r="N931" s="51">
        <f>IF(INDEX(Employees!$L$5:$L$29,$A931)="",K931,MAX(0,MIN(K931,INDEX(Employees!$L$5:$L$29,$A931)-(M931-L931))))</f>
        <v/>
      </c>
      <c r="O931" s="51">
        <f>K931-N931</f>
        <v/>
      </c>
      <c r="P931" s="51">
        <f>M931-L931+N931</f>
        <v/>
      </c>
      <c r="Q931" s="51">
        <f>IF($G931=0,0,IF(INDEX(Employees!$P$5:$P$29,$A931)="Per pay period",(N(INDEX(Employees!$Q$5:$Q$29,$A931)))/Settings!$B$13,IF(INDEX(Employees!$P$5:$P$29,$A931)="Per hour worked",N(INDEX(Employees!$R$5:$R$29,$A931))*$I931,IF(INDEX(Employees!$P$5:$P$29,$A931)="Front-loaded",IF(OR($B931=1,N($G930)=0),N(INDEX(Employees!$Q$5:$Q$29,$A931)),0),0))))</f>
        <v/>
      </c>
      <c r="R931" s="51">
        <f>IF($F931=0,0,SUMIFS('Time Off Log'!$H$5:$H$504,'Time Off Log'!$A$5:$A$504,$C931,'Time Off Log'!$B$5:$B$504,"Sick",'Time Off Log'!$E$5:$E$504,"Approved",'Time Off Log'!$C$5:$C$504,"&gt;="&amp;INDEX(Periods!$E$5:$E$57,$B931),'Time Off Log'!$C$5:$C$504,"&lt;="&amp;INDEX(Periods!$F$5:$F$57,$B931)))</f>
        <v/>
      </c>
      <c r="S931" s="51">
        <f>IF($B931=1,N(INDEX(Employees!$T$5:$T$29,$A931)),V930)</f>
        <v/>
      </c>
      <c r="T931" s="51">
        <f>IF(INDEX(Employees!$S$5:$S$29,$A931)="",Q931,MAX(0,MIN(Q931,INDEX(Employees!$S$5:$S$29,$A931)-(S931-R931))))</f>
        <v/>
      </c>
      <c r="U931" s="51">
        <f>Q931-T931</f>
        <v/>
      </c>
      <c r="V931" s="51">
        <f>S931-R931+T931</f>
        <v/>
      </c>
    </row>
    <row r="932">
      <c r="A932" s="50" t="n">
        <v>18</v>
      </c>
      <c r="B932" s="50" t="n">
        <v>27</v>
      </c>
      <c r="C932" s="51">
        <f>INDEX(Employees!$B$5:$B$29,$A932)&amp;""</f>
        <v/>
      </c>
      <c r="D932" s="52">
        <f>INDEX(Periods!$B$5:$B$57,$B932)</f>
        <v/>
      </c>
      <c r="E932" s="52">
        <f>INDEX(Periods!$C$5:$C$57,$B932)</f>
        <v/>
      </c>
      <c r="F932" s="50">
        <f>IF(AND($C932&lt;&gt;"",INDEX(Periods!$D$5:$D$57,$B932)=1),1,0)</f>
        <v/>
      </c>
      <c r="G932" s="50">
        <f>IF($F932=0,0,IF(AND(OR(INDEX(Employees!$D$5:$D$29,$A932)="",$E932&gt;=INDEX(Employees!$D$5:$D$29,$A932)+N(INDEX(Employees!$U$5:$U$29,$A932))),OR(INDEX(Employees!$E$5:$E$29,$A932)="",$D932&lt;=INDEX(Employees!$E$5:$E$29,$A932))),1,0))</f>
        <v/>
      </c>
      <c r="H932" s="50">
        <f>IF($G932=0,0,IF(INDEX(Employees!$D$5:$D$29,$A932)="",0,DATEDIF(INDEX(Employees!$D$5:$D$29,$A932),$E932,"y")))</f>
        <v/>
      </c>
      <c r="I932" s="51">
        <f>IF($G932=0,0,IF(INDEX('Hours Worked'!$D$5:$BD$29,$A932,$B932)="",N(INDEX(Employees!$H$5:$H$29,$A932)),INDEX('Hours Worked'!$D$5:$BD$29,$A932,$B932)))</f>
        <v/>
      </c>
      <c r="J932" s="51">
        <f>IF(OR($G932=0,INDEX(Employees!$O$5:$O$29,$A932)&lt;&gt;"Yes"),0,IF(COUNTIF(Settings!$D$4:$D$9,"&lt;="&amp;$H932)=0,0,INDEX(Settings!$E$4:$E$9,COUNTIF(Settings!$D$4:$D$9,"&lt;="&amp;$H932))))</f>
        <v/>
      </c>
      <c r="K932" s="51">
        <f>IF($G932=0,0,IF(INDEX(Employees!$I$5:$I$29,$A932)="Per pay period",(N(INDEX(Employees!$J$5:$J$29,$A932))+$J932)/Settings!$B$13,IF(INDEX(Employees!$I$5:$I$29,$A932)="Per hour worked",N(INDEX(Employees!$K$5:$K$29,$A932))*$I932,IF(INDEX(Employees!$I$5:$I$29,$A932)="Front-loaded",IF(OR($B932=1,N($G931)=0),N(INDEX(Employees!$J$5:$J$29,$A932))+$J932,0),0))))</f>
        <v/>
      </c>
      <c r="L932" s="51">
        <f>IF($F932=0,0,SUMIFS('Time Off Log'!$H$5:$H$504,'Time Off Log'!$A$5:$A$504,$C932,'Time Off Log'!$B$5:$B$504,"PTO",'Time Off Log'!$E$5:$E$504,"Approved",'Time Off Log'!$C$5:$C$504,"&gt;="&amp;INDEX(Periods!$E$5:$E$57,$B932),'Time Off Log'!$C$5:$C$504,"&lt;="&amp;INDEX(Periods!$F$5:$F$57,$B932)))</f>
        <v/>
      </c>
      <c r="M932" s="51">
        <f>IF($B932=1,N(INDEX(Employees!$N$5:$N$29,$A932)),P931)</f>
        <v/>
      </c>
      <c r="N932" s="51">
        <f>IF(INDEX(Employees!$L$5:$L$29,$A932)="",K932,MAX(0,MIN(K932,INDEX(Employees!$L$5:$L$29,$A932)-(M932-L932))))</f>
        <v/>
      </c>
      <c r="O932" s="51">
        <f>K932-N932</f>
        <v/>
      </c>
      <c r="P932" s="51">
        <f>M932-L932+N932</f>
        <v/>
      </c>
      <c r="Q932" s="51">
        <f>IF($G932=0,0,IF(INDEX(Employees!$P$5:$P$29,$A932)="Per pay period",(N(INDEX(Employees!$Q$5:$Q$29,$A932)))/Settings!$B$13,IF(INDEX(Employees!$P$5:$P$29,$A932)="Per hour worked",N(INDEX(Employees!$R$5:$R$29,$A932))*$I932,IF(INDEX(Employees!$P$5:$P$29,$A932)="Front-loaded",IF(OR($B932=1,N($G931)=0),N(INDEX(Employees!$Q$5:$Q$29,$A932)),0),0))))</f>
        <v/>
      </c>
      <c r="R932" s="51">
        <f>IF($F932=0,0,SUMIFS('Time Off Log'!$H$5:$H$504,'Time Off Log'!$A$5:$A$504,$C932,'Time Off Log'!$B$5:$B$504,"Sick",'Time Off Log'!$E$5:$E$504,"Approved",'Time Off Log'!$C$5:$C$504,"&gt;="&amp;INDEX(Periods!$E$5:$E$57,$B932),'Time Off Log'!$C$5:$C$504,"&lt;="&amp;INDEX(Periods!$F$5:$F$57,$B932)))</f>
        <v/>
      </c>
      <c r="S932" s="51">
        <f>IF($B932=1,N(INDEX(Employees!$T$5:$T$29,$A932)),V931)</f>
        <v/>
      </c>
      <c r="T932" s="51">
        <f>IF(INDEX(Employees!$S$5:$S$29,$A932)="",Q932,MAX(0,MIN(Q932,INDEX(Employees!$S$5:$S$29,$A932)-(S932-R932))))</f>
        <v/>
      </c>
      <c r="U932" s="51">
        <f>Q932-T932</f>
        <v/>
      </c>
      <c r="V932" s="51">
        <f>S932-R932+T932</f>
        <v/>
      </c>
    </row>
    <row r="933">
      <c r="A933" s="50" t="n">
        <v>18</v>
      </c>
      <c r="B933" s="50" t="n">
        <v>28</v>
      </c>
      <c r="C933" s="51">
        <f>INDEX(Employees!$B$5:$B$29,$A933)&amp;""</f>
        <v/>
      </c>
      <c r="D933" s="52">
        <f>INDEX(Periods!$B$5:$B$57,$B933)</f>
        <v/>
      </c>
      <c r="E933" s="52">
        <f>INDEX(Periods!$C$5:$C$57,$B933)</f>
        <v/>
      </c>
      <c r="F933" s="50">
        <f>IF(AND($C933&lt;&gt;"",INDEX(Periods!$D$5:$D$57,$B933)=1),1,0)</f>
        <v/>
      </c>
      <c r="G933" s="50">
        <f>IF($F933=0,0,IF(AND(OR(INDEX(Employees!$D$5:$D$29,$A933)="",$E933&gt;=INDEX(Employees!$D$5:$D$29,$A933)+N(INDEX(Employees!$U$5:$U$29,$A933))),OR(INDEX(Employees!$E$5:$E$29,$A933)="",$D933&lt;=INDEX(Employees!$E$5:$E$29,$A933))),1,0))</f>
        <v/>
      </c>
      <c r="H933" s="50">
        <f>IF($G933=0,0,IF(INDEX(Employees!$D$5:$D$29,$A933)="",0,DATEDIF(INDEX(Employees!$D$5:$D$29,$A933),$E933,"y")))</f>
        <v/>
      </c>
      <c r="I933" s="51">
        <f>IF($G933=0,0,IF(INDEX('Hours Worked'!$D$5:$BD$29,$A933,$B933)="",N(INDEX(Employees!$H$5:$H$29,$A933)),INDEX('Hours Worked'!$D$5:$BD$29,$A933,$B933)))</f>
        <v/>
      </c>
      <c r="J933" s="51">
        <f>IF(OR($G933=0,INDEX(Employees!$O$5:$O$29,$A933)&lt;&gt;"Yes"),0,IF(COUNTIF(Settings!$D$4:$D$9,"&lt;="&amp;$H933)=0,0,INDEX(Settings!$E$4:$E$9,COUNTIF(Settings!$D$4:$D$9,"&lt;="&amp;$H933))))</f>
        <v/>
      </c>
      <c r="K933" s="51">
        <f>IF($G933=0,0,IF(INDEX(Employees!$I$5:$I$29,$A933)="Per pay period",(N(INDEX(Employees!$J$5:$J$29,$A933))+$J933)/Settings!$B$13,IF(INDEX(Employees!$I$5:$I$29,$A933)="Per hour worked",N(INDEX(Employees!$K$5:$K$29,$A933))*$I933,IF(INDEX(Employees!$I$5:$I$29,$A933)="Front-loaded",IF(OR($B933=1,N($G932)=0),N(INDEX(Employees!$J$5:$J$29,$A933))+$J933,0),0))))</f>
        <v/>
      </c>
      <c r="L933" s="51">
        <f>IF($F933=0,0,SUMIFS('Time Off Log'!$H$5:$H$504,'Time Off Log'!$A$5:$A$504,$C933,'Time Off Log'!$B$5:$B$504,"PTO",'Time Off Log'!$E$5:$E$504,"Approved",'Time Off Log'!$C$5:$C$504,"&gt;="&amp;INDEX(Periods!$E$5:$E$57,$B933),'Time Off Log'!$C$5:$C$504,"&lt;="&amp;INDEX(Periods!$F$5:$F$57,$B933)))</f>
        <v/>
      </c>
      <c r="M933" s="51">
        <f>IF($B933=1,N(INDEX(Employees!$N$5:$N$29,$A933)),P932)</f>
        <v/>
      </c>
      <c r="N933" s="51">
        <f>IF(INDEX(Employees!$L$5:$L$29,$A933)="",K933,MAX(0,MIN(K933,INDEX(Employees!$L$5:$L$29,$A933)-(M933-L933))))</f>
        <v/>
      </c>
      <c r="O933" s="51">
        <f>K933-N933</f>
        <v/>
      </c>
      <c r="P933" s="51">
        <f>M933-L933+N933</f>
        <v/>
      </c>
      <c r="Q933" s="51">
        <f>IF($G933=0,0,IF(INDEX(Employees!$P$5:$P$29,$A933)="Per pay period",(N(INDEX(Employees!$Q$5:$Q$29,$A933)))/Settings!$B$13,IF(INDEX(Employees!$P$5:$P$29,$A933)="Per hour worked",N(INDEX(Employees!$R$5:$R$29,$A933))*$I933,IF(INDEX(Employees!$P$5:$P$29,$A933)="Front-loaded",IF(OR($B933=1,N($G932)=0),N(INDEX(Employees!$Q$5:$Q$29,$A933)),0),0))))</f>
        <v/>
      </c>
      <c r="R933" s="51">
        <f>IF($F933=0,0,SUMIFS('Time Off Log'!$H$5:$H$504,'Time Off Log'!$A$5:$A$504,$C933,'Time Off Log'!$B$5:$B$504,"Sick",'Time Off Log'!$E$5:$E$504,"Approved",'Time Off Log'!$C$5:$C$504,"&gt;="&amp;INDEX(Periods!$E$5:$E$57,$B933),'Time Off Log'!$C$5:$C$504,"&lt;="&amp;INDEX(Periods!$F$5:$F$57,$B933)))</f>
        <v/>
      </c>
      <c r="S933" s="51">
        <f>IF($B933=1,N(INDEX(Employees!$T$5:$T$29,$A933)),V932)</f>
        <v/>
      </c>
      <c r="T933" s="51">
        <f>IF(INDEX(Employees!$S$5:$S$29,$A933)="",Q933,MAX(0,MIN(Q933,INDEX(Employees!$S$5:$S$29,$A933)-(S933-R933))))</f>
        <v/>
      </c>
      <c r="U933" s="51">
        <f>Q933-T933</f>
        <v/>
      </c>
      <c r="V933" s="51">
        <f>S933-R933+T933</f>
        <v/>
      </c>
    </row>
    <row r="934">
      <c r="A934" s="50" t="n">
        <v>18</v>
      </c>
      <c r="B934" s="50" t="n">
        <v>29</v>
      </c>
      <c r="C934" s="51">
        <f>INDEX(Employees!$B$5:$B$29,$A934)&amp;""</f>
        <v/>
      </c>
      <c r="D934" s="52">
        <f>INDEX(Periods!$B$5:$B$57,$B934)</f>
        <v/>
      </c>
      <c r="E934" s="52">
        <f>INDEX(Periods!$C$5:$C$57,$B934)</f>
        <v/>
      </c>
      <c r="F934" s="50">
        <f>IF(AND($C934&lt;&gt;"",INDEX(Periods!$D$5:$D$57,$B934)=1),1,0)</f>
        <v/>
      </c>
      <c r="G934" s="50">
        <f>IF($F934=0,0,IF(AND(OR(INDEX(Employees!$D$5:$D$29,$A934)="",$E934&gt;=INDEX(Employees!$D$5:$D$29,$A934)+N(INDEX(Employees!$U$5:$U$29,$A934))),OR(INDEX(Employees!$E$5:$E$29,$A934)="",$D934&lt;=INDEX(Employees!$E$5:$E$29,$A934))),1,0))</f>
        <v/>
      </c>
      <c r="H934" s="50">
        <f>IF($G934=0,0,IF(INDEX(Employees!$D$5:$D$29,$A934)="",0,DATEDIF(INDEX(Employees!$D$5:$D$29,$A934),$E934,"y")))</f>
        <v/>
      </c>
      <c r="I934" s="51">
        <f>IF($G934=0,0,IF(INDEX('Hours Worked'!$D$5:$BD$29,$A934,$B934)="",N(INDEX(Employees!$H$5:$H$29,$A934)),INDEX('Hours Worked'!$D$5:$BD$29,$A934,$B934)))</f>
        <v/>
      </c>
      <c r="J934" s="51">
        <f>IF(OR($G934=0,INDEX(Employees!$O$5:$O$29,$A934)&lt;&gt;"Yes"),0,IF(COUNTIF(Settings!$D$4:$D$9,"&lt;="&amp;$H934)=0,0,INDEX(Settings!$E$4:$E$9,COUNTIF(Settings!$D$4:$D$9,"&lt;="&amp;$H934))))</f>
        <v/>
      </c>
      <c r="K934" s="51">
        <f>IF($G934=0,0,IF(INDEX(Employees!$I$5:$I$29,$A934)="Per pay period",(N(INDEX(Employees!$J$5:$J$29,$A934))+$J934)/Settings!$B$13,IF(INDEX(Employees!$I$5:$I$29,$A934)="Per hour worked",N(INDEX(Employees!$K$5:$K$29,$A934))*$I934,IF(INDEX(Employees!$I$5:$I$29,$A934)="Front-loaded",IF(OR($B934=1,N($G933)=0),N(INDEX(Employees!$J$5:$J$29,$A934))+$J934,0),0))))</f>
        <v/>
      </c>
      <c r="L934" s="51">
        <f>IF($F934=0,0,SUMIFS('Time Off Log'!$H$5:$H$504,'Time Off Log'!$A$5:$A$504,$C934,'Time Off Log'!$B$5:$B$504,"PTO",'Time Off Log'!$E$5:$E$504,"Approved",'Time Off Log'!$C$5:$C$504,"&gt;="&amp;INDEX(Periods!$E$5:$E$57,$B934),'Time Off Log'!$C$5:$C$504,"&lt;="&amp;INDEX(Periods!$F$5:$F$57,$B934)))</f>
        <v/>
      </c>
      <c r="M934" s="51">
        <f>IF($B934=1,N(INDEX(Employees!$N$5:$N$29,$A934)),P933)</f>
        <v/>
      </c>
      <c r="N934" s="51">
        <f>IF(INDEX(Employees!$L$5:$L$29,$A934)="",K934,MAX(0,MIN(K934,INDEX(Employees!$L$5:$L$29,$A934)-(M934-L934))))</f>
        <v/>
      </c>
      <c r="O934" s="51">
        <f>K934-N934</f>
        <v/>
      </c>
      <c r="P934" s="51">
        <f>M934-L934+N934</f>
        <v/>
      </c>
      <c r="Q934" s="51">
        <f>IF($G934=0,0,IF(INDEX(Employees!$P$5:$P$29,$A934)="Per pay period",(N(INDEX(Employees!$Q$5:$Q$29,$A934)))/Settings!$B$13,IF(INDEX(Employees!$P$5:$P$29,$A934)="Per hour worked",N(INDEX(Employees!$R$5:$R$29,$A934))*$I934,IF(INDEX(Employees!$P$5:$P$29,$A934)="Front-loaded",IF(OR($B934=1,N($G933)=0),N(INDEX(Employees!$Q$5:$Q$29,$A934)),0),0))))</f>
        <v/>
      </c>
      <c r="R934" s="51">
        <f>IF($F934=0,0,SUMIFS('Time Off Log'!$H$5:$H$504,'Time Off Log'!$A$5:$A$504,$C934,'Time Off Log'!$B$5:$B$504,"Sick",'Time Off Log'!$E$5:$E$504,"Approved",'Time Off Log'!$C$5:$C$504,"&gt;="&amp;INDEX(Periods!$E$5:$E$57,$B934),'Time Off Log'!$C$5:$C$504,"&lt;="&amp;INDEX(Periods!$F$5:$F$57,$B934)))</f>
        <v/>
      </c>
      <c r="S934" s="51">
        <f>IF($B934=1,N(INDEX(Employees!$T$5:$T$29,$A934)),V933)</f>
        <v/>
      </c>
      <c r="T934" s="51">
        <f>IF(INDEX(Employees!$S$5:$S$29,$A934)="",Q934,MAX(0,MIN(Q934,INDEX(Employees!$S$5:$S$29,$A934)-(S934-R934))))</f>
        <v/>
      </c>
      <c r="U934" s="51">
        <f>Q934-T934</f>
        <v/>
      </c>
      <c r="V934" s="51">
        <f>S934-R934+T934</f>
        <v/>
      </c>
    </row>
    <row r="935">
      <c r="A935" s="50" t="n">
        <v>18</v>
      </c>
      <c r="B935" s="50" t="n">
        <v>30</v>
      </c>
      <c r="C935" s="51">
        <f>INDEX(Employees!$B$5:$B$29,$A935)&amp;""</f>
        <v/>
      </c>
      <c r="D935" s="52">
        <f>INDEX(Periods!$B$5:$B$57,$B935)</f>
        <v/>
      </c>
      <c r="E935" s="52">
        <f>INDEX(Periods!$C$5:$C$57,$B935)</f>
        <v/>
      </c>
      <c r="F935" s="50">
        <f>IF(AND($C935&lt;&gt;"",INDEX(Periods!$D$5:$D$57,$B935)=1),1,0)</f>
        <v/>
      </c>
      <c r="G935" s="50">
        <f>IF($F935=0,0,IF(AND(OR(INDEX(Employees!$D$5:$D$29,$A935)="",$E935&gt;=INDEX(Employees!$D$5:$D$29,$A935)+N(INDEX(Employees!$U$5:$U$29,$A935))),OR(INDEX(Employees!$E$5:$E$29,$A935)="",$D935&lt;=INDEX(Employees!$E$5:$E$29,$A935))),1,0))</f>
        <v/>
      </c>
      <c r="H935" s="50">
        <f>IF($G935=0,0,IF(INDEX(Employees!$D$5:$D$29,$A935)="",0,DATEDIF(INDEX(Employees!$D$5:$D$29,$A935),$E935,"y")))</f>
        <v/>
      </c>
      <c r="I935" s="51">
        <f>IF($G935=0,0,IF(INDEX('Hours Worked'!$D$5:$BD$29,$A935,$B935)="",N(INDEX(Employees!$H$5:$H$29,$A935)),INDEX('Hours Worked'!$D$5:$BD$29,$A935,$B935)))</f>
        <v/>
      </c>
      <c r="J935" s="51">
        <f>IF(OR($G935=0,INDEX(Employees!$O$5:$O$29,$A935)&lt;&gt;"Yes"),0,IF(COUNTIF(Settings!$D$4:$D$9,"&lt;="&amp;$H935)=0,0,INDEX(Settings!$E$4:$E$9,COUNTIF(Settings!$D$4:$D$9,"&lt;="&amp;$H935))))</f>
        <v/>
      </c>
      <c r="K935" s="51">
        <f>IF($G935=0,0,IF(INDEX(Employees!$I$5:$I$29,$A935)="Per pay period",(N(INDEX(Employees!$J$5:$J$29,$A935))+$J935)/Settings!$B$13,IF(INDEX(Employees!$I$5:$I$29,$A935)="Per hour worked",N(INDEX(Employees!$K$5:$K$29,$A935))*$I935,IF(INDEX(Employees!$I$5:$I$29,$A935)="Front-loaded",IF(OR($B935=1,N($G934)=0),N(INDEX(Employees!$J$5:$J$29,$A935))+$J935,0),0))))</f>
        <v/>
      </c>
      <c r="L935" s="51">
        <f>IF($F935=0,0,SUMIFS('Time Off Log'!$H$5:$H$504,'Time Off Log'!$A$5:$A$504,$C935,'Time Off Log'!$B$5:$B$504,"PTO",'Time Off Log'!$E$5:$E$504,"Approved",'Time Off Log'!$C$5:$C$504,"&gt;="&amp;INDEX(Periods!$E$5:$E$57,$B935),'Time Off Log'!$C$5:$C$504,"&lt;="&amp;INDEX(Periods!$F$5:$F$57,$B935)))</f>
        <v/>
      </c>
      <c r="M935" s="51">
        <f>IF($B935=1,N(INDEX(Employees!$N$5:$N$29,$A935)),P934)</f>
        <v/>
      </c>
      <c r="N935" s="51">
        <f>IF(INDEX(Employees!$L$5:$L$29,$A935)="",K935,MAX(0,MIN(K935,INDEX(Employees!$L$5:$L$29,$A935)-(M935-L935))))</f>
        <v/>
      </c>
      <c r="O935" s="51">
        <f>K935-N935</f>
        <v/>
      </c>
      <c r="P935" s="51">
        <f>M935-L935+N935</f>
        <v/>
      </c>
      <c r="Q935" s="51">
        <f>IF($G935=0,0,IF(INDEX(Employees!$P$5:$P$29,$A935)="Per pay period",(N(INDEX(Employees!$Q$5:$Q$29,$A935)))/Settings!$B$13,IF(INDEX(Employees!$P$5:$P$29,$A935)="Per hour worked",N(INDEX(Employees!$R$5:$R$29,$A935))*$I935,IF(INDEX(Employees!$P$5:$P$29,$A935)="Front-loaded",IF(OR($B935=1,N($G934)=0),N(INDEX(Employees!$Q$5:$Q$29,$A935)),0),0))))</f>
        <v/>
      </c>
      <c r="R935" s="51">
        <f>IF($F935=0,0,SUMIFS('Time Off Log'!$H$5:$H$504,'Time Off Log'!$A$5:$A$504,$C935,'Time Off Log'!$B$5:$B$504,"Sick",'Time Off Log'!$E$5:$E$504,"Approved",'Time Off Log'!$C$5:$C$504,"&gt;="&amp;INDEX(Periods!$E$5:$E$57,$B935),'Time Off Log'!$C$5:$C$504,"&lt;="&amp;INDEX(Periods!$F$5:$F$57,$B935)))</f>
        <v/>
      </c>
      <c r="S935" s="51">
        <f>IF($B935=1,N(INDEX(Employees!$T$5:$T$29,$A935)),V934)</f>
        <v/>
      </c>
      <c r="T935" s="51">
        <f>IF(INDEX(Employees!$S$5:$S$29,$A935)="",Q935,MAX(0,MIN(Q935,INDEX(Employees!$S$5:$S$29,$A935)-(S935-R935))))</f>
        <v/>
      </c>
      <c r="U935" s="51">
        <f>Q935-T935</f>
        <v/>
      </c>
      <c r="V935" s="51">
        <f>S935-R935+T935</f>
        <v/>
      </c>
    </row>
    <row r="936">
      <c r="A936" s="50" t="n">
        <v>18</v>
      </c>
      <c r="B936" s="50" t="n">
        <v>31</v>
      </c>
      <c r="C936" s="51">
        <f>INDEX(Employees!$B$5:$B$29,$A936)&amp;""</f>
        <v/>
      </c>
      <c r="D936" s="52">
        <f>INDEX(Periods!$B$5:$B$57,$B936)</f>
        <v/>
      </c>
      <c r="E936" s="52">
        <f>INDEX(Periods!$C$5:$C$57,$B936)</f>
        <v/>
      </c>
      <c r="F936" s="50">
        <f>IF(AND($C936&lt;&gt;"",INDEX(Periods!$D$5:$D$57,$B936)=1),1,0)</f>
        <v/>
      </c>
      <c r="G936" s="50">
        <f>IF($F936=0,0,IF(AND(OR(INDEX(Employees!$D$5:$D$29,$A936)="",$E936&gt;=INDEX(Employees!$D$5:$D$29,$A936)+N(INDEX(Employees!$U$5:$U$29,$A936))),OR(INDEX(Employees!$E$5:$E$29,$A936)="",$D936&lt;=INDEX(Employees!$E$5:$E$29,$A936))),1,0))</f>
        <v/>
      </c>
      <c r="H936" s="50">
        <f>IF($G936=0,0,IF(INDEX(Employees!$D$5:$D$29,$A936)="",0,DATEDIF(INDEX(Employees!$D$5:$D$29,$A936),$E936,"y")))</f>
        <v/>
      </c>
      <c r="I936" s="51">
        <f>IF($G936=0,0,IF(INDEX('Hours Worked'!$D$5:$BD$29,$A936,$B936)="",N(INDEX(Employees!$H$5:$H$29,$A936)),INDEX('Hours Worked'!$D$5:$BD$29,$A936,$B936)))</f>
        <v/>
      </c>
      <c r="J936" s="51">
        <f>IF(OR($G936=0,INDEX(Employees!$O$5:$O$29,$A936)&lt;&gt;"Yes"),0,IF(COUNTIF(Settings!$D$4:$D$9,"&lt;="&amp;$H936)=0,0,INDEX(Settings!$E$4:$E$9,COUNTIF(Settings!$D$4:$D$9,"&lt;="&amp;$H936))))</f>
        <v/>
      </c>
      <c r="K936" s="51">
        <f>IF($G936=0,0,IF(INDEX(Employees!$I$5:$I$29,$A936)="Per pay period",(N(INDEX(Employees!$J$5:$J$29,$A936))+$J936)/Settings!$B$13,IF(INDEX(Employees!$I$5:$I$29,$A936)="Per hour worked",N(INDEX(Employees!$K$5:$K$29,$A936))*$I936,IF(INDEX(Employees!$I$5:$I$29,$A936)="Front-loaded",IF(OR($B936=1,N($G935)=0),N(INDEX(Employees!$J$5:$J$29,$A936))+$J936,0),0))))</f>
        <v/>
      </c>
      <c r="L936" s="51">
        <f>IF($F936=0,0,SUMIFS('Time Off Log'!$H$5:$H$504,'Time Off Log'!$A$5:$A$504,$C936,'Time Off Log'!$B$5:$B$504,"PTO",'Time Off Log'!$E$5:$E$504,"Approved",'Time Off Log'!$C$5:$C$504,"&gt;="&amp;INDEX(Periods!$E$5:$E$57,$B936),'Time Off Log'!$C$5:$C$504,"&lt;="&amp;INDEX(Periods!$F$5:$F$57,$B936)))</f>
        <v/>
      </c>
      <c r="M936" s="51">
        <f>IF($B936=1,N(INDEX(Employees!$N$5:$N$29,$A936)),P935)</f>
        <v/>
      </c>
      <c r="N936" s="51">
        <f>IF(INDEX(Employees!$L$5:$L$29,$A936)="",K936,MAX(0,MIN(K936,INDEX(Employees!$L$5:$L$29,$A936)-(M936-L936))))</f>
        <v/>
      </c>
      <c r="O936" s="51">
        <f>K936-N936</f>
        <v/>
      </c>
      <c r="P936" s="51">
        <f>M936-L936+N936</f>
        <v/>
      </c>
      <c r="Q936" s="51">
        <f>IF($G936=0,0,IF(INDEX(Employees!$P$5:$P$29,$A936)="Per pay period",(N(INDEX(Employees!$Q$5:$Q$29,$A936)))/Settings!$B$13,IF(INDEX(Employees!$P$5:$P$29,$A936)="Per hour worked",N(INDEX(Employees!$R$5:$R$29,$A936))*$I936,IF(INDEX(Employees!$P$5:$P$29,$A936)="Front-loaded",IF(OR($B936=1,N($G935)=0),N(INDEX(Employees!$Q$5:$Q$29,$A936)),0),0))))</f>
        <v/>
      </c>
      <c r="R936" s="51">
        <f>IF($F936=0,0,SUMIFS('Time Off Log'!$H$5:$H$504,'Time Off Log'!$A$5:$A$504,$C936,'Time Off Log'!$B$5:$B$504,"Sick",'Time Off Log'!$E$5:$E$504,"Approved",'Time Off Log'!$C$5:$C$504,"&gt;="&amp;INDEX(Periods!$E$5:$E$57,$B936),'Time Off Log'!$C$5:$C$504,"&lt;="&amp;INDEX(Periods!$F$5:$F$57,$B936)))</f>
        <v/>
      </c>
      <c r="S936" s="51">
        <f>IF($B936=1,N(INDEX(Employees!$T$5:$T$29,$A936)),V935)</f>
        <v/>
      </c>
      <c r="T936" s="51">
        <f>IF(INDEX(Employees!$S$5:$S$29,$A936)="",Q936,MAX(0,MIN(Q936,INDEX(Employees!$S$5:$S$29,$A936)-(S936-R936))))</f>
        <v/>
      </c>
      <c r="U936" s="51">
        <f>Q936-T936</f>
        <v/>
      </c>
      <c r="V936" s="51">
        <f>S936-R936+T936</f>
        <v/>
      </c>
    </row>
    <row r="937">
      <c r="A937" s="50" t="n">
        <v>18</v>
      </c>
      <c r="B937" s="50" t="n">
        <v>32</v>
      </c>
      <c r="C937" s="51">
        <f>INDEX(Employees!$B$5:$B$29,$A937)&amp;""</f>
        <v/>
      </c>
      <c r="D937" s="52">
        <f>INDEX(Periods!$B$5:$B$57,$B937)</f>
        <v/>
      </c>
      <c r="E937" s="52">
        <f>INDEX(Periods!$C$5:$C$57,$B937)</f>
        <v/>
      </c>
      <c r="F937" s="50">
        <f>IF(AND($C937&lt;&gt;"",INDEX(Periods!$D$5:$D$57,$B937)=1),1,0)</f>
        <v/>
      </c>
      <c r="G937" s="50">
        <f>IF($F937=0,0,IF(AND(OR(INDEX(Employees!$D$5:$D$29,$A937)="",$E937&gt;=INDEX(Employees!$D$5:$D$29,$A937)+N(INDEX(Employees!$U$5:$U$29,$A937))),OR(INDEX(Employees!$E$5:$E$29,$A937)="",$D937&lt;=INDEX(Employees!$E$5:$E$29,$A937))),1,0))</f>
        <v/>
      </c>
      <c r="H937" s="50">
        <f>IF($G937=0,0,IF(INDEX(Employees!$D$5:$D$29,$A937)="",0,DATEDIF(INDEX(Employees!$D$5:$D$29,$A937),$E937,"y")))</f>
        <v/>
      </c>
      <c r="I937" s="51">
        <f>IF($G937=0,0,IF(INDEX('Hours Worked'!$D$5:$BD$29,$A937,$B937)="",N(INDEX(Employees!$H$5:$H$29,$A937)),INDEX('Hours Worked'!$D$5:$BD$29,$A937,$B937)))</f>
        <v/>
      </c>
      <c r="J937" s="51">
        <f>IF(OR($G937=0,INDEX(Employees!$O$5:$O$29,$A937)&lt;&gt;"Yes"),0,IF(COUNTIF(Settings!$D$4:$D$9,"&lt;="&amp;$H937)=0,0,INDEX(Settings!$E$4:$E$9,COUNTIF(Settings!$D$4:$D$9,"&lt;="&amp;$H937))))</f>
        <v/>
      </c>
      <c r="K937" s="51">
        <f>IF($G937=0,0,IF(INDEX(Employees!$I$5:$I$29,$A937)="Per pay period",(N(INDEX(Employees!$J$5:$J$29,$A937))+$J937)/Settings!$B$13,IF(INDEX(Employees!$I$5:$I$29,$A937)="Per hour worked",N(INDEX(Employees!$K$5:$K$29,$A937))*$I937,IF(INDEX(Employees!$I$5:$I$29,$A937)="Front-loaded",IF(OR($B937=1,N($G936)=0),N(INDEX(Employees!$J$5:$J$29,$A937))+$J937,0),0))))</f>
        <v/>
      </c>
      <c r="L937" s="51">
        <f>IF($F937=0,0,SUMIFS('Time Off Log'!$H$5:$H$504,'Time Off Log'!$A$5:$A$504,$C937,'Time Off Log'!$B$5:$B$504,"PTO",'Time Off Log'!$E$5:$E$504,"Approved",'Time Off Log'!$C$5:$C$504,"&gt;="&amp;INDEX(Periods!$E$5:$E$57,$B937),'Time Off Log'!$C$5:$C$504,"&lt;="&amp;INDEX(Periods!$F$5:$F$57,$B937)))</f>
        <v/>
      </c>
      <c r="M937" s="51">
        <f>IF($B937=1,N(INDEX(Employees!$N$5:$N$29,$A937)),P936)</f>
        <v/>
      </c>
      <c r="N937" s="51">
        <f>IF(INDEX(Employees!$L$5:$L$29,$A937)="",K937,MAX(0,MIN(K937,INDEX(Employees!$L$5:$L$29,$A937)-(M937-L937))))</f>
        <v/>
      </c>
      <c r="O937" s="51">
        <f>K937-N937</f>
        <v/>
      </c>
      <c r="P937" s="51">
        <f>M937-L937+N937</f>
        <v/>
      </c>
      <c r="Q937" s="51">
        <f>IF($G937=0,0,IF(INDEX(Employees!$P$5:$P$29,$A937)="Per pay period",(N(INDEX(Employees!$Q$5:$Q$29,$A937)))/Settings!$B$13,IF(INDEX(Employees!$P$5:$P$29,$A937)="Per hour worked",N(INDEX(Employees!$R$5:$R$29,$A937))*$I937,IF(INDEX(Employees!$P$5:$P$29,$A937)="Front-loaded",IF(OR($B937=1,N($G936)=0),N(INDEX(Employees!$Q$5:$Q$29,$A937)),0),0))))</f>
        <v/>
      </c>
      <c r="R937" s="51">
        <f>IF($F937=0,0,SUMIFS('Time Off Log'!$H$5:$H$504,'Time Off Log'!$A$5:$A$504,$C937,'Time Off Log'!$B$5:$B$504,"Sick",'Time Off Log'!$E$5:$E$504,"Approved",'Time Off Log'!$C$5:$C$504,"&gt;="&amp;INDEX(Periods!$E$5:$E$57,$B937),'Time Off Log'!$C$5:$C$504,"&lt;="&amp;INDEX(Periods!$F$5:$F$57,$B937)))</f>
        <v/>
      </c>
      <c r="S937" s="51">
        <f>IF($B937=1,N(INDEX(Employees!$T$5:$T$29,$A937)),V936)</f>
        <v/>
      </c>
      <c r="T937" s="51">
        <f>IF(INDEX(Employees!$S$5:$S$29,$A937)="",Q937,MAX(0,MIN(Q937,INDEX(Employees!$S$5:$S$29,$A937)-(S937-R937))))</f>
        <v/>
      </c>
      <c r="U937" s="51">
        <f>Q937-T937</f>
        <v/>
      </c>
      <c r="V937" s="51">
        <f>S937-R937+T937</f>
        <v/>
      </c>
    </row>
    <row r="938">
      <c r="A938" s="50" t="n">
        <v>18</v>
      </c>
      <c r="B938" s="50" t="n">
        <v>33</v>
      </c>
      <c r="C938" s="51">
        <f>INDEX(Employees!$B$5:$B$29,$A938)&amp;""</f>
        <v/>
      </c>
      <c r="D938" s="52">
        <f>INDEX(Periods!$B$5:$B$57,$B938)</f>
        <v/>
      </c>
      <c r="E938" s="52">
        <f>INDEX(Periods!$C$5:$C$57,$B938)</f>
        <v/>
      </c>
      <c r="F938" s="50">
        <f>IF(AND($C938&lt;&gt;"",INDEX(Periods!$D$5:$D$57,$B938)=1),1,0)</f>
        <v/>
      </c>
      <c r="G938" s="50">
        <f>IF($F938=0,0,IF(AND(OR(INDEX(Employees!$D$5:$D$29,$A938)="",$E938&gt;=INDEX(Employees!$D$5:$D$29,$A938)+N(INDEX(Employees!$U$5:$U$29,$A938))),OR(INDEX(Employees!$E$5:$E$29,$A938)="",$D938&lt;=INDEX(Employees!$E$5:$E$29,$A938))),1,0))</f>
        <v/>
      </c>
      <c r="H938" s="50">
        <f>IF($G938=0,0,IF(INDEX(Employees!$D$5:$D$29,$A938)="",0,DATEDIF(INDEX(Employees!$D$5:$D$29,$A938),$E938,"y")))</f>
        <v/>
      </c>
      <c r="I938" s="51">
        <f>IF($G938=0,0,IF(INDEX('Hours Worked'!$D$5:$BD$29,$A938,$B938)="",N(INDEX(Employees!$H$5:$H$29,$A938)),INDEX('Hours Worked'!$D$5:$BD$29,$A938,$B938)))</f>
        <v/>
      </c>
      <c r="J938" s="51">
        <f>IF(OR($G938=0,INDEX(Employees!$O$5:$O$29,$A938)&lt;&gt;"Yes"),0,IF(COUNTIF(Settings!$D$4:$D$9,"&lt;="&amp;$H938)=0,0,INDEX(Settings!$E$4:$E$9,COUNTIF(Settings!$D$4:$D$9,"&lt;="&amp;$H938))))</f>
        <v/>
      </c>
      <c r="K938" s="51">
        <f>IF($G938=0,0,IF(INDEX(Employees!$I$5:$I$29,$A938)="Per pay period",(N(INDEX(Employees!$J$5:$J$29,$A938))+$J938)/Settings!$B$13,IF(INDEX(Employees!$I$5:$I$29,$A938)="Per hour worked",N(INDEX(Employees!$K$5:$K$29,$A938))*$I938,IF(INDEX(Employees!$I$5:$I$29,$A938)="Front-loaded",IF(OR($B938=1,N($G937)=0),N(INDEX(Employees!$J$5:$J$29,$A938))+$J938,0),0))))</f>
        <v/>
      </c>
      <c r="L938" s="51">
        <f>IF($F938=0,0,SUMIFS('Time Off Log'!$H$5:$H$504,'Time Off Log'!$A$5:$A$504,$C938,'Time Off Log'!$B$5:$B$504,"PTO",'Time Off Log'!$E$5:$E$504,"Approved",'Time Off Log'!$C$5:$C$504,"&gt;="&amp;INDEX(Periods!$E$5:$E$57,$B938),'Time Off Log'!$C$5:$C$504,"&lt;="&amp;INDEX(Periods!$F$5:$F$57,$B938)))</f>
        <v/>
      </c>
      <c r="M938" s="51">
        <f>IF($B938=1,N(INDEX(Employees!$N$5:$N$29,$A938)),P937)</f>
        <v/>
      </c>
      <c r="N938" s="51">
        <f>IF(INDEX(Employees!$L$5:$L$29,$A938)="",K938,MAX(0,MIN(K938,INDEX(Employees!$L$5:$L$29,$A938)-(M938-L938))))</f>
        <v/>
      </c>
      <c r="O938" s="51">
        <f>K938-N938</f>
        <v/>
      </c>
      <c r="P938" s="51">
        <f>M938-L938+N938</f>
        <v/>
      </c>
      <c r="Q938" s="51">
        <f>IF($G938=0,0,IF(INDEX(Employees!$P$5:$P$29,$A938)="Per pay period",(N(INDEX(Employees!$Q$5:$Q$29,$A938)))/Settings!$B$13,IF(INDEX(Employees!$P$5:$P$29,$A938)="Per hour worked",N(INDEX(Employees!$R$5:$R$29,$A938))*$I938,IF(INDEX(Employees!$P$5:$P$29,$A938)="Front-loaded",IF(OR($B938=1,N($G937)=0),N(INDEX(Employees!$Q$5:$Q$29,$A938)),0),0))))</f>
        <v/>
      </c>
      <c r="R938" s="51">
        <f>IF($F938=0,0,SUMIFS('Time Off Log'!$H$5:$H$504,'Time Off Log'!$A$5:$A$504,$C938,'Time Off Log'!$B$5:$B$504,"Sick",'Time Off Log'!$E$5:$E$504,"Approved",'Time Off Log'!$C$5:$C$504,"&gt;="&amp;INDEX(Periods!$E$5:$E$57,$B938),'Time Off Log'!$C$5:$C$504,"&lt;="&amp;INDEX(Periods!$F$5:$F$57,$B938)))</f>
        <v/>
      </c>
      <c r="S938" s="51">
        <f>IF($B938=1,N(INDEX(Employees!$T$5:$T$29,$A938)),V937)</f>
        <v/>
      </c>
      <c r="T938" s="51">
        <f>IF(INDEX(Employees!$S$5:$S$29,$A938)="",Q938,MAX(0,MIN(Q938,INDEX(Employees!$S$5:$S$29,$A938)-(S938-R938))))</f>
        <v/>
      </c>
      <c r="U938" s="51">
        <f>Q938-T938</f>
        <v/>
      </c>
      <c r="V938" s="51">
        <f>S938-R938+T938</f>
        <v/>
      </c>
    </row>
    <row r="939">
      <c r="A939" s="50" t="n">
        <v>18</v>
      </c>
      <c r="B939" s="50" t="n">
        <v>34</v>
      </c>
      <c r="C939" s="51">
        <f>INDEX(Employees!$B$5:$B$29,$A939)&amp;""</f>
        <v/>
      </c>
      <c r="D939" s="52">
        <f>INDEX(Periods!$B$5:$B$57,$B939)</f>
        <v/>
      </c>
      <c r="E939" s="52">
        <f>INDEX(Periods!$C$5:$C$57,$B939)</f>
        <v/>
      </c>
      <c r="F939" s="50">
        <f>IF(AND($C939&lt;&gt;"",INDEX(Periods!$D$5:$D$57,$B939)=1),1,0)</f>
        <v/>
      </c>
      <c r="G939" s="50">
        <f>IF($F939=0,0,IF(AND(OR(INDEX(Employees!$D$5:$D$29,$A939)="",$E939&gt;=INDEX(Employees!$D$5:$D$29,$A939)+N(INDEX(Employees!$U$5:$U$29,$A939))),OR(INDEX(Employees!$E$5:$E$29,$A939)="",$D939&lt;=INDEX(Employees!$E$5:$E$29,$A939))),1,0))</f>
        <v/>
      </c>
      <c r="H939" s="50">
        <f>IF($G939=0,0,IF(INDEX(Employees!$D$5:$D$29,$A939)="",0,DATEDIF(INDEX(Employees!$D$5:$D$29,$A939),$E939,"y")))</f>
        <v/>
      </c>
      <c r="I939" s="51">
        <f>IF($G939=0,0,IF(INDEX('Hours Worked'!$D$5:$BD$29,$A939,$B939)="",N(INDEX(Employees!$H$5:$H$29,$A939)),INDEX('Hours Worked'!$D$5:$BD$29,$A939,$B939)))</f>
        <v/>
      </c>
      <c r="J939" s="51">
        <f>IF(OR($G939=0,INDEX(Employees!$O$5:$O$29,$A939)&lt;&gt;"Yes"),0,IF(COUNTIF(Settings!$D$4:$D$9,"&lt;="&amp;$H939)=0,0,INDEX(Settings!$E$4:$E$9,COUNTIF(Settings!$D$4:$D$9,"&lt;="&amp;$H939))))</f>
        <v/>
      </c>
      <c r="K939" s="51">
        <f>IF($G939=0,0,IF(INDEX(Employees!$I$5:$I$29,$A939)="Per pay period",(N(INDEX(Employees!$J$5:$J$29,$A939))+$J939)/Settings!$B$13,IF(INDEX(Employees!$I$5:$I$29,$A939)="Per hour worked",N(INDEX(Employees!$K$5:$K$29,$A939))*$I939,IF(INDEX(Employees!$I$5:$I$29,$A939)="Front-loaded",IF(OR($B939=1,N($G938)=0),N(INDEX(Employees!$J$5:$J$29,$A939))+$J939,0),0))))</f>
        <v/>
      </c>
      <c r="L939" s="51">
        <f>IF($F939=0,0,SUMIFS('Time Off Log'!$H$5:$H$504,'Time Off Log'!$A$5:$A$504,$C939,'Time Off Log'!$B$5:$B$504,"PTO",'Time Off Log'!$E$5:$E$504,"Approved",'Time Off Log'!$C$5:$C$504,"&gt;="&amp;INDEX(Periods!$E$5:$E$57,$B939),'Time Off Log'!$C$5:$C$504,"&lt;="&amp;INDEX(Periods!$F$5:$F$57,$B939)))</f>
        <v/>
      </c>
      <c r="M939" s="51">
        <f>IF($B939=1,N(INDEX(Employees!$N$5:$N$29,$A939)),P938)</f>
        <v/>
      </c>
      <c r="N939" s="51">
        <f>IF(INDEX(Employees!$L$5:$L$29,$A939)="",K939,MAX(0,MIN(K939,INDEX(Employees!$L$5:$L$29,$A939)-(M939-L939))))</f>
        <v/>
      </c>
      <c r="O939" s="51">
        <f>K939-N939</f>
        <v/>
      </c>
      <c r="P939" s="51">
        <f>M939-L939+N939</f>
        <v/>
      </c>
      <c r="Q939" s="51">
        <f>IF($G939=0,0,IF(INDEX(Employees!$P$5:$P$29,$A939)="Per pay period",(N(INDEX(Employees!$Q$5:$Q$29,$A939)))/Settings!$B$13,IF(INDEX(Employees!$P$5:$P$29,$A939)="Per hour worked",N(INDEX(Employees!$R$5:$R$29,$A939))*$I939,IF(INDEX(Employees!$P$5:$P$29,$A939)="Front-loaded",IF(OR($B939=1,N($G938)=0),N(INDEX(Employees!$Q$5:$Q$29,$A939)),0),0))))</f>
        <v/>
      </c>
      <c r="R939" s="51">
        <f>IF($F939=0,0,SUMIFS('Time Off Log'!$H$5:$H$504,'Time Off Log'!$A$5:$A$504,$C939,'Time Off Log'!$B$5:$B$504,"Sick",'Time Off Log'!$E$5:$E$504,"Approved",'Time Off Log'!$C$5:$C$504,"&gt;="&amp;INDEX(Periods!$E$5:$E$57,$B939),'Time Off Log'!$C$5:$C$504,"&lt;="&amp;INDEX(Periods!$F$5:$F$57,$B939)))</f>
        <v/>
      </c>
      <c r="S939" s="51">
        <f>IF($B939=1,N(INDEX(Employees!$T$5:$T$29,$A939)),V938)</f>
        <v/>
      </c>
      <c r="T939" s="51">
        <f>IF(INDEX(Employees!$S$5:$S$29,$A939)="",Q939,MAX(0,MIN(Q939,INDEX(Employees!$S$5:$S$29,$A939)-(S939-R939))))</f>
        <v/>
      </c>
      <c r="U939" s="51">
        <f>Q939-T939</f>
        <v/>
      </c>
      <c r="V939" s="51">
        <f>S939-R939+T939</f>
        <v/>
      </c>
    </row>
    <row r="940">
      <c r="A940" s="50" t="n">
        <v>18</v>
      </c>
      <c r="B940" s="50" t="n">
        <v>35</v>
      </c>
      <c r="C940" s="51">
        <f>INDEX(Employees!$B$5:$B$29,$A940)&amp;""</f>
        <v/>
      </c>
      <c r="D940" s="52">
        <f>INDEX(Periods!$B$5:$B$57,$B940)</f>
        <v/>
      </c>
      <c r="E940" s="52">
        <f>INDEX(Periods!$C$5:$C$57,$B940)</f>
        <v/>
      </c>
      <c r="F940" s="50">
        <f>IF(AND($C940&lt;&gt;"",INDEX(Periods!$D$5:$D$57,$B940)=1),1,0)</f>
        <v/>
      </c>
      <c r="G940" s="50">
        <f>IF($F940=0,0,IF(AND(OR(INDEX(Employees!$D$5:$D$29,$A940)="",$E940&gt;=INDEX(Employees!$D$5:$D$29,$A940)+N(INDEX(Employees!$U$5:$U$29,$A940))),OR(INDEX(Employees!$E$5:$E$29,$A940)="",$D940&lt;=INDEX(Employees!$E$5:$E$29,$A940))),1,0))</f>
        <v/>
      </c>
      <c r="H940" s="50">
        <f>IF($G940=0,0,IF(INDEX(Employees!$D$5:$D$29,$A940)="",0,DATEDIF(INDEX(Employees!$D$5:$D$29,$A940),$E940,"y")))</f>
        <v/>
      </c>
      <c r="I940" s="51">
        <f>IF($G940=0,0,IF(INDEX('Hours Worked'!$D$5:$BD$29,$A940,$B940)="",N(INDEX(Employees!$H$5:$H$29,$A940)),INDEX('Hours Worked'!$D$5:$BD$29,$A940,$B940)))</f>
        <v/>
      </c>
      <c r="J940" s="51">
        <f>IF(OR($G940=0,INDEX(Employees!$O$5:$O$29,$A940)&lt;&gt;"Yes"),0,IF(COUNTIF(Settings!$D$4:$D$9,"&lt;="&amp;$H940)=0,0,INDEX(Settings!$E$4:$E$9,COUNTIF(Settings!$D$4:$D$9,"&lt;="&amp;$H940))))</f>
        <v/>
      </c>
      <c r="K940" s="51">
        <f>IF($G940=0,0,IF(INDEX(Employees!$I$5:$I$29,$A940)="Per pay period",(N(INDEX(Employees!$J$5:$J$29,$A940))+$J940)/Settings!$B$13,IF(INDEX(Employees!$I$5:$I$29,$A940)="Per hour worked",N(INDEX(Employees!$K$5:$K$29,$A940))*$I940,IF(INDEX(Employees!$I$5:$I$29,$A940)="Front-loaded",IF(OR($B940=1,N($G939)=0),N(INDEX(Employees!$J$5:$J$29,$A940))+$J940,0),0))))</f>
        <v/>
      </c>
      <c r="L940" s="51">
        <f>IF($F940=0,0,SUMIFS('Time Off Log'!$H$5:$H$504,'Time Off Log'!$A$5:$A$504,$C940,'Time Off Log'!$B$5:$B$504,"PTO",'Time Off Log'!$E$5:$E$504,"Approved",'Time Off Log'!$C$5:$C$504,"&gt;="&amp;INDEX(Periods!$E$5:$E$57,$B940),'Time Off Log'!$C$5:$C$504,"&lt;="&amp;INDEX(Periods!$F$5:$F$57,$B940)))</f>
        <v/>
      </c>
      <c r="M940" s="51">
        <f>IF($B940=1,N(INDEX(Employees!$N$5:$N$29,$A940)),P939)</f>
        <v/>
      </c>
      <c r="N940" s="51">
        <f>IF(INDEX(Employees!$L$5:$L$29,$A940)="",K940,MAX(0,MIN(K940,INDEX(Employees!$L$5:$L$29,$A940)-(M940-L940))))</f>
        <v/>
      </c>
      <c r="O940" s="51">
        <f>K940-N940</f>
        <v/>
      </c>
      <c r="P940" s="51">
        <f>M940-L940+N940</f>
        <v/>
      </c>
      <c r="Q940" s="51">
        <f>IF($G940=0,0,IF(INDEX(Employees!$P$5:$P$29,$A940)="Per pay period",(N(INDEX(Employees!$Q$5:$Q$29,$A940)))/Settings!$B$13,IF(INDEX(Employees!$P$5:$P$29,$A940)="Per hour worked",N(INDEX(Employees!$R$5:$R$29,$A940))*$I940,IF(INDEX(Employees!$P$5:$P$29,$A940)="Front-loaded",IF(OR($B940=1,N($G939)=0),N(INDEX(Employees!$Q$5:$Q$29,$A940)),0),0))))</f>
        <v/>
      </c>
      <c r="R940" s="51">
        <f>IF($F940=0,0,SUMIFS('Time Off Log'!$H$5:$H$504,'Time Off Log'!$A$5:$A$504,$C940,'Time Off Log'!$B$5:$B$504,"Sick",'Time Off Log'!$E$5:$E$504,"Approved",'Time Off Log'!$C$5:$C$504,"&gt;="&amp;INDEX(Periods!$E$5:$E$57,$B940),'Time Off Log'!$C$5:$C$504,"&lt;="&amp;INDEX(Periods!$F$5:$F$57,$B940)))</f>
        <v/>
      </c>
      <c r="S940" s="51">
        <f>IF($B940=1,N(INDEX(Employees!$T$5:$T$29,$A940)),V939)</f>
        <v/>
      </c>
      <c r="T940" s="51">
        <f>IF(INDEX(Employees!$S$5:$S$29,$A940)="",Q940,MAX(0,MIN(Q940,INDEX(Employees!$S$5:$S$29,$A940)-(S940-R940))))</f>
        <v/>
      </c>
      <c r="U940" s="51">
        <f>Q940-T940</f>
        <v/>
      </c>
      <c r="V940" s="51">
        <f>S940-R940+T940</f>
        <v/>
      </c>
    </row>
    <row r="941">
      <c r="A941" s="50" t="n">
        <v>18</v>
      </c>
      <c r="B941" s="50" t="n">
        <v>36</v>
      </c>
      <c r="C941" s="51">
        <f>INDEX(Employees!$B$5:$B$29,$A941)&amp;""</f>
        <v/>
      </c>
      <c r="D941" s="52">
        <f>INDEX(Periods!$B$5:$B$57,$B941)</f>
        <v/>
      </c>
      <c r="E941" s="52">
        <f>INDEX(Periods!$C$5:$C$57,$B941)</f>
        <v/>
      </c>
      <c r="F941" s="50">
        <f>IF(AND($C941&lt;&gt;"",INDEX(Periods!$D$5:$D$57,$B941)=1),1,0)</f>
        <v/>
      </c>
      <c r="G941" s="50">
        <f>IF($F941=0,0,IF(AND(OR(INDEX(Employees!$D$5:$D$29,$A941)="",$E941&gt;=INDEX(Employees!$D$5:$D$29,$A941)+N(INDEX(Employees!$U$5:$U$29,$A941))),OR(INDEX(Employees!$E$5:$E$29,$A941)="",$D941&lt;=INDEX(Employees!$E$5:$E$29,$A941))),1,0))</f>
        <v/>
      </c>
      <c r="H941" s="50">
        <f>IF($G941=0,0,IF(INDEX(Employees!$D$5:$D$29,$A941)="",0,DATEDIF(INDEX(Employees!$D$5:$D$29,$A941),$E941,"y")))</f>
        <v/>
      </c>
      <c r="I941" s="51">
        <f>IF($G941=0,0,IF(INDEX('Hours Worked'!$D$5:$BD$29,$A941,$B941)="",N(INDEX(Employees!$H$5:$H$29,$A941)),INDEX('Hours Worked'!$D$5:$BD$29,$A941,$B941)))</f>
        <v/>
      </c>
      <c r="J941" s="51">
        <f>IF(OR($G941=0,INDEX(Employees!$O$5:$O$29,$A941)&lt;&gt;"Yes"),0,IF(COUNTIF(Settings!$D$4:$D$9,"&lt;="&amp;$H941)=0,0,INDEX(Settings!$E$4:$E$9,COUNTIF(Settings!$D$4:$D$9,"&lt;="&amp;$H941))))</f>
        <v/>
      </c>
      <c r="K941" s="51">
        <f>IF($G941=0,0,IF(INDEX(Employees!$I$5:$I$29,$A941)="Per pay period",(N(INDEX(Employees!$J$5:$J$29,$A941))+$J941)/Settings!$B$13,IF(INDEX(Employees!$I$5:$I$29,$A941)="Per hour worked",N(INDEX(Employees!$K$5:$K$29,$A941))*$I941,IF(INDEX(Employees!$I$5:$I$29,$A941)="Front-loaded",IF(OR($B941=1,N($G940)=0),N(INDEX(Employees!$J$5:$J$29,$A941))+$J941,0),0))))</f>
        <v/>
      </c>
      <c r="L941" s="51">
        <f>IF($F941=0,0,SUMIFS('Time Off Log'!$H$5:$H$504,'Time Off Log'!$A$5:$A$504,$C941,'Time Off Log'!$B$5:$B$504,"PTO",'Time Off Log'!$E$5:$E$504,"Approved",'Time Off Log'!$C$5:$C$504,"&gt;="&amp;INDEX(Periods!$E$5:$E$57,$B941),'Time Off Log'!$C$5:$C$504,"&lt;="&amp;INDEX(Periods!$F$5:$F$57,$B941)))</f>
        <v/>
      </c>
      <c r="M941" s="51">
        <f>IF($B941=1,N(INDEX(Employees!$N$5:$N$29,$A941)),P940)</f>
        <v/>
      </c>
      <c r="N941" s="51">
        <f>IF(INDEX(Employees!$L$5:$L$29,$A941)="",K941,MAX(0,MIN(K941,INDEX(Employees!$L$5:$L$29,$A941)-(M941-L941))))</f>
        <v/>
      </c>
      <c r="O941" s="51">
        <f>K941-N941</f>
        <v/>
      </c>
      <c r="P941" s="51">
        <f>M941-L941+N941</f>
        <v/>
      </c>
      <c r="Q941" s="51">
        <f>IF($G941=0,0,IF(INDEX(Employees!$P$5:$P$29,$A941)="Per pay period",(N(INDEX(Employees!$Q$5:$Q$29,$A941)))/Settings!$B$13,IF(INDEX(Employees!$P$5:$P$29,$A941)="Per hour worked",N(INDEX(Employees!$R$5:$R$29,$A941))*$I941,IF(INDEX(Employees!$P$5:$P$29,$A941)="Front-loaded",IF(OR($B941=1,N($G940)=0),N(INDEX(Employees!$Q$5:$Q$29,$A941)),0),0))))</f>
        <v/>
      </c>
      <c r="R941" s="51">
        <f>IF($F941=0,0,SUMIFS('Time Off Log'!$H$5:$H$504,'Time Off Log'!$A$5:$A$504,$C941,'Time Off Log'!$B$5:$B$504,"Sick",'Time Off Log'!$E$5:$E$504,"Approved",'Time Off Log'!$C$5:$C$504,"&gt;="&amp;INDEX(Periods!$E$5:$E$57,$B941),'Time Off Log'!$C$5:$C$504,"&lt;="&amp;INDEX(Periods!$F$5:$F$57,$B941)))</f>
        <v/>
      </c>
      <c r="S941" s="51">
        <f>IF($B941=1,N(INDEX(Employees!$T$5:$T$29,$A941)),V940)</f>
        <v/>
      </c>
      <c r="T941" s="51">
        <f>IF(INDEX(Employees!$S$5:$S$29,$A941)="",Q941,MAX(0,MIN(Q941,INDEX(Employees!$S$5:$S$29,$A941)-(S941-R941))))</f>
        <v/>
      </c>
      <c r="U941" s="51">
        <f>Q941-T941</f>
        <v/>
      </c>
      <c r="V941" s="51">
        <f>S941-R941+T941</f>
        <v/>
      </c>
    </row>
    <row r="942">
      <c r="A942" s="50" t="n">
        <v>18</v>
      </c>
      <c r="B942" s="50" t="n">
        <v>37</v>
      </c>
      <c r="C942" s="51">
        <f>INDEX(Employees!$B$5:$B$29,$A942)&amp;""</f>
        <v/>
      </c>
      <c r="D942" s="52">
        <f>INDEX(Periods!$B$5:$B$57,$B942)</f>
        <v/>
      </c>
      <c r="E942" s="52">
        <f>INDEX(Periods!$C$5:$C$57,$B942)</f>
        <v/>
      </c>
      <c r="F942" s="50">
        <f>IF(AND($C942&lt;&gt;"",INDEX(Periods!$D$5:$D$57,$B942)=1),1,0)</f>
        <v/>
      </c>
      <c r="G942" s="50">
        <f>IF($F942=0,0,IF(AND(OR(INDEX(Employees!$D$5:$D$29,$A942)="",$E942&gt;=INDEX(Employees!$D$5:$D$29,$A942)+N(INDEX(Employees!$U$5:$U$29,$A942))),OR(INDEX(Employees!$E$5:$E$29,$A942)="",$D942&lt;=INDEX(Employees!$E$5:$E$29,$A942))),1,0))</f>
        <v/>
      </c>
      <c r="H942" s="50">
        <f>IF($G942=0,0,IF(INDEX(Employees!$D$5:$D$29,$A942)="",0,DATEDIF(INDEX(Employees!$D$5:$D$29,$A942),$E942,"y")))</f>
        <v/>
      </c>
      <c r="I942" s="51">
        <f>IF($G942=0,0,IF(INDEX('Hours Worked'!$D$5:$BD$29,$A942,$B942)="",N(INDEX(Employees!$H$5:$H$29,$A942)),INDEX('Hours Worked'!$D$5:$BD$29,$A942,$B942)))</f>
        <v/>
      </c>
      <c r="J942" s="51">
        <f>IF(OR($G942=0,INDEX(Employees!$O$5:$O$29,$A942)&lt;&gt;"Yes"),0,IF(COUNTIF(Settings!$D$4:$D$9,"&lt;="&amp;$H942)=0,0,INDEX(Settings!$E$4:$E$9,COUNTIF(Settings!$D$4:$D$9,"&lt;="&amp;$H942))))</f>
        <v/>
      </c>
      <c r="K942" s="51">
        <f>IF($G942=0,0,IF(INDEX(Employees!$I$5:$I$29,$A942)="Per pay period",(N(INDEX(Employees!$J$5:$J$29,$A942))+$J942)/Settings!$B$13,IF(INDEX(Employees!$I$5:$I$29,$A942)="Per hour worked",N(INDEX(Employees!$K$5:$K$29,$A942))*$I942,IF(INDEX(Employees!$I$5:$I$29,$A942)="Front-loaded",IF(OR($B942=1,N($G941)=0),N(INDEX(Employees!$J$5:$J$29,$A942))+$J942,0),0))))</f>
        <v/>
      </c>
      <c r="L942" s="51">
        <f>IF($F942=0,0,SUMIFS('Time Off Log'!$H$5:$H$504,'Time Off Log'!$A$5:$A$504,$C942,'Time Off Log'!$B$5:$B$504,"PTO",'Time Off Log'!$E$5:$E$504,"Approved",'Time Off Log'!$C$5:$C$504,"&gt;="&amp;INDEX(Periods!$E$5:$E$57,$B942),'Time Off Log'!$C$5:$C$504,"&lt;="&amp;INDEX(Periods!$F$5:$F$57,$B942)))</f>
        <v/>
      </c>
      <c r="M942" s="51">
        <f>IF($B942=1,N(INDEX(Employees!$N$5:$N$29,$A942)),P941)</f>
        <v/>
      </c>
      <c r="N942" s="51">
        <f>IF(INDEX(Employees!$L$5:$L$29,$A942)="",K942,MAX(0,MIN(K942,INDEX(Employees!$L$5:$L$29,$A942)-(M942-L942))))</f>
        <v/>
      </c>
      <c r="O942" s="51">
        <f>K942-N942</f>
        <v/>
      </c>
      <c r="P942" s="51">
        <f>M942-L942+N942</f>
        <v/>
      </c>
      <c r="Q942" s="51">
        <f>IF($G942=0,0,IF(INDEX(Employees!$P$5:$P$29,$A942)="Per pay period",(N(INDEX(Employees!$Q$5:$Q$29,$A942)))/Settings!$B$13,IF(INDEX(Employees!$P$5:$P$29,$A942)="Per hour worked",N(INDEX(Employees!$R$5:$R$29,$A942))*$I942,IF(INDEX(Employees!$P$5:$P$29,$A942)="Front-loaded",IF(OR($B942=1,N($G941)=0),N(INDEX(Employees!$Q$5:$Q$29,$A942)),0),0))))</f>
        <v/>
      </c>
      <c r="R942" s="51">
        <f>IF($F942=0,0,SUMIFS('Time Off Log'!$H$5:$H$504,'Time Off Log'!$A$5:$A$504,$C942,'Time Off Log'!$B$5:$B$504,"Sick",'Time Off Log'!$E$5:$E$504,"Approved",'Time Off Log'!$C$5:$C$504,"&gt;="&amp;INDEX(Periods!$E$5:$E$57,$B942),'Time Off Log'!$C$5:$C$504,"&lt;="&amp;INDEX(Periods!$F$5:$F$57,$B942)))</f>
        <v/>
      </c>
      <c r="S942" s="51">
        <f>IF($B942=1,N(INDEX(Employees!$T$5:$T$29,$A942)),V941)</f>
        <v/>
      </c>
      <c r="T942" s="51">
        <f>IF(INDEX(Employees!$S$5:$S$29,$A942)="",Q942,MAX(0,MIN(Q942,INDEX(Employees!$S$5:$S$29,$A942)-(S942-R942))))</f>
        <v/>
      </c>
      <c r="U942" s="51">
        <f>Q942-T942</f>
        <v/>
      </c>
      <c r="V942" s="51">
        <f>S942-R942+T942</f>
        <v/>
      </c>
    </row>
    <row r="943">
      <c r="A943" s="50" t="n">
        <v>18</v>
      </c>
      <c r="B943" s="50" t="n">
        <v>38</v>
      </c>
      <c r="C943" s="51">
        <f>INDEX(Employees!$B$5:$B$29,$A943)&amp;""</f>
        <v/>
      </c>
      <c r="D943" s="52">
        <f>INDEX(Periods!$B$5:$B$57,$B943)</f>
        <v/>
      </c>
      <c r="E943" s="52">
        <f>INDEX(Periods!$C$5:$C$57,$B943)</f>
        <v/>
      </c>
      <c r="F943" s="50">
        <f>IF(AND($C943&lt;&gt;"",INDEX(Periods!$D$5:$D$57,$B943)=1),1,0)</f>
        <v/>
      </c>
      <c r="G943" s="50">
        <f>IF($F943=0,0,IF(AND(OR(INDEX(Employees!$D$5:$D$29,$A943)="",$E943&gt;=INDEX(Employees!$D$5:$D$29,$A943)+N(INDEX(Employees!$U$5:$U$29,$A943))),OR(INDEX(Employees!$E$5:$E$29,$A943)="",$D943&lt;=INDEX(Employees!$E$5:$E$29,$A943))),1,0))</f>
        <v/>
      </c>
      <c r="H943" s="50">
        <f>IF($G943=0,0,IF(INDEX(Employees!$D$5:$D$29,$A943)="",0,DATEDIF(INDEX(Employees!$D$5:$D$29,$A943),$E943,"y")))</f>
        <v/>
      </c>
      <c r="I943" s="51">
        <f>IF($G943=0,0,IF(INDEX('Hours Worked'!$D$5:$BD$29,$A943,$B943)="",N(INDEX(Employees!$H$5:$H$29,$A943)),INDEX('Hours Worked'!$D$5:$BD$29,$A943,$B943)))</f>
        <v/>
      </c>
      <c r="J943" s="51">
        <f>IF(OR($G943=0,INDEX(Employees!$O$5:$O$29,$A943)&lt;&gt;"Yes"),0,IF(COUNTIF(Settings!$D$4:$D$9,"&lt;="&amp;$H943)=0,0,INDEX(Settings!$E$4:$E$9,COUNTIF(Settings!$D$4:$D$9,"&lt;="&amp;$H943))))</f>
        <v/>
      </c>
      <c r="K943" s="51">
        <f>IF($G943=0,0,IF(INDEX(Employees!$I$5:$I$29,$A943)="Per pay period",(N(INDEX(Employees!$J$5:$J$29,$A943))+$J943)/Settings!$B$13,IF(INDEX(Employees!$I$5:$I$29,$A943)="Per hour worked",N(INDEX(Employees!$K$5:$K$29,$A943))*$I943,IF(INDEX(Employees!$I$5:$I$29,$A943)="Front-loaded",IF(OR($B943=1,N($G942)=0),N(INDEX(Employees!$J$5:$J$29,$A943))+$J943,0),0))))</f>
        <v/>
      </c>
      <c r="L943" s="51">
        <f>IF($F943=0,0,SUMIFS('Time Off Log'!$H$5:$H$504,'Time Off Log'!$A$5:$A$504,$C943,'Time Off Log'!$B$5:$B$504,"PTO",'Time Off Log'!$E$5:$E$504,"Approved",'Time Off Log'!$C$5:$C$504,"&gt;="&amp;INDEX(Periods!$E$5:$E$57,$B943),'Time Off Log'!$C$5:$C$504,"&lt;="&amp;INDEX(Periods!$F$5:$F$57,$B943)))</f>
        <v/>
      </c>
      <c r="M943" s="51">
        <f>IF($B943=1,N(INDEX(Employees!$N$5:$N$29,$A943)),P942)</f>
        <v/>
      </c>
      <c r="N943" s="51">
        <f>IF(INDEX(Employees!$L$5:$L$29,$A943)="",K943,MAX(0,MIN(K943,INDEX(Employees!$L$5:$L$29,$A943)-(M943-L943))))</f>
        <v/>
      </c>
      <c r="O943" s="51">
        <f>K943-N943</f>
        <v/>
      </c>
      <c r="P943" s="51">
        <f>M943-L943+N943</f>
        <v/>
      </c>
      <c r="Q943" s="51">
        <f>IF($G943=0,0,IF(INDEX(Employees!$P$5:$P$29,$A943)="Per pay period",(N(INDEX(Employees!$Q$5:$Q$29,$A943)))/Settings!$B$13,IF(INDEX(Employees!$P$5:$P$29,$A943)="Per hour worked",N(INDEX(Employees!$R$5:$R$29,$A943))*$I943,IF(INDEX(Employees!$P$5:$P$29,$A943)="Front-loaded",IF(OR($B943=1,N($G942)=0),N(INDEX(Employees!$Q$5:$Q$29,$A943)),0),0))))</f>
        <v/>
      </c>
      <c r="R943" s="51">
        <f>IF($F943=0,0,SUMIFS('Time Off Log'!$H$5:$H$504,'Time Off Log'!$A$5:$A$504,$C943,'Time Off Log'!$B$5:$B$504,"Sick",'Time Off Log'!$E$5:$E$504,"Approved",'Time Off Log'!$C$5:$C$504,"&gt;="&amp;INDEX(Periods!$E$5:$E$57,$B943),'Time Off Log'!$C$5:$C$504,"&lt;="&amp;INDEX(Periods!$F$5:$F$57,$B943)))</f>
        <v/>
      </c>
      <c r="S943" s="51">
        <f>IF($B943=1,N(INDEX(Employees!$T$5:$T$29,$A943)),V942)</f>
        <v/>
      </c>
      <c r="T943" s="51">
        <f>IF(INDEX(Employees!$S$5:$S$29,$A943)="",Q943,MAX(0,MIN(Q943,INDEX(Employees!$S$5:$S$29,$A943)-(S943-R943))))</f>
        <v/>
      </c>
      <c r="U943" s="51">
        <f>Q943-T943</f>
        <v/>
      </c>
      <c r="V943" s="51">
        <f>S943-R943+T943</f>
        <v/>
      </c>
    </row>
    <row r="944">
      <c r="A944" s="50" t="n">
        <v>18</v>
      </c>
      <c r="B944" s="50" t="n">
        <v>39</v>
      </c>
      <c r="C944" s="51">
        <f>INDEX(Employees!$B$5:$B$29,$A944)&amp;""</f>
        <v/>
      </c>
      <c r="D944" s="52">
        <f>INDEX(Periods!$B$5:$B$57,$B944)</f>
        <v/>
      </c>
      <c r="E944" s="52">
        <f>INDEX(Periods!$C$5:$C$57,$B944)</f>
        <v/>
      </c>
      <c r="F944" s="50">
        <f>IF(AND($C944&lt;&gt;"",INDEX(Periods!$D$5:$D$57,$B944)=1),1,0)</f>
        <v/>
      </c>
      <c r="G944" s="50">
        <f>IF($F944=0,0,IF(AND(OR(INDEX(Employees!$D$5:$D$29,$A944)="",$E944&gt;=INDEX(Employees!$D$5:$D$29,$A944)+N(INDEX(Employees!$U$5:$U$29,$A944))),OR(INDEX(Employees!$E$5:$E$29,$A944)="",$D944&lt;=INDEX(Employees!$E$5:$E$29,$A944))),1,0))</f>
        <v/>
      </c>
      <c r="H944" s="50">
        <f>IF($G944=0,0,IF(INDEX(Employees!$D$5:$D$29,$A944)="",0,DATEDIF(INDEX(Employees!$D$5:$D$29,$A944),$E944,"y")))</f>
        <v/>
      </c>
      <c r="I944" s="51">
        <f>IF($G944=0,0,IF(INDEX('Hours Worked'!$D$5:$BD$29,$A944,$B944)="",N(INDEX(Employees!$H$5:$H$29,$A944)),INDEX('Hours Worked'!$D$5:$BD$29,$A944,$B944)))</f>
        <v/>
      </c>
      <c r="J944" s="51">
        <f>IF(OR($G944=0,INDEX(Employees!$O$5:$O$29,$A944)&lt;&gt;"Yes"),0,IF(COUNTIF(Settings!$D$4:$D$9,"&lt;="&amp;$H944)=0,0,INDEX(Settings!$E$4:$E$9,COUNTIF(Settings!$D$4:$D$9,"&lt;="&amp;$H944))))</f>
        <v/>
      </c>
      <c r="K944" s="51">
        <f>IF($G944=0,0,IF(INDEX(Employees!$I$5:$I$29,$A944)="Per pay period",(N(INDEX(Employees!$J$5:$J$29,$A944))+$J944)/Settings!$B$13,IF(INDEX(Employees!$I$5:$I$29,$A944)="Per hour worked",N(INDEX(Employees!$K$5:$K$29,$A944))*$I944,IF(INDEX(Employees!$I$5:$I$29,$A944)="Front-loaded",IF(OR($B944=1,N($G943)=0),N(INDEX(Employees!$J$5:$J$29,$A944))+$J944,0),0))))</f>
        <v/>
      </c>
      <c r="L944" s="51">
        <f>IF($F944=0,0,SUMIFS('Time Off Log'!$H$5:$H$504,'Time Off Log'!$A$5:$A$504,$C944,'Time Off Log'!$B$5:$B$504,"PTO",'Time Off Log'!$E$5:$E$504,"Approved",'Time Off Log'!$C$5:$C$504,"&gt;="&amp;INDEX(Periods!$E$5:$E$57,$B944),'Time Off Log'!$C$5:$C$504,"&lt;="&amp;INDEX(Periods!$F$5:$F$57,$B944)))</f>
        <v/>
      </c>
      <c r="M944" s="51">
        <f>IF($B944=1,N(INDEX(Employees!$N$5:$N$29,$A944)),P943)</f>
        <v/>
      </c>
      <c r="N944" s="51">
        <f>IF(INDEX(Employees!$L$5:$L$29,$A944)="",K944,MAX(0,MIN(K944,INDEX(Employees!$L$5:$L$29,$A944)-(M944-L944))))</f>
        <v/>
      </c>
      <c r="O944" s="51">
        <f>K944-N944</f>
        <v/>
      </c>
      <c r="P944" s="51">
        <f>M944-L944+N944</f>
        <v/>
      </c>
      <c r="Q944" s="51">
        <f>IF($G944=0,0,IF(INDEX(Employees!$P$5:$P$29,$A944)="Per pay period",(N(INDEX(Employees!$Q$5:$Q$29,$A944)))/Settings!$B$13,IF(INDEX(Employees!$P$5:$P$29,$A944)="Per hour worked",N(INDEX(Employees!$R$5:$R$29,$A944))*$I944,IF(INDEX(Employees!$P$5:$P$29,$A944)="Front-loaded",IF(OR($B944=1,N($G943)=0),N(INDEX(Employees!$Q$5:$Q$29,$A944)),0),0))))</f>
        <v/>
      </c>
      <c r="R944" s="51">
        <f>IF($F944=0,0,SUMIFS('Time Off Log'!$H$5:$H$504,'Time Off Log'!$A$5:$A$504,$C944,'Time Off Log'!$B$5:$B$504,"Sick",'Time Off Log'!$E$5:$E$504,"Approved",'Time Off Log'!$C$5:$C$504,"&gt;="&amp;INDEX(Periods!$E$5:$E$57,$B944),'Time Off Log'!$C$5:$C$504,"&lt;="&amp;INDEX(Periods!$F$5:$F$57,$B944)))</f>
        <v/>
      </c>
      <c r="S944" s="51">
        <f>IF($B944=1,N(INDEX(Employees!$T$5:$T$29,$A944)),V943)</f>
        <v/>
      </c>
      <c r="T944" s="51">
        <f>IF(INDEX(Employees!$S$5:$S$29,$A944)="",Q944,MAX(0,MIN(Q944,INDEX(Employees!$S$5:$S$29,$A944)-(S944-R944))))</f>
        <v/>
      </c>
      <c r="U944" s="51">
        <f>Q944-T944</f>
        <v/>
      </c>
      <c r="V944" s="51">
        <f>S944-R944+T944</f>
        <v/>
      </c>
    </row>
    <row r="945">
      <c r="A945" s="50" t="n">
        <v>18</v>
      </c>
      <c r="B945" s="50" t="n">
        <v>40</v>
      </c>
      <c r="C945" s="51">
        <f>INDEX(Employees!$B$5:$B$29,$A945)&amp;""</f>
        <v/>
      </c>
      <c r="D945" s="52">
        <f>INDEX(Periods!$B$5:$B$57,$B945)</f>
        <v/>
      </c>
      <c r="E945" s="52">
        <f>INDEX(Periods!$C$5:$C$57,$B945)</f>
        <v/>
      </c>
      <c r="F945" s="50">
        <f>IF(AND($C945&lt;&gt;"",INDEX(Periods!$D$5:$D$57,$B945)=1),1,0)</f>
        <v/>
      </c>
      <c r="G945" s="50">
        <f>IF($F945=0,0,IF(AND(OR(INDEX(Employees!$D$5:$D$29,$A945)="",$E945&gt;=INDEX(Employees!$D$5:$D$29,$A945)+N(INDEX(Employees!$U$5:$U$29,$A945))),OR(INDEX(Employees!$E$5:$E$29,$A945)="",$D945&lt;=INDEX(Employees!$E$5:$E$29,$A945))),1,0))</f>
        <v/>
      </c>
      <c r="H945" s="50">
        <f>IF($G945=0,0,IF(INDEX(Employees!$D$5:$D$29,$A945)="",0,DATEDIF(INDEX(Employees!$D$5:$D$29,$A945),$E945,"y")))</f>
        <v/>
      </c>
      <c r="I945" s="51">
        <f>IF($G945=0,0,IF(INDEX('Hours Worked'!$D$5:$BD$29,$A945,$B945)="",N(INDEX(Employees!$H$5:$H$29,$A945)),INDEX('Hours Worked'!$D$5:$BD$29,$A945,$B945)))</f>
        <v/>
      </c>
      <c r="J945" s="51">
        <f>IF(OR($G945=0,INDEX(Employees!$O$5:$O$29,$A945)&lt;&gt;"Yes"),0,IF(COUNTIF(Settings!$D$4:$D$9,"&lt;="&amp;$H945)=0,0,INDEX(Settings!$E$4:$E$9,COUNTIF(Settings!$D$4:$D$9,"&lt;="&amp;$H945))))</f>
        <v/>
      </c>
      <c r="K945" s="51">
        <f>IF($G945=0,0,IF(INDEX(Employees!$I$5:$I$29,$A945)="Per pay period",(N(INDEX(Employees!$J$5:$J$29,$A945))+$J945)/Settings!$B$13,IF(INDEX(Employees!$I$5:$I$29,$A945)="Per hour worked",N(INDEX(Employees!$K$5:$K$29,$A945))*$I945,IF(INDEX(Employees!$I$5:$I$29,$A945)="Front-loaded",IF(OR($B945=1,N($G944)=0),N(INDEX(Employees!$J$5:$J$29,$A945))+$J945,0),0))))</f>
        <v/>
      </c>
      <c r="L945" s="51">
        <f>IF($F945=0,0,SUMIFS('Time Off Log'!$H$5:$H$504,'Time Off Log'!$A$5:$A$504,$C945,'Time Off Log'!$B$5:$B$504,"PTO",'Time Off Log'!$E$5:$E$504,"Approved",'Time Off Log'!$C$5:$C$504,"&gt;="&amp;INDEX(Periods!$E$5:$E$57,$B945),'Time Off Log'!$C$5:$C$504,"&lt;="&amp;INDEX(Periods!$F$5:$F$57,$B945)))</f>
        <v/>
      </c>
      <c r="M945" s="51">
        <f>IF($B945=1,N(INDEX(Employees!$N$5:$N$29,$A945)),P944)</f>
        <v/>
      </c>
      <c r="N945" s="51">
        <f>IF(INDEX(Employees!$L$5:$L$29,$A945)="",K945,MAX(0,MIN(K945,INDEX(Employees!$L$5:$L$29,$A945)-(M945-L945))))</f>
        <v/>
      </c>
      <c r="O945" s="51">
        <f>K945-N945</f>
        <v/>
      </c>
      <c r="P945" s="51">
        <f>M945-L945+N945</f>
        <v/>
      </c>
      <c r="Q945" s="51">
        <f>IF($G945=0,0,IF(INDEX(Employees!$P$5:$P$29,$A945)="Per pay period",(N(INDEX(Employees!$Q$5:$Q$29,$A945)))/Settings!$B$13,IF(INDEX(Employees!$P$5:$P$29,$A945)="Per hour worked",N(INDEX(Employees!$R$5:$R$29,$A945))*$I945,IF(INDEX(Employees!$P$5:$P$29,$A945)="Front-loaded",IF(OR($B945=1,N($G944)=0),N(INDEX(Employees!$Q$5:$Q$29,$A945)),0),0))))</f>
        <v/>
      </c>
      <c r="R945" s="51">
        <f>IF($F945=0,0,SUMIFS('Time Off Log'!$H$5:$H$504,'Time Off Log'!$A$5:$A$504,$C945,'Time Off Log'!$B$5:$B$504,"Sick",'Time Off Log'!$E$5:$E$504,"Approved",'Time Off Log'!$C$5:$C$504,"&gt;="&amp;INDEX(Periods!$E$5:$E$57,$B945),'Time Off Log'!$C$5:$C$504,"&lt;="&amp;INDEX(Periods!$F$5:$F$57,$B945)))</f>
        <v/>
      </c>
      <c r="S945" s="51">
        <f>IF($B945=1,N(INDEX(Employees!$T$5:$T$29,$A945)),V944)</f>
        <v/>
      </c>
      <c r="T945" s="51">
        <f>IF(INDEX(Employees!$S$5:$S$29,$A945)="",Q945,MAX(0,MIN(Q945,INDEX(Employees!$S$5:$S$29,$A945)-(S945-R945))))</f>
        <v/>
      </c>
      <c r="U945" s="51">
        <f>Q945-T945</f>
        <v/>
      </c>
      <c r="V945" s="51">
        <f>S945-R945+T945</f>
        <v/>
      </c>
    </row>
    <row r="946">
      <c r="A946" s="50" t="n">
        <v>18</v>
      </c>
      <c r="B946" s="50" t="n">
        <v>41</v>
      </c>
      <c r="C946" s="51">
        <f>INDEX(Employees!$B$5:$B$29,$A946)&amp;""</f>
        <v/>
      </c>
      <c r="D946" s="52">
        <f>INDEX(Periods!$B$5:$B$57,$B946)</f>
        <v/>
      </c>
      <c r="E946" s="52">
        <f>INDEX(Periods!$C$5:$C$57,$B946)</f>
        <v/>
      </c>
      <c r="F946" s="50">
        <f>IF(AND($C946&lt;&gt;"",INDEX(Periods!$D$5:$D$57,$B946)=1),1,0)</f>
        <v/>
      </c>
      <c r="G946" s="50">
        <f>IF($F946=0,0,IF(AND(OR(INDEX(Employees!$D$5:$D$29,$A946)="",$E946&gt;=INDEX(Employees!$D$5:$D$29,$A946)+N(INDEX(Employees!$U$5:$U$29,$A946))),OR(INDEX(Employees!$E$5:$E$29,$A946)="",$D946&lt;=INDEX(Employees!$E$5:$E$29,$A946))),1,0))</f>
        <v/>
      </c>
      <c r="H946" s="50">
        <f>IF($G946=0,0,IF(INDEX(Employees!$D$5:$D$29,$A946)="",0,DATEDIF(INDEX(Employees!$D$5:$D$29,$A946),$E946,"y")))</f>
        <v/>
      </c>
      <c r="I946" s="51">
        <f>IF($G946=0,0,IF(INDEX('Hours Worked'!$D$5:$BD$29,$A946,$B946)="",N(INDEX(Employees!$H$5:$H$29,$A946)),INDEX('Hours Worked'!$D$5:$BD$29,$A946,$B946)))</f>
        <v/>
      </c>
      <c r="J946" s="51">
        <f>IF(OR($G946=0,INDEX(Employees!$O$5:$O$29,$A946)&lt;&gt;"Yes"),0,IF(COUNTIF(Settings!$D$4:$D$9,"&lt;="&amp;$H946)=0,0,INDEX(Settings!$E$4:$E$9,COUNTIF(Settings!$D$4:$D$9,"&lt;="&amp;$H946))))</f>
        <v/>
      </c>
      <c r="K946" s="51">
        <f>IF($G946=0,0,IF(INDEX(Employees!$I$5:$I$29,$A946)="Per pay period",(N(INDEX(Employees!$J$5:$J$29,$A946))+$J946)/Settings!$B$13,IF(INDEX(Employees!$I$5:$I$29,$A946)="Per hour worked",N(INDEX(Employees!$K$5:$K$29,$A946))*$I946,IF(INDEX(Employees!$I$5:$I$29,$A946)="Front-loaded",IF(OR($B946=1,N($G945)=0),N(INDEX(Employees!$J$5:$J$29,$A946))+$J946,0),0))))</f>
        <v/>
      </c>
      <c r="L946" s="51">
        <f>IF($F946=0,0,SUMIFS('Time Off Log'!$H$5:$H$504,'Time Off Log'!$A$5:$A$504,$C946,'Time Off Log'!$B$5:$B$504,"PTO",'Time Off Log'!$E$5:$E$504,"Approved",'Time Off Log'!$C$5:$C$504,"&gt;="&amp;INDEX(Periods!$E$5:$E$57,$B946),'Time Off Log'!$C$5:$C$504,"&lt;="&amp;INDEX(Periods!$F$5:$F$57,$B946)))</f>
        <v/>
      </c>
      <c r="M946" s="51">
        <f>IF($B946=1,N(INDEX(Employees!$N$5:$N$29,$A946)),P945)</f>
        <v/>
      </c>
      <c r="N946" s="51">
        <f>IF(INDEX(Employees!$L$5:$L$29,$A946)="",K946,MAX(0,MIN(K946,INDEX(Employees!$L$5:$L$29,$A946)-(M946-L946))))</f>
        <v/>
      </c>
      <c r="O946" s="51">
        <f>K946-N946</f>
        <v/>
      </c>
      <c r="P946" s="51">
        <f>M946-L946+N946</f>
        <v/>
      </c>
      <c r="Q946" s="51">
        <f>IF($G946=0,0,IF(INDEX(Employees!$P$5:$P$29,$A946)="Per pay period",(N(INDEX(Employees!$Q$5:$Q$29,$A946)))/Settings!$B$13,IF(INDEX(Employees!$P$5:$P$29,$A946)="Per hour worked",N(INDEX(Employees!$R$5:$R$29,$A946))*$I946,IF(INDEX(Employees!$P$5:$P$29,$A946)="Front-loaded",IF(OR($B946=1,N($G945)=0),N(INDEX(Employees!$Q$5:$Q$29,$A946)),0),0))))</f>
        <v/>
      </c>
      <c r="R946" s="51">
        <f>IF($F946=0,0,SUMIFS('Time Off Log'!$H$5:$H$504,'Time Off Log'!$A$5:$A$504,$C946,'Time Off Log'!$B$5:$B$504,"Sick",'Time Off Log'!$E$5:$E$504,"Approved",'Time Off Log'!$C$5:$C$504,"&gt;="&amp;INDEX(Periods!$E$5:$E$57,$B946),'Time Off Log'!$C$5:$C$504,"&lt;="&amp;INDEX(Periods!$F$5:$F$57,$B946)))</f>
        <v/>
      </c>
      <c r="S946" s="51">
        <f>IF($B946=1,N(INDEX(Employees!$T$5:$T$29,$A946)),V945)</f>
        <v/>
      </c>
      <c r="T946" s="51">
        <f>IF(INDEX(Employees!$S$5:$S$29,$A946)="",Q946,MAX(0,MIN(Q946,INDEX(Employees!$S$5:$S$29,$A946)-(S946-R946))))</f>
        <v/>
      </c>
      <c r="U946" s="51">
        <f>Q946-T946</f>
        <v/>
      </c>
      <c r="V946" s="51">
        <f>S946-R946+T946</f>
        <v/>
      </c>
    </row>
    <row r="947">
      <c r="A947" s="50" t="n">
        <v>18</v>
      </c>
      <c r="B947" s="50" t="n">
        <v>42</v>
      </c>
      <c r="C947" s="51">
        <f>INDEX(Employees!$B$5:$B$29,$A947)&amp;""</f>
        <v/>
      </c>
      <c r="D947" s="52">
        <f>INDEX(Periods!$B$5:$B$57,$B947)</f>
        <v/>
      </c>
      <c r="E947" s="52">
        <f>INDEX(Periods!$C$5:$C$57,$B947)</f>
        <v/>
      </c>
      <c r="F947" s="50">
        <f>IF(AND($C947&lt;&gt;"",INDEX(Periods!$D$5:$D$57,$B947)=1),1,0)</f>
        <v/>
      </c>
      <c r="G947" s="50">
        <f>IF($F947=0,0,IF(AND(OR(INDEX(Employees!$D$5:$D$29,$A947)="",$E947&gt;=INDEX(Employees!$D$5:$D$29,$A947)+N(INDEX(Employees!$U$5:$U$29,$A947))),OR(INDEX(Employees!$E$5:$E$29,$A947)="",$D947&lt;=INDEX(Employees!$E$5:$E$29,$A947))),1,0))</f>
        <v/>
      </c>
      <c r="H947" s="50">
        <f>IF($G947=0,0,IF(INDEX(Employees!$D$5:$D$29,$A947)="",0,DATEDIF(INDEX(Employees!$D$5:$D$29,$A947),$E947,"y")))</f>
        <v/>
      </c>
      <c r="I947" s="51">
        <f>IF($G947=0,0,IF(INDEX('Hours Worked'!$D$5:$BD$29,$A947,$B947)="",N(INDEX(Employees!$H$5:$H$29,$A947)),INDEX('Hours Worked'!$D$5:$BD$29,$A947,$B947)))</f>
        <v/>
      </c>
      <c r="J947" s="51">
        <f>IF(OR($G947=0,INDEX(Employees!$O$5:$O$29,$A947)&lt;&gt;"Yes"),0,IF(COUNTIF(Settings!$D$4:$D$9,"&lt;="&amp;$H947)=0,0,INDEX(Settings!$E$4:$E$9,COUNTIF(Settings!$D$4:$D$9,"&lt;="&amp;$H947))))</f>
        <v/>
      </c>
      <c r="K947" s="51">
        <f>IF($G947=0,0,IF(INDEX(Employees!$I$5:$I$29,$A947)="Per pay period",(N(INDEX(Employees!$J$5:$J$29,$A947))+$J947)/Settings!$B$13,IF(INDEX(Employees!$I$5:$I$29,$A947)="Per hour worked",N(INDEX(Employees!$K$5:$K$29,$A947))*$I947,IF(INDEX(Employees!$I$5:$I$29,$A947)="Front-loaded",IF(OR($B947=1,N($G946)=0),N(INDEX(Employees!$J$5:$J$29,$A947))+$J947,0),0))))</f>
        <v/>
      </c>
      <c r="L947" s="51">
        <f>IF($F947=0,0,SUMIFS('Time Off Log'!$H$5:$H$504,'Time Off Log'!$A$5:$A$504,$C947,'Time Off Log'!$B$5:$B$504,"PTO",'Time Off Log'!$E$5:$E$504,"Approved",'Time Off Log'!$C$5:$C$504,"&gt;="&amp;INDEX(Periods!$E$5:$E$57,$B947),'Time Off Log'!$C$5:$C$504,"&lt;="&amp;INDEX(Periods!$F$5:$F$57,$B947)))</f>
        <v/>
      </c>
      <c r="M947" s="51">
        <f>IF($B947=1,N(INDEX(Employees!$N$5:$N$29,$A947)),P946)</f>
        <v/>
      </c>
      <c r="N947" s="51">
        <f>IF(INDEX(Employees!$L$5:$L$29,$A947)="",K947,MAX(0,MIN(K947,INDEX(Employees!$L$5:$L$29,$A947)-(M947-L947))))</f>
        <v/>
      </c>
      <c r="O947" s="51">
        <f>K947-N947</f>
        <v/>
      </c>
      <c r="P947" s="51">
        <f>M947-L947+N947</f>
        <v/>
      </c>
      <c r="Q947" s="51">
        <f>IF($G947=0,0,IF(INDEX(Employees!$P$5:$P$29,$A947)="Per pay period",(N(INDEX(Employees!$Q$5:$Q$29,$A947)))/Settings!$B$13,IF(INDEX(Employees!$P$5:$P$29,$A947)="Per hour worked",N(INDEX(Employees!$R$5:$R$29,$A947))*$I947,IF(INDEX(Employees!$P$5:$P$29,$A947)="Front-loaded",IF(OR($B947=1,N($G946)=0),N(INDEX(Employees!$Q$5:$Q$29,$A947)),0),0))))</f>
        <v/>
      </c>
      <c r="R947" s="51">
        <f>IF($F947=0,0,SUMIFS('Time Off Log'!$H$5:$H$504,'Time Off Log'!$A$5:$A$504,$C947,'Time Off Log'!$B$5:$B$504,"Sick",'Time Off Log'!$E$5:$E$504,"Approved",'Time Off Log'!$C$5:$C$504,"&gt;="&amp;INDEX(Periods!$E$5:$E$57,$B947),'Time Off Log'!$C$5:$C$504,"&lt;="&amp;INDEX(Periods!$F$5:$F$57,$B947)))</f>
        <v/>
      </c>
      <c r="S947" s="51">
        <f>IF($B947=1,N(INDEX(Employees!$T$5:$T$29,$A947)),V946)</f>
        <v/>
      </c>
      <c r="T947" s="51">
        <f>IF(INDEX(Employees!$S$5:$S$29,$A947)="",Q947,MAX(0,MIN(Q947,INDEX(Employees!$S$5:$S$29,$A947)-(S947-R947))))</f>
        <v/>
      </c>
      <c r="U947" s="51">
        <f>Q947-T947</f>
        <v/>
      </c>
      <c r="V947" s="51">
        <f>S947-R947+T947</f>
        <v/>
      </c>
    </row>
    <row r="948">
      <c r="A948" s="50" t="n">
        <v>18</v>
      </c>
      <c r="B948" s="50" t="n">
        <v>43</v>
      </c>
      <c r="C948" s="51">
        <f>INDEX(Employees!$B$5:$B$29,$A948)&amp;""</f>
        <v/>
      </c>
      <c r="D948" s="52">
        <f>INDEX(Periods!$B$5:$B$57,$B948)</f>
        <v/>
      </c>
      <c r="E948" s="52">
        <f>INDEX(Periods!$C$5:$C$57,$B948)</f>
        <v/>
      </c>
      <c r="F948" s="50">
        <f>IF(AND($C948&lt;&gt;"",INDEX(Periods!$D$5:$D$57,$B948)=1),1,0)</f>
        <v/>
      </c>
      <c r="G948" s="50">
        <f>IF($F948=0,0,IF(AND(OR(INDEX(Employees!$D$5:$D$29,$A948)="",$E948&gt;=INDEX(Employees!$D$5:$D$29,$A948)+N(INDEX(Employees!$U$5:$U$29,$A948))),OR(INDEX(Employees!$E$5:$E$29,$A948)="",$D948&lt;=INDEX(Employees!$E$5:$E$29,$A948))),1,0))</f>
        <v/>
      </c>
      <c r="H948" s="50">
        <f>IF($G948=0,0,IF(INDEX(Employees!$D$5:$D$29,$A948)="",0,DATEDIF(INDEX(Employees!$D$5:$D$29,$A948),$E948,"y")))</f>
        <v/>
      </c>
      <c r="I948" s="51">
        <f>IF($G948=0,0,IF(INDEX('Hours Worked'!$D$5:$BD$29,$A948,$B948)="",N(INDEX(Employees!$H$5:$H$29,$A948)),INDEX('Hours Worked'!$D$5:$BD$29,$A948,$B948)))</f>
        <v/>
      </c>
      <c r="J948" s="51">
        <f>IF(OR($G948=0,INDEX(Employees!$O$5:$O$29,$A948)&lt;&gt;"Yes"),0,IF(COUNTIF(Settings!$D$4:$D$9,"&lt;="&amp;$H948)=0,0,INDEX(Settings!$E$4:$E$9,COUNTIF(Settings!$D$4:$D$9,"&lt;="&amp;$H948))))</f>
        <v/>
      </c>
      <c r="K948" s="51">
        <f>IF($G948=0,0,IF(INDEX(Employees!$I$5:$I$29,$A948)="Per pay period",(N(INDEX(Employees!$J$5:$J$29,$A948))+$J948)/Settings!$B$13,IF(INDEX(Employees!$I$5:$I$29,$A948)="Per hour worked",N(INDEX(Employees!$K$5:$K$29,$A948))*$I948,IF(INDEX(Employees!$I$5:$I$29,$A948)="Front-loaded",IF(OR($B948=1,N($G947)=0),N(INDEX(Employees!$J$5:$J$29,$A948))+$J948,0),0))))</f>
        <v/>
      </c>
      <c r="L948" s="51">
        <f>IF($F948=0,0,SUMIFS('Time Off Log'!$H$5:$H$504,'Time Off Log'!$A$5:$A$504,$C948,'Time Off Log'!$B$5:$B$504,"PTO",'Time Off Log'!$E$5:$E$504,"Approved",'Time Off Log'!$C$5:$C$504,"&gt;="&amp;INDEX(Periods!$E$5:$E$57,$B948),'Time Off Log'!$C$5:$C$504,"&lt;="&amp;INDEX(Periods!$F$5:$F$57,$B948)))</f>
        <v/>
      </c>
      <c r="M948" s="51">
        <f>IF($B948=1,N(INDEX(Employees!$N$5:$N$29,$A948)),P947)</f>
        <v/>
      </c>
      <c r="N948" s="51">
        <f>IF(INDEX(Employees!$L$5:$L$29,$A948)="",K948,MAX(0,MIN(K948,INDEX(Employees!$L$5:$L$29,$A948)-(M948-L948))))</f>
        <v/>
      </c>
      <c r="O948" s="51">
        <f>K948-N948</f>
        <v/>
      </c>
      <c r="P948" s="51">
        <f>M948-L948+N948</f>
        <v/>
      </c>
      <c r="Q948" s="51">
        <f>IF($G948=0,0,IF(INDEX(Employees!$P$5:$P$29,$A948)="Per pay period",(N(INDEX(Employees!$Q$5:$Q$29,$A948)))/Settings!$B$13,IF(INDEX(Employees!$P$5:$P$29,$A948)="Per hour worked",N(INDEX(Employees!$R$5:$R$29,$A948))*$I948,IF(INDEX(Employees!$P$5:$P$29,$A948)="Front-loaded",IF(OR($B948=1,N($G947)=0),N(INDEX(Employees!$Q$5:$Q$29,$A948)),0),0))))</f>
        <v/>
      </c>
      <c r="R948" s="51">
        <f>IF($F948=0,0,SUMIFS('Time Off Log'!$H$5:$H$504,'Time Off Log'!$A$5:$A$504,$C948,'Time Off Log'!$B$5:$B$504,"Sick",'Time Off Log'!$E$5:$E$504,"Approved",'Time Off Log'!$C$5:$C$504,"&gt;="&amp;INDEX(Periods!$E$5:$E$57,$B948),'Time Off Log'!$C$5:$C$504,"&lt;="&amp;INDEX(Periods!$F$5:$F$57,$B948)))</f>
        <v/>
      </c>
      <c r="S948" s="51">
        <f>IF($B948=1,N(INDEX(Employees!$T$5:$T$29,$A948)),V947)</f>
        <v/>
      </c>
      <c r="T948" s="51">
        <f>IF(INDEX(Employees!$S$5:$S$29,$A948)="",Q948,MAX(0,MIN(Q948,INDEX(Employees!$S$5:$S$29,$A948)-(S948-R948))))</f>
        <v/>
      </c>
      <c r="U948" s="51">
        <f>Q948-T948</f>
        <v/>
      </c>
      <c r="V948" s="51">
        <f>S948-R948+T948</f>
        <v/>
      </c>
    </row>
    <row r="949">
      <c r="A949" s="50" t="n">
        <v>18</v>
      </c>
      <c r="B949" s="50" t="n">
        <v>44</v>
      </c>
      <c r="C949" s="51">
        <f>INDEX(Employees!$B$5:$B$29,$A949)&amp;""</f>
        <v/>
      </c>
      <c r="D949" s="52">
        <f>INDEX(Periods!$B$5:$B$57,$B949)</f>
        <v/>
      </c>
      <c r="E949" s="52">
        <f>INDEX(Periods!$C$5:$C$57,$B949)</f>
        <v/>
      </c>
      <c r="F949" s="50">
        <f>IF(AND($C949&lt;&gt;"",INDEX(Periods!$D$5:$D$57,$B949)=1),1,0)</f>
        <v/>
      </c>
      <c r="G949" s="50">
        <f>IF($F949=0,0,IF(AND(OR(INDEX(Employees!$D$5:$D$29,$A949)="",$E949&gt;=INDEX(Employees!$D$5:$D$29,$A949)+N(INDEX(Employees!$U$5:$U$29,$A949))),OR(INDEX(Employees!$E$5:$E$29,$A949)="",$D949&lt;=INDEX(Employees!$E$5:$E$29,$A949))),1,0))</f>
        <v/>
      </c>
      <c r="H949" s="50">
        <f>IF($G949=0,0,IF(INDEX(Employees!$D$5:$D$29,$A949)="",0,DATEDIF(INDEX(Employees!$D$5:$D$29,$A949),$E949,"y")))</f>
        <v/>
      </c>
      <c r="I949" s="51">
        <f>IF($G949=0,0,IF(INDEX('Hours Worked'!$D$5:$BD$29,$A949,$B949)="",N(INDEX(Employees!$H$5:$H$29,$A949)),INDEX('Hours Worked'!$D$5:$BD$29,$A949,$B949)))</f>
        <v/>
      </c>
      <c r="J949" s="51">
        <f>IF(OR($G949=0,INDEX(Employees!$O$5:$O$29,$A949)&lt;&gt;"Yes"),0,IF(COUNTIF(Settings!$D$4:$D$9,"&lt;="&amp;$H949)=0,0,INDEX(Settings!$E$4:$E$9,COUNTIF(Settings!$D$4:$D$9,"&lt;="&amp;$H949))))</f>
        <v/>
      </c>
      <c r="K949" s="51">
        <f>IF($G949=0,0,IF(INDEX(Employees!$I$5:$I$29,$A949)="Per pay period",(N(INDEX(Employees!$J$5:$J$29,$A949))+$J949)/Settings!$B$13,IF(INDEX(Employees!$I$5:$I$29,$A949)="Per hour worked",N(INDEX(Employees!$K$5:$K$29,$A949))*$I949,IF(INDEX(Employees!$I$5:$I$29,$A949)="Front-loaded",IF(OR($B949=1,N($G948)=0),N(INDEX(Employees!$J$5:$J$29,$A949))+$J949,0),0))))</f>
        <v/>
      </c>
      <c r="L949" s="51">
        <f>IF($F949=0,0,SUMIFS('Time Off Log'!$H$5:$H$504,'Time Off Log'!$A$5:$A$504,$C949,'Time Off Log'!$B$5:$B$504,"PTO",'Time Off Log'!$E$5:$E$504,"Approved",'Time Off Log'!$C$5:$C$504,"&gt;="&amp;INDEX(Periods!$E$5:$E$57,$B949),'Time Off Log'!$C$5:$C$504,"&lt;="&amp;INDEX(Periods!$F$5:$F$57,$B949)))</f>
        <v/>
      </c>
      <c r="M949" s="51">
        <f>IF($B949=1,N(INDEX(Employees!$N$5:$N$29,$A949)),P948)</f>
        <v/>
      </c>
      <c r="N949" s="51">
        <f>IF(INDEX(Employees!$L$5:$L$29,$A949)="",K949,MAX(0,MIN(K949,INDEX(Employees!$L$5:$L$29,$A949)-(M949-L949))))</f>
        <v/>
      </c>
      <c r="O949" s="51">
        <f>K949-N949</f>
        <v/>
      </c>
      <c r="P949" s="51">
        <f>M949-L949+N949</f>
        <v/>
      </c>
      <c r="Q949" s="51">
        <f>IF($G949=0,0,IF(INDEX(Employees!$P$5:$P$29,$A949)="Per pay period",(N(INDEX(Employees!$Q$5:$Q$29,$A949)))/Settings!$B$13,IF(INDEX(Employees!$P$5:$P$29,$A949)="Per hour worked",N(INDEX(Employees!$R$5:$R$29,$A949))*$I949,IF(INDEX(Employees!$P$5:$P$29,$A949)="Front-loaded",IF(OR($B949=1,N($G948)=0),N(INDEX(Employees!$Q$5:$Q$29,$A949)),0),0))))</f>
        <v/>
      </c>
      <c r="R949" s="51">
        <f>IF($F949=0,0,SUMIFS('Time Off Log'!$H$5:$H$504,'Time Off Log'!$A$5:$A$504,$C949,'Time Off Log'!$B$5:$B$504,"Sick",'Time Off Log'!$E$5:$E$504,"Approved",'Time Off Log'!$C$5:$C$504,"&gt;="&amp;INDEX(Periods!$E$5:$E$57,$B949),'Time Off Log'!$C$5:$C$504,"&lt;="&amp;INDEX(Periods!$F$5:$F$57,$B949)))</f>
        <v/>
      </c>
      <c r="S949" s="51">
        <f>IF($B949=1,N(INDEX(Employees!$T$5:$T$29,$A949)),V948)</f>
        <v/>
      </c>
      <c r="T949" s="51">
        <f>IF(INDEX(Employees!$S$5:$S$29,$A949)="",Q949,MAX(0,MIN(Q949,INDEX(Employees!$S$5:$S$29,$A949)-(S949-R949))))</f>
        <v/>
      </c>
      <c r="U949" s="51">
        <f>Q949-T949</f>
        <v/>
      </c>
      <c r="V949" s="51">
        <f>S949-R949+T949</f>
        <v/>
      </c>
    </row>
    <row r="950">
      <c r="A950" s="50" t="n">
        <v>18</v>
      </c>
      <c r="B950" s="50" t="n">
        <v>45</v>
      </c>
      <c r="C950" s="51">
        <f>INDEX(Employees!$B$5:$B$29,$A950)&amp;""</f>
        <v/>
      </c>
      <c r="D950" s="52">
        <f>INDEX(Periods!$B$5:$B$57,$B950)</f>
        <v/>
      </c>
      <c r="E950" s="52">
        <f>INDEX(Periods!$C$5:$C$57,$B950)</f>
        <v/>
      </c>
      <c r="F950" s="50">
        <f>IF(AND($C950&lt;&gt;"",INDEX(Periods!$D$5:$D$57,$B950)=1),1,0)</f>
        <v/>
      </c>
      <c r="G950" s="50">
        <f>IF($F950=0,0,IF(AND(OR(INDEX(Employees!$D$5:$D$29,$A950)="",$E950&gt;=INDEX(Employees!$D$5:$D$29,$A950)+N(INDEX(Employees!$U$5:$U$29,$A950))),OR(INDEX(Employees!$E$5:$E$29,$A950)="",$D950&lt;=INDEX(Employees!$E$5:$E$29,$A950))),1,0))</f>
        <v/>
      </c>
      <c r="H950" s="50">
        <f>IF($G950=0,0,IF(INDEX(Employees!$D$5:$D$29,$A950)="",0,DATEDIF(INDEX(Employees!$D$5:$D$29,$A950),$E950,"y")))</f>
        <v/>
      </c>
      <c r="I950" s="51">
        <f>IF($G950=0,0,IF(INDEX('Hours Worked'!$D$5:$BD$29,$A950,$B950)="",N(INDEX(Employees!$H$5:$H$29,$A950)),INDEX('Hours Worked'!$D$5:$BD$29,$A950,$B950)))</f>
        <v/>
      </c>
      <c r="J950" s="51">
        <f>IF(OR($G950=0,INDEX(Employees!$O$5:$O$29,$A950)&lt;&gt;"Yes"),0,IF(COUNTIF(Settings!$D$4:$D$9,"&lt;="&amp;$H950)=0,0,INDEX(Settings!$E$4:$E$9,COUNTIF(Settings!$D$4:$D$9,"&lt;="&amp;$H950))))</f>
        <v/>
      </c>
      <c r="K950" s="51">
        <f>IF($G950=0,0,IF(INDEX(Employees!$I$5:$I$29,$A950)="Per pay period",(N(INDEX(Employees!$J$5:$J$29,$A950))+$J950)/Settings!$B$13,IF(INDEX(Employees!$I$5:$I$29,$A950)="Per hour worked",N(INDEX(Employees!$K$5:$K$29,$A950))*$I950,IF(INDEX(Employees!$I$5:$I$29,$A950)="Front-loaded",IF(OR($B950=1,N($G949)=0),N(INDEX(Employees!$J$5:$J$29,$A950))+$J950,0),0))))</f>
        <v/>
      </c>
      <c r="L950" s="51">
        <f>IF($F950=0,0,SUMIFS('Time Off Log'!$H$5:$H$504,'Time Off Log'!$A$5:$A$504,$C950,'Time Off Log'!$B$5:$B$504,"PTO",'Time Off Log'!$E$5:$E$504,"Approved",'Time Off Log'!$C$5:$C$504,"&gt;="&amp;INDEX(Periods!$E$5:$E$57,$B950),'Time Off Log'!$C$5:$C$504,"&lt;="&amp;INDEX(Periods!$F$5:$F$57,$B950)))</f>
        <v/>
      </c>
      <c r="M950" s="51">
        <f>IF($B950=1,N(INDEX(Employees!$N$5:$N$29,$A950)),P949)</f>
        <v/>
      </c>
      <c r="N950" s="51">
        <f>IF(INDEX(Employees!$L$5:$L$29,$A950)="",K950,MAX(0,MIN(K950,INDEX(Employees!$L$5:$L$29,$A950)-(M950-L950))))</f>
        <v/>
      </c>
      <c r="O950" s="51">
        <f>K950-N950</f>
        <v/>
      </c>
      <c r="P950" s="51">
        <f>M950-L950+N950</f>
        <v/>
      </c>
      <c r="Q950" s="51">
        <f>IF($G950=0,0,IF(INDEX(Employees!$P$5:$P$29,$A950)="Per pay period",(N(INDEX(Employees!$Q$5:$Q$29,$A950)))/Settings!$B$13,IF(INDEX(Employees!$P$5:$P$29,$A950)="Per hour worked",N(INDEX(Employees!$R$5:$R$29,$A950))*$I950,IF(INDEX(Employees!$P$5:$P$29,$A950)="Front-loaded",IF(OR($B950=1,N($G949)=0),N(INDEX(Employees!$Q$5:$Q$29,$A950)),0),0))))</f>
        <v/>
      </c>
      <c r="R950" s="51">
        <f>IF($F950=0,0,SUMIFS('Time Off Log'!$H$5:$H$504,'Time Off Log'!$A$5:$A$504,$C950,'Time Off Log'!$B$5:$B$504,"Sick",'Time Off Log'!$E$5:$E$504,"Approved",'Time Off Log'!$C$5:$C$504,"&gt;="&amp;INDEX(Periods!$E$5:$E$57,$B950),'Time Off Log'!$C$5:$C$504,"&lt;="&amp;INDEX(Periods!$F$5:$F$57,$B950)))</f>
        <v/>
      </c>
      <c r="S950" s="51">
        <f>IF($B950=1,N(INDEX(Employees!$T$5:$T$29,$A950)),V949)</f>
        <v/>
      </c>
      <c r="T950" s="51">
        <f>IF(INDEX(Employees!$S$5:$S$29,$A950)="",Q950,MAX(0,MIN(Q950,INDEX(Employees!$S$5:$S$29,$A950)-(S950-R950))))</f>
        <v/>
      </c>
      <c r="U950" s="51">
        <f>Q950-T950</f>
        <v/>
      </c>
      <c r="V950" s="51">
        <f>S950-R950+T950</f>
        <v/>
      </c>
    </row>
    <row r="951">
      <c r="A951" s="50" t="n">
        <v>18</v>
      </c>
      <c r="B951" s="50" t="n">
        <v>46</v>
      </c>
      <c r="C951" s="51">
        <f>INDEX(Employees!$B$5:$B$29,$A951)&amp;""</f>
        <v/>
      </c>
      <c r="D951" s="52">
        <f>INDEX(Periods!$B$5:$B$57,$B951)</f>
        <v/>
      </c>
      <c r="E951" s="52">
        <f>INDEX(Periods!$C$5:$C$57,$B951)</f>
        <v/>
      </c>
      <c r="F951" s="50">
        <f>IF(AND($C951&lt;&gt;"",INDEX(Periods!$D$5:$D$57,$B951)=1),1,0)</f>
        <v/>
      </c>
      <c r="G951" s="50">
        <f>IF($F951=0,0,IF(AND(OR(INDEX(Employees!$D$5:$D$29,$A951)="",$E951&gt;=INDEX(Employees!$D$5:$D$29,$A951)+N(INDEX(Employees!$U$5:$U$29,$A951))),OR(INDEX(Employees!$E$5:$E$29,$A951)="",$D951&lt;=INDEX(Employees!$E$5:$E$29,$A951))),1,0))</f>
        <v/>
      </c>
      <c r="H951" s="50">
        <f>IF($G951=0,0,IF(INDEX(Employees!$D$5:$D$29,$A951)="",0,DATEDIF(INDEX(Employees!$D$5:$D$29,$A951),$E951,"y")))</f>
        <v/>
      </c>
      <c r="I951" s="51">
        <f>IF($G951=0,0,IF(INDEX('Hours Worked'!$D$5:$BD$29,$A951,$B951)="",N(INDEX(Employees!$H$5:$H$29,$A951)),INDEX('Hours Worked'!$D$5:$BD$29,$A951,$B951)))</f>
        <v/>
      </c>
      <c r="J951" s="51">
        <f>IF(OR($G951=0,INDEX(Employees!$O$5:$O$29,$A951)&lt;&gt;"Yes"),0,IF(COUNTIF(Settings!$D$4:$D$9,"&lt;="&amp;$H951)=0,0,INDEX(Settings!$E$4:$E$9,COUNTIF(Settings!$D$4:$D$9,"&lt;="&amp;$H951))))</f>
        <v/>
      </c>
      <c r="K951" s="51">
        <f>IF($G951=0,0,IF(INDEX(Employees!$I$5:$I$29,$A951)="Per pay period",(N(INDEX(Employees!$J$5:$J$29,$A951))+$J951)/Settings!$B$13,IF(INDEX(Employees!$I$5:$I$29,$A951)="Per hour worked",N(INDEX(Employees!$K$5:$K$29,$A951))*$I951,IF(INDEX(Employees!$I$5:$I$29,$A951)="Front-loaded",IF(OR($B951=1,N($G950)=0),N(INDEX(Employees!$J$5:$J$29,$A951))+$J951,0),0))))</f>
        <v/>
      </c>
      <c r="L951" s="51">
        <f>IF($F951=0,0,SUMIFS('Time Off Log'!$H$5:$H$504,'Time Off Log'!$A$5:$A$504,$C951,'Time Off Log'!$B$5:$B$504,"PTO",'Time Off Log'!$E$5:$E$504,"Approved",'Time Off Log'!$C$5:$C$504,"&gt;="&amp;INDEX(Periods!$E$5:$E$57,$B951),'Time Off Log'!$C$5:$C$504,"&lt;="&amp;INDEX(Periods!$F$5:$F$57,$B951)))</f>
        <v/>
      </c>
      <c r="M951" s="51">
        <f>IF($B951=1,N(INDEX(Employees!$N$5:$N$29,$A951)),P950)</f>
        <v/>
      </c>
      <c r="N951" s="51">
        <f>IF(INDEX(Employees!$L$5:$L$29,$A951)="",K951,MAX(0,MIN(K951,INDEX(Employees!$L$5:$L$29,$A951)-(M951-L951))))</f>
        <v/>
      </c>
      <c r="O951" s="51">
        <f>K951-N951</f>
        <v/>
      </c>
      <c r="P951" s="51">
        <f>M951-L951+N951</f>
        <v/>
      </c>
      <c r="Q951" s="51">
        <f>IF($G951=0,0,IF(INDEX(Employees!$P$5:$P$29,$A951)="Per pay period",(N(INDEX(Employees!$Q$5:$Q$29,$A951)))/Settings!$B$13,IF(INDEX(Employees!$P$5:$P$29,$A951)="Per hour worked",N(INDEX(Employees!$R$5:$R$29,$A951))*$I951,IF(INDEX(Employees!$P$5:$P$29,$A951)="Front-loaded",IF(OR($B951=1,N($G950)=0),N(INDEX(Employees!$Q$5:$Q$29,$A951)),0),0))))</f>
        <v/>
      </c>
      <c r="R951" s="51">
        <f>IF($F951=0,0,SUMIFS('Time Off Log'!$H$5:$H$504,'Time Off Log'!$A$5:$A$504,$C951,'Time Off Log'!$B$5:$B$504,"Sick",'Time Off Log'!$E$5:$E$504,"Approved",'Time Off Log'!$C$5:$C$504,"&gt;="&amp;INDEX(Periods!$E$5:$E$57,$B951),'Time Off Log'!$C$5:$C$504,"&lt;="&amp;INDEX(Periods!$F$5:$F$57,$B951)))</f>
        <v/>
      </c>
      <c r="S951" s="51">
        <f>IF($B951=1,N(INDEX(Employees!$T$5:$T$29,$A951)),V950)</f>
        <v/>
      </c>
      <c r="T951" s="51">
        <f>IF(INDEX(Employees!$S$5:$S$29,$A951)="",Q951,MAX(0,MIN(Q951,INDEX(Employees!$S$5:$S$29,$A951)-(S951-R951))))</f>
        <v/>
      </c>
      <c r="U951" s="51">
        <f>Q951-T951</f>
        <v/>
      </c>
      <c r="V951" s="51">
        <f>S951-R951+T951</f>
        <v/>
      </c>
    </row>
    <row r="952">
      <c r="A952" s="50" t="n">
        <v>18</v>
      </c>
      <c r="B952" s="50" t="n">
        <v>47</v>
      </c>
      <c r="C952" s="51">
        <f>INDEX(Employees!$B$5:$B$29,$A952)&amp;""</f>
        <v/>
      </c>
      <c r="D952" s="52">
        <f>INDEX(Periods!$B$5:$B$57,$B952)</f>
        <v/>
      </c>
      <c r="E952" s="52">
        <f>INDEX(Periods!$C$5:$C$57,$B952)</f>
        <v/>
      </c>
      <c r="F952" s="50">
        <f>IF(AND($C952&lt;&gt;"",INDEX(Periods!$D$5:$D$57,$B952)=1),1,0)</f>
        <v/>
      </c>
      <c r="G952" s="50">
        <f>IF($F952=0,0,IF(AND(OR(INDEX(Employees!$D$5:$D$29,$A952)="",$E952&gt;=INDEX(Employees!$D$5:$D$29,$A952)+N(INDEX(Employees!$U$5:$U$29,$A952))),OR(INDEX(Employees!$E$5:$E$29,$A952)="",$D952&lt;=INDEX(Employees!$E$5:$E$29,$A952))),1,0))</f>
        <v/>
      </c>
      <c r="H952" s="50">
        <f>IF($G952=0,0,IF(INDEX(Employees!$D$5:$D$29,$A952)="",0,DATEDIF(INDEX(Employees!$D$5:$D$29,$A952),$E952,"y")))</f>
        <v/>
      </c>
      <c r="I952" s="51">
        <f>IF($G952=0,0,IF(INDEX('Hours Worked'!$D$5:$BD$29,$A952,$B952)="",N(INDEX(Employees!$H$5:$H$29,$A952)),INDEX('Hours Worked'!$D$5:$BD$29,$A952,$B952)))</f>
        <v/>
      </c>
      <c r="J952" s="51">
        <f>IF(OR($G952=0,INDEX(Employees!$O$5:$O$29,$A952)&lt;&gt;"Yes"),0,IF(COUNTIF(Settings!$D$4:$D$9,"&lt;="&amp;$H952)=0,0,INDEX(Settings!$E$4:$E$9,COUNTIF(Settings!$D$4:$D$9,"&lt;="&amp;$H952))))</f>
        <v/>
      </c>
      <c r="K952" s="51">
        <f>IF($G952=0,0,IF(INDEX(Employees!$I$5:$I$29,$A952)="Per pay period",(N(INDEX(Employees!$J$5:$J$29,$A952))+$J952)/Settings!$B$13,IF(INDEX(Employees!$I$5:$I$29,$A952)="Per hour worked",N(INDEX(Employees!$K$5:$K$29,$A952))*$I952,IF(INDEX(Employees!$I$5:$I$29,$A952)="Front-loaded",IF(OR($B952=1,N($G951)=0),N(INDEX(Employees!$J$5:$J$29,$A952))+$J952,0),0))))</f>
        <v/>
      </c>
      <c r="L952" s="51">
        <f>IF($F952=0,0,SUMIFS('Time Off Log'!$H$5:$H$504,'Time Off Log'!$A$5:$A$504,$C952,'Time Off Log'!$B$5:$B$504,"PTO",'Time Off Log'!$E$5:$E$504,"Approved",'Time Off Log'!$C$5:$C$504,"&gt;="&amp;INDEX(Periods!$E$5:$E$57,$B952),'Time Off Log'!$C$5:$C$504,"&lt;="&amp;INDEX(Periods!$F$5:$F$57,$B952)))</f>
        <v/>
      </c>
      <c r="M952" s="51">
        <f>IF($B952=1,N(INDEX(Employees!$N$5:$N$29,$A952)),P951)</f>
        <v/>
      </c>
      <c r="N952" s="51">
        <f>IF(INDEX(Employees!$L$5:$L$29,$A952)="",K952,MAX(0,MIN(K952,INDEX(Employees!$L$5:$L$29,$A952)-(M952-L952))))</f>
        <v/>
      </c>
      <c r="O952" s="51">
        <f>K952-N952</f>
        <v/>
      </c>
      <c r="P952" s="51">
        <f>M952-L952+N952</f>
        <v/>
      </c>
      <c r="Q952" s="51">
        <f>IF($G952=0,0,IF(INDEX(Employees!$P$5:$P$29,$A952)="Per pay period",(N(INDEX(Employees!$Q$5:$Q$29,$A952)))/Settings!$B$13,IF(INDEX(Employees!$P$5:$P$29,$A952)="Per hour worked",N(INDEX(Employees!$R$5:$R$29,$A952))*$I952,IF(INDEX(Employees!$P$5:$P$29,$A952)="Front-loaded",IF(OR($B952=1,N($G951)=0),N(INDEX(Employees!$Q$5:$Q$29,$A952)),0),0))))</f>
        <v/>
      </c>
      <c r="R952" s="51">
        <f>IF($F952=0,0,SUMIFS('Time Off Log'!$H$5:$H$504,'Time Off Log'!$A$5:$A$504,$C952,'Time Off Log'!$B$5:$B$504,"Sick",'Time Off Log'!$E$5:$E$504,"Approved",'Time Off Log'!$C$5:$C$504,"&gt;="&amp;INDEX(Periods!$E$5:$E$57,$B952),'Time Off Log'!$C$5:$C$504,"&lt;="&amp;INDEX(Periods!$F$5:$F$57,$B952)))</f>
        <v/>
      </c>
      <c r="S952" s="51">
        <f>IF($B952=1,N(INDEX(Employees!$T$5:$T$29,$A952)),V951)</f>
        <v/>
      </c>
      <c r="T952" s="51">
        <f>IF(INDEX(Employees!$S$5:$S$29,$A952)="",Q952,MAX(0,MIN(Q952,INDEX(Employees!$S$5:$S$29,$A952)-(S952-R952))))</f>
        <v/>
      </c>
      <c r="U952" s="51">
        <f>Q952-T952</f>
        <v/>
      </c>
      <c r="V952" s="51">
        <f>S952-R952+T952</f>
        <v/>
      </c>
    </row>
    <row r="953">
      <c r="A953" s="50" t="n">
        <v>18</v>
      </c>
      <c r="B953" s="50" t="n">
        <v>48</v>
      </c>
      <c r="C953" s="51">
        <f>INDEX(Employees!$B$5:$B$29,$A953)&amp;""</f>
        <v/>
      </c>
      <c r="D953" s="52">
        <f>INDEX(Periods!$B$5:$B$57,$B953)</f>
        <v/>
      </c>
      <c r="E953" s="52">
        <f>INDEX(Periods!$C$5:$C$57,$B953)</f>
        <v/>
      </c>
      <c r="F953" s="50">
        <f>IF(AND($C953&lt;&gt;"",INDEX(Periods!$D$5:$D$57,$B953)=1),1,0)</f>
        <v/>
      </c>
      <c r="G953" s="50">
        <f>IF($F953=0,0,IF(AND(OR(INDEX(Employees!$D$5:$D$29,$A953)="",$E953&gt;=INDEX(Employees!$D$5:$D$29,$A953)+N(INDEX(Employees!$U$5:$U$29,$A953))),OR(INDEX(Employees!$E$5:$E$29,$A953)="",$D953&lt;=INDEX(Employees!$E$5:$E$29,$A953))),1,0))</f>
        <v/>
      </c>
      <c r="H953" s="50">
        <f>IF($G953=0,0,IF(INDEX(Employees!$D$5:$D$29,$A953)="",0,DATEDIF(INDEX(Employees!$D$5:$D$29,$A953),$E953,"y")))</f>
        <v/>
      </c>
      <c r="I953" s="51">
        <f>IF($G953=0,0,IF(INDEX('Hours Worked'!$D$5:$BD$29,$A953,$B953)="",N(INDEX(Employees!$H$5:$H$29,$A953)),INDEX('Hours Worked'!$D$5:$BD$29,$A953,$B953)))</f>
        <v/>
      </c>
      <c r="J953" s="51">
        <f>IF(OR($G953=0,INDEX(Employees!$O$5:$O$29,$A953)&lt;&gt;"Yes"),0,IF(COUNTIF(Settings!$D$4:$D$9,"&lt;="&amp;$H953)=0,0,INDEX(Settings!$E$4:$E$9,COUNTIF(Settings!$D$4:$D$9,"&lt;="&amp;$H953))))</f>
        <v/>
      </c>
      <c r="K953" s="51">
        <f>IF($G953=0,0,IF(INDEX(Employees!$I$5:$I$29,$A953)="Per pay period",(N(INDEX(Employees!$J$5:$J$29,$A953))+$J953)/Settings!$B$13,IF(INDEX(Employees!$I$5:$I$29,$A953)="Per hour worked",N(INDEX(Employees!$K$5:$K$29,$A953))*$I953,IF(INDEX(Employees!$I$5:$I$29,$A953)="Front-loaded",IF(OR($B953=1,N($G952)=0),N(INDEX(Employees!$J$5:$J$29,$A953))+$J953,0),0))))</f>
        <v/>
      </c>
      <c r="L953" s="51">
        <f>IF($F953=0,0,SUMIFS('Time Off Log'!$H$5:$H$504,'Time Off Log'!$A$5:$A$504,$C953,'Time Off Log'!$B$5:$B$504,"PTO",'Time Off Log'!$E$5:$E$504,"Approved",'Time Off Log'!$C$5:$C$504,"&gt;="&amp;INDEX(Periods!$E$5:$E$57,$B953),'Time Off Log'!$C$5:$C$504,"&lt;="&amp;INDEX(Periods!$F$5:$F$57,$B953)))</f>
        <v/>
      </c>
      <c r="M953" s="51">
        <f>IF($B953=1,N(INDEX(Employees!$N$5:$N$29,$A953)),P952)</f>
        <v/>
      </c>
      <c r="N953" s="51">
        <f>IF(INDEX(Employees!$L$5:$L$29,$A953)="",K953,MAX(0,MIN(K953,INDEX(Employees!$L$5:$L$29,$A953)-(M953-L953))))</f>
        <v/>
      </c>
      <c r="O953" s="51">
        <f>K953-N953</f>
        <v/>
      </c>
      <c r="P953" s="51">
        <f>M953-L953+N953</f>
        <v/>
      </c>
      <c r="Q953" s="51">
        <f>IF($G953=0,0,IF(INDEX(Employees!$P$5:$P$29,$A953)="Per pay period",(N(INDEX(Employees!$Q$5:$Q$29,$A953)))/Settings!$B$13,IF(INDEX(Employees!$P$5:$P$29,$A953)="Per hour worked",N(INDEX(Employees!$R$5:$R$29,$A953))*$I953,IF(INDEX(Employees!$P$5:$P$29,$A953)="Front-loaded",IF(OR($B953=1,N($G952)=0),N(INDEX(Employees!$Q$5:$Q$29,$A953)),0),0))))</f>
        <v/>
      </c>
      <c r="R953" s="51">
        <f>IF($F953=0,0,SUMIFS('Time Off Log'!$H$5:$H$504,'Time Off Log'!$A$5:$A$504,$C953,'Time Off Log'!$B$5:$B$504,"Sick",'Time Off Log'!$E$5:$E$504,"Approved",'Time Off Log'!$C$5:$C$504,"&gt;="&amp;INDEX(Periods!$E$5:$E$57,$B953),'Time Off Log'!$C$5:$C$504,"&lt;="&amp;INDEX(Periods!$F$5:$F$57,$B953)))</f>
        <v/>
      </c>
      <c r="S953" s="51">
        <f>IF($B953=1,N(INDEX(Employees!$T$5:$T$29,$A953)),V952)</f>
        <v/>
      </c>
      <c r="T953" s="51">
        <f>IF(INDEX(Employees!$S$5:$S$29,$A953)="",Q953,MAX(0,MIN(Q953,INDEX(Employees!$S$5:$S$29,$A953)-(S953-R953))))</f>
        <v/>
      </c>
      <c r="U953" s="51">
        <f>Q953-T953</f>
        <v/>
      </c>
      <c r="V953" s="51">
        <f>S953-R953+T953</f>
        <v/>
      </c>
    </row>
    <row r="954">
      <c r="A954" s="50" t="n">
        <v>18</v>
      </c>
      <c r="B954" s="50" t="n">
        <v>49</v>
      </c>
      <c r="C954" s="51">
        <f>INDEX(Employees!$B$5:$B$29,$A954)&amp;""</f>
        <v/>
      </c>
      <c r="D954" s="52">
        <f>INDEX(Periods!$B$5:$B$57,$B954)</f>
        <v/>
      </c>
      <c r="E954" s="52">
        <f>INDEX(Periods!$C$5:$C$57,$B954)</f>
        <v/>
      </c>
      <c r="F954" s="50">
        <f>IF(AND($C954&lt;&gt;"",INDEX(Periods!$D$5:$D$57,$B954)=1),1,0)</f>
        <v/>
      </c>
      <c r="G954" s="50">
        <f>IF($F954=0,0,IF(AND(OR(INDEX(Employees!$D$5:$D$29,$A954)="",$E954&gt;=INDEX(Employees!$D$5:$D$29,$A954)+N(INDEX(Employees!$U$5:$U$29,$A954))),OR(INDEX(Employees!$E$5:$E$29,$A954)="",$D954&lt;=INDEX(Employees!$E$5:$E$29,$A954))),1,0))</f>
        <v/>
      </c>
      <c r="H954" s="50">
        <f>IF($G954=0,0,IF(INDEX(Employees!$D$5:$D$29,$A954)="",0,DATEDIF(INDEX(Employees!$D$5:$D$29,$A954),$E954,"y")))</f>
        <v/>
      </c>
      <c r="I954" s="51">
        <f>IF($G954=0,0,IF(INDEX('Hours Worked'!$D$5:$BD$29,$A954,$B954)="",N(INDEX(Employees!$H$5:$H$29,$A954)),INDEX('Hours Worked'!$D$5:$BD$29,$A954,$B954)))</f>
        <v/>
      </c>
      <c r="J954" s="51">
        <f>IF(OR($G954=0,INDEX(Employees!$O$5:$O$29,$A954)&lt;&gt;"Yes"),0,IF(COUNTIF(Settings!$D$4:$D$9,"&lt;="&amp;$H954)=0,0,INDEX(Settings!$E$4:$E$9,COUNTIF(Settings!$D$4:$D$9,"&lt;="&amp;$H954))))</f>
        <v/>
      </c>
      <c r="K954" s="51">
        <f>IF($G954=0,0,IF(INDEX(Employees!$I$5:$I$29,$A954)="Per pay period",(N(INDEX(Employees!$J$5:$J$29,$A954))+$J954)/Settings!$B$13,IF(INDEX(Employees!$I$5:$I$29,$A954)="Per hour worked",N(INDEX(Employees!$K$5:$K$29,$A954))*$I954,IF(INDEX(Employees!$I$5:$I$29,$A954)="Front-loaded",IF(OR($B954=1,N($G953)=0),N(INDEX(Employees!$J$5:$J$29,$A954))+$J954,0),0))))</f>
        <v/>
      </c>
      <c r="L954" s="51">
        <f>IF($F954=0,0,SUMIFS('Time Off Log'!$H$5:$H$504,'Time Off Log'!$A$5:$A$504,$C954,'Time Off Log'!$B$5:$B$504,"PTO",'Time Off Log'!$E$5:$E$504,"Approved",'Time Off Log'!$C$5:$C$504,"&gt;="&amp;INDEX(Periods!$E$5:$E$57,$B954),'Time Off Log'!$C$5:$C$504,"&lt;="&amp;INDEX(Periods!$F$5:$F$57,$B954)))</f>
        <v/>
      </c>
      <c r="M954" s="51">
        <f>IF($B954=1,N(INDEX(Employees!$N$5:$N$29,$A954)),P953)</f>
        <v/>
      </c>
      <c r="N954" s="51">
        <f>IF(INDEX(Employees!$L$5:$L$29,$A954)="",K954,MAX(0,MIN(K954,INDEX(Employees!$L$5:$L$29,$A954)-(M954-L954))))</f>
        <v/>
      </c>
      <c r="O954" s="51">
        <f>K954-N954</f>
        <v/>
      </c>
      <c r="P954" s="51">
        <f>M954-L954+N954</f>
        <v/>
      </c>
      <c r="Q954" s="51">
        <f>IF($G954=0,0,IF(INDEX(Employees!$P$5:$P$29,$A954)="Per pay period",(N(INDEX(Employees!$Q$5:$Q$29,$A954)))/Settings!$B$13,IF(INDEX(Employees!$P$5:$P$29,$A954)="Per hour worked",N(INDEX(Employees!$R$5:$R$29,$A954))*$I954,IF(INDEX(Employees!$P$5:$P$29,$A954)="Front-loaded",IF(OR($B954=1,N($G953)=0),N(INDEX(Employees!$Q$5:$Q$29,$A954)),0),0))))</f>
        <v/>
      </c>
      <c r="R954" s="51">
        <f>IF($F954=0,0,SUMIFS('Time Off Log'!$H$5:$H$504,'Time Off Log'!$A$5:$A$504,$C954,'Time Off Log'!$B$5:$B$504,"Sick",'Time Off Log'!$E$5:$E$504,"Approved",'Time Off Log'!$C$5:$C$504,"&gt;="&amp;INDEX(Periods!$E$5:$E$57,$B954),'Time Off Log'!$C$5:$C$504,"&lt;="&amp;INDEX(Periods!$F$5:$F$57,$B954)))</f>
        <v/>
      </c>
      <c r="S954" s="51">
        <f>IF($B954=1,N(INDEX(Employees!$T$5:$T$29,$A954)),V953)</f>
        <v/>
      </c>
      <c r="T954" s="51">
        <f>IF(INDEX(Employees!$S$5:$S$29,$A954)="",Q954,MAX(0,MIN(Q954,INDEX(Employees!$S$5:$S$29,$A954)-(S954-R954))))</f>
        <v/>
      </c>
      <c r="U954" s="51">
        <f>Q954-T954</f>
        <v/>
      </c>
      <c r="V954" s="51">
        <f>S954-R954+T954</f>
        <v/>
      </c>
    </row>
    <row r="955">
      <c r="A955" s="50" t="n">
        <v>18</v>
      </c>
      <c r="B955" s="50" t="n">
        <v>50</v>
      </c>
      <c r="C955" s="51">
        <f>INDEX(Employees!$B$5:$B$29,$A955)&amp;""</f>
        <v/>
      </c>
      <c r="D955" s="52">
        <f>INDEX(Periods!$B$5:$B$57,$B955)</f>
        <v/>
      </c>
      <c r="E955" s="52">
        <f>INDEX(Periods!$C$5:$C$57,$B955)</f>
        <v/>
      </c>
      <c r="F955" s="50">
        <f>IF(AND($C955&lt;&gt;"",INDEX(Periods!$D$5:$D$57,$B955)=1),1,0)</f>
        <v/>
      </c>
      <c r="G955" s="50">
        <f>IF($F955=0,0,IF(AND(OR(INDEX(Employees!$D$5:$D$29,$A955)="",$E955&gt;=INDEX(Employees!$D$5:$D$29,$A955)+N(INDEX(Employees!$U$5:$U$29,$A955))),OR(INDEX(Employees!$E$5:$E$29,$A955)="",$D955&lt;=INDEX(Employees!$E$5:$E$29,$A955))),1,0))</f>
        <v/>
      </c>
      <c r="H955" s="50">
        <f>IF($G955=0,0,IF(INDEX(Employees!$D$5:$D$29,$A955)="",0,DATEDIF(INDEX(Employees!$D$5:$D$29,$A955),$E955,"y")))</f>
        <v/>
      </c>
      <c r="I955" s="51">
        <f>IF($G955=0,0,IF(INDEX('Hours Worked'!$D$5:$BD$29,$A955,$B955)="",N(INDEX(Employees!$H$5:$H$29,$A955)),INDEX('Hours Worked'!$D$5:$BD$29,$A955,$B955)))</f>
        <v/>
      </c>
      <c r="J955" s="51">
        <f>IF(OR($G955=0,INDEX(Employees!$O$5:$O$29,$A955)&lt;&gt;"Yes"),0,IF(COUNTIF(Settings!$D$4:$D$9,"&lt;="&amp;$H955)=0,0,INDEX(Settings!$E$4:$E$9,COUNTIF(Settings!$D$4:$D$9,"&lt;="&amp;$H955))))</f>
        <v/>
      </c>
      <c r="K955" s="51">
        <f>IF($G955=0,0,IF(INDEX(Employees!$I$5:$I$29,$A955)="Per pay period",(N(INDEX(Employees!$J$5:$J$29,$A955))+$J955)/Settings!$B$13,IF(INDEX(Employees!$I$5:$I$29,$A955)="Per hour worked",N(INDEX(Employees!$K$5:$K$29,$A955))*$I955,IF(INDEX(Employees!$I$5:$I$29,$A955)="Front-loaded",IF(OR($B955=1,N($G954)=0),N(INDEX(Employees!$J$5:$J$29,$A955))+$J955,0),0))))</f>
        <v/>
      </c>
      <c r="L955" s="51">
        <f>IF($F955=0,0,SUMIFS('Time Off Log'!$H$5:$H$504,'Time Off Log'!$A$5:$A$504,$C955,'Time Off Log'!$B$5:$B$504,"PTO",'Time Off Log'!$E$5:$E$504,"Approved",'Time Off Log'!$C$5:$C$504,"&gt;="&amp;INDEX(Periods!$E$5:$E$57,$B955),'Time Off Log'!$C$5:$C$504,"&lt;="&amp;INDEX(Periods!$F$5:$F$57,$B955)))</f>
        <v/>
      </c>
      <c r="M955" s="51">
        <f>IF($B955=1,N(INDEX(Employees!$N$5:$N$29,$A955)),P954)</f>
        <v/>
      </c>
      <c r="N955" s="51">
        <f>IF(INDEX(Employees!$L$5:$L$29,$A955)="",K955,MAX(0,MIN(K955,INDEX(Employees!$L$5:$L$29,$A955)-(M955-L955))))</f>
        <v/>
      </c>
      <c r="O955" s="51">
        <f>K955-N955</f>
        <v/>
      </c>
      <c r="P955" s="51">
        <f>M955-L955+N955</f>
        <v/>
      </c>
      <c r="Q955" s="51">
        <f>IF($G955=0,0,IF(INDEX(Employees!$P$5:$P$29,$A955)="Per pay period",(N(INDEX(Employees!$Q$5:$Q$29,$A955)))/Settings!$B$13,IF(INDEX(Employees!$P$5:$P$29,$A955)="Per hour worked",N(INDEX(Employees!$R$5:$R$29,$A955))*$I955,IF(INDEX(Employees!$P$5:$P$29,$A955)="Front-loaded",IF(OR($B955=1,N($G954)=0),N(INDEX(Employees!$Q$5:$Q$29,$A955)),0),0))))</f>
        <v/>
      </c>
      <c r="R955" s="51">
        <f>IF($F955=0,0,SUMIFS('Time Off Log'!$H$5:$H$504,'Time Off Log'!$A$5:$A$504,$C955,'Time Off Log'!$B$5:$B$504,"Sick",'Time Off Log'!$E$5:$E$504,"Approved",'Time Off Log'!$C$5:$C$504,"&gt;="&amp;INDEX(Periods!$E$5:$E$57,$B955),'Time Off Log'!$C$5:$C$504,"&lt;="&amp;INDEX(Periods!$F$5:$F$57,$B955)))</f>
        <v/>
      </c>
      <c r="S955" s="51">
        <f>IF($B955=1,N(INDEX(Employees!$T$5:$T$29,$A955)),V954)</f>
        <v/>
      </c>
      <c r="T955" s="51">
        <f>IF(INDEX(Employees!$S$5:$S$29,$A955)="",Q955,MAX(0,MIN(Q955,INDEX(Employees!$S$5:$S$29,$A955)-(S955-R955))))</f>
        <v/>
      </c>
      <c r="U955" s="51">
        <f>Q955-T955</f>
        <v/>
      </c>
      <c r="V955" s="51">
        <f>S955-R955+T955</f>
        <v/>
      </c>
    </row>
    <row r="956">
      <c r="A956" s="50" t="n">
        <v>18</v>
      </c>
      <c r="B956" s="50" t="n">
        <v>51</v>
      </c>
      <c r="C956" s="51">
        <f>INDEX(Employees!$B$5:$B$29,$A956)&amp;""</f>
        <v/>
      </c>
      <c r="D956" s="52">
        <f>INDEX(Periods!$B$5:$B$57,$B956)</f>
        <v/>
      </c>
      <c r="E956" s="52">
        <f>INDEX(Periods!$C$5:$C$57,$B956)</f>
        <v/>
      </c>
      <c r="F956" s="50">
        <f>IF(AND($C956&lt;&gt;"",INDEX(Periods!$D$5:$D$57,$B956)=1),1,0)</f>
        <v/>
      </c>
      <c r="G956" s="50">
        <f>IF($F956=0,0,IF(AND(OR(INDEX(Employees!$D$5:$D$29,$A956)="",$E956&gt;=INDEX(Employees!$D$5:$D$29,$A956)+N(INDEX(Employees!$U$5:$U$29,$A956))),OR(INDEX(Employees!$E$5:$E$29,$A956)="",$D956&lt;=INDEX(Employees!$E$5:$E$29,$A956))),1,0))</f>
        <v/>
      </c>
      <c r="H956" s="50">
        <f>IF($G956=0,0,IF(INDEX(Employees!$D$5:$D$29,$A956)="",0,DATEDIF(INDEX(Employees!$D$5:$D$29,$A956),$E956,"y")))</f>
        <v/>
      </c>
      <c r="I956" s="51">
        <f>IF($G956=0,0,IF(INDEX('Hours Worked'!$D$5:$BD$29,$A956,$B956)="",N(INDEX(Employees!$H$5:$H$29,$A956)),INDEX('Hours Worked'!$D$5:$BD$29,$A956,$B956)))</f>
        <v/>
      </c>
      <c r="J956" s="51">
        <f>IF(OR($G956=0,INDEX(Employees!$O$5:$O$29,$A956)&lt;&gt;"Yes"),0,IF(COUNTIF(Settings!$D$4:$D$9,"&lt;="&amp;$H956)=0,0,INDEX(Settings!$E$4:$E$9,COUNTIF(Settings!$D$4:$D$9,"&lt;="&amp;$H956))))</f>
        <v/>
      </c>
      <c r="K956" s="51">
        <f>IF($G956=0,0,IF(INDEX(Employees!$I$5:$I$29,$A956)="Per pay period",(N(INDEX(Employees!$J$5:$J$29,$A956))+$J956)/Settings!$B$13,IF(INDEX(Employees!$I$5:$I$29,$A956)="Per hour worked",N(INDEX(Employees!$K$5:$K$29,$A956))*$I956,IF(INDEX(Employees!$I$5:$I$29,$A956)="Front-loaded",IF(OR($B956=1,N($G955)=0),N(INDEX(Employees!$J$5:$J$29,$A956))+$J956,0),0))))</f>
        <v/>
      </c>
      <c r="L956" s="51">
        <f>IF($F956=0,0,SUMIFS('Time Off Log'!$H$5:$H$504,'Time Off Log'!$A$5:$A$504,$C956,'Time Off Log'!$B$5:$B$504,"PTO",'Time Off Log'!$E$5:$E$504,"Approved",'Time Off Log'!$C$5:$C$504,"&gt;="&amp;INDEX(Periods!$E$5:$E$57,$B956),'Time Off Log'!$C$5:$C$504,"&lt;="&amp;INDEX(Periods!$F$5:$F$57,$B956)))</f>
        <v/>
      </c>
      <c r="M956" s="51">
        <f>IF($B956=1,N(INDEX(Employees!$N$5:$N$29,$A956)),P955)</f>
        <v/>
      </c>
      <c r="N956" s="51">
        <f>IF(INDEX(Employees!$L$5:$L$29,$A956)="",K956,MAX(0,MIN(K956,INDEX(Employees!$L$5:$L$29,$A956)-(M956-L956))))</f>
        <v/>
      </c>
      <c r="O956" s="51">
        <f>K956-N956</f>
        <v/>
      </c>
      <c r="P956" s="51">
        <f>M956-L956+N956</f>
        <v/>
      </c>
      <c r="Q956" s="51">
        <f>IF($G956=0,0,IF(INDEX(Employees!$P$5:$P$29,$A956)="Per pay period",(N(INDEX(Employees!$Q$5:$Q$29,$A956)))/Settings!$B$13,IF(INDEX(Employees!$P$5:$P$29,$A956)="Per hour worked",N(INDEX(Employees!$R$5:$R$29,$A956))*$I956,IF(INDEX(Employees!$P$5:$P$29,$A956)="Front-loaded",IF(OR($B956=1,N($G955)=0),N(INDEX(Employees!$Q$5:$Q$29,$A956)),0),0))))</f>
        <v/>
      </c>
      <c r="R956" s="51">
        <f>IF($F956=0,0,SUMIFS('Time Off Log'!$H$5:$H$504,'Time Off Log'!$A$5:$A$504,$C956,'Time Off Log'!$B$5:$B$504,"Sick",'Time Off Log'!$E$5:$E$504,"Approved",'Time Off Log'!$C$5:$C$504,"&gt;="&amp;INDEX(Periods!$E$5:$E$57,$B956),'Time Off Log'!$C$5:$C$504,"&lt;="&amp;INDEX(Periods!$F$5:$F$57,$B956)))</f>
        <v/>
      </c>
      <c r="S956" s="51">
        <f>IF($B956=1,N(INDEX(Employees!$T$5:$T$29,$A956)),V955)</f>
        <v/>
      </c>
      <c r="T956" s="51">
        <f>IF(INDEX(Employees!$S$5:$S$29,$A956)="",Q956,MAX(0,MIN(Q956,INDEX(Employees!$S$5:$S$29,$A956)-(S956-R956))))</f>
        <v/>
      </c>
      <c r="U956" s="51">
        <f>Q956-T956</f>
        <v/>
      </c>
      <c r="V956" s="51">
        <f>S956-R956+T956</f>
        <v/>
      </c>
    </row>
    <row r="957">
      <c r="A957" s="50" t="n">
        <v>18</v>
      </c>
      <c r="B957" s="50" t="n">
        <v>52</v>
      </c>
      <c r="C957" s="51">
        <f>INDEX(Employees!$B$5:$B$29,$A957)&amp;""</f>
        <v/>
      </c>
      <c r="D957" s="52">
        <f>INDEX(Periods!$B$5:$B$57,$B957)</f>
        <v/>
      </c>
      <c r="E957" s="52">
        <f>INDEX(Periods!$C$5:$C$57,$B957)</f>
        <v/>
      </c>
      <c r="F957" s="50">
        <f>IF(AND($C957&lt;&gt;"",INDEX(Periods!$D$5:$D$57,$B957)=1),1,0)</f>
        <v/>
      </c>
      <c r="G957" s="50">
        <f>IF($F957=0,0,IF(AND(OR(INDEX(Employees!$D$5:$D$29,$A957)="",$E957&gt;=INDEX(Employees!$D$5:$D$29,$A957)+N(INDEX(Employees!$U$5:$U$29,$A957))),OR(INDEX(Employees!$E$5:$E$29,$A957)="",$D957&lt;=INDEX(Employees!$E$5:$E$29,$A957))),1,0))</f>
        <v/>
      </c>
      <c r="H957" s="50">
        <f>IF($G957=0,0,IF(INDEX(Employees!$D$5:$D$29,$A957)="",0,DATEDIF(INDEX(Employees!$D$5:$D$29,$A957),$E957,"y")))</f>
        <v/>
      </c>
      <c r="I957" s="51">
        <f>IF($G957=0,0,IF(INDEX('Hours Worked'!$D$5:$BD$29,$A957,$B957)="",N(INDEX(Employees!$H$5:$H$29,$A957)),INDEX('Hours Worked'!$D$5:$BD$29,$A957,$B957)))</f>
        <v/>
      </c>
      <c r="J957" s="51">
        <f>IF(OR($G957=0,INDEX(Employees!$O$5:$O$29,$A957)&lt;&gt;"Yes"),0,IF(COUNTIF(Settings!$D$4:$D$9,"&lt;="&amp;$H957)=0,0,INDEX(Settings!$E$4:$E$9,COUNTIF(Settings!$D$4:$D$9,"&lt;="&amp;$H957))))</f>
        <v/>
      </c>
      <c r="K957" s="51">
        <f>IF($G957=0,0,IF(INDEX(Employees!$I$5:$I$29,$A957)="Per pay period",(N(INDEX(Employees!$J$5:$J$29,$A957))+$J957)/Settings!$B$13,IF(INDEX(Employees!$I$5:$I$29,$A957)="Per hour worked",N(INDEX(Employees!$K$5:$K$29,$A957))*$I957,IF(INDEX(Employees!$I$5:$I$29,$A957)="Front-loaded",IF(OR($B957=1,N($G956)=0),N(INDEX(Employees!$J$5:$J$29,$A957))+$J957,0),0))))</f>
        <v/>
      </c>
      <c r="L957" s="51">
        <f>IF($F957=0,0,SUMIFS('Time Off Log'!$H$5:$H$504,'Time Off Log'!$A$5:$A$504,$C957,'Time Off Log'!$B$5:$B$504,"PTO",'Time Off Log'!$E$5:$E$504,"Approved",'Time Off Log'!$C$5:$C$504,"&gt;="&amp;INDEX(Periods!$E$5:$E$57,$B957),'Time Off Log'!$C$5:$C$504,"&lt;="&amp;INDEX(Periods!$F$5:$F$57,$B957)))</f>
        <v/>
      </c>
      <c r="M957" s="51">
        <f>IF($B957=1,N(INDEX(Employees!$N$5:$N$29,$A957)),P956)</f>
        <v/>
      </c>
      <c r="N957" s="51">
        <f>IF(INDEX(Employees!$L$5:$L$29,$A957)="",K957,MAX(0,MIN(K957,INDEX(Employees!$L$5:$L$29,$A957)-(M957-L957))))</f>
        <v/>
      </c>
      <c r="O957" s="51">
        <f>K957-N957</f>
        <v/>
      </c>
      <c r="P957" s="51">
        <f>M957-L957+N957</f>
        <v/>
      </c>
      <c r="Q957" s="51">
        <f>IF($G957=0,0,IF(INDEX(Employees!$P$5:$P$29,$A957)="Per pay period",(N(INDEX(Employees!$Q$5:$Q$29,$A957)))/Settings!$B$13,IF(INDEX(Employees!$P$5:$P$29,$A957)="Per hour worked",N(INDEX(Employees!$R$5:$R$29,$A957))*$I957,IF(INDEX(Employees!$P$5:$P$29,$A957)="Front-loaded",IF(OR($B957=1,N($G956)=0),N(INDEX(Employees!$Q$5:$Q$29,$A957)),0),0))))</f>
        <v/>
      </c>
      <c r="R957" s="51">
        <f>IF($F957=0,0,SUMIFS('Time Off Log'!$H$5:$H$504,'Time Off Log'!$A$5:$A$504,$C957,'Time Off Log'!$B$5:$B$504,"Sick",'Time Off Log'!$E$5:$E$504,"Approved",'Time Off Log'!$C$5:$C$504,"&gt;="&amp;INDEX(Periods!$E$5:$E$57,$B957),'Time Off Log'!$C$5:$C$504,"&lt;="&amp;INDEX(Periods!$F$5:$F$57,$B957)))</f>
        <v/>
      </c>
      <c r="S957" s="51">
        <f>IF($B957=1,N(INDEX(Employees!$T$5:$T$29,$A957)),V956)</f>
        <v/>
      </c>
      <c r="T957" s="51">
        <f>IF(INDEX(Employees!$S$5:$S$29,$A957)="",Q957,MAX(0,MIN(Q957,INDEX(Employees!$S$5:$S$29,$A957)-(S957-R957))))</f>
        <v/>
      </c>
      <c r="U957" s="51">
        <f>Q957-T957</f>
        <v/>
      </c>
      <c r="V957" s="51">
        <f>S957-R957+T957</f>
        <v/>
      </c>
    </row>
    <row r="958">
      <c r="A958" s="50" t="n">
        <v>18</v>
      </c>
      <c r="B958" s="50" t="n">
        <v>53</v>
      </c>
      <c r="C958" s="51">
        <f>INDEX(Employees!$B$5:$B$29,$A958)&amp;""</f>
        <v/>
      </c>
      <c r="D958" s="52">
        <f>INDEX(Periods!$B$5:$B$57,$B958)</f>
        <v/>
      </c>
      <c r="E958" s="52">
        <f>INDEX(Periods!$C$5:$C$57,$B958)</f>
        <v/>
      </c>
      <c r="F958" s="50">
        <f>IF(AND($C958&lt;&gt;"",INDEX(Periods!$D$5:$D$57,$B958)=1),1,0)</f>
        <v/>
      </c>
      <c r="G958" s="50">
        <f>IF($F958=0,0,IF(AND(OR(INDEX(Employees!$D$5:$D$29,$A958)="",$E958&gt;=INDEX(Employees!$D$5:$D$29,$A958)+N(INDEX(Employees!$U$5:$U$29,$A958))),OR(INDEX(Employees!$E$5:$E$29,$A958)="",$D958&lt;=INDEX(Employees!$E$5:$E$29,$A958))),1,0))</f>
        <v/>
      </c>
      <c r="H958" s="50">
        <f>IF($G958=0,0,IF(INDEX(Employees!$D$5:$D$29,$A958)="",0,DATEDIF(INDEX(Employees!$D$5:$D$29,$A958),$E958,"y")))</f>
        <v/>
      </c>
      <c r="I958" s="51">
        <f>IF($G958=0,0,IF(INDEX('Hours Worked'!$D$5:$BD$29,$A958,$B958)="",N(INDEX(Employees!$H$5:$H$29,$A958)),INDEX('Hours Worked'!$D$5:$BD$29,$A958,$B958)))</f>
        <v/>
      </c>
      <c r="J958" s="51">
        <f>IF(OR($G958=0,INDEX(Employees!$O$5:$O$29,$A958)&lt;&gt;"Yes"),0,IF(COUNTIF(Settings!$D$4:$D$9,"&lt;="&amp;$H958)=0,0,INDEX(Settings!$E$4:$E$9,COUNTIF(Settings!$D$4:$D$9,"&lt;="&amp;$H958))))</f>
        <v/>
      </c>
      <c r="K958" s="51">
        <f>IF($G958=0,0,IF(INDEX(Employees!$I$5:$I$29,$A958)="Per pay period",(N(INDEX(Employees!$J$5:$J$29,$A958))+$J958)/Settings!$B$13,IF(INDEX(Employees!$I$5:$I$29,$A958)="Per hour worked",N(INDEX(Employees!$K$5:$K$29,$A958))*$I958,IF(INDEX(Employees!$I$5:$I$29,$A958)="Front-loaded",IF(OR($B958=1,N($G957)=0),N(INDEX(Employees!$J$5:$J$29,$A958))+$J958,0),0))))</f>
        <v/>
      </c>
      <c r="L958" s="51">
        <f>IF($F958=0,0,SUMIFS('Time Off Log'!$H$5:$H$504,'Time Off Log'!$A$5:$A$504,$C958,'Time Off Log'!$B$5:$B$504,"PTO",'Time Off Log'!$E$5:$E$504,"Approved",'Time Off Log'!$C$5:$C$504,"&gt;="&amp;INDEX(Periods!$E$5:$E$57,$B958),'Time Off Log'!$C$5:$C$504,"&lt;="&amp;INDEX(Periods!$F$5:$F$57,$B958)))</f>
        <v/>
      </c>
      <c r="M958" s="51">
        <f>IF($B958=1,N(INDEX(Employees!$N$5:$N$29,$A958)),P957)</f>
        <v/>
      </c>
      <c r="N958" s="51">
        <f>IF(INDEX(Employees!$L$5:$L$29,$A958)="",K958,MAX(0,MIN(K958,INDEX(Employees!$L$5:$L$29,$A958)-(M958-L958))))</f>
        <v/>
      </c>
      <c r="O958" s="51">
        <f>K958-N958</f>
        <v/>
      </c>
      <c r="P958" s="51">
        <f>M958-L958+N958</f>
        <v/>
      </c>
      <c r="Q958" s="51">
        <f>IF($G958=0,0,IF(INDEX(Employees!$P$5:$P$29,$A958)="Per pay period",(N(INDEX(Employees!$Q$5:$Q$29,$A958)))/Settings!$B$13,IF(INDEX(Employees!$P$5:$P$29,$A958)="Per hour worked",N(INDEX(Employees!$R$5:$R$29,$A958))*$I958,IF(INDEX(Employees!$P$5:$P$29,$A958)="Front-loaded",IF(OR($B958=1,N($G957)=0),N(INDEX(Employees!$Q$5:$Q$29,$A958)),0),0))))</f>
        <v/>
      </c>
      <c r="R958" s="51">
        <f>IF($F958=0,0,SUMIFS('Time Off Log'!$H$5:$H$504,'Time Off Log'!$A$5:$A$504,$C958,'Time Off Log'!$B$5:$B$504,"Sick",'Time Off Log'!$E$5:$E$504,"Approved",'Time Off Log'!$C$5:$C$504,"&gt;="&amp;INDEX(Periods!$E$5:$E$57,$B958),'Time Off Log'!$C$5:$C$504,"&lt;="&amp;INDEX(Periods!$F$5:$F$57,$B958)))</f>
        <v/>
      </c>
      <c r="S958" s="51">
        <f>IF($B958=1,N(INDEX(Employees!$T$5:$T$29,$A958)),V957)</f>
        <v/>
      </c>
      <c r="T958" s="51">
        <f>IF(INDEX(Employees!$S$5:$S$29,$A958)="",Q958,MAX(0,MIN(Q958,INDEX(Employees!$S$5:$S$29,$A958)-(S958-R958))))</f>
        <v/>
      </c>
      <c r="U958" s="51">
        <f>Q958-T958</f>
        <v/>
      </c>
      <c r="V958" s="51">
        <f>S958-R958+T958</f>
        <v/>
      </c>
    </row>
    <row r="959">
      <c r="A959" s="47" t="n">
        <v>19</v>
      </c>
      <c r="B959" s="47" t="n">
        <v>1</v>
      </c>
      <c r="C959" s="48">
        <f>INDEX(Employees!$B$5:$B$29,$A959)&amp;""</f>
        <v/>
      </c>
      <c r="D959" s="49">
        <f>INDEX(Periods!$B$5:$B$57,$B959)</f>
        <v/>
      </c>
      <c r="E959" s="49">
        <f>INDEX(Periods!$C$5:$C$57,$B959)</f>
        <v/>
      </c>
      <c r="F959" s="47">
        <f>IF(AND($C959&lt;&gt;"",INDEX(Periods!$D$5:$D$57,$B959)=1),1,0)</f>
        <v/>
      </c>
      <c r="G959" s="47">
        <f>IF($F959=0,0,IF(AND(OR(INDEX(Employees!$D$5:$D$29,$A959)="",$E959&gt;=INDEX(Employees!$D$5:$D$29,$A959)+N(INDEX(Employees!$U$5:$U$29,$A959))),OR(INDEX(Employees!$E$5:$E$29,$A959)="",$D959&lt;=INDEX(Employees!$E$5:$E$29,$A959))),1,0))</f>
        <v/>
      </c>
      <c r="H959" s="47">
        <f>IF($G959=0,0,IF(INDEX(Employees!$D$5:$D$29,$A959)="",0,DATEDIF(INDEX(Employees!$D$5:$D$29,$A959),$E959,"y")))</f>
        <v/>
      </c>
      <c r="I959" s="48">
        <f>IF($G959=0,0,IF(INDEX('Hours Worked'!$D$5:$BD$29,$A959,$B959)="",N(INDEX(Employees!$H$5:$H$29,$A959)),INDEX('Hours Worked'!$D$5:$BD$29,$A959,$B959)))</f>
        <v/>
      </c>
      <c r="J959" s="48">
        <f>IF(OR($G959=0,INDEX(Employees!$O$5:$O$29,$A959)&lt;&gt;"Yes"),0,IF(COUNTIF(Settings!$D$4:$D$9,"&lt;="&amp;$H959)=0,0,INDEX(Settings!$E$4:$E$9,COUNTIF(Settings!$D$4:$D$9,"&lt;="&amp;$H959))))</f>
        <v/>
      </c>
      <c r="K959" s="48">
        <f>IF($G959=0,0,IF(INDEX(Employees!$I$5:$I$29,$A959)="Per pay period",(N(INDEX(Employees!$J$5:$J$29,$A959))+$J959)/Settings!$B$13,IF(INDEX(Employees!$I$5:$I$29,$A959)="Per hour worked",N(INDEX(Employees!$K$5:$K$29,$A959))*$I959,IF(INDEX(Employees!$I$5:$I$29,$A959)="Front-loaded",IF(OR($B959=1,N($G958)=0),N(INDEX(Employees!$J$5:$J$29,$A959))+$J959,0),0))))</f>
        <v/>
      </c>
      <c r="L959" s="48">
        <f>IF($F959=0,0,SUMIFS('Time Off Log'!$H$5:$H$504,'Time Off Log'!$A$5:$A$504,$C959,'Time Off Log'!$B$5:$B$504,"PTO",'Time Off Log'!$E$5:$E$504,"Approved",'Time Off Log'!$C$5:$C$504,"&gt;="&amp;INDEX(Periods!$E$5:$E$57,$B959),'Time Off Log'!$C$5:$C$504,"&lt;="&amp;INDEX(Periods!$F$5:$F$57,$B959)))</f>
        <v/>
      </c>
      <c r="M959" s="48">
        <f>N(INDEX(Employees!$N$5:$N$29,$A959))</f>
        <v/>
      </c>
      <c r="N959" s="48">
        <f>IF(INDEX(Employees!$L$5:$L$29,$A959)="",K959,MAX(0,MIN(K959,INDEX(Employees!$L$5:$L$29,$A959)-(M959-L959))))</f>
        <v/>
      </c>
      <c r="O959" s="48">
        <f>K959-N959</f>
        <v/>
      </c>
      <c r="P959" s="48">
        <f>M959-L959+N959</f>
        <v/>
      </c>
      <c r="Q959" s="48">
        <f>IF($G959=0,0,IF(INDEX(Employees!$P$5:$P$29,$A959)="Per pay period",(N(INDEX(Employees!$Q$5:$Q$29,$A959)))/Settings!$B$13,IF(INDEX(Employees!$P$5:$P$29,$A959)="Per hour worked",N(INDEX(Employees!$R$5:$R$29,$A959))*$I959,IF(INDEX(Employees!$P$5:$P$29,$A959)="Front-loaded",IF(OR($B959=1,N($G958)=0),N(INDEX(Employees!$Q$5:$Q$29,$A959)),0),0))))</f>
        <v/>
      </c>
      <c r="R959" s="48">
        <f>IF($F959=0,0,SUMIFS('Time Off Log'!$H$5:$H$504,'Time Off Log'!$A$5:$A$504,$C959,'Time Off Log'!$B$5:$B$504,"Sick",'Time Off Log'!$E$5:$E$504,"Approved",'Time Off Log'!$C$5:$C$504,"&gt;="&amp;INDEX(Periods!$E$5:$E$57,$B959),'Time Off Log'!$C$5:$C$504,"&lt;="&amp;INDEX(Periods!$F$5:$F$57,$B959)))</f>
        <v/>
      </c>
      <c r="S959" s="48">
        <f>N(INDEX(Employees!$T$5:$T$29,$A959))</f>
        <v/>
      </c>
      <c r="T959" s="48">
        <f>IF(INDEX(Employees!$S$5:$S$29,$A959)="",Q959,MAX(0,MIN(Q959,INDEX(Employees!$S$5:$S$29,$A959)-(S959-R959))))</f>
        <v/>
      </c>
      <c r="U959" s="48">
        <f>Q959-T959</f>
        <v/>
      </c>
      <c r="V959" s="48">
        <f>S959-R959+T959</f>
        <v/>
      </c>
    </row>
    <row r="960">
      <c r="A960" s="47" t="n">
        <v>19</v>
      </c>
      <c r="B960" s="47" t="n">
        <v>2</v>
      </c>
      <c r="C960" s="48">
        <f>INDEX(Employees!$B$5:$B$29,$A960)&amp;""</f>
        <v/>
      </c>
      <c r="D960" s="49">
        <f>INDEX(Periods!$B$5:$B$57,$B960)</f>
        <v/>
      </c>
      <c r="E960" s="49">
        <f>INDEX(Periods!$C$5:$C$57,$B960)</f>
        <v/>
      </c>
      <c r="F960" s="47">
        <f>IF(AND($C960&lt;&gt;"",INDEX(Periods!$D$5:$D$57,$B960)=1),1,0)</f>
        <v/>
      </c>
      <c r="G960" s="47">
        <f>IF($F960=0,0,IF(AND(OR(INDEX(Employees!$D$5:$D$29,$A960)="",$E960&gt;=INDEX(Employees!$D$5:$D$29,$A960)+N(INDEX(Employees!$U$5:$U$29,$A960))),OR(INDEX(Employees!$E$5:$E$29,$A960)="",$D960&lt;=INDEX(Employees!$E$5:$E$29,$A960))),1,0))</f>
        <v/>
      </c>
      <c r="H960" s="47">
        <f>IF($G960=0,0,IF(INDEX(Employees!$D$5:$D$29,$A960)="",0,DATEDIF(INDEX(Employees!$D$5:$D$29,$A960),$E960,"y")))</f>
        <v/>
      </c>
      <c r="I960" s="48">
        <f>IF($G960=0,0,IF(INDEX('Hours Worked'!$D$5:$BD$29,$A960,$B960)="",N(INDEX(Employees!$H$5:$H$29,$A960)),INDEX('Hours Worked'!$D$5:$BD$29,$A960,$B960)))</f>
        <v/>
      </c>
      <c r="J960" s="48">
        <f>IF(OR($G960=0,INDEX(Employees!$O$5:$O$29,$A960)&lt;&gt;"Yes"),0,IF(COUNTIF(Settings!$D$4:$D$9,"&lt;="&amp;$H960)=0,0,INDEX(Settings!$E$4:$E$9,COUNTIF(Settings!$D$4:$D$9,"&lt;="&amp;$H960))))</f>
        <v/>
      </c>
      <c r="K960" s="48">
        <f>IF($G960=0,0,IF(INDEX(Employees!$I$5:$I$29,$A960)="Per pay period",(N(INDEX(Employees!$J$5:$J$29,$A960))+$J960)/Settings!$B$13,IF(INDEX(Employees!$I$5:$I$29,$A960)="Per hour worked",N(INDEX(Employees!$K$5:$K$29,$A960))*$I960,IF(INDEX(Employees!$I$5:$I$29,$A960)="Front-loaded",IF(OR($B960=1,N($G959)=0),N(INDEX(Employees!$J$5:$J$29,$A960))+$J960,0),0))))</f>
        <v/>
      </c>
      <c r="L960" s="48">
        <f>IF($F960=0,0,SUMIFS('Time Off Log'!$H$5:$H$504,'Time Off Log'!$A$5:$A$504,$C960,'Time Off Log'!$B$5:$B$504,"PTO",'Time Off Log'!$E$5:$E$504,"Approved",'Time Off Log'!$C$5:$C$504,"&gt;="&amp;INDEX(Periods!$E$5:$E$57,$B960),'Time Off Log'!$C$5:$C$504,"&lt;="&amp;INDEX(Periods!$F$5:$F$57,$B960)))</f>
        <v/>
      </c>
      <c r="M960" s="48">
        <f>IF($B960=1,N(INDEX(Employees!$N$5:$N$29,$A960)),P959)</f>
        <v/>
      </c>
      <c r="N960" s="48">
        <f>IF(INDEX(Employees!$L$5:$L$29,$A960)="",K960,MAX(0,MIN(K960,INDEX(Employees!$L$5:$L$29,$A960)-(M960-L960))))</f>
        <v/>
      </c>
      <c r="O960" s="48">
        <f>K960-N960</f>
        <v/>
      </c>
      <c r="P960" s="48">
        <f>M960-L960+N960</f>
        <v/>
      </c>
      <c r="Q960" s="48">
        <f>IF($G960=0,0,IF(INDEX(Employees!$P$5:$P$29,$A960)="Per pay period",(N(INDEX(Employees!$Q$5:$Q$29,$A960)))/Settings!$B$13,IF(INDEX(Employees!$P$5:$P$29,$A960)="Per hour worked",N(INDEX(Employees!$R$5:$R$29,$A960))*$I960,IF(INDEX(Employees!$P$5:$P$29,$A960)="Front-loaded",IF(OR($B960=1,N($G959)=0),N(INDEX(Employees!$Q$5:$Q$29,$A960)),0),0))))</f>
        <v/>
      </c>
      <c r="R960" s="48">
        <f>IF($F960=0,0,SUMIFS('Time Off Log'!$H$5:$H$504,'Time Off Log'!$A$5:$A$504,$C960,'Time Off Log'!$B$5:$B$504,"Sick",'Time Off Log'!$E$5:$E$504,"Approved",'Time Off Log'!$C$5:$C$504,"&gt;="&amp;INDEX(Periods!$E$5:$E$57,$B960),'Time Off Log'!$C$5:$C$504,"&lt;="&amp;INDEX(Periods!$F$5:$F$57,$B960)))</f>
        <v/>
      </c>
      <c r="S960" s="48">
        <f>IF($B960=1,N(INDEX(Employees!$T$5:$T$29,$A960)),V959)</f>
        <v/>
      </c>
      <c r="T960" s="48">
        <f>IF(INDEX(Employees!$S$5:$S$29,$A960)="",Q960,MAX(0,MIN(Q960,INDEX(Employees!$S$5:$S$29,$A960)-(S960-R960))))</f>
        <v/>
      </c>
      <c r="U960" s="48">
        <f>Q960-T960</f>
        <v/>
      </c>
      <c r="V960" s="48">
        <f>S960-R960+T960</f>
        <v/>
      </c>
    </row>
    <row r="961">
      <c r="A961" s="47" t="n">
        <v>19</v>
      </c>
      <c r="B961" s="47" t="n">
        <v>3</v>
      </c>
      <c r="C961" s="48">
        <f>INDEX(Employees!$B$5:$B$29,$A961)&amp;""</f>
        <v/>
      </c>
      <c r="D961" s="49">
        <f>INDEX(Periods!$B$5:$B$57,$B961)</f>
        <v/>
      </c>
      <c r="E961" s="49">
        <f>INDEX(Periods!$C$5:$C$57,$B961)</f>
        <v/>
      </c>
      <c r="F961" s="47">
        <f>IF(AND($C961&lt;&gt;"",INDEX(Periods!$D$5:$D$57,$B961)=1),1,0)</f>
        <v/>
      </c>
      <c r="G961" s="47">
        <f>IF($F961=0,0,IF(AND(OR(INDEX(Employees!$D$5:$D$29,$A961)="",$E961&gt;=INDEX(Employees!$D$5:$D$29,$A961)+N(INDEX(Employees!$U$5:$U$29,$A961))),OR(INDEX(Employees!$E$5:$E$29,$A961)="",$D961&lt;=INDEX(Employees!$E$5:$E$29,$A961))),1,0))</f>
        <v/>
      </c>
      <c r="H961" s="47">
        <f>IF($G961=0,0,IF(INDEX(Employees!$D$5:$D$29,$A961)="",0,DATEDIF(INDEX(Employees!$D$5:$D$29,$A961),$E961,"y")))</f>
        <v/>
      </c>
      <c r="I961" s="48">
        <f>IF($G961=0,0,IF(INDEX('Hours Worked'!$D$5:$BD$29,$A961,$B961)="",N(INDEX(Employees!$H$5:$H$29,$A961)),INDEX('Hours Worked'!$D$5:$BD$29,$A961,$B961)))</f>
        <v/>
      </c>
      <c r="J961" s="48">
        <f>IF(OR($G961=0,INDEX(Employees!$O$5:$O$29,$A961)&lt;&gt;"Yes"),0,IF(COUNTIF(Settings!$D$4:$D$9,"&lt;="&amp;$H961)=0,0,INDEX(Settings!$E$4:$E$9,COUNTIF(Settings!$D$4:$D$9,"&lt;="&amp;$H961))))</f>
        <v/>
      </c>
      <c r="K961" s="48">
        <f>IF($G961=0,0,IF(INDEX(Employees!$I$5:$I$29,$A961)="Per pay period",(N(INDEX(Employees!$J$5:$J$29,$A961))+$J961)/Settings!$B$13,IF(INDEX(Employees!$I$5:$I$29,$A961)="Per hour worked",N(INDEX(Employees!$K$5:$K$29,$A961))*$I961,IF(INDEX(Employees!$I$5:$I$29,$A961)="Front-loaded",IF(OR($B961=1,N($G960)=0),N(INDEX(Employees!$J$5:$J$29,$A961))+$J961,0),0))))</f>
        <v/>
      </c>
      <c r="L961" s="48">
        <f>IF($F961=0,0,SUMIFS('Time Off Log'!$H$5:$H$504,'Time Off Log'!$A$5:$A$504,$C961,'Time Off Log'!$B$5:$B$504,"PTO",'Time Off Log'!$E$5:$E$504,"Approved",'Time Off Log'!$C$5:$C$504,"&gt;="&amp;INDEX(Periods!$E$5:$E$57,$B961),'Time Off Log'!$C$5:$C$504,"&lt;="&amp;INDEX(Periods!$F$5:$F$57,$B961)))</f>
        <v/>
      </c>
      <c r="M961" s="48">
        <f>IF($B961=1,N(INDEX(Employees!$N$5:$N$29,$A961)),P960)</f>
        <v/>
      </c>
      <c r="N961" s="48">
        <f>IF(INDEX(Employees!$L$5:$L$29,$A961)="",K961,MAX(0,MIN(K961,INDEX(Employees!$L$5:$L$29,$A961)-(M961-L961))))</f>
        <v/>
      </c>
      <c r="O961" s="48">
        <f>K961-N961</f>
        <v/>
      </c>
      <c r="P961" s="48">
        <f>M961-L961+N961</f>
        <v/>
      </c>
      <c r="Q961" s="48">
        <f>IF($G961=0,0,IF(INDEX(Employees!$P$5:$P$29,$A961)="Per pay period",(N(INDEX(Employees!$Q$5:$Q$29,$A961)))/Settings!$B$13,IF(INDEX(Employees!$P$5:$P$29,$A961)="Per hour worked",N(INDEX(Employees!$R$5:$R$29,$A961))*$I961,IF(INDEX(Employees!$P$5:$P$29,$A961)="Front-loaded",IF(OR($B961=1,N($G960)=0),N(INDEX(Employees!$Q$5:$Q$29,$A961)),0),0))))</f>
        <v/>
      </c>
      <c r="R961" s="48">
        <f>IF($F961=0,0,SUMIFS('Time Off Log'!$H$5:$H$504,'Time Off Log'!$A$5:$A$504,$C961,'Time Off Log'!$B$5:$B$504,"Sick",'Time Off Log'!$E$5:$E$504,"Approved",'Time Off Log'!$C$5:$C$504,"&gt;="&amp;INDEX(Periods!$E$5:$E$57,$B961),'Time Off Log'!$C$5:$C$504,"&lt;="&amp;INDEX(Periods!$F$5:$F$57,$B961)))</f>
        <v/>
      </c>
      <c r="S961" s="48">
        <f>IF($B961=1,N(INDEX(Employees!$T$5:$T$29,$A961)),V960)</f>
        <v/>
      </c>
      <c r="T961" s="48">
        <f>IF(INDEX(Employees!$S$5:$S$29,$A961)="",Q961,MAX(0,MIN(Q961,INDEX(Employees!$S$5:$S$29,$A961)-(S961-R961))))</f>
        <v/>
      </c>
      <c r="U961" s="48">
        <f>Q961-T961</f>
        <v/>
      </c>
      <c r="V961" s="48">
        <f>S961-R961+T961</f>
        <v/>
      </c>
    </row>
    <row r="962">
      <c r="A962" s="47" t="n">
        <v>19</v>
      </c>
      <c r="B962" s="47" t="n">
        <v>4</v>
      </c>
      <c r="C962" s="48">
        <f>INDEX(Employees!$B$5:$B$29,$A962)&amp;""</f>
        <v/>
      </c>
      <c r="D962" s="49">
        <f>INDEX(Periods!$B$5:$B$57,$B962)</f>
        <v/>
      </c>
      <c r="E962" s="49">
        <f>INDEX(Periods!$C$5:$C$57,$B962)</f>
        <v/>
      </c>
      <c r="F962" s="47">
        <f>IF(AND($C962&lt;&gt;"",INDEX(Periods!$D$5:$D$57,$B962)=1),1,0)</f>
        <v/>
      </c>
      <c r="G962" s="47">
        <f>IF($F962=0,0,IF(AND(OR(INDEX(Employees!$D$5:$D$29,$A962)="",$E962&gt;=INDEX(Employees!$D$5:$D$29,$A962)+N(INDEX(Employees!$U$5:$U$29,$A962))),OR(INDEX(Employees!$E$5:$E$29,$A962)="",$D962&lt;=INDEX(Employees!$E$5:$E$29,$A962))),1,0))</f>
        <v/>
      </c>
      <c r="H962" s="47">
        <f>IF($G962=0,0,IF(INDEX(Employees!$D$5:$D$29,$A962)="",0,DATEDIF(INDEX(Employees!$D$5:$D$29,$A962),$E962,"y")))</f>
        <v/>
      </c>
      <c r="I962" s="48">
        <f>IF($G962=0,0,IF(INDEX('Hours Worked'!$D$5:$BD$29,$A962,$B962)="",N(INDEX(Employees!$H$5:$H$29,$A962)),INDEX('Hours Worked'!$D$5:$BD$29,$A962,$B962)))</f>
        <v/>
      </c>
      <c r="J962" s="48">
        <f>IF(OR($G962=0,INDEX(Employees!$O$5:$O$29,$A962)&lt;&gt;"Yes"),0,IF(COUNTIF(Settings!$D$4:$D$9,"&lt;="&amp;$H962)=0,0,INDEX(Settings!$E$4:$E$9,COUNTIF(Settings!$D$4:$D$9,"&lt;="&amp;$H962))))</f>
        <v/>
      </c>
      <c r="K962" s="48">
        <f>IF($G962=0,0,IF(INDEX(Employees!$I$5:$I$29,$A962)="Per pay period",(N(INDEX(Employees!$J$5:$J$29,$A962))+$J962)/Settings!$B$13,IF(INDEX(Employees!$I$5:$I$29,$A962)="Per hour worked",N(INDEX(Employees!$K$5:$K$29,$A962))*$I962,IF(INDEX(Employees!$I$5:$I$29,$A962)="Front-loaded",IF(OR($B962=1,N($G961)=0),N(INDEX(Employees!$J$5:$J$29,$A962))+$J962,0),0))))</f>
        <v/>
      </c>
      <c r="L962" s="48">
        <f>IF($F962=0,0,SUMIFS('Time Off Log'!$H$5:$H$504,'Time Off Log'!$A$5:$A$504,$C962,'Time Off Log'!$B$5:$B$504,"PTO",'Time Off Log'!$E$5:$E$504,"Approved",'Time Off Log'!$C$5:$C$504,"&gt;="&amp;INDEX(Periods!$E$5:$E$57,$B962),'Time Off Log'!$C$5:$C$504,"&lt;="&amp;INDEX(Periods!$F$5:$F$57,$B962)))</f>
        <v/>
      </c>
      <c r="M962" s="48">
        <f>IF($B962=1,N(INDEX(Employees!$N$5:$N$29,$A962)),P961)</f>
        <v/>
      </c>
      <c r="N962" s="48">
        <f>IF(INDEX(Employees!$L$5:$L$29,$A962)="",K962,MAX(0,MIN(K962,INDEX(Employees!$L$5:$L$29,$A962)-(M962-L962))))</f>
        <v/>
      </c>
      <c r="O962" s="48">
        <f>K962-N962</f>
        <v/>
      </c>
      <c r="P962" s="48">
        <f>M962-L962+N962</f>
        <v/>
      </c>
      <c r="Q962" s="48">
        <f>IF($G962=0,0,IF(INDEX(Employees!$P$5:$P$29,$A962)="Per pay period",(N(INDEX(Employees!$Q$5:$Q$29,$A962)))/Settings!$B$13,IF(INDEX(Employees!$P$5:$P$29,$A962)="Per hour worked",N(INDEX(Employees!$R$5:$R$29,$A962))*$I962,IF(INDEX(Employees!$P$5:$P$29,$A962)="Front-loaded",IF(OR($B962=1,N($G961)=0),N(INDEX(Employees!$Q$5:$Q$29,$A962)),0),0))))</f>
        <v/>
      </c>
      <c r="R962" s="48">
        <f>IF($F962=0,0,SUMIFS('Time Off Log'!$H$5:$H$504,'Time Off Log'!$A$5:$A$504,$C962,'Time Off Log'!$B$5:$B$504,"Sick",'Time Off Log'!$E$5:$E$504,"Approved",'Time Off Log'!$C$5:$C$504,"&gt;="&amp;INDEX(Periods!$E$5:$E$57,$B962),'Time Off Log'!$C$5:$C$504,"&lt;="&amp;INDEX(Periods!$F$5:$F$57,$B962)))</f>
        <v/>
      </c>
      <c r="S962" s="48">
        <f>IF($B962=1,N(INDEX(Employees!$T$5:$T$29,$A962)),V961)</f>
        <v/>
      </c>
      <c r="T962" s="48">
        <f>IF(INDEX(Employees!$S$5:$S$29,$A962)="",Q962,MAX(0,MIN(Q962,INDEX(Employees!$S$5:$S$29,$A962)-(S962-R962))))</f>
        <v/>
      </c>
      <c r="U962" s="48">
        <f>Q962-T962</f>
        <v/>
      </c>
      <c r="V962" s="48">
        <f>S962-R962+T962</f>
        <v/>
      </c>
    </row>
    <row r="963">
      <c r="A963" s="47" t="n">
        <v>19</v>
      </c>
      <c r="B963" s="47" t="n">
        <v>5</v>
      </c>
      <c r="C963" s="48">
        <f>INDEX(Employees!$B$5:$B$29,$A963)&amp;""</f>
        <v/>
      </c>
      <c r="D963" s="49">
        <f>INDEX(Periods!$B$5:$B$57,$B963)</f>
        <v/>
      </c>
      <c r="E963" s="49">
        <f>INDEX(Periods!$C$5:$C$57,$B963)</f>
        <v/>
      </c>
      <c r="F963" s="47">
        <f>IF(AND($C963&lt;&gt;"",INDEX(Periods!$D$5:$D$57,$B963)=1),1,0)</f>
        <v/>
      </c>
      <c r="G963" s="47">
        <f>IF($F963=0,0,IF(AND(OR(INDEX(Employees!$D$5:$D$29,$A963)="",$E963&gt;=INDEX(Employees!$D$5:$D$29,$A963)+N(INDEX(Employees!$U$5:$U$29,$A963))),OR(INDEX(Employees!$E$5:$E$29,$A963)="",$D963&lt;=INDEX(Employees!$E$5:$E$29,$A963))),1,0))</f>
        <v/>
      </c>
      <c r="H963" s="47">
        <f>IF($G963=0,0,IF(INDEX(Employees!$D$5:$D$29,$A963)="",0,DATEDIF(INDEX(Employees!$D$5:$D$29,$A963),$E963,"y")))</f>
        <v/>
      </c>
      <c r="I963" s="48">
        <f>IF($G963=0,0,IF(INDEX('Hours Worked'!$D$5:$BD$29,$A963,$B963)="",N(INDEX(Employees!$H$5:$H$29,$A963)),INDEX('Hours Worked'!$D$5:$BD$29,$A963,$B963)))</f>
        <v/>
      </c>
      <c r="J963" s="48">
        <f>IF(OR($G963=0,INDEX(Employees!$O$5:$O$29,$A963)&lt;&gt;"Yes"),0,IF(COUNTIF(Settings!$D$4:$D$9,"&lt;="&amp;$H963)=0,0,INDEX(Settings!$E$4:$E$9,COUNTIF(Settings!$D$4:$D$9,"&lt;="&amp;$H963))))</f>
        <v/>
      </c>
      <c r="K963" s="48">
        <f>IF($G963=0,0,IF(INDEX(Employees!$I$5:$I$29,$A963)="Per pay period",(N(INDEX(Employees!$J$5:$J$29,$A963))+$J963)/Settings!$B$13,IF(INDEX(Employees!$I$5:$I$29,$A963)="Per hour worked",N(INDEX(Employees!$K$5:$K$29,$A963))*$I963,IF(INDEX(Employees!$I$5:$I$29,$A963)="Front-loaded",IF(OR($B963=1,N($G962)=0),N(INDEX(Employees!$J$5:$J$29,$A963))+$J963,0),0))))</f>
        <v/>
      </c>
      <c r="L963" s="48">
        <f>IF($F963=0,0,SUMIFS('Time Off Log'!$H$5:$H$504,'Time Off Log'!$A$5:$A$504,$C963,'Time Off Log'!$B$5:$B$504,"PTO",'Time Off Log'!$E$5:$E$504,"Approved",'Time Off Log'!$C$5:$C$504,"&gt;="&amp;INDEX(Periods!$E$5:$E$57,$B963),'Time Off Log'!$C$5:$C$504,"&lt;="&amp;INDEX(Periods!$F$5:$F$57,$B963)))</f>
        <v/>
      </c>
      <c r="M963" s="48">
        <f>IF($B963=1,N(INDEX(Employees!$N$5:$N$29,$A963)),P962)</f>
        <v/>
      </c>
      <c r="N963" s="48">
        <f>IF(INDEX(Employees!$L$5:$L$29,$A963)="",K963,MAX(0,MIN(K963,INDEX(Employees!$L$5:$L$29,$A963)-(M963-L963))))</f>
        <v/>
      </c>
      <c r="O963" s="48">
        <f>K963-N963</f>
        <v/>
      </c>
      <c r="P963" s="48">
        <f>M963-L963+N963</f>
        <v/>
      </c>
      <c r="Q963" s="48">
        <f>IF($G963=0,0,IF(INDEX(Employees!$P$5:$P$29,$A963)="Per pay period",(N(INDEX(Employees!$Q$5:$Q$29,$A963)))/Settings!$B$13,IF(INDEX(Employees!$P$5:$P$29,$A963)="Per hour worked",N(INDEX(Employees!$R$5:$R$29,$A963))*$I963,IF(INDEX(Employees!$P$5:$P$29,$A963)="Front-loaded",IF(OR($B963=1,N($G962)=0),N(INDEX(Employees!$Q$5:$Q$29,$A963)),0),0))))</f>
        <v/>
      </c>
      <c r="R963" s="48">
        <f>IF($F963=0,0,SUMIFS('Time Off Log'!$H$5:$H$504,'Time Off Log'!$A$5:$A$504,$C963,'Time Off Log'!$B$5:$B$504,"Sick",'Time Off Log'!$E$5:$E$504,"Approved",'Time Off Log'!$C$5:$C$504,"&gt;="&amp;INDEX(Periods!$E$5:$E$57,$B963),'Time Off Log'!$C$5:$C$504,"&lt;="&amp;INDEX(Periods!$F$5:$F$57,$B963)))</f>
        <v/>
      </c>
      <c r="S963" s="48">
        <f>IF($B963=1,N(INDEX(Employees!$T$5:$T$29,$A963)),V962)</f>
        <v/>
      </c>
      <c r="T963" s="48">
        <f>IF(INDEX(Employees!$S$5:$S$29,$A963)="",Q963,MAX(0,MIN(Q963,INDEX(Employees!$S$5:$S$29,$A963)-(S963-R963))))</f>
        <v/>
      </c>
      <c r="U963" s="48">
        <f>Q963-T963</f>
        <v/>
      </c>
      <c r="V963" s="48">
        <f>S963-R963+T963</f>
        <v/>
      </c>
    </row>
    <row r="964">
      <c r="A964" s="47" t="n">
        <v>19</v>
      </c>
      <c r="B964" s="47" t="n">
        <v>6</v>
      </c>
      <c r="C964" s="48">
        <f>INDEX(Employees!$B$5:$B$29,$A964)&amp;""</f>
        <v/>
      </c>
      <c r="D964" s="49">
        <f>INDEX(Periods!$B$5:$B$57,$B964)</f>
        <v/>
      </c>
      <c r="E964" s="49">
        <f>INDEX(Periods!$C$5:$C$57,$B964)</f>
        <v/>
      </c>
      <c r="F964" s="47">
        <f>IF(AND($C964&lt;&gt;"",INDEX(Periods!$D$5:$D$57,$B964)=1),1,0)</f>
        <v/>
      </c>
      <c r="G964" s="47">
        <f>IF($F964=0,0,IF(AND(OR(INDEX(Employees!$D$5:$D$29,$A964)="",$E964&gt;=INDEX(Employees!$D$5:$D$29,$A964)+N(INDEX(Employees!$U$5:$U$29,$A964))),OR(INDEX(Employees!$E$5:$E$29,$A964)="",$D964&lt;=INDEX(Employees!$E$5:$E$29,$A964))),1,0))</f>
        <v/>
      </c>
      <c r="H964" s="47">
        <f>IF($G964=0,0,IF(INDEX(Employees!$D$5:$D$29,$A964)="",0,DATEDIF(INDEX(Employees!$D$5:$D$29,$A964),$E964,"y")))</f>
        <v/>
      </c>
      <c r="I964" s="48">
        <f>IF($G964=0,0,IF(INDEX('Hours Worked'!$D$5:$BD$29,$A964,$B964)="",N(INDEX(Employees!$H$5:$H$29,$A964)),INDEX('Hours Worked'!$D$5:$BD$29,$A964,$B964)))</f>
        <v/>
      </c>
      <c r="J964" s="48">
        <f>IF(OR($G964=0,INDEX(Employees!$O$5:$O$29,$A964)&lt;&gt;"Yes"),0,IF(COUNTIF(Settings!$D$4:$D$9,"&lt;="&amp;$H964)=0,0,INDEX(Settings!$E$4:$E$9,COUNTIF(Settings!$D$4:$D$9,"&lt;="&amp;$H964))))</f>
        <v/>
      </c>
      <c r="K964" s="48">
        <f>IF($G964=0,0,IF(INDEX(Employees!$I$5:$I$29,$A964)="Per pay period",(N(INDEX(Employees!$J$5:$J$29,$A964))+$J964)/Settings!$B$13,IF(INDEX(Employees!$I$5:$I$29,$A964)="Per hour worked",N(INDEX(Employees!$K$5:$K$29,$A964))*$I964,IF(INDEX(Employees!$I$5:$I$29,$A964)="Front-loaded",IF(OR($B964=1,N($G963)=0),N(INDEX(Employees!$J$5:$J$29,$A964))+$J964,0),0))))</f>
        <v/>
      </c>
      <c r="L964" s="48">
        <f>IF($F964=0,0,SUMIFS('Time Off Log'!$H$5:$H$504,'Time Off Log'!$A$5:$A$504,$C964,'Time Off Log'!$B$5:$B$504,"PTO",'Time Off Log'!$E$5:$E$504,"Approved",'Time Off Log'!$C$5:$C$504,"&gt;="&amp;INDEX(Periods!$E$5:$E$57,$B964),'Time Off Log'!$C$5:$C$504,"&lt;="&amp;INDEX(Periods!$F$5:$F$57,$B964)))</f>
        <v/>
      </c>
      <c r="M964" s="48">
        <f>IF($B964=1,N(INDEX(Employees!$N$5:$N$29,$A964)),P963)</f>
        <v/>
      </c>
      <c r="N964" s="48">
        <f>IF(INDEX(Employees!$L$5:$L$29,$A964)="",K964,MAX(0,MIN(K964,INDEX(Employees!$L$5:$L$29,$A964)-(M964-L964))))</f>
        <v/>
      </c>
      <c r="O964" s="48">
        <f>K964-N964</f>
        <v/>
      </c>
      <c r="P964" s="48">
        <f>M964-L964+N964</f>
        <v/>
      </c>
      <c r="Q964" s="48">
        <f>IF($G964=0,0,IF(INDEX(Employees!$P$5:$P$29,$A964)="Per pay period",(N(INDEX(Employees!$Q$5:$Q$29,$A964)))/Settings!$B$13,IF(INDEX(Employees!$P$5:$P$29,$A964)="Per hour worked",N(INDEX(Employees!$R$5:$R$29,$A964))*$I964,IF(INDEX(Employees!$P$5:$P$29,$A964)="Front-loaded",IF(OR($B964=1,N($G963)=0),N(INDEX(Employees!$Q$5:$Q$29,$A964)),0),0))))</f>
        <v/>
      </c>
      <c r="R964" s="48">
        <f>IF($F964=0,0,SUMIFS('Time Off Log'!$H$5:$H$504,'Time Off Log'!$A$5:$A$504,$C964,'Time Off Log'!$B$5:$B$504,"Sick",'Time Off Log'!$E$5:$E$504,"Approved",'Time Off Log'!$C$5:$C$504,"&gt;="&amp;INDEX(Periods!$E$5:$E$57,$B964),'Time Off Log'!$C$5:$C$504,"&lt;="&amp;INDEX(Periods!$F$5:$F$57,$B964)))</f>
        <v/>
      </c>
      <c r="S964" s="48">
        <f>IF($B964=1,N(INDEX(Employees!$T$5:$T$29,$A964)),V963)</f>
        <v/>
      </c>
      <c r="T964" s="48">
        <f>IF(INDEX(Employees!$S$5:$S$29,$A964)="",Q964,MAX(0,MIN(Q964,INDEX(Employees!$S$5:$S$29,$A964)-(S964-R964))))</f>
        <v/>
      </c>
      <c r="U964" s="48">
        <f>Q964-T964</f>
        <v/>
      </c>
      <c r="V964" s="48">
        <f>S964-R964+T964</f>
        <v/>
      </c>
    </row>
    <row r="965">
      <c r="A965" s="47" t="n">
        <v>19</v>
      </c>
      <c r="B965" s="47" t="n">
        <v>7</v>
      </c>
      <c r="C965" s="48">
        <f>INDEX(Employees!$B$5:$B$29,$A965)&amp;""</f>
        <v/>
      </c>
      <c r="D965" s="49">
        <f>INDEX(Periods!$B$5:$B$57,$B965)</f>
        <v/>
      </c>
      <c r="E965" s="49">
        <f>INDEX(Periods!$C$5:$C$57,$B965)</f>
        <v/>
      </c>
      <c r="F965" s="47">
        <f>IF(AND($C965&lt;&gt;"",INDEX(Periods!$D$5:$D$57,$B965)=1),1,0)</f>
        <v/>
      </c>
      <c r="G965" s="47">
        <f>IF($F965=0,0,IF(AND(OR(INDEX(Employees!$D$5:$D$29,$A965)="",$E965&gt;=INDEX(Employees!$D$5:$D$29,$A965)+N(INDEX(Employees!$U$5:$U$29,$A965))),OR(INDEX(Employees!$E$5:$E$29,$A965)="",$D965&lt;=INDEX(Employees!$E$5:$E$29,$A965))),1,0))</f>
        <v/>
      </c>
      <c r="H965" s="47">
        <f>IF($G965=0,0,IF(INDEX(Employees!$D$5:$D$29,$A965)="",0,DATEDIF(INDEX(Employees!$D$5:$D$29,$A965),$E965,"y")))</f>
        <v/>
      </c>
      <c r="I965" s="48">
        <f>IF($G965=0,0,IF(INDEX('Hours Worked'!$D$5:$BD$29,$A965,$B965)="",N(INDEX(Employees!$H$5:$H$29,$A965)),INDEX('Hours Worked'!$D$5:$BD$29,$A965,$B965)))</f>
        <v/>
      </c>
      <c r="J965" s="48">
        <f>IF(OR($G965=0,INDEX(Employees!$O$5:$O$29,$A965)&lt;&gt;"Yes"),0,IF(COUNTIF(Settings!$D$4:$D$9,"&lt;="&amp;$H965)=0,0,INDEX(Settings!$E$4:$E$9,COUNTIF(Settings!$D$4:$D$9,"&lt;="&amp;$H965))))</f>
        <v/>
      </c>
      <c r="K965" s="48">
        <f>IF($G965=0,0,IF(INDEX(Employees!$I$5:$I$29,$A965)="Per pay period",(N(INDEX(Employees!$J$5:$J$29,$A965))+$J965)/Settings!$B$13,IF(INDEX(Employees!$I$5:$I$29,$A965)="Per hour worked",N(INDEX(Employees!$K$5:$K$29,$A965))*$I965,IF(INDEX(Employees!$I$5:$I$29,$A965)="Front-loaded",IF(OR($B965=1,N($G964)=0),N(INDEX(Employees!$J$5:$J$29,$A965))+$J965,0),0))))</f>
        <v/>
      </c>
      <c r="L965" s="48">
        <f>IF($F965=0,0,SUMIFS('Time Off Log'!$H$5:$H$504,'Time Off Log'!$A$5:$A$504,$C965,'Time Off Log'!$B$5:$B$504,"PTO",'Time Off Log'!$E$5:$E$504,"Approved",'Time Off Log'!$C$5:$C$504,"&gt;="&amp;INDEX(Periods!$E$5:$E$57,$B965),'Time Off Log'!$C$5:$C$504,"&lt;="&amp;INDEX(Periods!$F$5:$F$57,$B965)))</f>
        <v/>
      </c>
      <c r="M965" s="48">
        <f>IF($B965=1,N(INDEX(Employees!$N$5:$N$29,$A965)),P964)</f>
        <v/>
      </c>
      <c r="N965" s="48">
        <f>IF(INDEX(Employees!$L$5:$L$29,$A965)="",K965,MAX(0,MIN(K965,INDEX(Employees!$L$5:$L$29,$A965)-(M965-L965))))</f>
        <v/>
      </c>
      <c r="O965" s="48">
        <f>K965-N965</f>
        <v/>
      </c>
      <c r="P965" s="48">
        <f>M965-L965+N965</f>
        <v/>
      </c>
      <c r="Q965" s="48">
        <f>IF($G965=0,0,IF(INDEX(Employees!$P$5:$P$29,$A965)="Per pay period",(N(INDEX(Employees!$Q$5:$Q$29,$A965)))/Settings!$B$13,IF(INDEX(Employees!$P$5:$P$29,$A965)="Per hour worked",N(INDEX(Employees!$R$5:$R$29,$A965))*$I965,IF(INDEX(Employees!$P$5:$P$29,$A965)="Front-loaded",IF(OR($B965=1,N($G964)=0),N(INDEX(Employees!$Q$5:$Q$29,$A965)),0),0))))</f>
        <v/>
      </c>
      <c r="R965" s="48">
        <f>IF($F965=0,0,SUMIFS('Time Off Log'!$H$5:$H$504,'Time Off Log'!$A$5:$A$504,$C965,'Time Off Log'!$B$5:$B$504,"Sick",'Time Off Log'!$E$5:$E$504,"Approved",'Time Off Log'!$C$5:$C$504,"&gt;="&amp;INDEX(Periods!$E$5:$E$57,$B965),'Time Off Log'!$C$5:$C$504,"&lt;="&amp;INDEX(Periods!$F$5:$F$57,$B965)))</f>
        <v/>
      </c>
      <c r="S965" s="48">
        <f>IF($B965=1,N(INDEX(Employees!$T$5:$T$29,$A965)),V964)</f>
        <v/>
      </c>
      <c r="T965" s="48">
        <f>IF(INDEX(Employees!$S$5:$S$29,$A965)="",Q965,MAX(0,MIN(Q965,INDEX(Employees!$S$5:$S$29,$A965)-(S965-R965))))</f>
        <v/>
      </c>
      <c r="U965" s="48">
        <f>Q965-T965</f>
        <v/>
      </c>
      <c r="V965" s="48">
        <f>S965-R965+T965</f>
        <v/>
      </c>
    </row>
    <row r="966">
      <c r="A966" s="47" t="n">
        <v>19</v>
      </c>
      <c r="B966" s="47" t="n">
        <v>8</v>
      </c>
      <c r="C966" s="48">
        <f>INDEX(Employees!$B$5:$B$29,$A966)&amp;""</f>
        <v/>
      </c>
      <c r="D966" s="49">
        <f>INDEX(Periods!$B$5:$B$57,$B966)</f>
        <v/>
      </c>
      <c r="E966" s="49">
        <f>INDEX(Periods!$C$5:$C$57,$B966)</f>
        <v/>
      </c>
      <c r="F966" s="47">
        <f>IF(AND($C966&lt;&gt;"",INDEX(Periods!$D$5:$D$57,$B966)=1),1,0)</f>
        <v/>
      </c>
      <c r="G966" s="47">
        <f>IF($F966=0,0,IF(AND(OR(INDEX(Employees!$D$5:$D$29,$A966)="",$E966&gt;=INDEX(Employees!$D$5:$D$29,$A966)+N(INDEX(Employees!$U$5:$U$29,$A966))),OR(INDEX(Employees!$E$5:$E$29,$A966)="",$D966&lt;=INDEX(Employees!$E$5:$E$29,$A966))),1,0))</f>
        <v/>
      </c>
      <c r="H966" s="47">
        <f>IF($G966=0,0,IF(INDEX(Employees!$D$5:$D$29,$A966)="",0,DATEDIF(INDEX(Employees!$D$5:$D$29,$A966),$E966,"y")))</f>
        <v/>
      </c>
      <c r="I966" s="48">
        <f>IF($G966=0,0,IF(INDEX('Hours Worked'!$D$5:$BD$29,$A966,$B966)="",N(INDEX(Employees!$H$5:$H$29,$A966)),INDEX('Hours Worked'!$D$5:$BD$29,$A966,$B966)))</f>
        <v/>
      </c>
      <c r="J966" s="48">
        <f>IF(OR($G966=0,INDEX(Employees!$O$5:$O$29,$A966)&lt;&gt;"Yes"),0,IF(COUNTIF(Settings!$D$4:$D$9,"&lt;="&amp;$H966)=0,0,INDEX(Settings!$E$4:$E$9,COUNTIF(Settings!$D$4:$D$9,"&lt;="&amp;$H966))))</f>
        <v/>
      </c>
      <c r="K966" s="48">
        <f>IF($G966=0,0,IF(INDEX(Employees!$I$5:$I$29,$A966)="Per pay period",(N(INDEX(Employees!$J$5:$J$29,$A966))+$J966)/Settings!$B$13,IF(INDEX(Employees!$I$5:$I$29,$A966)="Per hour worked",N(INDEX(Employees!$K$5:$K$29,$A966))*$I966,IF(INDEX(Employees!$I$5:$I$29,$A966)="Front-loaded",IF(OR($B966=1,N($G965)=0),N(INDEX(Employees!$J$5:$J$29,$A966))+$J966,0),0))))</f>
        <v/>
      </c>
      <c r="L966" s="48">
        <f>IF($F966=0,0,SUMIFS('Time Off Log'!$H$5:$H$504,'Time Off Log'!$A$5:$A$504,$C966,'Time Off Log'!$B$5:$B$504,"PTO",'Time Off Log'!$E$5:$E$504,"Approved",'Time Off Log'!$C$5:$C$504,"&gt;="&amp;INDEX(Periods!$E$5:$E$57,$B966),'Time Off Log'!$C$5:$C$504,"&lt;="&amp;INDEX(Periods!$F$5:$F$57,$B966)))</f>
        <v/>
      </c>
      <c r="M966" s="48">
        <f>IF($B966=1,N(INDEX(Employees!$N$5:$N$29,$A966)),P965)</f>
        <v/>
      </c>
      <c r="N966" s="48">
        <f>IF(INDEX(Employees!$L$5:$L$29,$A966)="",K966,MAX(0,MIN(K966,INDEX(Employees!$L$5:$L$29,$A966)-(M966-L966))))</f>
        <v/>
      </c>
      <c r="O966" s="48">
        <f>K966-N966</f>
        <v/>
      </c>
      <c r="P966" s="48">
        <f>M966-L966+N966</f>
        <v/>
      </c>
      <c r="Q966" s="48">
        <f>IF($G966=0,0,IF(INDEX(Employees!$P$5:$P$29,$A966)="Per pay period",(N(INDEX(Employees!$Q$5:$Q$29,$A966)))/Settings!$B$13,IF(INDEX(Employees!$P$5:$P$29,$A966)="Per hour worked",N(INDEX(Employees!$R$5:$R$29,$A966))*$I966,IF(INDEX(Employees!$P$5:$P$29,$A966)="Front-loaded",IF(OR($B966=1,N($G965)=0),N(INDEX(Employees!$Q$5:$Q$29,$A966)),0),0))))</f>
        <v/>
      </c>
      <c r="R966" s="48">
        <f>IF($F966=0,0,SUMIFS('Time Off Log'!$H$5:$H$504,'Time Off Log'!$A$5:$A$504,$C966,'Time Off Log'!$B$5:$B$504,"Sick",'Time Off Log'!$E$5:$E$504,"Approved",'Time Off Log'!$C$5:$C$504,"&gt;="&amp;INDEX(Periods!$E$5:$E$57,$B966),'Time Off Log'!$C$5:$C$504,"&lt;="&amp;INDEX(Periods!$F$5:$F$57,$B966)))</f>
        <v/>
      </c>
      <c r="S966" s="48">
        <f>IF($B966=1,N(INDEX(Employees!$T$5:$T$29,$A966)),V965)</f>
        <v/>
      </c>
      <c r="T966" s="48">
        <f>IF(INDEX(Employees!$S$5:$S$29,$A966)="",Q966,MAX(0,MIN(Q966,INDEX(Employees!$S$5:$S$29,$A966)-(S966-R966))))</f>
        <v/>
      </c>
      <c r="U966" s="48">
        <f>Q966-T966</f>
        <v/>
      </c>
      <c r="V966" s="48">
        <f>S966-R966+T966</f>
        <v/>
      </c>
    </row>
    <row r="967">
      <c r="A967" s="47" t="n">
        <v>19</v>
      </c>
      <c r="B967" s="47" t="n">
        <v>9</v>
      </c>
      <c r="C967" s="48">
        <f>INDEX(Employees!$B$5:$B$29,$A967)&amp;""</f>
        <v/>
      </c>
      <c r="D967" s="49">
        <f>INDEX(Periods!$B$5:$B$57,$B967)</f>
        <v/>
      </c>
      <c r="E967" s="49">
        <f>INDEX(Periods!$C$5:$C$57,$B967)</f>
        <v/>
      </c>
      <c r="F967" s="47">
        <f>IF(AND($C967&lt;&gt;"",INDEX(Periods!$D$5:$D$57,$B967)=1),1,0)</f>
        <v/>
      </c>
      <c r="G967" s="47">
        <f>IF($F967=0,0,IF(AND(OR(INDEX(Employees!$D$5:$D$29,$A967)="",$E967&gt;=INDEX(Employees!$D$5:$D$29,$A967)+N(INDEX(Employees!$U$5:$U$29,$A967))),OR(INDEX(Employees!$E$5:$E$29,$A967)="",$D967&lt;=INDEX(Employees!$E$5:$E$29,$A967))),1,0))</f>
        <v/>
      </c>
      <c r="H967" s="47">
        <f>IF($G967=0,0,IF(INDEX(Employees!$D$5:$D$29,$A967)="",0,DATEDIF(INDEX(Employees!$D$5:$D$29,$A967),$E967,"y")))</f>
        <v/>
      </c>
      <c r="I967" s="48">
        <f>IF($G967=0,0,IF(INDEX('Hours Worked'!$D$5:$BD$29,$A967,$B967)="",N(INDEX(Employees!$H$5:$H$29,$A967)),INDEX('Hours Worked'!$D$5:$BD$29,$A967,$B967)))</f>
        <v/>
      </c>
      <c r="J967" s="48">
        <f>IF(OR($G967=0,INDEX(Employees!$O$5:$O$29,$A967)&lt;&gt;"Yes"),0,IF(COUNTIF(Settings!$D$4:$D$9,"&lt;="&amp;$H967)=0,0,INDEX(Settings!$E$4:$E$9,COUNTIF(Settings!$D$4:$D$9,"&lt;="&amp;$H967))))</f>
        <v/>
      </c>
      <c r="K967" s="48">
        <f>IF($G967=0,0,IF(INDEX(Employees!$I$5:$I$29,$A967)="Per pay period",(N(INDEX(Employees!$J$5:$J$29,$A967))+$J967)/Settings!$B$13,IF(INDEX(Employees!$I$5:$I$29,$A967)="Per hour worked",N(INDEX(Employees!$K$5:$K$29,$A967))*$I967,IF(INDEX(Employees!$I$5:$I$29,$A967)="Front-loaded",IF(OR($B967=1,N($G966)=0),N(INDEX(Employees!$J$5:$J$29,$A967))+$J967,0),0))))</f>
        <v/>
      </c>
      <c r="L967" s="48">
        <f>IF($F967=0,0,SUMIFS('Time Off Log'!$H$5:$H$504,'Time Off Log'!$A$5:$A$504,$C967,'Time Off Log'!$B$5:$B$504,"PTO",'Time Off Log'!$E$5:$E$504,"Approved",'Time Off Log'!$C$5:$C$504,"&gt;="&amp;INDEX(Periods!$E$5:$E$57,$B967),'Time Off Log'!$C$5:$C$504,"&lt;="&amp;INDEX(Periods!$F$5:$F$57,$B967)))</f>
        <v/>
      </c>
      <c r="M967" s="48">
        <f>IF($B967=1,N(INDEX(Employees!$N$5:$N$29,$A967)),P966)</f>
        <v/>
      </c>
      <c r="N967" s="48">
        <f>IF(INDEX(Employees!$L$5:$L$29,$A967)="",K967,MAX(0,MIN(K967,INDEX(Employees!$L$5:$L$29,$A967)-(M967-L967))))</f>
        <v/>
      </c>
      <c r="O967" s="48">
        <f>K967-N967</f>
        <v/>
      </c>
      <c r="P967" s="48">
        <f>M967-L967+N967</f>
        <v/>
      </c>
      <c r="Q967" s="48">
        <f>IF($G967=0,0,IF(INDEX(Employees!$P$5:$P$29,$A967)="Per pay period",(N(INDEX(Employees!$Q$5:$Q$29,$A967)))/Settings!$B$13,IF(INDEX(Employees!$P$5:$P$29,$A967)="Per hour worked",N(INDEX(Employees!$R$5:$R$29,$A967))*$I967,IF(INDEX(Employees!$P$5:$P$29,$A967)="Front-loaded",IF(OR($B967=1,N($G966)=0),N(INDEX(Employees!$Q$5:$Q$29,$A967)),0),0))))</f>
        <v/>
      </c>
      <c r="R967" s="48">
        <f>IF($F967=0,0,SUMIFS('Time Off Log'!$H$5:$H$504,'Time Off Log'!$A$5:$A$504,$C967,'Time Off Log'!$B$5:$B$504,"Sick",'Time Off Log'!$E$5:$E$504,"Approved",'Time Off Log'!$C$5:$C$504,"&gt;="&amp;INDEX(Periods!$E$5:$E$57,$B967),'Time Off Log'!$C$5:$C$504,"&lt;="&amp;INDEX(Periods!$F$5:$F$57,$B967)))</f>
        <v/>
      </c>
      <c r="S967" s="48">
        <f>IF($B967=1,N(INDEX(Employees!$T$5:$T$29,$A967)),V966)</f>
        <v/>
      </c>
      <c r="T967" s="48">
        <f>IF(INDEX(Employees!$S$5:$S$29,$A967)="",Q967,MAX(0,MIN(Q967,INDEX(Employees!$S$5:$S$29,$A967)-(S967-R967))))</f>
        <v/>
      </c>
      <c r="U967" s="48">
        <f>Q967-T967</f>
        <v/>
      </c>
      <c r="V967" s="48">
        <f>S967-R967+T967</f>
        <v/>
      </c>
    </row>
    <row r="968">
      <c r="A968" s="47" t="n">
        <v>19</v>
      </c>
      <c r="B968" s="47" t="n">
        <v>10</v>
      </c>
      <c r="C968" s="48">
        <f>INDEX(Employees!$B$5:$B$29,$A968)&amp;""</f>
        <v/>
      </c>
      <c r="D968" s="49">
        <f>INDEX(Periods!$B$5:$B$57,$B968)</f>
        <v/>
      </c>
      <c r="E968" s="49">
        <f>INDEX(Periods!$C$5:$C$57,$B968)</f>
        <v/>
      </c>
      <c r="F968" s="47">
        <f>IF(AND($C968&lt;&gt;"",INDEX(Periods!$D$5:$D$57,$B968)=1),1,0)</f>
        <v/>
      </c>
      <c r="G968" s="47">
        <f>IF($F968=0,0,IF(AND(OR(INDEX(Employees!$D$5:$D$29,$A968)="",$E968&gt;=INDEX(Employees!$D$5:$D$29,$A968)+N(INDEX(Employees!$U$5:$U$29,$A968))),OR(INDEX(Employees!$E$5:$E$29,$A968)="",$D968&lt;=INDEX(Employees!$E$5:$E$29,$A968))),1,0))</f>
        <v/>
      </c>
      <c r="H968" s="47">
        <f>IF($G968=0,0,IF(INDEX(Employees!$D$5:$D$29,$A968)="",0,DATEDIF(INDEX(Employees!$D$5:$D$29,$A968),$E968,"y")))</f>
        <v/>
      </c>
      <c r="I968" s="48">
        <f>IF($G968=0,0,IF(INDEX('Hours Worked'!$D$5:$BD$29,$A968,$B968)="",N(INDEX(Employees!$H$5:$H$29,$A968)),INDEX('Hours Worked'!$D$5:$BD$29,$A968,$B968)))</f>
        <v/>
      </c>
      <c r="J968" s="48">
        <f>IF(OR($G968=0,INDEX(Employees!$O$5:$O$29,$A968)&lt;&gt;"Yes"),0,IF(COUNTIF(Settings!$D$4:$D$9,"&lt;="&amp;$H968)=0,0,INDEX(Settings!$E$4:$E$9,COUNTIF(Settings!$D$4:$D$9,"&lt;="&amp;$H968))))</f>
        <v/>
      </c>
      <c r="K968" s="48">
        <f>IF($G968=0,0,IF(INDEX(Employees!$I$5:$I$29,$A968)="Per pay period",(N(INDEX(Employees!$J$5:$J$29,$A968))+$J968)/Settings!$B$13,IF(INDEX(Employees!$I$5:$I$29,$A968)="Per hour worked",N(INDEX(Employees!$K$5:$K$29,$A968))*$I968,IF(INDEX(Employees!$I$5:$I$29,$A968)="Front-loaded",IF(OR($B968=1,N($G967)=0),N(INDEX(Employees!$J$5:$J$29,$A968))+$J968,0),0))))</f>
        <v/>
      </c>
      <c r="L968" s="48">
        <f>IF($F968=0,0,SUMIFS('Time Off Log'!$H$5:$H$504,'Time Off Log'!$A$5:$A$504,$C968,'Time Off Log'!$B$5:$B$504,"PTO",'Time Off Log'!$E$5:$E$504,"Approved",'Time Off Log'!$C$5:$C$504,"&gt;="&amp;INDEX(Periods!$E$5:$E$57,$B968),'Time Off Log'!$C$5:$C$504,"&lt;="&amp;INDEX(Periods!$F$5:$F$57,$B968)))</f>
        <v/>
      </c>
      <c r="M968" s="48">
        <f>IF($B968=1,N(INDEX(Employees!$N$5:$N$29,$A968)),P967)</f>
        <v/>
      </c>
      <c r="N968" s="48">
        <f>IF(INDEX(Employees!$L$5:$L$29,$A968)="",K968,MAX(0,MIN(K968,INDEX(Employees!$L$5:$L$29,$A968)-(M968-L968))))</f>
        <v/>
      </c>
      <c r="O968" s="48">
        <f>K968-N968</f>
        <v/>
      </c>
      <c r="P968" s="48">
        <f>M968-L968+N968</f>
        <v/>
      </c>
      <c r="Q968" s="48">
        <f>IF($G968=0,0,IF(INDEX(Employees!$P$5:$P$29,$A968)="Per pay period",(N(INDEX(Employees!$Q$5:$Q$29,$A968)))/Settings!$B$13,IF(INDEX(Employees!$P$5:$P$29,$A968)="Per hour worked",N(INDEX(Employees!$R$5:$R$29,$A968))*$I968,IF(INDEX(Employees!$P$5:$P$29,$A968)="Front-loaded",IF(OR($B968=1,N($G967)=0),N(INDEX(Employees!$Q$5:$Q$29,$A968)),0),0))))</f>
        <v/>
      </c>
      <c r="R968" s="48">
        <f>IF($F968=0,0,SUMIFS('Time Off Log'!$H$5:$H$504,'Time Off Log'!$A$5:$A$504,$C968,'Time Off Log'!$B$5:$B$504,"Sick",'Time Off Log'!$E$5:$E$504,"Approved",'Time Off Log'!$C$5:$C$504,"&gt;="&amp;INDEX(Periods!$E$5:$E$57,$B968),'Time Off Log'!$C$5:$C$504,"&lt;="&amp;INDEX(Periods!$F$5:$F$57,$B968)))</f>
        <v/>
      </c>
      <c r="S968" s="48">
        <f>IF($B968=1,N(INDEX(Employees!$T$5:$T$29,$A968)),V967)</f>
        <v/>
      </c>
      <c r="T968" s="48">
        <f>IF(INDEX(Employees!$S$5:$S$29,$A968)="",Q968,MAX(0,MIN(Q968,INDEX(Employees!$S$5:$S$29,$A968)-(S968-R968))))</f>
        <v/>
      </c>
      <c r="U968" s="48">
        <f>Q968-T968</f>
        <v/>
      </c>
      <c r="V968" s="48">
        <f>S968-R968+T968</f>
        <v/>
      </c>
    </row>
    <row r="969">
      <c r="A969" s="47" t="n">
        <v>19</v>
      </c>
      <c r="B969" s="47" t="n">
        <v>11</v>
      </c>
      <c r="C969" s="48">
        <f>INDEX(Employees!$B$5:$B$29,$A969)&amp;""</f>
        <v/>
      </c>
      <c r="D969" s="49">
        <f>INDEX(Periods!$B$5:$B$57,$B969)</f>
        <v/>
      </c>
      <c r="E969" s="49">
        <f>INDEX(Periods!$C$5:$C$57,$B969)</f>
        <v/>
      </c>
      <c r="F969" s="47">
        <f>IF(AND($C969&lt;&gt;"",INDEX(Periods!$D$5:$D$57,$B969)=1),1,0)</f>
        <v/>
      </c>
      <c r="G969" s="47">
        <f>IF($F969=0,0,IF(AND(OR(INDEX(Employees!$D$5:$D$29,$A969)="",$E969&gt;=INDEX(Employees!$D$5:$D$29,$A969)+N(INDEX(Employees!$U$5:$U$29,$A969))),OR(INDEX(Employees!$E$5:$E$29,$A969)="",$D969&lt;=INDEX(Employees!$E$5:$E$29,$A969))),1,0))</f>
        <v/>
      </c>
      <c r="H969" s="47">
        <f>IF($G969=0,0,IF(INDEX(Employees!$D$5:$D$29,$A969)="",0,DATEDIF(INDEX(Employees!$D$5:$D$29,$A969),$E969,"y")))</f>
        <v/>
      </c>
      <c r="I969" s="48">
        <f>IF($G969=0,0,IF(INDEX('Hours Worked'!$D$5:$BD$29,$A969,$B969)="",N(INDEX(Employees!$H$5:$H$29,$A969)),INDEX('Hours Worked'!$D$5:$BD$29,$A969,$B969)))</f>
        <v/>
      </c>
      <c r="J969" s="48">
        <f>IF(OR($G969=0,INDEX(Employees!$O$5:$O$29,$A969)&lt;&gt;"Yes"),0,IF(COUNTIF(Settings!$D$4:$D$9,"&lt;="&amp;$H969)=0,0,INDEX(Settings!$E$4:$E$9,COUNTIF(Settings!$D$4:$D$9,"&lt;="&amp;$H969))))</f>
        <v/>
      </c>
      <c r="K969" s="48">
        <f>IF($G969=0,0,IF(INDEX(Employees!$I$5:$I$29,$A969)="Per pay period",(N(INDEX(Employees!$J$5:$J$29,$A969))+$J969)/Settings!$B$13,IF(INDEX(Employees!$I$5:$I$29,$A969)="Per hour worked",N(INDEX(Employees!$K$5:$K$29,$A969))*$I969,IF(INDEX(Employees!$I$5:$I$29,$A969)="Front-loaded",IF(OR($B969=1,N($G968)=0),N(INDEX(Employees!$J$5:$J$29,$A969))+$J969,0),0))))</f>
        <v/>
      </c>
      <c r="L969" s="48">
        <f>IF($F969=0,0,SUMIFS('Time Off Log'!$H$5:$H$504,'Time Off Log'!$A$5:$A$504,$C969,'Time Off Log'!$B$5:$B$504,"PTO",'Time Off Log'!$E$5:$E$504,"Approved",'Time Off Log'!$C$5:$C$504,"&gt;="&amp;INDEX(Periods!$E$5:$E$57,$B969),'Time Off Log'!$C$5:$C$504,"&lt;="&amp;INDEX(Periods!$F$5:$F$57,$B969)))</f>
        <v/>
      </c>
      <c r="M969" s="48">
        <f>IF($B969=1,N(INDEX(Employees!$N$5:$N$29,$A969)),P968)</f>
        <v/>
      </c>
      <c r="N969" s="48">
        <f>IF(INDEX(Employees!$L$5:$L$29,$A969)="",K969,MAX(0,MIN(K969,INDEX(Employees!$L$5:$L$29,$A969)-(M969-L969))))</f>
        <v/>
      </c>
      <c r="O969" s="48">
        <f>K969-N969</f>
        <v/>
      </c>
      <c r="P969" s="48">
        <f>M969-L969+N969</f>
        <v/>
      </c>
      <c r="Q969" s="48">
        <f>IF($G969=0,0,IF(INDEX(Employees!$P$5:$P$29,$A969)="Per pay period",(N(INDEX(Employees!$Q$5:$Q$29,$A969)))/Settings!$B$13,IF(INDEX(Employees!$P$5:$P$29,$A969)="Per hour worked",N(INDEX(Employees!$R$5:$R$29,$A969))*$I969,IF(INDEX(Employees!$P$5:$P$29,$A969)="Front-loaded",IF(OR($B969=1,N($G968)=0),N(INDEX(Employees!$Q$5:$Q$29,$A969)),0),0))))</f>
        <v/>
      </c>
      <c r="R969" s="48">
        <f>IF($F969=0,0,SUMIFS('Time Off Log'!$H$5:$H$504,'Time Off Log'!$A$5:$A$504,$C969,'Time Off Log'!$B$5:$B$504,"Sick",'Time Off Log'!$E$5:$E$504,"Approved",'Time Off Log'!$C$5:$C$504,"&gt;="&amp;INDEX(Periods!$E$5:$E$57,$B969),'Time Off Log'!$C$5:$C$504,"&lt;="&amp;INDEX(Periods!$F$5:$F$57,$B969)))</f>
        <v/>
      </c>
      <c r="S969" s="48">
        <f>IF($B969=1,N(INDEX(Employees!$T$5:$T$29,$A969)),V968)</f>
        <v/>
      </c>
      <c r="T969" s="48">
        <f>IF(INDEX(Employees!$S$5:$S$29,$A969)="",Q969,MAX(0,MIN(Q969,INDEX(Employees!$S$5:$S$29,$A969)-(S969-R969))))</f>
        <v/>
      </c>
      <c r="U969" s="48">
        <f>Q969-T969</f>
        <v/>
      </c>
      <c r="V969" s="48">
        <f>S969-R969+T969</f>
        <v/>
      </c>
    </row>
    <row r="970">
      <c r="A970" s="47" t="n">
        <v>19</v>
      </c>
      <c r="B970" s="47" t="n">
        <v>12</v>
      </c>
      <c r="C970" s="48">
        <f>INDEX(Employees!$B$5:$B$29,$A970)&amp;""</f>
        <v/>
      </c>
      <c r="D970" s="49">
        <f>INDEX(Periods!$B$5:$B$57,$B970)</f>
        <v/>
      </c>
      <c r="E970" s="49">
        <f>INDEX(Periods!$C$5:$C$57,$B970)</f>
        <v/>
      </c>
      <c r="F970" s="47">
        <f>IF(AND($C970&lt;&gt;"",INDEX(Periods!$D$5:$D$57,$B970)=1),1,0)</f>
        <v/>
      </c>
      <c r="G970" s="47">
        <f>IF($F970=0,0,IF(AND(OR(INDEX(Employees!$D$5:$D$29,$A970)="",$E970&gt;=INDEX(Employees!$D$5:$D$29,$A970)+N(INDEX(Employees!$U$5:$U$29,$A970))),OR(INDEX(Employees!$E$5:$E$29,$A970)="",$D970&lt;=INDEX(Employees!$E$5:$E$29,$A970))),1,0))</f>
        <v/>
      </c>
      <c r="H970" s="47">
        <f>IF($G970=0,0,IF(INDEX(Employees!$D$5:$D$29,$A970)="",0,DATEDIF(INDEX(Employees!$D$5:$D$29,$A970),$E970,"y")))</f>
        <v/>
      </c>
      <c r="I970" s="48">
        <f>IF($G970=0,0,IF(INDEX('Hours Worked'!$D$5:$BD$29,$A970,$B970)="",N(INDEX(Employees!$H$5:$H$29,$A970)),INDEX('Hours Worked'!$D$5:$BD$29,$A970,$B970)))</f>
        <v/>
      </c>
      <c r="J970" s="48">
        <f>IF(OR($G970=0,INDEX(Employees!$O$5:$O$29,$A970)&lt;&gt;"Yes"),0,IF(COUNTIF(Settings!$D$4:$D$9,"&lt;="&amp;$H970)=0,0,INDEX(Settings!$E$4:$E$9,COUNTIF(Settings!$D$4:$D$9,"&lt;="&amp;$H970))))</f>
        <v/>
      </c>
      <c r="K970" s="48">
        <f>IF($G970=0,0,IF(INDEX(Employees!$I$5:$I$29,$A970)="Per pay period",(N(INDEX(Employees!$J$5:$J$29,$A970))+$J970)/Settings!$B$13,IF(INDEX(Employees!$I$5:$I$29,$A970)="Per hour worked",N(INDEX(Employees!$K$5:$K$29,$A970))*$I970,IF(INDEX(Employees!$I$5:$I$29,$A970)="Front-loaded",IF(OR($B970=1,N($G969)=0),N(INDEX(Employees!$J$5:$J$29,$A970))+$J970,0),0))))</f>
        <v/>
      </c>
      <c r="L970" s="48">
        <f>IF($F970=0,0,SUMIFS('Time Off Log'!$H$5:$H$504,'Time Off Log'!$A$5:$A$504,$C970,'Time Off Log'!$B$5:$B$504,"PTO",'Time Off Log'!$E$5:$E$504,"Approved",'Time Off Log'!$C$5:$C$504,"&gt;="&amp;INDEX(Periods!$E$5:$E$57,$B970),'Time Off Log'!$C$5:$C$504,"&lt;="&amp;INDEX(Periods!$F$5:$F$57,$B970)))</f>
        <v/>
      </c>
      <c r="M970" s="48">
        <f>IF($B970=1,N(INDEX(Employees!$N$5:$N$29,$A970)),P969)</f>
        <v/>
      </c>
      <c r="N970" s="48">
        <f>IF(INDEX(Employees!$L$5:$L$29,$A970)="",K970,MAX(0,MIN(K970,INDEX(Employees!$L$5:$L$29,$A970)-(M970-L970))))</f>
        <v/>
      </c>
      <c r="O970" s="48">
        <f>K970-N970</f>
        <v/>
      </c>
      <c r="P970" s="48">
        <f>M970-L970+N970</f>
        <v/>
      </c>
      <c r="Q970" s="48">
        <f>IF($G970=0,0,IF(INDEX(Employees!$P$5:$P$29,$A970)="Per pay period",(N(INDEX(Employees!$Q$5:$Q$29,$A970)))/Settings!$B$13,IF(INDEX(Employees!$P$5:$P$29,$A970)="Per hour worked",N(INDEX(Employees!$R$5:$R$29,$A970))*$I970,IF(INDEX(Employees!$P$5:$P$29,$A970)="Front-loaded",IF(OR($B970=1,N($G969)=0),N(INDEX(Employees!$Q$5:$Q$29,$A970)),0),0))))</f>
        <v/>
      </c>
      <c r="R970" s="48">
        <f>IF($F970=0,0,SUMIFS('Time Off Log'!$H$5:$H$504,'Time Off Log'!$A$5:$A$504,$C970,'Time Off Log'!$B$5:$B$504,"Sick",'Time Off Log'!$E$5:$E$504,"Approved",'Time Off Log'!$C$5:$C$504,"&gt;="&amp;INDEX(Periods!$E$5:$E$57,$B970),'Time Off Log'!$C$5:$C$504,"&lt;="&amp;INDEX(Periods!$F$5:$F$57,$B970)))</f>
        <v/>
      </c>
      <c r="S970" s="48">
        <f>IF($B970=1,N(INDEX(Employees!$T$5:$T$29,$A970)),V969)</f>
        <v/>
      </c>
      <c r="T970" s="48">
        <f>IF(INDEX(Employees!$S$5:$S$29,$A970)="",Q970,MAX(0,MIN(Q970,INDEX(Employees!$S$5:$S$29,$A970)-(S970-R970))))</f>
        <v/>
      </c>
      <c r="U970" s="48">
        <f>Q970-T970</f>
        <v/>
      </c>
      <c r="V970" s="48">
        <f>S970-R970+T970</f>
        <v/>
      </c>
    </row>
    <row r="971">
      <c r="A971" s="47" t="n">
        <v>19</v>
      </c>
      <c r="B971" s="47" t="n">
        <v>13</v>
      </c>
      <c r="C971" s="48">
        <f>INDEX(Employees!$B$5:$B$29,$A971)&amp;""</f>
        <v/>
      </c>
      <c r="D971" s="49">
        <f>INDEX(Periods!$B$5:$B$57,$B971)</f>
        <v/>
      </c>
      <c r="E971" s="49">
        <f>INDEX(Periods!$C$5:$C$57,$B971)</f>
        <v/>
      </c>
      <c r="F971" s="47">
        <f>IF(AND($C971&lt;&gt;"",INDEX(Periods!$D$5:$D$57,$B971)=1),1,0)</f>
        <v/>
      </c>
      <c r="G971" s="47">
        <f>IF($F971=0,0,IF(AND(OR(INDEX(Employees!$D$5:$D$29,$A971)="",$E971&gt;=INDEX(Employees!$D$5:$D$29,$A971)+N(INDEX(Employees!$U$5:$U$29,$A971))),OR(INDEX(Employees!$E$5:$E$29,$A971)="",$D971&lt;=INDEX(Employees!$E$5:$E$29,$A971))),1,0))</f>
        <v/>
      </c>
      <c r="H971" s="47">
        <f>IF($G971=0,0,IF(INDEX(Employees!$D$5:$D$29,$A971)="",0,DATEDIF(INDEX(Employees!$D$5:$D$29,$A971),$E971,"y")))</f>
        <v/>
      </c>
      <c r="I971" s="48">
        <f>IF($G971=0,0,IF(INDEX('Hours Worked'!$D$5:$BD$29,$A971,$B971)="",N(INDEX(Employees!$H$5:$H$29,$A971)),INDEX('Hours Worked'!$D$5:$BD$29,$A971,$B971)))</f>
        <v/>
      </c>
      <c r="J971" s="48">
        <f>IF(OR($G971=0,INDEX(Employees!$O$5:$O$29,$A971)&lt;&gt;"Yes"),0,IF(COUNTIF(Settings!$D$4:$D$9,"&lt;="&amp;$H971)=0,0,INDEX(Settings!$E$4:$E$9,COUNTIF(Settings!$D$4:$D$9,"&lt;="&amp;$H971))))</f>
        <v/>
      </c>
      <c r="K971" s="48">
        <f>IF($G971=0,0,IF(INDEX(Employees!$I$5:$I$29,$A971)="Per pay period",(N(INDEX(Employees!$J$5:$J$29,$A971))+$J971)/Settings!$B$13,IF(INDEX(Employees!$I$5:$I$29,$A971)="Per hour worked",N(INDEX(Employees!$K$5:$K$29,$A971))*$I971,IF(INDEX(Employees!$I$5:$I$29,$A971)="Front-loaded",IF(OR($B971=1,N($G970)=0),N(INDEX(Employees!$J$5:$J$29,$A971))+$J971,0),0))))</f>
        <v/>
      </c>
      <c r="L971" s="48">
        <f>IF($F971=0,0,SUMIFS('Time Off Log'!$H$5:$H$504,'Time Off Log'!$A$5:$A$504,$C971,'Time Off Log'!$B$5:$B$504,"PTO",'Time Off Log'!$E$5:$E$504,"Approved",'Time Off Log'!$C$5:$C$504,"&gt;="&amp;INDEX(Periods!$E$5:$E$57,$B971),'Time Off Log'!$C$5:$C$504,"&lt;="&amp;INDEX(Periods!$F$5:$F$57,$B971)))</f>
        <v/>
      </c>
      <c r="M971" s="48">
        <f>IF($B971=1,N(INDEX(Employees!$N$5:$N$29,$A971)),P970)</f>
        <v/>
      </c>
      <c r="N971" s="48">
        <f>IF(INDEX(Employees!$L$5:$L$29,$A971)="",K971,MAX(0,MIN(K971,INDEX(Employees!$L$5:$L$29,$A971)-(M971-L971))))</f>
        <v/>
      </c>
      <c r="O971" s="48">
        <f>K971-N971</f>
        <v/>
      </c>
      <c r="P971" s="48">
        <f>M971-L971+N971</f>
        <v/>
      </c>
      <c r="Q971" s="48">
        <f>IF($G971=0,0,IF(INDEX(Employees!$P$5:$P$29,$A971)="Per pay period",(N(INDEX(Employees!$Q$5:$Q$29,$A971)))/Settings!$B$13,IF(INDEX(Employees!$P$5:$P$29,$A971)="Per hour worked",N(INDEX(Employees!$R$5:$R$29,$A971))*$I971,IF(INDEX(Employees!$P$5:$P$29,$A971)="Front-loaded",IF(OR($B971=1,N($G970)=0),N(INDEX(Employees!$Q$5:$Q$29,$A971)),0),0))))</f>
        <v/>
      </c>
      <c r="R971" s="48">
        <f>IF($F971=0,0,SUMIFS('Time Off Log'!$H$5:$H$504,'Time Off Log'!$A$5:$A$504,$C971,'Time Off Log'!$B$5:$B$504,"Sick",'Time Off Log'!$E$5:$E$504,"Approved",'Time Off Log'!$C$5:$C$504,"&gt;="&amp;INDEX(Periods!$E$5:$E$57,$B971),'Time Off Log'!$C$5:$C$504,"&lt;="&amp;INDEX(Periods!$F$5:$F$57,$B971)))</f>
        <v/>
      </c>
      <c r="S971" s="48">
        <f>IF($B971=1,N(INDEX(Employees!$T$5:$T$29,$A971)),V970)</f>
        <v/>
      </c>
      <c r="T971" s="48">
        <f>IF(INDEX(Employees!$S$5:$S$29,$A971)="",Q971,MAX(0,MIN(Q971,INDEX(Employees!$S$5:$S$29,$A971)-(S971-R971))))</f>
        <v/>
      </c>
      <c r="U971" s="48">
        <f>Q971-T971</f>
        <v/>
      </c>
      <c r="V971" s="48">
        <f>S971-R971+T971</f>
        <v/>
      </c>
    </row>
    <row r="972">
      <c r="A972" s="47" t="n">
        <v>19</v>
      </c>
      <c r="B972" s="47" t="n">
        <v>14</v>
      </c>
      <c r="C972" s="48">
        <f>INDEX(Employees!$B$5:$B$29,$A972)&amp;""</f>
        <v/>
      </c>
      <c r="D972" s="49">
        <f>INDEX(Periods!$B$5:$B$57,$B972)</f>
        <v/>
      </c>
      <c r="E972" s="49">
        <f>INDEX(Periods!$C$5:$C$57,$B972)</f>
        <v/>
      </c>
      <c r="F972" s="47">
        <f>IF(AND($C972&lt;&gt;"",INDEX(Periods!$D$5:$D$57,$B972)=1),1,0)</f>
        <v/>
      </c>
      <c r="G972" s="47">
        <f>IF($F972=0,0,IF(AND(OR(INDEX(Employees!$D$5:$D$29,$A972)="",$E972&gt;=INDEX(Employees!$D$5:$D$29,$A972)+N(INDEX(Employees!$U$5:$U$29,$A972))),OR(INDEX(Employees!$E$5:$E$29,$A972)="",$D972&lt;=INDEX(Employees!$E$5:$E$29,$A972))),1,0))</f>
        <v/>
      </c>
      <c r="H972" s="47">
        <f>IF($G972=0,0,IF(INDEX(Employees!$D$5:$D$29,$A972)="",0,DATEDIF(INDEX(Employees!$D$5:$D$29,$A972),$E972,"y")))</f>
        <v/>
      </c>
      <c r="I972" s="48">
        <f>IF($G972=0,0,IF(INDEX('Hours Worked'!$D$5:$BD$29,$A972,$B972)="",N(INDEX(Employees!$H$5:$H$29,$A972)),INDEX('Hours Worked'!$D$5:$BD$29,$A972,$B972)))</f>
        <v/>
      </c>
      <c r="J972" s="48">
        <f>IF(OR($G972=0,INDEX(Employees!$O$5:$O$29,$A972)&lt;&gt;"Yes"),0,IF(COUNTIF(Settings!$D$4:$D$9,"&lt;="&amp;$H972)=0,0,INDEX(Settings!$E$4:$E$9,COUNTIF(Settings!$D$4:$D$9,"&lt;="&amp;$H972))))</f>
        <v/>
      </c>
      <c r="K972" s="48">
        <f>IF($G972=0,0,IF(INDEX(Employees!$I$5:$I$29,$A972)="Per pay period",(N(INDEX(Employees!$J$5:$J$29,$A972))+$J972)/Settings!$B$13,IF(INDEX(Employees!$I$5:$I$29,$A972)="Per hour worked",N(INDEX(Employees!$K$5:$K$29,$A972))*$I972,IF(INDEX(Employees!$I$5:$I$29,$A972)="Front-loaded",IF(OR($B972=1,N($G971)=0),N(INDEX(Employees!$J$5:$J$29,$A972))+$J972,0),0))))</f>
        <v/>
      </c>
      <c r="L972" s="48">
        <f>IF($F972=0,0,SUMIFS('Time Off Log'!$H$5:$H$504,'Time Off Log'!$A$5:$A$504,$C972,'Time Off Log'!$B$5:$B$504,"PTO",'Time Off Log'!$E$5:$E$504,"Approved",'Time Off Log'!$C$5:$C$504,"&gt;="&amp;INDEX(Periods!$E$5:$E$57,$B972),'Time Off Log'!$C$5:$C$504,"&lt;="&amp;INDEX(Periods!$F$5:$F$57,$B972)))</f>
        <v/>
      </c>
      <c r="M972" s="48">
        <f>IF($B972=1,N(INDEX(Employees!$N$5:$N$29,$A972)),P971)</f>
        <v/>
      </c>
      <c r="N972" s="48">
        <f>IF(INDEX(Employees!$L$5:$L$29,$A972)="",K972,MAX(0,MIN(K972,INDEX(Employees!$L$5:$L$29,$A972)-(M972-L972))))</f>
        <v/>
      </c>
      <c r="O972" s="48">
        <f>K972-N972</f>
        <v/>
      </c>
      <c r="P972" s="48">
        <f>M972-L972+N972</f>
        <v/>
      </c>
      <c r="Q972" s="48">
        <f>IF($G972=0,0,IF(INDEX(Employees!$P$5:$P$29,$A972)="Per pay period",(N(INDEX(Employees!$Q$5:$Q$29,$A972)))/Settings!$B$13,IF(INDEX(Employees!$P$5:$P$29,$A972)="Per hour worked",N(INDEX(Employees!$R$5:$R$29,$A972))*$I972,IF(INDEX(Employees!$P$5:$P$29,$A972)="Front-loaded",IF(OR($B972=1,N($G971)=0),N(INDEX(Employees!$Q$5:$Q$29,$A972)),0),0))))</f>
        <v/>
      </c>
      <c r="R972" s="48">
        <f>IF($F972=0,0,SUMIFS('Time Off Log'!$H$5:$H$504,'Time Off Log'!$A$5:$A$504,$C972,'Time Off Log'!$B$5:$B$504,"Sick",'Time Off Log'!$E$5:$E$504,"Approved",'Time Off Log'!$C$5:$C$504,"&gt;="&amp;INDEX(Periods!$E$5:$E$57,$B972),'Time Off Log'!$C$5:$C$504,"&lt;="&amp;INDEX(Periods!$F$5:$F$57,$B972)))</f>
        <v/>
      </c>
      <c r="S972" s="48">
        <f>IF($B972=1,N(INDEX(Employees!$T$5:$T$29,$A972)),V971)</f>
        <v/>
      </c>
      <c r="T972" s="48">
        <f>IF(INDEX(Employees!$S$5:$S$29,$A972)="",Q972,MAX(0,MIN(Q972,INDEX(Employees!$S$5:$S$29,$A972)-(S972-R972))))</f>
        <v/>
      </c>
      <c r="U972" s="48">
        <f>Q972-T972</f>
        <v/>
      </c>
      <c r="V972" s="48">
        <f>S972-R972+T972</f>
        <v/>
      </c>
    </row>
    <row r="973">
      <c r="A973" s="47" t="n">
        <v>19</v>
      </c>
      <c r="B973" s="47" t="n">
        <v>15</v>
      </c>
      <c r="C973" s="48">
        <f>INDEX(Employees!$B$5:$B$29,$A973)&amp;""</f>
        <v/>
      </c>
      <c r="D973" s="49">
        <f>INDEX(Periods!$B$5:$B$57,$B973)</f>
        <v/>
      </c>
      <c r="E973" s="49">
        <f>INDEX(Periods!$C$5:$C$57,$B973)</f>
        <v/>
      </c>
      <c r="F973" s="47">
        <f>IF(AND($C973&lt;&gt;"",INDEX(Periods!$D$5:$D$57,$B973)=1),1,0)</f>
        <v/>
      </c>
      <c r="G973" s="47">
        <f>IF($F973=0,0,IF(AND(OR(INDEX(Employees!$D$5:$D$29,$A973)="",$E973&gt;=INDEX(Employees!$D$5:$D$29,$A973)+N(INDEX(Employees!$U$5:$U$29,$A973))),OR(INDEX(Employees!$E$5:$E$29,$A973)="",$D973&lt;=INDEX(Employees!$E$5:$E$29,$A973))),1,0))</f>
        <v/>
      </c>
      <c r="H973" s="47">
        <f>IF($G973=0,0,IF(INDEX(Employees!$D$5:$D$29,$A973)="",0,DATEDIF(INDEX(Employees!$D$5:$D$29,$A973),$E973,"y")))</f>
        <v/>
      </c>
      <c r="I973" s="48">
        <f>IF($G973=0,0,IF(INDEX('Hours Worked'!$D$5:$BD$29,$A973,$B973)="",N(INDEX(Employees!$H$5:$H$29,$A973)),INDEX('Hours Worked'!$D$5:$BD$29,$A973,$B973)))</f>
        <v/>
      </c>
      <c r="J973" s="48">
        <f>IF(OR($G973=0,INDEX(Employees!$O$5:$O$29,$A973)&lt;&gt;"Yes"),0,IF(COUNTIF(Settings!$D$4:$D$9,"&lt;="&amp;$H973)=0,0,INDEX(Settings!$E$4:$E$9,COUNTIF(Settings!$D$4:$D$9,"&lt;="&amp;$H973))))</f>
        <v/>
      </c>
      <c r="K973" s="48">
        <f>IF($G973=0,0,IF(INDEX(Employees!$I$5:$I$29,$A973)="Per pay period",(N(INDEX(Employees!$J$5:$J$29,$A973))+$J973)/Settings!$B$13,IF(INDEX(Employees!$I$5:$I$29,$A973)="Per hour worked",N(INDEX(Employees!$K$5:$K$29,$A973))*$I973,IF(INDEX(Employees!$I$5:$I$29,$A973)="Front-loaded",IF(OR($B973=1,N($G972)=0),N(INDEX(Employees!$J$5:$J$29,$A973))+$J973,0),0))))</f>
        <v/>
      </c>
      <c r="L973" s="48">
        <f>IF($F973=0,0,SUMIFS('Time Off Log'!$H$5:$H$504,'Time Off Log'!$A$5:$A$504,$C973,'Time Off Log'!$B$5:$B$504,"PTO",'Time Off Log'!$E$5:$E$504,"Approved",'Time Off Log'!$C$5:$C$504,"&gt;="&amp;INDEX(Periods!$E$5:$E$57,$B973),'Time Off Log'!$C$5:$C$504,"&lt;="&amp;INDEX(Periods!$F$5:$F$57,$B973)))</f>
        <v/>
      </c>
      <c r="M973" s="48">
        <f>IF($B973=1,N(INDEX(Employees!$N$5:$N$29,$A973)),P972)</f>
        <v/>
      </c>
      <c r="N973" s="48">
        <f>IF(INDEX(Employees!$L$5:$L$29,$A973)="",K973,MAX(0,MIN(K973,INDEX(Employees!$L$5:$L$29,$A973)-(M973-L973))))</f>
        <v/>
      </c>
      <c r="O973" s="48">
        <f>K973-N973</f>
        <v/>
      </c>
      <c r="P973" s="48">
        <f>M973-L973+N973</f>
        <v/>
      </c>
      <c r="Q973" s="48">
        <f>IF($G973=0,0,IF(INDEX(Employees!$P$5:$P$29,$A973)="Per pay period",(N(INDEX(Employees!$Q$5:$Q$29,$A973)))/Settings!$B$13,IF(INDEX(Employees!$P$5:$P$29,$A973)="Per hour worked",N(INDEX(Employees!$R$5:$R$29,$A973))*$I973,IF(INDEX(Employees!$P$5:$P$29,$A973)="Front-loaded",IF(OR($B973=1,N($G972)=0),N(INDEX(Employees!$Q$5:$Q$29,$A973)),0),0))))</f>
        <v/>
      </c>
      <c r="R973" s="48">
        <f>IF($F973=0,0,SUMIFS('Time Off Log'!$H$5:$H$504,'Time Off Log'!$A$5:$A$504,$C973,'Time Off Log'!$B$5:$B$504,"Sick",'Time Off Log'!$E$5:$E$504,"Approved",'Time Off Log'!$C$5:$C$504,"&gt;="&amp;INDEX(Periods!$E$5:$E$57,$B973),'Time Off Log'!$C$5:$C$504,"&lt;="&amp;INDEX(Periods!$F$5:$F$57,$B973)))</f>
        <v/>
      </c>
      <c r="S973" s="48">
        <f>IF($B973=1,N(INDEX(Employees!$T$5:$T$29,$A973)),V972)</f>
        <v/>
      </c>
      <c r="T973" s="48">
        <f>IF(INDEX(Employees!$S$5:$S$29,$A973)="",Q973,MAX(0,MIN(Q973,INDEX(Employees!$S$5:$S$29,$A973)-(S973-R973))))</f>
        <v/>
      </c>
      <c r="U973" s="48">
        <f>Q973-T973</f>
        <v/>
      </c>
      <c r="V973" s="48">
        <f>S973-R973+T973</f>
        <v/>
      </c>
    </row>
    <row r="974">
      <c r="A974" s="47" t="n">
        <v>19</v>
      </c>
      <c r="B974" s="47" t="n">
        <v>16</v>
      </c>
      <c r="C974" s="48">
        <f>INDEX(Employees!$B$5:$B$29,$A974)&amp;""</f>
        <v/>
      </c>
      <c r="D974" s="49">
        <f>INDEX(Periods!$B$5:$B$57,$B974)</f>
        <v/>
      </c>
      <c r="E974" s="49">
        <f>INDEX(Periods!$C$5:$C$57,$B974)</f>
        <v/>
      </c>
      <c r="F974" s="47">
        <f>IF(AND($C974&lt;&gt;"",INDEX(Periods!$D$5:$D$57,$B974)=1),1,0)</f>
        <v/>
      </c>
      <c r="G974" s="47">
        <f>IF($F974=0,0,IF(AND(OR(INDEX(Employees!$D$5:$D$29,$A974)="",$E974&gt;=INDEX(Employees!$D$5:$D$29,$A974)+N(INDEX(Employees!$U$5:$U$29,$A974))),OR(INDEX(Employees!$E$5:$E$29,$A974)="",$D974&lt;=INDEX(Employees!$E$5:$E$29,$A974))),1,0))</f>
        <v/>
      </c>
      <c r="H974" s="47">
        <f>IF($G974=0,0,IF(INDEX(Employees!$D$5:$D$29,$A974)="",0,DATEDIF(INDEX(Employees!$D$5:$D$29,$A974),$E974,"y")))</f>
        <v/>
      </c>
      <c r="I974" s="48">
        <f>IF($G974=0,0,IF(INDEX('Hours Worked'!$D$5:$BD$29,$A974,$B974)="",N(INDEX(Employees!$H$5:$H$29,$A974)),INDEX('Hours Worked'!$D$5:$BD$29,$A974,$B974)))</f>
        <v/>
      </c>
      <c r="J974" s="48">
        <f>IF(OR($G974=0,INDEX(Employees!$O$5:$O$29,$A974)&lt;&gt;"Yes"),0,IF(COUNTIF(Settings!$D$4:$D$9,"&lt;="&amp;$H974)=0,0,INDEX(Settings!$E$4:$E$9,COUNTIF(Settings!$D$4:$D$9,"&lt;="&amp;$H974))))</f>
        <v/>
      </c>
      <c r="K974" s="48">
        <f>IF($G974=0,0,IF(INDEX(Employees!$I$5:$I$29,$A974)="Per pay period",(N(INDEX(Employees!$J$5:$J$29,$A974))+$J974)/Settings!$B$13,IF(INDEX(Employees!$I$5:$I$29,$A974)="Per hour worked",N(INDEX(Employees!$K$5:$K$29,$A974))*$I974,IF(INDEX(Employees!$I$5:$I$29,$A974)="Front-loaded",IF(OR($B974=1,N($G973)=0),N(INDEX(Employees!$J$5:$J$29,$A974))+$J974,0),0))))</f>
        <v/>
      </c>
      <c r="L974" s="48">
        <f>IF($F974=0,0,SUMIFS('Time Off Log'!$H$5:$H$504,'Time Off Log'!$A$5:$A$504,$C974,'Time Off Log'!$B$5:$B$504,"PTO",'Time Off Log'!$E$5:$E$504,"Approved",'Time Off Log'!$C$5:$C$504,"&gt;="&amp;INDEX(Periods!$E$5:$E$57,$B974),'Time Off Log'!$C$5:$C$504,"&lt;="&amp;INDEX(Periods!$F$5:$F$57,$B974)))</f>
        <v/>
      </c>
      <c r="M974" s="48">
        <f>IF($B974=1,N(INDEX(Employees!$N$5:$N$29,$A974)),P973)</f>
        <v/>
      </c>
      <c r="N974" s="48">
        <f>IF(INDEX(Employees!$L$5:$L$29,$A974)="",K974,MAX(0,MIN(K974,INDEX(Employees!$L$5:$L$29,$A974)-(M974-L974))))</f>
        <v/>
      </c>
      <c r="O974" s="48">
        <f>K974-N974</f>
        <v/>
      </c>
      <c r="P974" s="48">
        <f>M974-L974+N974</f>
        <v/>
      </c>
      <c r="Q974" s="48">
        <f>IF($G974=0,0,IF(INDEX(Employees!$P$5:$P$29,$A974)="Per pay period",(N(INDEX(Employees!$Q$5:$Q$29,$A974)))/Settings!$B$13,IF(INDEX(Employees!$P$5:$P$29,$A974)="Per hour worked",N(INDEX(Employees!$R$5:$R$29,$A974))*$I974,IF(INDEX(Employees!$P$5:$P$29,$A974)="Front-loaded",IF(OR($B974=1,N($G973)=0),N(INDEX(Employees!$Q$5:$Q$29,$A974)),0),0))))</f>
        <v/>
      </c>
      <c r="R974" s="48">
        <f>IF($F974=0,0,SUMIFS('Time Off Log'!$H$5:$H$504,'Time Off Log'!$A$5:$A$504,$C974,'Time Off Log'!$B$5:$B$504,"Sick",'Time Off Log'!$E$5:$E$504,"Approved",'Time Off Log'!$C$5:$C$504,"&gt;="&amp;INDEX(Periods!$E$5:$E$57,$B974),'Time Off Log'!$C$5:$C$504,"&lt;="&amp;INDEX(Periods!$F$5:$F$57,$B974)))</f>
        <v/>
      </c>
      <c r="S974" s="48">
        <f>IF($B974=1,N(INDEX(Employees!$T$5:$T$29,$A974)),V973)</f>
        <v/>
      </c>
      <c r="T974" s="48">
        <f>IF(INDEX(Employees!$S$5:$S$29,$A974)="",Q974,MAX(0,MIN(Q974,INDEX(Employees!$S$5:$S$29,$A974)-(S974-R974))))</f>
        <v/>
      </c>
      <c r="U974" s="48">
        <f>Q974-T974</f>
        <v/>
      </c>
      <c r="V974" s="48">
        <f>S974-R974+T974</f>
        <v/>
      </c>
    </row>
    <row r="975">
      <c r="A975" s="47" t="n">
        <v>19</v>
      </c>
      <c r="B975" s="47" t="n">
        <v>17</v>
      </c>
      <c r="C975" s="48">
        <f>INDEX(Employees!$B$5:$B$29,$A975)&amp;""</f>
        <v/>
      </c>
      <c r="D975" s="49">
        <f>INDEX(Periods!$B$5:$B$57,$B975)</f>
        <v/>
      </c>
      <c r="E975" s="49">
        <f>INDEX(Periods!$C$5:$C$57,$B975)</f>
        <v/>
      </c>
      <c r="F975" s="47">
        <f>IF(AND($C975&lt;&gt;"",INDEX(Periods!$D$5:$D$57,$B975)=1),1,0)</f>
        <v/>
      </c>
      <c r="G975" s="47">
        <f>IF($F975=0,0,IF(AND(OR(INDEX(Employees!$D$5:$D$29,$A975)="",$E975&gt;=INDEX(Employees!$D$5:$D$29,$A975)+N(INDEX(Employees!$U$5:$U$29,$A975))),OR(INDEX(Employees!$E$5:$E$29,$A975)="",$D975&lt;=INDEX(Employees!$E$5:$E$29,$A975))),1,0))</f>
        <v/>
      </c>
      <c r="H975" s="47">
        <f>IF($G975=0,0,IF(INDEX(Employees!$D$5:$D$29,$A975)="",0,DATEDIF(INDEX(Employees!$D$5:$D$29,$A975),$E975,"y")))</f>
        <v/>
      </c>
      <c r="I975" s="48">
        <f>IF($G975=0,0,IF(INDEX('Hours Worked'!$D$5:$BD$29,$A975,$B975)="",N(INDEX(Employees!$H$5:$H$29,$A975)),INDEX('Hours Worked'!$D$5:$BD$29,$A975,$B975)))</f>
        <v/>
      </c>
      <c r="J975" s="48">
        <f>IF(OR($G975=0,INDEX(Employees!$O$5:$O$29,$A975)&lt;&gt;"Yes"),0,IF(COUNTIF(Settings!$D$4:$D$9,"&lt;="&amp;$H975)=0,0,INDEX(Settings!$E$4:$E$9,COUNTIF(Settings!$D$4:$D$9,"&lt;="&amp;$H975))))</f>
        <v/>
      </c>
      <c r="K975" s="48">
        <f>IF($G975=0,0,IF(INDEX(Employees!$I$5:$I$29,$A975)="Per pay period",(N(INDEX(Employees!$J$5:$J$29,$A975))+$J975)/Settings!$B$13,IF(INDEX(Employees!$I$5:$I$29,$A975)="Per hour worked",N(INDEX(Employees!$K$5:$K$29,$A975))*$I975,IF(INDEX(Employees!$I$5:$I$29,$A975)="Front-loaded",IF(OR($B975=1,N($G974)=0),N(INDEX(Employees!$J$5:$J$29,$A975))+$J975,0),0))))</f>
        <v/>
      </c>
      <c r="L975" s="48">
        <f>IF($F975=0,0,SUMIFS('Time Off Log'!$H$5:$H$504,'Time Off Log'!$A$5:$A$504,$C975,'Time Off Log'!$B$5:$B$504,"PTO",'Time Off Log'!$E$5:$E$504,"Approved",'Time Off Log'!$C$5:$C$504,"&gt;="&amp;INDEX(Periods!$E$5:$E$57,$B975),'Time Off Log'!$C$5:$C$504,"&lt;="&amp;INDEX(Periods!$F$5:$F$57,$B975)))</f>
        <v/>
      </c>
      <c r="M975" s="48">
        <f>IF($B975=1,N(INDEX(Employees!$N$5:$N$29,$A975)),P974)</f>
        <v/>
      </c>
      <c r="N975" s="48">
        <f>IF(INDEX(Employees!$L$5:$L$29,$A975)="",K975,MAX(0,MIN(K975,INDEX(Employees!$L$5:$L$29,$A975)-(M975-L975))))</f>
        <v/>
      </c>
      <c r="O975" s="48">
        <f>K975-N975</f>
        <v/>
      </c>
      <c r="P975" s="48">
        <f>M975-L975+N975</f>
        <v/>
      </c>
      <c r="Q975" s="48">
        <f>IF($G975=0,0,IF(INDEX(Employees!$P$5:$P$29,$A975)="Per pay period",(N(INDEX(Employees!$Q$5:$Q$29,$A975)))/Settings!$B$13,IF(INDEX(Employees!$P$5:$P$29,$A975)="Per hour worked",N(INDEX(Employees!$R$5:$R$29,$A975))*$I975,IF(INDEX(Employees!$P$5:$P$29,$A975)="Front-loaded",IF(OR($B975=1,N($G974)=0),N(INDEX(Employees!$Q$5:$Q$29,$A975)),0),0))))</f>
        <v/>
      </c>
      <c r="R975" s="48">
        <f>IF($F975=0,0,SUMIFS('Time Off Log'!$H$5:$H$504,'Time Off Log'!$A$5:$A$504,$C975,'Time Off Log'!$B$5:$B$504,"Sick",'Time Off Log'!$E$5:$E$504,"Approved",'Time Off Log'!$C$5:$C$504,"&gt;="&amp;INDEX(Periods!$E$5:$E$57,$B975),'Time Off Log'!$C$5:$C$504,"&lt;="&amp;INDEX(Periods!$F$5:$F$57,$B975)))</f>
        <v/>
      </c>
      <c r="S975" s="48">
        <f>IF($B975=1,N(INDEX(Employees!$T$5:$T$29,$A975)),V974)</f>
        <v/>
      </c>
      <c r="T975" s="48">
        <f>IF(INDEX(Employees!$S$5:$S$29,$A975)="",Q975,MAX(0,MIN(Q975,INDEX(Employees!$S$5:$S$29,$A975)-(S975-R975))))</f>
        <v/>
      </c>
      <c r="U975" s="48">
        <f>Q975-T975</f>
        <v/>
      </c>
      <c r="V975" s="48">
        <f>S975-R975+T975</f>
        <v/>
      </c>
    </row>
    <row r="976">
      <c r="A976" s="47" t="n">
        <v>19</v>
      </c>
      <c r="B976" s="47" t="n">
        <v>18</v>
      </c>
      <c r="C976" s="48">
        <f>INDEX(Employees!$B$5:$B$29,$A976)&amp;""</f>
        <v/>
      </c>
      <c r="D976" s="49">
        <f>INDEX(Periods!$B$5:$B$57,$B976)</f>
        <v/>
      </c>
      <c r="E976" s="49">
        <f>INDEX(Periods!$C$5:$C$57,$B976)</f>
        <v/>
      </c>
      <c r="F976" s="47">
        <f>IF(AND($C976&lt;&gt;"",INDEX(Periods!$D$5:$D$57,$B976)=1),1,0)</f>
        <v/>
      </c>
      <c r="G976" s="47">
        <f>IF($F976=0,0,IF(AND(OR(INDEX(Employees!$D$5:$D$29,$A976)="",$E976&gt;=INDEX(Employees!$D$5:$D$29,$A976)+N(INDEX(Employees!$U$5:$U$29,$A976))),OR(INDEX(Employees!$E$5:$E$29,$A976)="",$D976&lt;=INDEX(Employees!$E$5:$E$29,$A976))),1,0))</f>
        <v/>
      </c>
      <c r="H976" s="47">
        <f>IF($G976=0,0,IF(INDEX(Employees!$D$5:$D$29,$A976)="",0,DATEDIF(INDEX(Employees!$D$5:$D$29,$A976),$E976,"y")))</f>
        <v/>
      </c>
      <c r="I976" s="48">
        <f>IF($G976=0,0,IF(INDEX('Hours Worked'!$D$5:$BD$29,$A976,$B976)="",N(INDEX(Employees!$H$5:$H$29,$A976)),INDEX('Hours Worked'!$D$5:$BD$29,$A976,$B976)))</f>
        <v/>
      </c>
      <c r="J976" s="48">
        <f>IF(OR($G976=0,INDEX(Employees!$O$5:$O$29,$A976)&lt;&gt;"Yes"),0,IF(COUNTIF(Settings!$D$4:$D$9,"&lt;="&amp;$H976)=0,0,INDEX(Settings!$E$4:$E$9,COUNTIF(Settings!$D$4:$D$9,"&lt;="&amp;$H976))))</f>
        <v/>
      </c>
      <c r="K976" s="48">
        <f>IF($G976=0,0,IF(INDEX(Employees!$I$5:$I$29,$A976)="Per pay period",(N(INDEX(Employees!$J$5:$J$29,$A976))+$J976)/Settings!$B$13,IF(INDEX(Employees!$I$5:$I$29,$A976)="Per hour worked",N(INDEX(Employees!$K$5:$K$29,$A976))*$I976,IF(INDEX(Employees!$I$5:$I$29,$A976)="Front-loaded",IF(OR($B976=1,N($G975)=0),N(INDEX(Employees!$J$5:$J$29,$A976))+$J976,0),0))))</f>
        <v/>
      </c>
      <c r="L976" s="48">
        <f>IF($F976=0,0,SUMIFS('Time Off Log'!$H$5:$H$504,'Time Off Log'!$A$5:$A$504,$C976,'Time Off Log'!$B$5:$B$504,"PTO",'Time Off Log'!$E$5:$E$504,"Approved",'Time Off Log'!$C$5:$C$504,"&gt;="&amp;INDEX(Periods!$E$5:$E$57,$B976),'Time Off Log'!$C$5:$C$504,"&lt;="&amp;INDEX(Periods!$F$5:$F$57,$B976)))</f>
        <v/>
      </c>
      <c r="M976" s="48">
        <f>IF($B976=1,N(INDEX(Employees!$N$5:$N$29,$A976)),P975)</f>
        <v/>
      </c>
      <c r="N976" s="48">
        <f>IF(INDEX(Employees!$L$5:$L$29,$A976)="",K976,MAX(0,MIN(K976,INDEX(Employees!$L$5:$L$29,$A976)-(M976-L976))))</f>
        <v/>
      </c>
      <c r="O976" s="48">
        <f>K976-N976</f>
        <v/>
      </c>
      <c r="P976" s="48">
        <f>M976-L976+N976</f>
        <v/>
      </c>
      <c r="Q976" s="48">
        <f>IF($G976=0,0,IF(INDEX(Employees!$P$5:$P$29,$A976)="Per pay period",(N(INDEX(Employees!$Q$5:$Q$29,$A976)))/Settings!$B$13,IF(INDEX(Employees!$P$5:$P$29,$A976)="Per hour worked",N(INDEX(Employees!$R$5:$R$29,$A976))*$I976,IF(INDEX(Employees!$P$5:$P$29,$A976)="Front-loaded",IF(OR($B976=1,N($G975)=0),N(INDEX(Employees!$Q$5:$Q$29,$A976)),0),0))))</f>
        <v/>
      </c>
      <c r="R976" s="48">
        <f>IF($F976=0,0,SUMIFS('Time Off Log'!$H$5:$H$504,'Time Off Log'!$A$5:$A$504,$C976,'Time Off Log'!$B$5:$B$504,"Sick",'Time Off Log'!$E$5:$E$504,"Approved",'Time Off Log'!$C$5:$C$504,"&gt;="&amp;INDEX(Periods!$E$5:$E$57,$B976),'Time Off Log'!$C$5:$C$504,"&lt;="&amp;INDEX(Periods!$F$5:$F$57,$B976)))</f>
        <v/>
      </c>
      <c r="S976" s="48">
        <f>IF($B976=1,N(INDEX(Employees!$T$5:$T$29,$A976)),V975)</f>
        <v/>
      </c>
      <c r="T976" s="48">
        <f>IF(INDEX(Employees!$S$5:$S$29,$A976)="",Q976,MAX(0,MIN(Q976,INDEX(Employees!$S$5:$S$29,$A976)-(S976-R976))))</f>
        <v/>
      </c>
      <c r="U976" s="48">
        <f>Q976-T976</f>
        <v/>
      </c>
      <c r="V976" s="48">
        <f>S976-R976+T976</f>
        <v/>
      </c>
    </row>
    <row r="977">
      <c r="A977" s="47" t="n">
        <v>19</v>
      </c>
      <c r="B977" s="47" t="n">
        <v>19</v>
      </c>
      <c r="C977" s="48">
        <f>INDEX(Employees!$B$5:$B$29,$A977)&amp;""</f>
        <v/>
      </c>
      <c r="D977" s="49">
        <f>INDEX(Periods!$B$5:$B$57,$B977)</f>
        <v/>
      </c>
      <c r="E977" s="49">
        <f>INDEX(Periods!$C$5:$C$57,$B977)</f>
        <v/>
      </c>
      <c r="F977" s="47">
        <f>IF(AND($C977&lt;&gt;"",INDEX(Periods!$D$5:$D$57,$B977)=1),1,0)</f>
        <v/>
      </c>
      <c r="G977" s="47">
        <f>IF($F977=0,0,IF(AND(OR(INDEX(Employees!$D$5:$D$29,$A977)="",$E977&gt;=INDEX(Employees!$D$5:$D$29,$A977)+N(INDEX(Employees!$U$5:$U$29,$A977))),OR(INDEX(Employees!$E$5:$E$29,$A977)="",$D977&lt;=INDEX(Employees!$E$5:$E$29,$A977))),1,0))</f>
        <v/>
      </c>
      <c r="H977" s="47">
        <f>IF($G977=0,0,IF(INDEX(Employees!$D$5:$D$29,$A977)="",0,DATEDIF(INDEX(Employees!$D$5:$D$29,$A977),$E977,"y")))</f>
        <v/>
      </c>
      <c r="I977" s="48">
        <f>IF($G977=0,0,IF(INDEX('Hours Worked'!$D$5:$BD$29,$A977,$B977)="",N(INDEX(Employees!$H$5:$H$29,$A977)),INDEX('Hours Worked'!$D$5:$BD$29,$A977,$B977)))</f>
        <v/>
      </c>
      <c r="J977" s="48">
        <f>IF(OR($G977=0,INDEX(Employees!$O$5:$O$29,$A977)&lt;&gt;"Yes"),0,IF(COUNTIF(Settings!$D$4:$D$9,"&lt;="&amp;$H977)=0,0,INDEX(Settings!$E$4:$E$9,COUNTIF(Settings!$D$4:$D$9,"&lt;="&amp;$H977))))</f>
        <v/>
      </c>
      <c r="K977" s="48">
        <f>IF($G977=0,0,IF(INDEX(Employees!$I$5:$I$29,$A977)="Per pay period",(N(INDEX(Employees!$J$5:$J$29,$A977))+$J977)/Settings!$B$13,IF(INDEX(Employees!$I$5:$I$29,$A977)="Per hour worked",N(INDEX(Employees!$K$5:$K$29,$A977))*$I977,IF(INDEX(Employees!$I$5:$I$29,$A977)="Front-loaded",IF(OR($B977=1,N($G976)=0),N(INDEX(Employees!$J$5:$J$29,$A977))+$J977,0),0))))</f>
        <v/>
      </c>
      <c r="L977" s="48">
        <f>IF($F977=0,0,SUMIFS('Time Off Log'!$H$5:$H$504,'Time Off Log'!$A$5:$A$504,$C977,'Time Off Log'!$B$5:$B$504,"PTO",'Time Off Log'!$E$5:$E$504,"Approved",'Time Off Log'!$C$5:$C$504,"&gt;="&amp;INDEX(Periods!$E$5:$E$57,$B977),'Time Off Log'!$C$5:$C$504,"&lt;="&amp;INDEX(Periods!$F$5:$F$57,$B977)))</f>
        <v/>
      </c>
      <c r="M977" s="48">
        <f>IF($B977=1,N(INDEX(Employees!$N$5:$N$29,$A977)),P976)</f>
        <v/>
      </c>
      <c r="N977" s="48">
        <f>IF(INDEX(Employees!$L$5:$L$29,$A977)="",K977,MAX(0,MIN(K977,INDEX(Employees!$L$5:$L$29,$A977)-(M977-L977))))</f>
        <v/>
      </c>
      <c r="O977" s="48">
        <f>K977-N977</f>
        <v/>
      </c>
      <c r="P977" s="48">
        <f>M977-L977+N977</f>
        <v/>
      </c>
      <c r="Q977" s="48">
        <f>IF($G977=0,0,IF(INDEX(Employees!$P$5:$P$29,$A977)="Per pay period",(N(INDEX(Employees!$Q$5:$Q$29,$A977)))/Settings!$B$13,IF(INDEX(Employees!$P$5:$P$29,$A977)="Per hour worked",N(INDEX(Employees!$R$5:$R$29,$A977))*$I977,IF(INDEX(Employees!$P$5:$P$29,$A977)="Front-loaded",IF(OR($B977=1,N($G976)=0),N(INDEX(Employees!$Q$5:$Q$29,$A977)),0),0))))</f>
        <v/>
      </c>
      <c r="R977" s="48">
        <f>IF($F977=0,0,SUMIFS('Time Off Log'!$H$5:$H$504,'Time Off Log'!$A$5:$A$504,$C977,'Time Off Log'!$B$5:$B$504,"Sick",'Time Off Log'!$E$5:$E$504,"Approved",'Time Off Log'!$C$5:$C$504,"&gt;="&amp;INDEX(Periods!$E$5:$E$57,$B977),'Time Off Log'!$C$5:$C$504,"&lt;="&amp;INDEX(Periods!$F$5:$F$57,$B977)))</f>
        <v/>
      </c>
      <c r="S977" s="48">
        <f>IF($B977=1,N(INDEX(Employees!$T$5:$T$29,$A977)),V976)</f>
        <v/>
      </c>
      <c r="T977" s="48">
        <f>IF(INDEX(Employees!$S$5:$S$29,$A977)="",Q977,MAX(0,MIN(Q977,INDEX(Employees!$S$5:$S$29,$A977)-(S977-R977))))</f>
        <v/>
      </c>
      <c r="U977" s="48">
        <f>Q977-T977</f>
        <v/>
      </c>
      <c r="V977" s="48">
        <f>S977-R977+T977</f>
        <v/>
      </c>
    </row>
    <row r="978">
      <c r="A978" s="47" t="n">
        <v>19</v>
      </c>
      <c r="B978" s="47" t="n">
        <v>20</v>
      </c>
      <c r="C978" s="48">
        <f>INDEX(Employees!$B$5:$B$29,$A978)&amp;""</f>
        <v/>
      </c>
      <c r="D978" s="49">
        <f>INDEX(Periods!$B$5:$B$57,$B978)</f>
        <v/>
      </c>
      <c r="E978" s="49">
        <f>INDEX(Periods!$C$5:$C$57,$B978)</f>
        <v/>
      </c>
      <c r="F978" s="47">
        <f>IF(AND($C978&lt;&gt;"",INDEX(Periods!$D$5:$D$57,$B978)=1),1,0)</f>
        <v/>
      </c>
      <c r="G978" s="47">
        <f>IF($F978=0,0,IF(AND(OR(INDEX(Employees!$D$5:$D$29,$A978)="",$E978&gt;=INDEX(Employees!$D$5:$D$29,$A978)+N(INDEX(Employees!$U$5:$U$29,$A978))),OR(INDEX(Employees!$E$5:$E$29,$A978)="",$D978&lt;=INDEX(Employees!$E$5:$E$29,$A978))),1,0))</f>
        <v/>
      </c>
      <c r="H978" s="47">
        <f>IF($G978=0,0,IF(INDEX(Employees!$D$5:$D$29,$A978)="",0,DATEDIF(INDEX(Employees!$D$5:$D$29,$A978),$E978,"y")))</f>
        <v/>
      </c>
      <c r="I978" s="48">
        <f>IF($G978=0,0,IF(INDEX('Hours Worked'!$D$5:$BD$29,$A978,$B978)="",N(INDEX(Employees!$H$5:$H$29,$A978)),INDEX('Hours Worked'!$D$5:$BD$29,$A978,$B978)))</f>
        <v/>
      </c>
      <c r="J978" s="48">
        <f>IF(OR($G978=0,INDEX(Employees!$O$5:$O$29,$A978)&lt;&gt;"Yes"),0,IF(COUNTIF(Settings!$D$4:$D$9,"&lt;="&amp;$H978)=0,0,INDEX(Settings!$E$4:$E$9,COUNTIF(Settings!$D$4:$D$9,"&lt;="&amp;$H978))))</f>
        <v/>
      </c>
      <c r="K978" s="48">
        <f>IF($G978=0,0,IF(INDEX(Employees!$I$5:$I$29,$A978)="Per pay period",(N(INDEX(Employees!$J$5:$J$29,$A978))+$J978)/Settings!$B$13,IF(INDEX(Employees!$I$5:$I$29,$A978)="Per hour worked",N(INDEX(Employees!$K$5:$K$29,$A978))*$I978,IF(INDEX(Employees!$I$5:$I$29,$A978)="Front-loaded",IF(OR($B978=1,N($G977)=0),N(INDEX(Employees!$J$5:$J$29,$A978))+$J978,0),0))))</f>
        <v/>
      </c>
      <c r="L978" s="48">
        <f>IF($F978=0,0,SUMIFS('Time Off Log'!$H$5:$H$504,'Time Off Log'!$A$5:$A$504,$C978,'Time Off Log'!$B$5:$B$504,"PTO",'Time Off Log'!$E$5:$E$504,"Approved",'Time Off Log'!$C$5:$C$504,"&gt;="&amp;INDEX(Periods!$E$5:$E$57,$B978),'Time Off Log'!$C$5:$C$504,"&lt;="&amp;INDEX(Periods!$F$5:$F$57,$B978)))</f>
        <v/>
      </c>
      <c r="M978" s="48">
        <f>IF($B978=1,N(INDEX(Employees!$N$5:$N$29,$A978)),P977)</f>
        <v/>
      </c>
      <c r="N978" s="48">
        <f>IF(INDEX(Employees!$L$5:$L$29,$A978)="",K978,MAX(0,MIN(K978,INDEX(Employees!$L$5:$L$29,$A978)-(M978-L978))))</f>
        <v/>
      </c>
      <c r="O978" s="48">
        <f>K978-N978</f>
        <v/>
      </c>
      <c r="P978" s="48">
        <f>M978-L978+N978</f>
        <v/>
      </c>
      <c r="Q978" s="48">
        <f>IF($G978=0,0,IF(INDEX(Employees!$P$5:$P$29,$A978)="Per pay period",(N(INDEX(Employees!$Q$5:$Q$29,$A978)))/Settings!$B$13,IF(INDEX(Employees!$P$5:$P$29,$A978)="Per hour worked",N(INDEX(Employees!$R$5:$R$29,$A978))*$I978,IF(INDEX(Employees!$P$5:$P$29,$A978)="Front-loaded",IF(OR($B978=1,N($G977)=0),N(INDEX(Employees!$Q$5:$Q$29,$A978)),0),0))))</f>
        <v/>
      </c>
      <c r="R978" s="48">
        <f>IF($F978=0,0,SUMIFS('Time Off Log'!$H$5:$H$504,'Time Off Log'!$A$5:$A$504,$C978,'Time Off Log'!$B$5:$B$504,"Sick",'Time Off Log'!$E$5:$E$504,"Approved",'Time Off Log'!$C$5:$C$504,"&gt;="&amp;INDEX(Periods!$E$5:$E$57,$B978),'Time Off Log'!$C$5:$C$504,"&lt;="&amp;INDEX(Periods!$F$5:$F$57,$B978)))</f>
        <v/>
      </c>
      <c r="S978" s="48">
        <f>IF($B978=1,N(INDEX(Employees!$T$5:$T$29,$A978)),V977)</f>
        <v/>
      </c>
      <c r="T978" s="48">
        <f>IF(INDEX(Employees!$S$5:$S$29,$A978)="",Q978,MAX(0,MIN(Q978,INDEX(Employees!$S$5:$S$29,$A978)-(S978-R978))))</f>
        <v/>
      </c>
      <c r="U978" s="48">
        <f>Q978-T978</f>
        <v/>
      </c>
      <c r="V978" s="48">
        <f>S978-R978+T978</f>
        <v/>
      </c>
    </row>
    <row r="979">
      <c r="A979" s="47" t="n">
        <v>19</v>
      </c>
      <c r="B979" s="47" t="n">
        <v>21</v>
      </c>
      <c r="C979" s="48">
        <f>INDEX(Employees!$B$5:$B$29,$A979)&amp;""</f>
        <v/>
      </c>
      <c r="D979" s="49">
        <f>INDEX(Periods!$B$5:$B$57,$B979)</f>
        <v/>
      </c>
      <c r="E979" s="49">
        <f>INDEX(Periods!$C$5:$C$57,$B979)</f>
        <v/>
      </c>
      <c r="F979" s="47">
        <f>IF(AND($C979&lt;&gt;"",INDEX(Periods!$D$5:$D$57,$B979)=1),1,0)</f>
        <v/>
      </c>
      <c r="G979" s="47">
        <f>IF($F979=0,0,IF(AND(OR(INDEX(Employees!$D$5:$D$29,$A979)="",$E979&gt;=INDEX(Employees!$D$5:$D$29,$A979)+N(INDEX(Employees!$U$5:$U$29,$A979))),OR(INDEX(Employees!$E$5:$E$29,$A979)="",$D979&lt;=INDEX(Employees!$E$5:$E$29,$A979))),1,0))</f>
        <v/>
      </c>
      <c r="H979" s="47">
        <f>IF($G979=0,0,IF(INDEX(Employees!$D$5:$D$29,$A979)="",0,DATEDIF(INDEX(Employees!$D$5:$D$29,$A979),$E979,"y")))</f>
        <v/>
      </c>
      <c r="I979" s="48">
        <f>IF($G979=0,0,IF(INDEX('Hours Worked'!$D$5:$BD$29,$A979,$B979)="",N(INDEX(Employees!$H$5:$H$29,$A979)),INDEX('Hours Worked'!$D$5:$BD$29,$A979,$B979)))</f>
        <v/>
      </c>
      <c r="J979" s="48">
        <f>IF(OR($G979=0,INDEX(Employees!$O$5:$O$29,$A979)&lt;&gt;"Yes"),0,IF(COUNTIF(Settings!$D$4:$D$9,"&lt;="&amp;$H979)=0,0,INDEX(Settings!$E$4:$E$9,COUNTIF(Settings!$D$4:$D$9,"&lt;="&amp;$H979))))</f>
        <v/>
      </c>
      <c r="K979" s="48">
        <f>IF($G979=0,0,IF(INDEX(Employees!$I$5:$I$29,$A979)="Per pay period",(N(INDEX(Employees!$J$5:$J$29,$A979))+$J979)/Settings!$B$13,IF(INDEX(Employees!$I$5:$I$29,$A979)="Per hour worked",N(INDEX(Employees!$K$5:$K$29,$A979))*$I979,IF(INDEX(Employees!$I$5:$I$29,$A979)="Front-loaded",IF(OR($B979=1,N($G978)=0),N(INDEX(Employees!$J$5:$J$29,$A979))+$J979,0),0))))</f>
        <v/>
      </c>
      <c r="L979" s="48">
        <f>IF($F979=0,0,SUMIFS('Time Off Log'!$H$5:$H$504,'Time Off Log'!$A$5:$A$504,$C979,'Time Off Log'!$B$5:$B$504,"PTO",'Time Off Log'!$E$5:$E$504,"Approved",'Time Off Log'!$C$5:$C$504,"&gt;="&amp;INDEX(Periods!$E$5:$E$57,$B979),'Time Off Log'!$C$5:$C$504,"&lt;="&amp;INDEX(Periods!$F$5:$F$57,$B979)))</f>
        <v/>
      </c>
      <c r="M979" s="48">
        <f>IF($B979=1,N(INDEX(Employees!$N$5:$N$29,$A979)),P978)</f>
        <v/>
      </c>
      <c r="N979" s="48">
        <f>IF(INDEX(Employees!$L$5:$L$29,$A979)="",K979,MAX(0,MIN(K979,INDEX(Employees!$L$5:$L$29,$A979)-(M979-L979))))</f>
        <v/>
      </c>
      <c r="O979" s="48">
        <f>K979-N979</f>
        <v/>
      </c>
      <c r="P979" s="48">
        <f>M979-L979+N979</f>
        <v/>
      </c>
      <c r="Q979" s="48">
        <f>IF($G979=0,0,IF(INDEX(Employees!$P$5:$P$29,$A979)="Per pay period",(N(INDEX(Employees!$Q$5:$Q$29,$A979)))/Settings!$B$13,IF(INDEX(Employees!$P$5:$P$29,$A979)="Per hour worked",N(INDEX(Employees!$R$5:$R$29,$A979))*$I979,IF(INDEX(Employees!$P$5:$P$29,$A979)="Front-loaded",IF(OR($B979=1,N($G978)=0),N(INDEX(Employees!$Q$5:$Q$29,$A979)),0),0))))</f>
        <v/>
      </c>
      <c r="R979" s="48">
        <f>IF($F979=0,0,SUMIFS('Time Off Log'!$H$5:$H$504,'Time Off Log'!$A$5:$A$504,$C979,'Time Off Log'!$B$5:$B$504,"Sick",'Time Off Log'!$E$5:$E$504,"Approved",'Time Off Log'!$C$5:$C$504,"&gt;="&amp;INDEX(Periods!$E$5:$E$57,$B979),'Time Off Log'!$C$5:$C$504,"&lt;="&amp;INDEX(Periods!$F$5:$F$57,$B979)))</f>
        <v/>
      </c>
      <c r="S979" s="48">
        <f>IF($B979=1,N(INDEX(Employees!$T$5:$T$29,$A979)),V978)</f>
        <v/>
      </c>
      <c r="T979" s="48">
        <f>IF(INDEX(Employees!$S$5:$S$29,$A979)="",Q979,MAX(0,MIN(Q979,INDEX(Employees!$S$5:$S$29,$A979)-(S979-R979))))</f>
        <v/>
      </c>
      <c r="U979" s="48">
        <f>Q979-T979</f>
        <v/>
      </c>
      <c r="V979" s="48">
        <f>S979-R979+T979</f>
        <v/>
      </c>
    </row>
    <row r="980">
      <c r="A980" s="47" t="n">
        <v>19</v>
      </c>
      <c r="B980" s="47" t="n">
        <v>22</v>
      </c>
      <c r="C980" s="48">
        <f>INDEX(Employees!$B$5:$B$29,$A980)&amp;""</f>
        <v/>
      </c>
      <c r="D980" s="49">
        <f>INDEX(Periods!$B$5:$B$57,$B980)</f>
        <v/>
      </c>
      <c r="E980" s="49">
        <f>INDEX(Periods!$C$5:$C$57,$B980)</f>
        <v/>
      </c>
      <c r="F980" s="47">
        <f>IF(AND($C980&lt;&gt;"",INDEX(Periods!$D$5:$D$57,$B980)=1),1,0)</f>
        <v/>
      </c>
      <c r="G980" s="47">
        <f>IF($F980=0,0,IF(AND(OR(INDEX(Employees!$D$5:$D$29,$A980)="",$E980&gt;=INDEX(Employees!$D$5:$D$29,$A980)+N(INDEX(Employees!$U$5:$U$29,$A980))),OR(INDEX(Employees!$E$5:$E$29,$A980)="",$D980&lt;=INDEX(Employees!$E$5:$E$29,$A980))),1,0))</f>
        <v/>
      </c>
      <c r="H980" s="47">
        <f>IF($G980=0,0,IF(INDEX(Employees!$D$5:$D$29,$A980)="",0,DATEDIF(INDEX(Employees!$D$5:$D$29,$A980),$E980,"y")))</f>
        <v/>
      </c>
      <c r="I980" s="48">
        <f>IF($G980=0,0,IF(INDEX('Hours Worked'!$D$5:$BD$29,$A980,$B980)="",N(INDEX(Employees!$H$5:$H$29,$A980)),INDEX('Hours Worked'!$D$5:$BD$29,$A980,$B980)))</f>
        <v/>
      </c>
      <c r="J980" s="48">
        <f>IF(OR($G980=0,INDEX(Employees!$O$5:$O$29,$A980)&lt;&gt;"Yes"),0,IF(COUNTIF(Settings!$D$4:$D$9,"&lt;="&amp;$H980)=0,0,INDEX(Settings!$E$4:$E$9,COUNTIF(Settings!$D$4:$D$9,"&lt;="&amp;$H980))))</f>
        <v/>
      </c>
      <c r="K980" s="48">
        <f>IF($G980=0,0,IF(INDEX(Employees!$I$5:$I$29,$A980)="Per pay period",(N(INDEX(Employees!$J$5:$J$29,$A980))+$J980)/Settings!$B$13,IF(INDEX(Employees!$I$5:$I$29,$A980)="Per hour worked",N(INDEX(Employees!$K$5:$K$29,$A980))*$I980,IF(INDEX(Employees!$I$5:$I$29,$A980)="Front-loaded",IF(OR($B980=1,N($G979)=0),N(INDEX(Employees!$J$5:$J$29,$A980))+$J980,0),0))))</f>
        <v/>
      </c>
      <c r="L980" s="48">
        <f>IF($F980=0,0,SUMIFS('Time Off Log'!$H$5:$H$504,'Time Off Log'!$A$5:$A$504,$C980,'Time Off Log'!$B$5:$B$504,"PTO",'Time Off Log'!$E$5:$E$504,"Approved",'Time Off Log'!$C$5:$C$504,"&gt;="&amp;INDEX(Periods!$E$5:$E$57,$B980),'Time Off Log'!$C$5:$C$504,"&lt;="&amp;INDEX(Periods!$F$5:$F$57,$B980)))</f>
        <v/>
      </c>
      <c r="M980" s="48">
        <f>IF($B980=1,N(INDEX(Employees!$N$5:$N$29,$A980)),P979)</f>
        <v/>
      </c>
      <c r="N980" s="48">
        <f>IF(INDEX(Employees!$L$5:$L$29,$A980)="",K980,MAX(0,MIN(K980,INDEX(Employees!$L$5:$L$29,$A980)-(M980-L980))))</f>
        <v/>
      </c>
      <c r="O980" s="48">
        <f>K980-N980</f>
        <v/>
      </c>
      <c r="P980" s="48">
        <f>M980-L980+N980</f>
        <v/>
      </c>
      <c r="Q980" s="48">
        <f>IF($G980=0,0,IF(INDEX(Employees!$P$5:$P$29,$A980)="Per pay period",(N(INDEX(Employees!$Q$5:$Q$29,$A980)))/Settings!$B$13,IF(INDEX(Employees!$P$5:$P$29,$A980)="Per hour worked",N(INDEX(Employees!$R$5:$R$29,$A980))*$I980,IF(INDEX(Employees!$P$5:$P$29,$A980)="Front-loaded",IF(OR($B980=1,N($G979)=0),N(INDEX(Employees!$Q$5:$Q$29,$A980)),0),0))))</f>
        <v/>
      </c>
      <c r="R980" s="48">
        <f>IF($F980=0,0,SUMIFS('Time Off Log'!$H$5:$H$504,'Time Off Log'!$A$5:$A$504,$C980,'Time Off Log'!$B$5:$B$504,"Sick",'Time Off Log'!$E$5:$E$504,"Approved",'Time Off Log'!$C$5:$C$504,"&gt;="&amp;INDEX(Periods!$E$5:$E$57,$B980),'Time Off Log'!$C$5:$C$504,"&lt;="&amp;INDEX(Periods!$F$5:$F$57,$B980)))</f>
        <v/>
      </c>
      <c r="S980" s="48">
        <f>IF($B980=1,N(INDEX(Employees!$T$5:$T$29,$A980)),V979)</f>
        <v/>
      </c>
      <c r="T980" s="48">
        <f>IF(INDEX(Employees!$S$5:$S$29,$A980)="",Q980,MAX(0,MIN(Q980,INDEX(Employees!$S$5:$S$29,$A980)-(S980-R980))))</f>
        <v/>
      </c>
      <c r="U980" s="48">
        <f>Q980-T980</f>
        <v/>
      </c>
      <c r="V980" s="48">
        <f>S980-R980+T980</f>
        <v/>
      </c>
    </row>
    <row r="981">
      <c r="A981" s="47" t="n">
        <v>19</v>
      </c>
      <c r="B981" s="47" t="n">
        <v>23</v>
      </c>
      <c r="C981" s="48">
        <f>INDEX(Employees!$B$5:$B$29,$A981)&amp;""</f>
        <v/>
      </c>
      <c r="D981" s="49">
        <f>INDEX(Periods!$B$5:$B$57,$B981)</f>
        <v/>
      </c>
      <c r="E981" s="49">
        <f>INDEX(Periods!$C$5:$C$57,$B981)</f>
        <v/>
      </c>
      <c r="F981" s="47">
        <f>IF(AND($C981&lt;&gt;"",INDEX(Periods!$D$5:$D$57,$B981)=1),1,0)</f>
        <v/>
      </c>
      <c r="G981" s="47">
        <f>IF($F981=0,0,IF(AND(OR(INDEX(Employees!$D$5:$D$29,$A981)="",$E981&gt;=INDEX(Employees!$D$5:$D$29,$A981)+N(INDEX(Employees!$U$5:$U$29,$A981))),OR(INDEX(Employees!$E$5:$E$29,$A981)="",$D981&lt;=INDEX(Employees!$E$5:$E$29,$A981))),1,0))</f>
        <v/>
      </c>
      <c r="H981" s="47">
        <f>IF($G981=0,0,IF(INDEX(Employees!$D$5:$D$29,$A981)="",0,DATEDIF(INDEX(Employees!$D$5:$D$29,$A981),$E981,"y")))</f>
        <v/>
      </c>
      <c r="I981" s="48">
        <f>IF($G981=0,0,IF(INDEX('Hours Worked'!$D$5:$BD$29,$A981,$B981)="",N(INDEX(Employees!$H$5:$H$29,$A981)),INDEX('Hours Worked'!$D$5:$BD$29,$A981,$B981)))</f>
        <v/>
      </c>
      <c r="J981" s="48">
        <f>IF(OR($G981=0,INDEX(Employees!$O$5:$O$29,$A981)&lt;&gt;"Yes"),0,IF(COUNTIF(Settings!$D$4:$D$9,"&lt;="&amp;$H981)=0,0,INDEX(Settings!$E$4:$E$9,COUNTIF(Settings!$D$4:$D$9,"&lt;="&amp;$H981))))</f>
        <v/>
      </c>
      <c r="K981" s="48">
        <f>IF($G981=0,0,IF(INDEX(Employees!$I$5:$I$29,$A981)="Per pay period",(N(INDEX(Employees!$J$5:$J$29,$A981))+$J981)/Settings!$B$13,IF(INDEX(Employees!$I$5:$I$29,$A981)="Per hour worked",N(INDEX(Employees!$K$5:$K$29,$A981))*$I981,IF(INDEX(Employees!$I$5:$I$29,$A981)="Front-loaded",IF(OR($B981=1,N($G980)=0),N(INDEX(Employees!$J$5:$J$29,$A981))+$J981,0),0))))</f>
        <v/>
      </c>
      <c r="L981" s="48">
        <f>IF($F981=0,0,SUMIFS('Time Off Log'!$H$5:$H$504,'Time Off Log'!$A$5:$A$504,$C981,'Time Off Log'!$B$5:$B$504,"PTO",'Time Off Log'!$E$5:$E$504,"Approved",'Time Off Log'!$C$5:$C$504,"&gt;="&amp;INDEX(Periods!$E$5:$E$57,$B981),'Time Off Log'!$C$5:$C$504,"&lt;="&amp;INDEX(Periods!$F$5:$F$57,$B981)))</f>
        <v/>
      </c>
      <c r="M981" s="48">
        <f>IF($B981=1,N(INDEX(Employees!$N$5:$N$29,$A981)),P980)</f>
        <v/>
      </c>
      <c r="N981" s="48">
        <f>IF(INDEX(Employees!$L$5:$L$29,$A981)="",K981,MAX(0,MIN(K981,INDEX(Employees!$L$5:$L$29,$A981)-(M981-L981))))</f>
        <v/>
      </c>
      <c r="O981" s="48">
        <f>K981-N981</f>
        <v/>
      </c>
      <c r="P981" s="48">
        <f>M981-L981+N981</f>
        <v/>
      </c>
      <c r="Q981" s="48">
        <f>IF($G981=0,0,IF(INDEX(Employees!$P$5:$P$29,$A981)="Per pay period",(N(INDEX(Employees!$Q$5:$Q$29,$A981)))/Settings!$B$13,IF(INDEX(Employees!$P$5:$P$29,$A981)="Per hour worked",N(INDEX(Employees!$R$5:$R$29,$A981))*$I981,IF(INDEX(Employees!$P$5:$P$29,$A981)="Front-loaded",IF(OR($B981=1,N($G980)=0),N(INDEX(Employees!$Q$5:$Q$29,$A981)),0),0))))</f>
        <v/>
      </c>
      <c r="R981" s="48">
        <f>IF($F981=0,0,SUMIFS('Time Off Log'!$H$5:$H$504,'Time Off Log'!$A$5:$A$504,$C981,'Time Off Log'!$B$5:$B$504,"Sick",'Time Off Log'!$E$5:$E$504,"Approved",'Time Off Log'!$C$5:$C$504,"&gt;="&amp;INDEX(Periods!$E$5:$E$57,$B981),'Time Off Log'!$C$5:$C$504,"&lt;="&amp;INDEX(Periods!$F$5:$F$57,$B981)))</f>
        <v/>
      </c>
      <c r="S981" s="48">
        <f>IF($B981=1,N(INDEX(Employees!$T$5:$T$29,$A981)),V980)</f>
        <v/>
      </c>
      <c r="T981" s="48">
        <f>IF(INDEX(Employees!$S$5:$S$29,$A981)="",Q981,MAX(0,MIN(Q981,INDEX(Employees!$S$5:$S$29,$A981)-(S981-R981))))</f>
        <v/>
      </c>
      <c r="U981" s="48">
        <f>Q981-T981</f>
        <v/>
      </c>
      <c r="V981" s="48">
        <f>S981-R981+T981</f>
        <v/>
      </c>
    </row>
    <row r="982">
      <c r="A982" s="47" t="n">
        <v>19</v>
      </c>
      <c r="B982" s="47" t="n">
        <v>24</v>
      </c>
      <c r="C982" s="48">
        <f>INDEX(Employees!$B$5:$B$29,$A982)&amp;""</f>
        <v/>
      </c>
      <c r="D982" s="49">
        <f>INDEX(Periods!$B$5:$B$57,$B982)</f>
        <v/>
      </c>
      <c r="E982" s="49">
        <f>INDEX(Periods!$C$5:$C$57,$B982)</f>
        <v/>
      </c>
      <c r="F982" s="47">
        <f>IF(AND($C982&lt;&gt;"",INDEX(Periods!$D$5:$D$57,$B982)=1),1,0)</f>
        <v/>
      </c>
      <c r="G982" s="47">
        <f>IF($F982=0,0,IF(AND(OR(INDEX(Employees!$D$5:$D$29,$A982)="",$E982&gt;=INDEX(Employees!$D$5:$D$29,$A982)+N(INDEX(Employees!$U$5:$U$29,$A982))),OR(INDEX(Employees!$E$5:$E$29,$A982)="",$D982&lt;=INDEX(Employees!$E$5:$E$29,$A982))),1,0))</f>
        <v/>
      </c>
      <c r="H982" s="47">
        <f>IF($G982=0,0,IF(INDEX(Employees!$D$5:$D$29,$A982)="",0,DATEDIF(INDEX(Employees!$D$5:$D$29,$A982),$E982,"y")))</f>
        <v/>
      </c>
      <c r="I982" s="48">
        <f>IF($G982=0,0,IF(INDEX('Hours Worked'!$D$5:$BD$29,$A982,$B982)="",N(INDEX(Employees!$H$5:$H$29,$A982)),INDEX('Hours Worked'!$D$5:$BD$29,$A982,$B982)))</f>
        <v/>
      </c>
      <c r="J982" s="48">
        <f>IF(OR($G982=0,INDEX(Employees!$O$5:$O$29,$A982)&lt;&gt;"Yes"),0,IF(COUNTIF(Settings!$D$4:$D$9,"&lt;="&amp;$H982)=0,0,INDEX(Settings!$E$4:$E$9,COUNTIF(Settings!$D$4:$D$9,"&lt;="&amp;$H982))))</f>
        <v/>
      </c>
      <c r="K982" s="48">
        <f>IF($G982=0,0,IF(INDEX(Employees!$I$5:$I$29,$A982)="Per pay period",(N(INDEX(Employees!$J$5:$J$29,$A982))+$J982)/Settings!$B$13,IF(INDEX(Employees!$I$5:$I$29,$A982)="Per hour worked",N(INDEX(Employees!$K$5:$K$29,$A982))*$I982,IF(INDEX(Employees!$I$5:$I$29,$A982)="Front-loaded",IF(OR($B982=1,N($G981)=0),N(INDEX(Employees!$J$5:$J$29,$A982))+$J982,0),0))))</f>
        <v/>
      </c>
      <c r="L982" s="48">
        <f>IF($F982=0,0,SUMIFS('Time Off Log'!$H$5:$H$504,'Time Off Log'!$A$5:$A$504,$C982,'Time Off Log'!$B$5:$B$504,"PTO",'Time Off Log'!$E$5:$E$504,"Approved",'Time Off Log'!$C$5:$C$504,"&gt;="&amp;INDEX(Periods!$E$5:$E$57,$B982),'Time Off Log'!$C$5:$C$504,"&lt;="&amp;INDEX(Periods!$F$5:$F$57,$B982)))</f>
        <v/>
      </c>
      <c r="M982" s="48">
        <f>IF($B982=1,N(INDEX(Employees!$N$5:$N$29,$A982)),P981)</f>
        <v/>
      </c>
      <c r="N982" s="48">
        <f>IF(INDEX(Employees!$L$5:$L$29,$A982)="",K982,MAX(0,MIN(K982,INDEX(Employees!$L$5:$L$29,$A982)-(M982-L982))))</f>
        <v/>
      </c>
      <c r="O982" s="48">
        <f>K982-N982</f>
        <v/>
      </c>
      <c r="P982" s="48">
        <f>M982-L982+N982</f>
        <v/>
      </c>
      <c r="Q982" s="48">
        <f>IF($G982=0,0,IF(INDEX(Employees!$P$5:$P$29,$A982)="Per pay period",(N(INDEX(Employees!$Q$5:$Q$29,$A982)))/Settings!$B$13,IF(INDEX(Employees!$P$5:$P$29,$A982)="Per hour worked",N(INDEX(Employees!$R$5:$R$29,$A982))*$I982,IF(INDEX(Employees!$P$5:$P$29,$A982)="Front-loaded",IF(OR($B982=1,N($G981)=0),N(INDEX(Employees!$Q$5:$Q$29,$A982)),0),0))))</f>
        <v/>
      </c>
      <c r="R982" s="48">
        <f>IF($F982=0,0,SUMIFS('Time Off Log'!$H$5:$H$504,'Time Off Log'!$A$5:$A$504,$C982,'Time Off Log'!$B$5:$B$504,"Sick",'Time Off Log'!$E$5:$E$504,"Approved",'Time Off Log'!$C$5:$C$504,"&gt;="&amp;INDEX(Periods!$E$5:$E$57,$B982),'Time Off Log'!$C$5:$C$504,"&lt;="&amp;INDEX(Periods!$F$5:$F$57,$B982)))</f>
        <v/>
      </c>
      <c r="S982" s="48">
        <f>IF($B982=1,N(INDEX(Employees!$T$5:$T$29,$A982)),V981)</f>
        <v/>
      </c>
      <c r="T982" s="48">
        <f>IF(INDEX(Employees!$S$5:$S$29,$A982)="",Q982,MAX(0,MIN(Q982,INDEX(Employees!$S$5:$S$29,$A982)-(S982-R982))))</f>
        <v/>
      </c>
      <c r="U982" s="48">
        <f>Q982-T982</f>
        <v/>
      </c>
      <c r="V982" s="48">
        <f>S982-R982+T982</f>
        <v/>
      </c>
    </row>
    <row r="983">
      <c r="A983" s="47" t="n">
        <v>19</v>
      </c>
      <c r="B983" s="47" t="n">
        <v>25</v>
      </c>
      <c r="C983" s="48">
        <f>INDEX(Employees!$B$5:$B$29,$A983)&amp;""</f>
        <v/>
      </c>
      <c r="D983" s="49">
        <f>INDEX(Periods!$B$5:$B$57,$B983)</f>
        <v/>
      </c>
      <c r="E983" s="49">
        <f>INDEX(Periods!$C$5:$C$57,$B983)</f>
        <v/>
      </c>
      <c r="F983" s="47">
        <f>IF(AND($C983&lt;&gt;"",INDEX(Periods!$D$5:$D$57,$B983)=1),1,0)</f>
        <v/>
      </c>
      <c r="G983" s="47">
        <f>IF($F983=0,0,IF(AND(OR(INDEX(Employees!$D$5:$D$29,$A983)="",$E983&gt;=INDEX(Employees!$D$5:$D$29,$A983)+N(INDEX(Employees!$U$5:$U$29,$A983))),OR(INDEX(Employees!$E$5:$E$29,$A983)="",$D983&lt;=INDEX(Employees!$E$5:$E$29,$A983))),1,0))</f>
        <v/>
      </c>
      <c r="H983" s="47">
        <f>IF($G983=0,0,IF(INDEX(Employees!$D$5:$D$29,$A983)="",0,DATEDIF(INDEX(Employees!$D$5:$D$29,$A983),$E983,"y")))</f>
        <v/>
      </c>
      <c r="I983" s="48">
        <f>IF($G983=0,0,IF(INDEX('Hours Worked'!$D$5:$BD$29,$A983,$B983)="",N(INDEX(Employees!$H$5:$H$29,$A983)),INDEX('Hours Worked'!$D$5:$BD$29,$A983,$B983)))</f>
        <v/>
      </c>
      <c r="J983" s="48">
        <f>IF(OR($G983=0,INDEX(Employees!$O$5:$O$29,$A983)&lt;&gt;"Yes"),0,IF(COUNTIF(Settings!$D$4:$D$9,"&lt;="&amp;$H983)=0,0,INDEX(Settings!$E$4:$E$9,COUNTIF(Settings!$D$4:$D$9,"&lt;="&amp;$H983))))</f>
        <v/>
      </c>
      <c r="K983" s="48">
        <f>IF($G983=0,0,IF(INDEX(Employees!$I$5:$I$29,$A983)="Per pay period",(N(INDEX(Employees!$J$5:$J$29,$A983))+$J983)/Settings!$B$13,IF(INDEX(Employees!$I$5:$I$29,$A983)="Per hour worked",N(INDEX(Employees!$K$5:$K$29,$A983))*$I983,IF(INDEX(Employees!$I$5:$I$29,$A983)="Front-loaded",IF(OR($B983=1,N($G982)=0),N(INDEX(Employees!$J$5:$J$29,$A983))+$J983,0),0))))</f>
        <v/>
      </c>
      <c r="L983" s="48">
        <f>IF($F983=0,0,SUMIFS('Time Off Log'!$H$5:$H$504,'Time Off Log'!$A$5:$A$504,$C983,'Time Off Log'!$B$5:$B$504,"PTO",'Time Off Log'!$E$5:$E$504,"Approved",'Time Off Log'!$C$5:$C$504,"&gt;="&amp;INDEX(Periods!$E$5:$E$57,$B983),'Time Off Log'!$C$5:$C$504,"&lt;="&amp;INDEX(Periods!$F$5:$F$57,$B983)))</f>
        <v/>
      </c>
      <c r="M983" s="48">
        <f>IF($B983=1,N(INDEX(Employees!$N$5:$N$29,$A983)),P982)</f>
        <v/>
      </c>
      <c r="N983" s="48">
        <f>IF(INDEX(Employees!$L$5:$L$29,$A983)="",K983,MAX(0,MIN(K983,INDEX(Employees!$L$5:$L$29,$A983)-(M983-L983))))</f>
        <v/>
      </c>
      <c r="O983" s="48">
        <f>K983-N983</f>
        <v/>
      </c>
      <c r="P983" s="48">
        <f>M983-L983+N983</f>
        <v/>
      </c>
      <c r="Q983" s="48">
        <f>IF($G983=0,0,IF(INDEX(Employees!$P$5:$P$29,$A983)="Per pay period",(N(INDEX(Employees!$Q$5:$Q$29,$A983)))/Settings!$B$13,IF(INDEX(Employees!$P$5:$P$29,$A983)="Per hour worked",N(INDEX(Employees!$R$5:$R$29,$A983))*$I983,IF(INDEX(Employees!$P$5:$P$29,$A983)="Front-loaded",IF(OR($B983=1,N($G982)=0),N(INDEX(Employees!$Q$5:$Q$29,$A983)),0),0))))</f>
        <v/>
      </c>
      <c r="R983" s="48">
        <f>IF($F983=0,0,SUMIFS('Time Off Log'!$H$5:$H$504,'Time Off Log'!$A$5:$A$504,$C983,'Time Off Log'!$B$5:$B$504,"Sick",'Time Off Log'!$E$5:$E$504,"Approved",'Time Off Log'!$C$5:$C$504,"&gt;="&amp;INDEX(Periods!$E$5:$E$57,$B983),'Time Off Log'!$C$5:$C$504,"&lt;="&amp;INDEX(Periods!$F$5:$F$57,$B983)))</f>
        <v/>
      </c>
      <c r="S983" s="48">
        <f>IF($B983=1,N(INDEX(Employees!$T$5:$T$29,$A983)),V982)</f>
        <v/>
      </c>
      <c r="T983" s="48">
        <f>IF(INDEX(Employees!$S$5:$S$29,$A983)="",Q983,MAX(0,MIN(Q983,INDEX(Employees!$S$5:$S$29,$A983)-(S983-R983))))</f>
        <v/>
      </c>
      <c r="U983" s="48">
        <f>Q983-T983</f>
        <v/>
      </c>
      <c r="V983" s="48">
        <f>S983-R983+T983</f>
        <v/>
      </c>
    </row>
    <row r="984">
      <c r="A984" s="47" t="n">
        <v>19</v>
      </c>
      <c r="B984" s="47" t="n">
        <v>26</v>
      </c>
      <c r="C984" s="48">
        <f>INDEX(Employees!$B$5:$B$29,$A984)&amp;""</f>
        <v/>
      </c>
      <c r="D984" s="49">
        <f>INDEX(Periods!$B$5:$B$57,$B984)</f>
        <v/>
      </c>
      <c r="E984" s="49">
        <f>INDEX(Periods!$C$5:$C$57,$B984)</f>
        <v/>
      </c>
      <c r="F984" s="47">
        <f>IF(AND($C984&lt;&gt;"",INDEX(Periods!$D$5:$D$57,$B984)=1),1,0)</f>
        <v/>
      </c>
      <c r="G984" s="47">
        <f>IF($F984=0,0,IF(AND(OR(INDEX(Employees!$D$5:$D$29,$A984)="",$E984&gt;=INDEX(Employees!$D$5:$D$29,$A984)+N(INDEX(Employees!$U$5:$U$29,$A984))),OR(INDEX(Employees!$E$5:$E$29,$A984)="",$D984&lt;=INDEX(Employees!$E$5:$E$29,$A984))),1,0))</f>
        <v/>
      </c>
      <c r="H984" s="47">
        <f>IF($G984=0,0,IF(INDEX(Employees!$D$5:$D$29,$A984)="",0,DATEDIF(INDEX(Employees!$D$5:$D$29,$A984),$E984,"y")))</f>
        <v/>
      </c>
      <c r="I984" s="48">
        <f>IF($G984=0,0,IF(INDEX('Hours Worked'!$D$5:$BD$29,$A984,$B984)="",N(INDEX(Employees!$H$5:$H$29,$A984)),INDEX('Hours Worked'!$D$5:$BD$29,$A984,$B984)))</f>
        <v/>
      </c>
      <c r="J984" s="48">
        <f>IF(OR($G984=0,INDEX(Employees!$O$5:$O$29,$A984)&lt;&gt;"Yes"),0,IF(COUNTIF(Settings!$D$4:$D$9,"&lt;="&amp;$H984)=0,0,INDEX(Settings!$E$4:$E$9,COUNTIF(Settings!$D$4:$D$9,"&lt;="&amp;$H984))))</f>
        <v/>
      </c>
      <c r="K984" s="48">
        <f>IF($G984=0,0,IF(INDEX(Employees!$I$5:$I$29,$A984)="Per pay period",(N(INDEX(Employees!$J$5:$J$29,$A984))+$J984)/Settings!$B$13,IF(INDEX(Employees!$I$5:$I$29,$A984)="Per hour worked",N(INDEX(Employees!$K$5:$K$29,$A984))*$I984,IF(INDEX(Employees!$I$5:$I$29,$A984)="Front-loaded",IF(OR($B984=1,N($G983)=0),N(INDEX(Employees!$J$5:$J$29,$A984))+$J984,0),0))))</f>
        <v/>
      </c>
      <c r="L984" s="48">
        <f>IF($F984=0,0,SUMIFS('Time Off Log'!$H$5:$H$504,'Time Off Log'!$A$5:$A$504,$C984,'Time Off Log'!$B$5:$B$504,"PTO",'Time Off Log'!$E$5:$E$504,"Approved",'Time Off Log'!$C$5:$C$504,"&gt;="&amp;INDEX(Periods!$E$5:$E$57,$B984),'Time Off Log'!$C$5:$C$504,"&lt;="&amp;INDEX(Periods!$F$5:$F$57,$B984)))</f>
        <v/>
      </c>
      <c r="M984" s="48">
        <f>IF($B984=1,N(INDEX(Employees!$N$5:$N$29,$A984)),P983)</f>
        <v/>
      </c>
      <c r="N984" s="48">
        <f>IF(INDEX(Employees!$L$5:$L$29,$A984)="",K984,MAX(0,MIN(K984,INDEX(Employees!$L$5:$L$29,$A984)-(M984-L984))))</f>
        <v/>
      </c>
      <c r="O984" s="48">
        <f>K984-N984</f>
        <v/>
      </c>
      <c r="P984" s="48">
        <f>M984-L984+N984</f>
        <v/>
      </c>
      <c r="Q984" s="48">
        <f>IF($G984=0,0,IF(INDEX(Employees!$P$5:$P$29,$A984)="Per pay period",(N(INDEX(Employees!$Q$5:$Q$29,$A984)))/Settings!$B$13,IF(INDEX(Employees!$P$5:$P$29,$A984)="Per hour worked",N(INDEX(Employees!$R$5:$R$29,$A984))*$I984,IF(INDEX(Employees!$P$5:$P$29,$A984)="Front-loaded",IF(OR($B984=1,N($G983)=0),N(INDEX(Employees!$Q$5:$Q$29,$A984)),0),0))))</f>
        <v/>
      </c>
      <c r="R984" s="48">
        <f>IF($F984=0,0,SUMIFS('Time Off Log'!$H$5:$H$504,'Time Off Log'!$A$5:$A$504,$C984,'Time Off Log'!$B$5:$B$504,"Sick",'Time Off Log'!$E$5:$E$504,"Approved",'Time Off Log'!$C$5:$C$504,"&gt;="&amp;INDEX(Periods!$E$5:$E$57,$B984),'Time Off Log'!$C$5:$C$504,"&lt;="&amp;INDEX(Periods!$F$5:$F$57,$B984)))</f>
        <v/>
      </c>
      <c r="S984" s="48">
        <f>IF($B984=1,N(INDEX(Employees!$T$5:$T$29,$A984)),V983)</f>
        <v/>
      </c>
      <c r="T984" s="48">
        <f>IF(INDEX(Employees!$S$5:$S$29,$A984)="",Q984,MAX(0,MIN(Q984,INDEX(Employees!$S$5:$S$29,$A984)-(S984-R984))))</f>
        <v/>
      </c>
      <c r="U984" s="48">
        <f>Q984-T984</f>
        <v/>
      </c>
      <c r="V984" s="48">
        <f>S984-R984+T984</f>
        <v/>
      </c>
    </row>
    <row r="985">
      <c r="A985" s="47" t="n">
        <v>19</v>
      </c>
      <c r="B985" s="47" t="n">
        <v>27</v>
      </c>
      <c r="C985" s="48">
        <f>INDEX(Employees!$B$5:$B$29,$A985)&amp;""</f>
        <v/>
      </c>
      <c r="D985" s="49">
        <f>INDEX(Periods!$B$5:$B$57,$B985)</f>
        <v/>
      </c>
      <c r="E985" s="49">
        <f>INDEX(Periods!$C$5:$C$57,$B985)</f>
        <v/>
      </c>
      <c r="F985" s="47">
        <f>IF(AND($C985&lt;&gt;"",INDEX(Periods!$D$5:$D$57,$B985)=1),1,0)</f>
        <v/>
      </c>
      <c r="G985" s="47">
        <f>IF($F985=0,0,IF(AND(OR(INDEX(Employees!$D$5:$D$29,$A985)="",$E985&gt;=INDEX(Employees!$D$5:$D$29,$A985)+N(INDEX(Employees!$U$5:$U$29,$A985))),OR(INDEX(Employees!$E$5:$E$29,$A985)="",$D985&lt;=INDEX(Employees!$E$5:$E$29,$A985))),1,0))</f>
        <v/>
      </c>
      <c r="H985" s="47">
        <f>IF($G985=0,0,IF(INDEX(Employees!$D$5:$D$29,$A985)="",0,DATEDIF(INDEX(Employees!$D$5:$D$29,$A985),$E985,"y")))</f>
        <v/>
      </c>
      <c r="I985" s="48">
        <f>IF($G985=0,0,IF(INDEX('Hours Worked'!$D$5:$BD$29,$A985,$B985)="",N(INDEX(Employees!$H$5:$H$29,$A985)),INDEX('Hours Worked'!$D$5:$BD$29,$A985,$B985)))</f>
        <v/>
      </c>
      <c r="J985" s="48">
        <f>IF(OR($G985=0,INDEX(Employees!$O$5:$O$29,$A985)&lt;&gt;"Yes"),0,IF(COUNTIF(Settings!$D$4:$D$9,"&lt;="&amp;$H985)=0,0,INDEX(Settings!$E$4:$E$9,COUNTIF(Settings!$D$4:$D$9,"&lt;="&amp;$H985))))</f>
        <v/>
      </c>
      <c r="K985" s="48">
        <f>IF($G985=0,0,IF(INDEX(Employees!$I$5:$I$29,$A985)="Per pay period",(N(INDEX(Employees!$J$5:$J$29,$A985))+$J985)/Settings!$B$13,IF(INDEX(Employees!$I$5:$I$29,$A985)="Per hour worked",N(INDEX(Employees!$K$5:$K$29,$A985))*$I985,IF(INDEX(Employees!$I$5:$I$29,$A985)="Front-loaded",IF(OR($B985=1,N($G984)=0),N(INDEX(Employees!$J$5:$J$29,$A985))+$J985,0),0))))</f>
        <v/>
      </c>
      <c r="L985" s="48">
        <f>IF($F985=0,0,SUMIFS('Time Off Log'!$H$5:$H$504,'Time Off Log'!$A$5:$A$504,$C985,'Time Off Log'!$B$5:$B$504,"PTO",'Time Off Log'!$E$5:$E$504,"Approved",'Time Off Log'!$C$5:$C$504,"&gt;="&amp;INDEX(Periods!$E$5:$E$57,$B985),'Time Off Log'!$C$5:$C$504,"&lt;="&amp;INDEX(Periods!$F$5:$F$57,$B985)))</f>
        <v/>
      </c>
      <c r="M985" s="48">
        <f>IF($B985=1,N(INDEX(Employees!$N$5:$N$29,$A985)),P984)</f>
        <v/>
      </c>
      <c r="N985" s="48">
        <f>IF(INDEX(Employees!$L$5:$L$29,$A985)="",K985,MAX(0,MIN(K985,INDEX(Employees!$L$5:$L$29,$A985)-(M985-L985))))</f>
        <v/>
      </c>
      <c r="O985" s="48">
        <f>K985-N985</f>
        <v/>
      </c>
      <c r="P985" s="48">
        <f>M985-L985+N985</f>
        <v/>
      </c>
      <c r="Q985" s="48">
        <f>IF($G985=0,0,IF(INDEX(Employees!$P$5:$P$29,$A985)="Per pay period",(N(INDEX(Employees!$Q$5:$Q$29,$A985)))/Settings!$B$13,IF(INDEX(Employees!$P$5:$P$29,$A985)="Per hour worked",N(INDEX(Employees!$R$5:$R$29,$A985))*$I985,IF(INDEX(Employees!$P$5:$P$29,$A985)="Front-loaded",IF(OR($B985=1,N($G984)=0),N(INDEX(Employees!$Q$5:$Q$29,$A985)),0),0))))</f>
        <v/>
      </c>
      <c r="R985" s="48">
        <f>IF($F985=0,0,SUMIFS('Time Off Log'!$H$5:$H$504,'Time Off Log'!$A$5:$A$504,$C985,'Time Off Log'!$B$5:$B$504,"Sick",'Time Off Log'!$E$5:$E$504,"Approved",'Time Off Log'!$C$5:$C$504,"&gt;="&amp;INDEX(Periods!$E$5:$E$57,$B985),'Time Off Log'!$C$5:$C$504,"&lt;="&amp;INDEX(Periods!$F$5:$F$57,$B985)))</f>
        <v/>
      </c>
      <c r="S985" s="48">
        <f>IF($B985=1,N(INDEX(Employees!$T$5:$T$29,$A985)),V984)</f>
        <v/>
      </c>
      <c r="T985" s="48">
        <f>IF(INDEX(Employees!$S$5:$S$29,$A985)="",Q985,MAX(0,MIN(Q985,INDEX(Employees!$S$5:$S$29,$A985)-(S985-R985))))</f>
        <v/>
      </c>
      <c r="U985" s="48">
        <f>Q985-T985</f>
        <v/>
      </c>
      <c r="V985" s="48">
        <f>S985-R985+T985</f>
        <v/>
      </c>
    </row>
    <row r="986">
      <c r="A986" s="47" t="n">
        <v>19</v>
      </c>
      <c r="B986" s="47" t="n">
        <v>28</v>
      </c>
      <c r="C986" s="48">
        <f>INDEX(Employees!$B$5:$B$29,$A986)&amp;""</f>
        <v/>
      </c>
      <c r="D986" s="49">
        <f>INDEX(Periods!$B$5:$B$57,$B986)</f>
        <v/>
      </c>
      <c r="E986" s="49">
        <f>INDEX(Periods!$C$5:$C$57,$B986)</f>
        <v/>
      </c>
      <c r="F986" s="47">
        <f>IF(AND($C986&lt;&gt;"",INDEX(Periods!$D$5:$D$57,$B986)=1),1,0)</f>
        <v/>
      </c>
      <c r="G986" s="47">
        <f>IF($F986=0,0,IF(AND(OR(INDEX(Employees!$D$5:$D$29,$A986)="",$E986&gt;=INDEX(Employees!$D$5:$D$29,$A986)+N(INDEX(Employees!$U$5:$U$29,$A986))),OR(INDEX(Employees!$E$5:$E$29,$A986)="",$D986&lt;=INDEX(Employees!$E$5:$E$29,$A986))),1,0))</f>
        <v/>
      </c>
      <c r="H986" s="47">
        <f>IF($G986=0,0,IF(INDEX(Employees!$D$5:$D$29,$A986)="",0,DATEDIF(INDEX(Employees!$D$5:$D$29,$A986),$E986,"y")))</f>
        <v/>
      </c>
      <c r="I986" s="48">
        <f>IF($G986=0,0,IF(INDEX('Hours Worked'!$D$5:$BD$29,$A986,$B986)="",N(INDEX(Employees!$H$5:$H$29,$A986)),INDEX('Hours Worked'!$D$5:$BD$29,$A986,$B986)))</f>
        <v/>
      </c>
      <c r="J986" s="48">
        <f>IF(OR($G986=0,INDEX(Employees!$O$5:$O$29,$A986)&lt;&gt;"Yes"),0,IF(COUNTIF(Settings!$D$4:$D$9,"&lt;="&amp;$H986)=0,0,INDEX(Settings!$E$4:$E$9,COUNTIF(Settings!$D$4:$D$9,"&lt;="&amp;$H986))))</f>
        <v/>
      </c>
      <c r="K986" s="48">
        <f>IF($G986=0,0,IF(INDEX(Employees!$I$5:$I$29,$A986)="Per pay period",(N(INDEX(Employees!$J$5:$J$29,$A986))+$J986)/Settings!$B$13,IF(INDEX(Employees!$I$5:$I$29,$A986)="Per hour worked",N(INDEX(Employees!$K$5:$K$29,$A986))*$I986,IF(INDEX(Employees!$I$5:$I$29,$A986)="Front-loaded",IF(OR($B986=1,N($G985)=0),N(INDEX(Employees!$J$5:$J$29,$A986))+$J986,0),0))))</f>
        <v/>
      </c>
      <c r="L986" s="48">
        <f>IF($F986=0,0,SUMIFS('Time Off Log'!$H$5:$H$504,'Time Off Log'!$A$5:$A$504,$C986,'Time Off Log'!$B$5:$B$504,"PTO",'Time Off Log'!$E$5:$E$504,"Approved",'Time Off Log'!$C$5:$C$504,"&gt;="&amp;INDEX(Periods!$E$5:$E$57,$B986),'Time Off Log'!$C$5:$C$504,"&lt;="&amp;INDEX(Periods!$F$5:$F$57,$B986)))</f>
        <v/>
      </c>
      <c r="M986" s="48">
        <f>IF($B986=1,N(INDEX(Employees!$N$5:$N$29,$A986)),P985)</f>
        <v/>
      </c>
      <c r="N986" s="48">
        <f>IF(INDEX(Employees!$L$5:$L$29,$A986)="",K986,MAX(0,MIN(K986,INDEX(Employees!$L$5:$L$29,$A986)-(M986-L986))))</f>
        <v/>
      </c>
      <c r="O986" s="48">
        <f>K986-N986</f>
        <v/>
      </c>
      <c r="P986" s="48">
        <f>M986-L986+N986</f>
        <v/>
      </c>
      <c r="Q986" s="48">
        <f>IF($G986=0,0,IF(INDEX(Employees!$P$5:$P$29,$A986)="Per pay period",(N(INDEX(Employees!$Q$5:$Q$29,$A986)))/Settings!$B$13,IF(INDEX(Employees!$P$5:$P$29,$A986)="Per hour worked",N(INDEX(Employees!$R$5:$R$29,$A986))*$I986,IF(INDEX(Employees!$P$5:$P$29,$A986)="Front-loaded",IF(OR($B986=1,N($G985)=0),N(INDEX(Employees!$Q$5:$Q$29,$A986)),0),0))))</f>
        <v/>
      </c>
      <c r="R986" s="48">
        <f>IF($F986=0,0,SUMIFS('Time Off Log'!$H$5:$H$504,'Time Off Log'!$A$5:$A$504,$C986,'Time Off Log'!$B$5:$B$504,"Sick",'Time Off Log'!$E$5:$E$504,"Approved",'Time Off Log'!$C$5:$C$504,"&gt;="&amp;INDEX(Periods!$E$5:$E$57,$B986),'Time Off Log'!$C$5:$C$504,"&lt;="&amp;INDEX(Periods!$F$5:$F$57,$B986)))</f>
        <v/>
      </c>
      <c r="S986" s="48">
        <f>IF($B986=1,N(INDEX(Employees!$T$5:$T$29,$A986)),V985)</f>
        <v/>
      </c>
      <c r="T986" s="48">
        <f>IF(INDEX(Employees!$S$5:$S$29,$A986)="",Q986,MAX(0,MIN(Q986,INDEX(Employees!$S$5:$S$29,$A986)-(S986-R986))))</f>
        <v/>
      </c>
      <c r="U986" s="48">
        <f>Q986-T986</f>
        <v/>
      </c>
      <c r="V986" s="48">
        <f>S986-R986+T986</f>
        <v/>
      </c>
    </row>
    <row r="987">
      <c r="A987" s="47" t="n">
        <v>19</v>
      </c>
      <c r="B987" s="47" t="n">
        <v>29</v>
      </c>
      <c r="C987" s="48">
        <f>INDEX(Employees!$B$5:$B$29,$A987)&amp;""</f>
        <v/>
      </c>
      <c r="D987" s="49">
        <f>INDEX(Periods!$B$5:$B$57,$B987)</f>
        <v/>
      </c>
      <c r="E987" s="49">
        <f>INDEX(Periods!$C$5:$C$57,$B987)</f>
        <v/>
      </c>
      <c r="F987" s="47">
        <f>IF(AND($C987&lt;&gt;"",INDEX(Periods!$D$5:$D$57,$B987)=1),1,0)</f>
        <v/>
      </c>
      <c r="G987" s="47">
        <f>IF($F987=0,0,IF(AND(OR(INDEX(Employees!$D$5:$D$29,$A987)="",$E987&gt;=INDEX(Employees!$D$5:$D$29,$A987)+N(INDEX(Employees!$U$5:$U$29,$A987))),OR(INDEX(Employees!$E$5:$E$29,$A987)="",$D987&lt;=INDEX(Employees!$E$5:$E$29,$A987))),1,0))</f>
        <v/>
      </c>
      <c r="H987" s="47">
        <f>IF($G987=0,0,IF(INDEX(Employees!$D$5:$D$29,$A987)="",0,DATEDIF(INDEX(Employees!$D$5:$D$29,$A987),$E987,"y")))</f>
        <v/>
      </c>
      <c r="I987" s="48">
        <f>IF($G987=0,0,IF(INDEX('Hours Worked'!$D$5:$BD$29,$A987,$B987)="",N(INDEX(Employees!$H$5:$H$29,$A987)),INDEX('Hours Worked'!$D$5:$BD$29,$A987,$B987)))</f>
        <v/>
      </c>
      <c r="J987" s="48">
        <f>IF(OR($G987=0,INDEX(Employees!$O$5:$O$29,$A987)&lt;&gt;"Yes"),0,IF(COUNTIF(Settings!$D$4:$D$9,"&lt;="&amp;$H987)=0,0,INDEX(Settings!$E$4:$E$9,COUNTIF(Settings!$D$4:$D$9,"&lt;="&amp;$H987))))</f>
        <v/>
      </c>
      <c r="K987" s="48">
        <f>IF($G987=0,0,IF(INDEX(Employees!$I$5:$I$29,$A987)="Per pay period",(N(INDEX(Employees!$J$5:$J$29,$A987))+$J987)/Settings!$B$13,IF(INDEX(Employees!$I$5:$I$29,$A987)="Per hour worked",N(INDEX(Employees!$K$5:$K$29,$A987))*$I987,IF(INDEX(Employees!$I$5:$I$29,$A987)="Front-loaded",IF(OR($B987=1,N($G986)=0),N(INDEX(Employees!$J$5:$J$29,$A987))+$J987,0),0))))</f>
        <v/>
      </c>
      <c r="L987" s="48">
        <f>IF($F987=0,0,SUMIFS('Time Off Log'!$H$5:$H$504,'Time Off Log'!$A$5:$A$504,$C987,'Time Off Log'!$B$5:$B$504,"PTO",'Time Off Log'!$E$5:$E$504,"Approved",'Time Off Log'!$C$5:$C$504,"&gt;="&amp;INDEX(Periods!$E$5:$E$57,$B987),'Time Off Log'!$C$5:$C$504,"&lt;="&amp;INDEX(Periods!$F$5:$F$57,$B987)))</f>
        <v/>
      </c>
      <c r="M987" s="48">
        <f>IF($B987=1,N(INDEX(Employees!$N$5:$N$29,$A987)),P986)</f>
        <v/>
      </c>
      <c r="N987" s="48">
        <f>IF(INDEX(Employees!$L$5:$L$29,$A987)="",K987,MAX(0,MIN(K987,INDEX(Employees!$L$5:$L$29,$A987)-(M987-L987))))</f>
        <v/>
      </c>
      <c r="O987" s="48">
        <f>K987-N987</f>
        <v/>
      </c>
      <c r="P987" s="48">
        <f>M987-L987+N987</f>
        <v/>
      </c>
      <c r="Q987" s="48">
        <f>IF($G987=0,0,IF(INDEX(Employees!$P$5:$P$29,$A987)="Per pay period",(N(INDEX(Employees!$Q$5:$Q$29,$A987)))/Settings!$B$13,IF(INDEX(Employees!$P$5:$P$29,$A987)="Per hour worked",N(INDEX(Employees!$R$5:$R$29,$A987))*$I987,IF(INDEX(Employees!$P$5:$P$29,$A987)="Front-loaded",IF(OR($B987=1,N($G986)=0),N(INDEX(Employees!$Q$5:$Q$29,$A987)),0),0))))</f>
        <v/>
      </c>
      <c r="R987" s="48">
        <f>IF($F987=0,0,SUMIFS('Time Off Log'!$H$5:$H$504,'Time Off Log'!$A$5:$A$504,$C987,'Time Off Log'!$B$5:$B$504,"Sick",'Time Off Log'!$E$5:$E$504,"Approved",'Time Off Log'!$C$5:$C$504,"&gt;="&amp;INDEX(Periods!$E$5:$E$57,$B987),'Time Off Log'!$C$5:$C$504,"&lt;="&amp;INDEX(Periods!$F$5:$F$57,$B987)))</f>
        <v/>
      </c>
      <c r="S987" s="48">
        <f>IF($B987=1,N(INDEX(Employees!$T$5:$T$29,$A987)),V986)</f>
        <v/>
      </c>
      <c r="T987" s="48">
        <f>IF(INDEX(Employees!$S$5:$S$29,$A987)="",Q987,MAX(0,MIN(Q987,INDEX(Employees!$S$5:$S$29,$A987)-(S987-R987))))</f>
        <v/>
      </c>
      <c r="U987" s="48">
        <f>Q987-T987</f>
        <v/>
      </c>
      <c r="V987" s="48">
        <f>S987-R987+T987</f>
        <v/>
      </c>
    </row>
    <row r="988">
      <c r="A988" s="47" t="n">
        <v>19</v>
      </c>
      <c r="B988" s="47" t="n">
        <v>30</v>
      </c>
      <c r="C988" s="48">
        <f>INDEX(Employees!$B$5:$B$29,$A988)&amp;""</f>
        <v/>
      </c>
      <c r="D988" s="49">
        <f>INDEX(Periods!$B$5:$B$57,$B988)</f>
        <v/>
      </c>
      <c r="E988" s="49">
        <f>INDEX(Periods!$C$5:$C$57,$B988)</f>
        <v/>
      </c>
      <c r="F988" s="47">
        <f>IF(AND($C988&lt;&gt;"",INDEX(Periods!$D$5:$D$57,$B988)=1),1,0)</f>
        <v/>
      </c>
      <c r="G988" s="47">
        <f>IF($F988=0,0,IF(AND(OR(INDEX(Employees!$D$5:$D$29,$A988)="",$E988&gt;=INDEX(Employees!$D$5:$D$29,$A988)+N(INDEX(Employees!$U$5:$U$29,$A988))),OR(INDEX(Employees!$E$5:$E$29,$A988)="",$D988&lt;=INDEX(Employees!$E$5:$E$29,$A988))),1,0))</f>
        <v/>
      </c>
      <c r="H988" s="47">
        <f>IF($G988=0,0,IF(INDEX(Employees!$D$5:$D$29,$A988)="",0,DATEDIF(INDEX(Employees!$D$5:$D$29,$A988),$E988,"y")))</f>
        <v/>
      </c>
      <c r="I988" s="48">
        <f>IF($G988=0,0,IF(INDEX('Hours Worked'!$D$5:$BD$29,$A988,$B988)="",N(INDEX(Employees!$H$5:$H$29,$A988)),INDEX('Hours Worked'!$D$5:$BD$29,$A988,$B988)))</f>
        <v/>
      </c>
      <c r="J988" s="48">
        <f>IF(OR($G988=0,INDEX(Employees!$O$5:$O$29,$A988)&lt;&gt;"Yes"),0,IF(COUNTIF(Settings!$D$4:$D$9,"&lt;="&amp;$H988)=0,0,INDEX(Settings!$E$4:$E$9,COUNTIF(Settings!$D$4:$D$9,"&lt;="&amp;$H988))))</f>
        <v/>
      </c>
      <c r="K988" s="48">
        <f>IF($G988=0,0,IF(INDEX(Employees!$I$5:$I$29,$A988)="Per pay period",(N(INDEX(Employees!$J$5:$J$29,$A988))+$J988)/Settings!$B$13,IF(INDEX(Employees!$I$5:$I$29,$A988)="Per hour worked",N(INDEX(Employees!$K$5:$K$29,$A988))*$I988,IF(INDEX(Employees!$I$5:$I$29,$A988)="Front-loaded",IF(OR($B988=1,N($G987)=0),N(INDEX(Employees!$J$5:$J$29,$A988))+$J988,0),0))))</f>
        <v/>
      </c>
      <c r="L988" s="48">
        <f>IF($F988=0,0,SUMIFS('Time Off Log'!$H$5:$H$504,'Time Off Log'!$A$5:$A$504,$C988,'Time Off Log'!$B$5:$B$504,"PTO",'Time Off Log'!$E$5:$E$504,"Approved",'Time Off Log'!$C$5:$C$504,"&gt;="&amp;INDEX(Periods!$E$5:$E$57,$B988),'Time Off Log'!$C$5:$C$504,"&lt;="&amp;INDEX(Periods!$F$5:$F$57,$B988)))</f>
        <v/>
      </c>
      <c r="M988" s="48">
        <f>IF($B988=1,N(INDEX(Employees!$N$5:$N$29,$A988)),P987)</f>
        <v/>
      </c>
      <c r="N988" s="48">
        <f>IF(INDEX(Employees!$L$5:$L$29,$A988)="",K988,MAX(0,MIN(K988,INDEX(Employees!$L$5:$L$29,$A988)-(M988-L988))))</f>
        <v/>
      </c>
      <c r="O988" s="48">
        <f>K988-N988</f>
        <v/>
      </c>
      <c r="P988" s="48">
        <f>M988-L988+N988</f>
        <v/>
      </c>
      <c r="Q988" s="48">
        <f>IF($G988=0,0,IF(INDEX(Employees!$P$5:$P$29,$A988)="Per pay period",(N(INDEX(Employees!$Q$5:$Q$29,$A988)))/Settings!$B$13,IF(INDEX(Employees!$P$5:$P$29,$A988)="Per hour worked",N(INDEX(Employees!$R$5:$R$29,$A988))*$I988,IF(INDEX(Employees!$P$5:$P$29,$A988)="Front-loaded",IF(OR($B988=1,N($G987)=0),N(INDEX(Employees!$Q$5:$Q$29,$A988)),0),0))))</f>
        <v/>
      </c>
      <c r="R988" s="48">
        <f>IF($F988=0,0,SUMIFS('Time Off Log'!$H$5:$H$504,'Time Off Log'!$A$5:$A$504,$C988,'Time Off Log'!$B$5:$B$504,"Sick",'Time Off Log'!$E$5:$E$504,"Approved",'Time Off Log'!$C$5:$C$504,"&gt;="&amp;INDEX(Periods!$E$5:$E$57,$B988),'Time Off Log'!$C$5:$C$504,"&lt;="&amp;INDEX(Periods!$F$5:$F$57,$B988)))</f>
        <v/>
      </c>
      <c r="S988" s="48">
        <f>IF($B988=1,N(INDEX(Employees!$T$5:$T$29,$A988)),V987)</f>
        <v/>
      </c>
      <c r="T988" s="48">
        <f>IF(INDEX(Employees!$S$5:$S$29,$A988)="",Q988,MAX(0,MIN(Q988,INDEX(Employees!$S$5:$S$29,$A988)-(S988-R988))))</f>
        <v/>
      </c>
      <c r="U988" s="48">
        <f>Q988-T988</f>
        <v/>
      </c>
      <c r="V988" s="48">
        <f>S988-R988+T988</f>
        <v/>
      </c>
    </row>
    <row r="989">
      <c r="A989" s="47" t="n">
        <v>19</v>
      </c>
      <c r="B989" s="47" t="n">
        <v>31</v>
      </c>
      <c r="C989" s="48">
        <f>INDEX(Employees!$B$5:$B$29,$A989)&amp;""</f>
        <v/>
      </c>
      <c r="D989" s="49">
        <f>INDEX(Periods!$B$5:$B$57,$B989)</f>
        <v/>
      </c>
      <c r="E989" s="49">
        <f>INDEX(Periods!$C$5:$C$57,$B989)</f>
        <v/>
      </c>
      <c r="F989" s="47">
        <f>IF(AND($C989&lt;&gt;"",INDEX(Periods!$D$5:$D$57,$B989)=1),1,0)</f>
        <v/>
      </c>
      <c r="G989" s="47">
        <f>IF($F989=0,0,IF(AND(OR(INDEX(Employees!$D$5:$D$29,$A989)="",$E989&gt;=INDEX(Employees!$D$5:$D$29,$A989)+N(INDEX(Employees!$U$5:$U$29,$A989))),OR(INDEX(Employees!$E$5:$E$29,$A989)="",$D989&lt;=INDEX(Employees!$E$5:$E$29,$A989))),1,0))</f>
        <v/>
      </c>
      <c r="H989" s="47">
        <f>IF($G989=0,0,IF(INDEX(Employees!$D$5:$D$29,$A989)="",0,DATEDIF(INDEX(Employees!$D$5:$D$29,$A989),$E989,"y")))</f>
        <v/>
      </c>
      <c r="I989" s="48">
        <f>IF($G989=0,0,IF(INDEX('Hours Worked'!$D$5:$BD$29,$A989,$B989)="",N(INDEX(Employees!$H$5:$H$29,$A989)),INDEX('Hours Worked'!$D$5:$BD$29,$A989,$B989)))</f>
        <v/>
      </c>
      <c r="J989" s="48">
        <f>IF(OR($G989=0,INDEX(Employees!$O$5:$O$29,$A989)&lt;&gt;"Yes"),0,IF(COUNTIF(Settings!$D$4:$D$9,"&lt;="&amp;$H989)=0,0,INDEX(Settings!$E$4:$E$9,COUNTIF(Settings!$D$4:$D$9,"&lt;="&amp;$H989))))</f>
        <v/>
      </c>
      <c r="K989" s="48">
        <f>IF($G989=0,0,IF(INDEX(Employees!$I$5:$I$29,$A989)="Per pay period",(N(INDEX(Employees!$J$5:$J$29,$A989))+$J989)/Settings!$B$13,IF(INDEX(Employees!$I$5:$I$29,$A989)="Per hour worked",N(INDEX(Employees!$K$5:$K$29,$A989))*$I989,IF(INDEX(Employees!$I$5:$I$29,$A989)="Front-loaded",IF(OR($B989=1,N($G988)=0),N(INDEX(Employees!$J$5:$J$29,$A989))+$J989,0),0))))</f>
        <v/>
      </c>
      <c r="L989" s="48">
        <f>IF($F989=0,0,SUMIFS('Time Off Log'!$H$5:$H$504,'Time Off Log'!$A$5:$A$504,$C989,'Time Off Log'!$B$5:$B$504,"PTO",'Time Off Log'!$E$5:$E$504,"Approved",'Time Off Log'!$C$5:$C$504,"&gt;="&amp;INDEX(Periods!$E$5:$E$57,$B989),'Time Off Log'!$C$5:$C$504,"&lt;="&amp;INDEX(Periods!$F$5:$F$57,$B989)))</f>
        <v/>
      </c>
      <c r="M989" s="48">
        <f>IF($B989=1,N(INDEX(Employees!$N$5:$N$29,$A989)),P988)</f>
        <v/>
      </c>
      <c r="N989" s="48">
        <f>IF(INDEX(Employees!$L$5:$L$29,$A989)="",K989,MAX(0,MIN(K989,INDEX(Employees!$L$5:$L$29,$A989)-(M989-L989))))</f>
        <v/>
      </c>
      <c r="O989" s="48">
        <f>K989-N989</f>
        <v/>
      </c>
      <c r="P989" s="48">
        <f>M989-L989+N989</f>
        <v/>
      </c>
      <c r="Q989" s="48">
        <f>IF($G989=0,0,IF(INDEX(Employees!$P$5:$P$29,$A989)="Per pay period",(N(INDEX(Employees!$Q$5:$Q$29,$A989)))/Settings!$B$13,IF(INDEX(Employees!$P$5:$P$29,$A989)="Per hour worked",N(INDEX(Employees!$R$5:$R$29,$A989))*$I989,IF(INDEX(Employees!$P$5:$P$29,$A989)="Front-loaded",IF(OR($B989=1,N($G988)=0),N(INDEX(Employees!$Q$5:$Q$29,$A989)),0),0))))</f>
        <v/>
      </c>
      <c r="R989" s="48">
        <f>IF($F989=0,0,SUMIFS('Time Off Log'!$H$5:$H$504,'Time Off Log'!$A$5:$A$504,$C989,'Time Off Log'!$B$5:$B$504,"Sick",'Time Off Log'!$E$5:$E$504,"Approved",'Time Off Log'!$C$5:$C$504,"&gt;="&amp;INDEX(Periods!$E$5:$E$57,$B989),'Time Off Log'!$C$5:$C$504,"&lt;="&amp;INDEX(Periods!$F$5:$F$57,$B989)))</f>
        <v/>
      </c>
      <c r="S989" s="48">
        <f>IF($B989=1,N(INDEX(Employees!$T$5:$T$29,$A989)),V988)</f>
        <v/>
      </c>
      <c r="T989" s="48">
        <f>IF(INDEX(Employees!$S$5:$S$29,$A989)="",Q989,MAX(0,MIN(Q989,INDEX(Employees!$S$5:$S$29,$A989)-(S989-R989))))</f>
        <v/>
      </c>
      <c r="U989" s="48">
        <f>Q989-T989</f>
        <v/>
      </c>
      <c r="V989" s="48">
        <f>S989-R989+T989</f>
        <v/>
      </c>
    </row>
    <row r="990">
      <c r="A990" s="47" t="n">
        <v>19</v>
      </c>
      <c r="B990" s="47" t="n">
        <v>32</v>
      </c>
      <c r="C990" s="48">
        <f>INDEX(Employees!$B$5:$B$29,$A990)&amp;""</f>
        <v/>
      </c>
      <c r="D990" s="49">
        <f>INDEX(Periods!$B$5:$B$57,$B990)</f>
        <v/>
      </c>
      <c r="E990" s="49">
        <f>INDEX(Periods!$C$5:$C$57,$B990)</f>
        <v/>
      </c>
      <c r="F990" s="47">
        <f>IF(AND($C990&lt;&gt;"",INDEX(Periods!$D$5:$D$57,$B990)=1),1,0)</f>
        <v/>
      </c>
      <c r="G990" s="47">
        <f>IF($F990=0,0,IF(AND(OR(INDEX(Employees!$D$5:$D$29,$A990)="",$E990&gt;=INDEX(Employees!$D$5:$D$29,$A990)+N(INDEX(Employees!$U$5:$U$29,$A990))),OR(INDEX(Employees!$E$5:$E$29,$A990)="",$D990&lt;=INDEX(Employees!$E$5:$E$29,$A990))),1,0))</f>
        <v/>
      </c>
      <c r="H990" s="47">
        <f>IF($G990=0,0,IF(INDEX(Employees!$D$5:$D$29,$A990)="",0,DATEDIF(INDEX(Employees!$D$5:$D$29,$A990),$E990,"y")))</f>
        <v/>
      </c>
      <c r="I990" s="48">
        <f>IF($G990=0,0,IF(INDEX('Hours Worked'!$D$5:$BD$29,$A990,$B990)="",N(INDEX(Employees!$H$5:$H$29,$A990)),INDEX('Hours Worked'!$D$5:$BD$29,$A990,$B990)))</f>
        <v/>
      </c>
      <c r="J990" s="48">
        <f>IF(OR($G990=0,INDEX(Employees!$O$5:$O$29,$A990)&lt;&gt;"Yes"),0,IF(COUNTIF(Settings!$D$4:$D$9,"&lt;="&amp;$H990)=0,0,INDEX(Settings!$E$4:$E$9,COUNTIF(Settings!$D$4:$D$9,"&lt;="&amp;$H990))))</f>
        <v/>
      </c>
      <c r="K990" s="48">
        <f>IF($G990=0,0,IF(INDEX(Employees!$I$5:$I$29,$A990)="Per pay period",(N(INDEX(Employees!$J$5:$J$29,$A990))+$J990)/Settings!$B$13,IF(INDEX(Employees!$I$5:$I$29,$A990)="Per hour worked",N(INDEX(Employees!$K$5:$K$29,$A990))*$I990,IF(INDEX(Employees!$I$5:$I$29,$A990)="Front-loaded",IF(OR($B990=1,N($G989)=0),N(INDEX(Employees!$J$5:$J$29,$A990))+$J990,0),0))))</f>
        <v/>
      </c>
      <c r="L990" s="48">
        <f>IF($F990=0,0,SUMIFS('Time Off Log'!$H$5:$H$504,'Time Off Log'!$A$5:$A$504,$C990,'Time Off Log'!$B$5:$B$504,"PTO",'Time Off Log'!$E$5:$E$504,"Approved",'Time Off Log'!$C$5:$C$504,"&gt;="&amp;INDEX(Periods!$E$5:$E$57,$B990),'Time Off Log'!$C$5:$C$504,"&lt;="&amp;INDEX(Periods!$F$5:$F$57,$B990)))</f>
        <v/>
      </c>
      <c r="M990" s="48">
        <f>IF($B990=1,N(INDEX(Employees!$N$5:$N$29,$A990)),P989)</f>
        <v/>
      </c>
      <c r="N990" s="48">
        <f>IF(INDEX(Employees!$L$5:$L$29,$A990)="",K990,MAX(0,MIN(K990,INDEX(Employees!$L$5:$L$29,$A990)-(M990-L990))))</f>
        <v/>
      </c>
      <c r="O990" s="48">
        <f>K990-N990</f>
        <v/>
      </c>
      <c r="P990" s="48">
        <f>M990-L990+N990</f>
        <v/>
      </c>
      <c r="Q990" s="48">
        <f>IF($G990=0,0,IF(INDEX(Employees!$P$5:$P$29,$A990)="Per pay period",(N(INDEX(Employees!$Q$5:$Q$29,$A990)))/Settings!$B$13,IF(INDEX(Employees!$P$5:$P$29,$A990)="Per hour worked",N(INDEX(Employees!$R$5:$R$29,$A990))*$I990,IF(INDEX(Employees!$P$5:$P$29,$A990)="Front-loaded",IF(OR($B990=1,N($G989)=0),N(INDEX(Employees!$Q$5:$Q$29,$A990)),0),0))))</f>
        <v/>
      </c>
      <c r="R990" s="48">
        <f>IF($F990=0,0,SUMIFS('Time Off Log'!$H$5:$H$504,'Time Off Log'!$A$5:$A$504,$C990,'Time Off Log'!$B$5:$B$504,"Sick",'Time Off Log'!$E$5:$E$504,"Approved",'Time Off Log'!$C$5:$C$504,"&gt;="&amp;INDEX(Periods!$E$5:$E$57,$B990),'Time Off Log'!$C$5:$C$504,"&lt;="&amp;INDEX(Periods!$F$5:$F$57,$B990)))</f>
        <v/>
      </c>
      <c r="S990" s="48">
        <f>IF($B990=1,N(INDEX(Employees!$T$5:$T$29,$A990)),V989)</f>
        <v/>
      </c>
      <c r="T990" s="48">
        <f>IF(INDEX(Employees!$S$5:$S$29,$A990)="",Q990,MAX(0,MIN(Q990,INDEX(Employees!$S$5:$S$29,$A990)-(S990-R990))))</f>
        <v/>
      </c>
      <c r="U990" s="48">
        <f>Q990-T990</f>
        <v/>
      </c>
      <c r="V990" s="48">
        <f>S990-R990+T990</f>
        <v/>
      </c>
    </row>
    <row r="991">
      <c r="A991" s="47" t="n">
        <v>19</v>
      </c>
      <c r="B991" s="47" t="n">
        <v>33</v>
      </c>
      <c r="C991" s="48">
        <f>INDEX(Employees!$B$5:$B$29,$A991)&amp;""</f>
        <v/>
      </c>
      <c r="D991" s="49">
        <f>INDEX(Periods!$B$5:$B$57,$B991)</f>
        <v/>
      </c>
      <c r="E991" s="49">
        <f>INDEX(Periods!$C$5:$C$57,$B991)</f>
        <v/>
      </c>
      <c r="F991" s="47">
        <f>IF(AND($C991&lt;&gt;"",INDEX(Periods!$D$5:$D$57,$B991)=1),1,0)</f>
        <v/>
      </c>
      <c r="G991" s="47">
        <f>IF($F991=0,0,IF(AND(OR(INDEX(Employees!$D$5:$D$29,$A991)="",$E991&gt;=INDEX(Employees!$D$5:$D$29,$A991)+N(INDEX(Employees!$U$5:$U$29,$A991))),OR(INDEX(Employees!$E$5:$E$29,$A991)="",$D991&lt;=INDEX(Employees!$E$5:$E$29,$A991))),1,0))</f>
        <v/>
      </c>
      <c r="H991" s="47">
        <f>IF($G991=0,0,IF(INDEX(Employees!$D$5:$D$29,$A991)="",0,DATEDIF(INDEX(Employees!$D$5:$D$29,$A991),$E991,"y")))</f>
        <v/>
      </c>
      <c r="I991" s="48">
        <f>IF($G991=0,0,IF(INDEX('Hours Worked'!$D$5:$BD$29,$A991,$B991)="",N(INDEX(Employees!$H$5:$H$29,$A991)),INDEX('Hours Worked'!$D$5:$BD$29,$A991,$B991)))</f>
        <v/>
      </c>
      <c r="J991" s="48">
        <f>IF(OR($G991=0,INDEX(Employees!$O$5:$O$29,$A991)&lt;&gt;"Yes"),0,IF(COUNTIF(Settings!$D$4:$D$9,"&lt;="&amp;$H991)=0,0,INDEX(Settings!$E$4:$E$9,COUNTIF(Settings!$D$4:$D$9,"&lt;="&amp;$H991))))</f>
        <v/>
      </c>
      <c r="K991" s="48">
        <f>IF($G991=0,0,IF(INDEX(Employees!$I$5:$I$29,$A991)="Per pay period",(N(INDEX(Employees!$J$5:$J$29,$A991))+$J991)/Settings!$B$13,IF(INDEX(Employees!$I$5:$I$29,$A991)="Per hour worked",N(INDEX(Employees!$K$5:$K$29,$A991))*$I991,IF(INDEX(Employees!$I$5:$I$29,$A991)="Front-loaded",IF(OR($B991=1,N($G990)=0),N(INDEX(Employees!$J$5:$J$29,$A991))+$J991,0),0))))</f>
        <v/>
      </c>
      <c r="L991" s="48">
        <f>IF($F991=0,0,SUMIFS('Time Off Log'!$H$5:$H$504,'Time Off Log'!$A$5:$A$504,$C991,'Time Off Log'!$B$5:$B$504,"PTO",'Time Off Log'!$E$5:$E$504,"Approved",'Time Off Log'!$C$5:$C$504,"&gt;="&amp;INDEX(Periods!$E$5:$E$57,$B991),'Time Off Log'!$C$5:$C$504,"&lt;="&amp;INDEX(Periods!$F$5:$F$57,$B991)))</f>
        <v/>
      </c>
      <c r="M991" s="48">
        <f>IF($B991=1,N(INDEX(Employees!$N$5:$N$29,$A991)),P990)</f>
        <v/>
      </c>
      <c r="N991" s="48">
        <f>IF(INDEX(Employees!$L$5:$L$29,$A991)="",K991,MAX(0,MIN(K991,INDEX(Employees!$L$5:$L$29,$A991)-(M991-L991))))</f>
        <v/>
      </c>
      <c r="O991" s="48">
        <f>K991-N991</f>
        <v/>
      </c>
      <c r="P991" s="48">
        <f>M991-L991+N991</f>
        <v/>
      </c>
      <c r="Q991" s="48">
        <f>IF($G991=0,0,IF(INDEX(Employees!$P$5:$P$29,$A991)="Per pay period",(N(INDEX(Employees!$Q$5:$Q$29,$A991)))/Settings!$B$13,IF(INDEX(Employees!$P$5:$P$29,$A991)="Per hour worked",N(INDEX(Employees!$R$5:$R$29,$A991))*$I991,IF(INDEX(Employees!$P$5:$P$29,$A991)="Front-loaded",IF(OR($B991=1,N($G990)=0),N(INDEX(Employees!$Q$5:$Q$29,$A991)),0),0))))</f>
        <v/>
      </c>
      <c r="R991" s="48">
        <f>IF($F991=0,0,SUMIFS('Time Off Log'!$H$5:$H$504,'Time Off Log'!$A$5:$A$504,$C991,'Time Off Log'!$B$5:$B$504,"Sick",'Time Off Log'!$E$5:$E$504,"Approved",'Time Off Log'!$C$5:$C$504,"&gt;="&amp;INDEX(Periods!$E$5:$E$57,$B991),'Time Off Log'!$C$5:$C$504,"&lt;="&amp;INDEX(Periods!$F$5:$F$57,$B991)))</f>
        <v/>
      </c>
      <c r="S991" s="48">
        <f>IF($B991=1,N(INDEX(Employees!$T$5:$T$29,$A991)),V990)</f>
        <v/>
      </c>
      <c r="T991" s="48">
        <f>IF(INDEX(Employees!$S$5:$S$29,$A991)="",Q991,MAX(0,MIN(Q991,INDEX(Employees!$S$5:$S$29,$A991)-(S991-R991))))</f>
        <v/>
      </c>
      <c r="U991" s="48">
        <f>Q991-T991</f>
        <v/>
      </c>
      <c r="V991" s="48">
        <f>S991-R991+T991</f>
        <v/>
      </c>
    </row>
    <row r="992">
      <c r="A992" s="47" t="n">
        <v>19</v>
      </c>
      <c r="B992" s="47" t="n">
        <v>34</v>
      </c>
      <c r="C992" s="48">
        <f>INDEX(Employees!$B$5:$B$29,$A992)&amp;""</f>
        <v/>
      </c>
      <c r="D992" s="49">
        <f>INDEX(Periods!$B$5:$B$57,$B992)</f>
        <v/>
      </c>
      <c r="E992" s="49">
        <f>INDEX(Periods!$C$5:$C$57,$B992)</f>
        <v/>
      </c>
      <c r="F992" s="47">
        <f>IF(AND($C992&lt;&gt;"",INDEX(Periods!$D$5:$D$57,$B992)=1),1,0)</f>
        <v/>
      </c>
      <c r="G992" s="47">
        <f>IF($F992=0,0,IF(AND(OR(INDEX(Employees!$D$5:$D$29,$A992)="",$E992&gt;=INDEX(Employees!$D$5:$D$29,$A992)+N(INDEX(Employees!$U$5:$U$29,$A992))),OR(INDEX(Employees!$E$5:$E$29,$A992)="",$D992&lt;=INDEX(Employees!$E$5:$E$29,$A992))),1,0))</f>
        <v/>
      </c>
      <c r="H992" s="47">
        <f>IF($G992=0,0,IF(INDEX(Employees!$D$5:$D$29,$A992)="",0,DATEDIF(INDEX(Employees!$D$5:$D$29,$A992),$E992,"y")))</f>
        <v/>
      </c>
      <c r="I992" s="48">
        <f>IF($G992=0,0,IF(INDEX('Hours Worked'!$D$5:$BD$29,$A992,$B992)="",N(INDEX(Employees!$H$5:$H$29,$A992)),INDEX('Hours Worked'!$D$5:$BD$29,$A992,$B992)))</f>
        <v/>
      </c>
      <c r="J992" s="48">
        <f>IF(OR($G992=0,INDEX(Employees!$O$5:$O$29,$A992)&lt;&gt;"Yes"),0,IF(COUNTIF(Settings!$D$4:$D$9,"&lt;="&amp;$H992)=0,0,INDEX(Settings!$E$4:$E$9,COUNTIF(Settings!$D$4:$D$9,"&lt;="&amp;$H992))))</f>
        <v/>
      </c>
      <c r="K992" s="48">
        <f>IF($G992=0,0,IF(INDEX(Employees!$I$5:$I$29,$A992)="Per pay period",(N(INDEX(Employees!$J$5:$J$29,$A992))+$J992)/Settings!$B$13,IF(INDEX(Employees!$I$5:$I$29,$A992)="Per hour worked",N(INDEX(Employees!$K$5:$K$29,$A992))*$I992,IF(INDEX(Employees!$I$5:$I$29,$A992)="Front-loaded",IF(OR($B992=1,N($G991)=0),N(INDEX(Employees!$J$5:$J$29,$A992))+$J992,0),0))))</f>
        <v/>
      </c>
      <c r="L992" s="48">
        <f>IF($F992=0,0,SUMIFS('Time Off Log'!$H$5:$H$504,'Time Off Log'!$A$5:$A$504,$C992,'Time Off Log'!$B$5:$B$504,"PTO",'Time Off Log'!$E$5:$E$504,"Approved",'Time Off Log'!$C$5:$C$504,"&gt;="&amp;INDEX(Periods!$E$5:$E$57,$B992),'Time Off Log'!$C$5:$C$504,"&lt;="&amp;INDEX(Periods!$F$5:$F$57,$B992)))</f>
        <v/>
      </c>
      <c r="M992" s="48">
        <f>IF($B992=1,N(INDEX(Employees!$N$5:$N$29,$A992)),P991)</f>
        <v/>
      </c>
      <c r="N992" s="48">
        <f>IF(INDEX(Employees!$L$5:$L$29,$A992)="",K992,MAX(0,MIN(K992,INDEX(Employees!$L$5:$L$29,$A992)-(M992-L992))))</f>
        <v/>
      </c>
      <c r="O992" s="48">
        <f>K992-N992</f>
        <v/>
      </c>
      <c r="P992" s="48">
        <f>M992-L992+N992</f>
        <v/>
      </c>
      <c r="Q992" s="48">
        <f>IF($G992=0,0,IF(INDEX(Employees!$P$5:$P$29,$A992)="Per pay period",(N(INDEX(Employees!$Q$5:$Q$29,$A992)))/Settings!$B$13,IF(INDEX(Employees!$P$5:$P$29,$A992)="Per hour worked",N(INDEX(Employees!$R$5:$R$29,$A992))*$I992,IF(INDEX(Employees!$P$5:$P$29,$A992)="Front-loaded",IF(OR($B992=1,N($G991)=0),N(INDEX(Employees!$Q$5:$Q$29,$A992)),0),0))))</f>
        <v/>
      </c>
      <c r="R992" s="48">
        <f>IF($F992=0,0,SUMIFS('Time Off Log'!$H$5:$H$504,'Time Off Log'!$A$5:$A$504,$C992,'Time Off Log'!$B$5:$B$504,"Sick",'Time Off Log'!$E$5:$E$504,"Approved",'Time Off Log'!$C$5:$C$504,"&gt;="&amp;INDEX(Periods!$E$5:$E$57,$B992),'Time Off Log'!$C$5:$C$504,"&lt;="&amp;INDEX(Periods!$F$5:$F$57,$B992)))</f>
        <v/>
      </c>
      <c r="S992" s="48">
        <f>IF($B992=1,N(INDEX(Employees!$T$5:$T$29,$A992)),V991)</f>
        <v/>
      </c>
      <c r="T992" s="48">
        <f>IF(INDEX(Employees!$S$5:$S$29,$A992)="",Q992,MAX(0,MIN(Q992,INDEX(Employees!$S$5:$S$29,$A992)-(S992-R992))))</f>
        <v/>
      </c>
      <c r="U992" s="48">
        <f>Q992-T992</f>
        <v/>
      </c>
      <c r="V992" s="48">
        <f>S992-R992+T992</f>
        <v/>
      </c>
    </row>
    <row r="993">
      <c r="A993" s="47" t="n">
        <v>19</v>
      </c>
      <c r="B993" s="47" t="n">
        <v>35</v>
      </c>
      <c r="C993" s="48">
        <f>INDEX(Employees!$B$5:$B$29,$A993)&amp;""</f>
        <v/>
      </c>
      <c r="D993" s="49">
        <f>INDEX(Periods!$B$5:$B$57,$B993)</f>
        <v/>
      </c>
      <c r="E993" s="49">
        <f>INDEX(Periods!$C$5:$C$57,$B993)</f>
        <v/>
      </c>
      <c r="F993" s="47">
        <f>IF(AND($C993&lt;&gt;"",INDEX(Periods!$D$5:$D$57,$B993)=1),1,0)</f>
        <v/>
      </c>
      <c r="G993" s="47">
        <f>IF($F993=0,0,IF(AND(OR(INDEX(Employees!$D$5:$D$29,$A993)="",$E993&gt;=INDEX(Employees!$D$5:$D$29,$A993)+N(INDEX(Employees!$U$5:$U$29,$A993))),OR(INDEX(Employees!$E$5:$E$29,$A993)="",$D993&lt;=INDEX(Employees!$E$5:$E$29,$A993))),1,0))</f>
        <v/>
      </c>
      <c r="H993" s="47">
        <f>IF($G993=0,0,IF(INDEX(Employees!$D$5:$D$29,$A993)="",0,DATEDIF(INDEX(Employees!$D$5:$D$29,$A993),$E993,"y")))</f>
        <v/>
      </c>
      <c r="I993" s="48">
        <f>IF($G993=0,0,IF(INDEX('Hours Worked'!$D$5:$BD$29,$A993,$B993)="",N(INDEX(Employees!$H$5:$H$29,$A993)),INDEX('Hours Worked'!$D$5:$BD$29,$A993,$B993)))</f>
        <v/>
      </c>
      <c r="J993" s="48">
        <f>IF(OR($G993=0,INDEX(Employees!$O$5:$O$29,$A993)&lt;&gt;"Yes"),0,IF(COUNTIF(Settings!$D$4:$D$9,"&lt;="&amp;$H993)=0,0,INDEX(Settings!$E$4:$E$9,COUNTIF(Settings!$D$4:$D$9,"&lt;="&amp;$H993))))</f>
        <v/>
      </c>
      <c r="K993" s="48">
        <f>IF($G993=0,0,IF(INDEX(Employees!$I$5:$I$29,$A993)="Per pay period",(N(INDEX(Employees!$J$5:$J$29,$A993))+$J993)/Settings!$B$13,IF(INDEX(Employees!$I$5:$I$29,$A993)="Per hour worked",N(INDEX(Employees!$K$5:$K$29,$A993))*$I993,IF(INDEX(Employees!$I$5:$I$29,$A993)="Front-loaded",IF(OR($B993=1,N($G992)=0),N(INDEX(Employees!$J$5:$J$29,$A993))+$J993,0),0))))</f>
        <v/>
      </c>
      <c r="L993" s="48">
        <f>IF($F993=0,0,SUMIFS('Time Off Log'!$H$5:$H$504,'Time Off Log'!$A$5:$A$504,$C993,'Time Off Log'!$B$5:$B$504,"PTO",'Time Off Log'!$E$5:$E$504,"Approved",'Time Off Log'!$C$5:$C$504,"&gt;="&amp;INDEX(Periods!$E$5:$E$57,$B993),'Time Off Log'!$C$5:$C$504,"&lt;="&amp;INDEX(Periods!$F$5:$F$57,$B993)))</f>
        <v/>
      </c>
      <c r="M993" s="48">
        <f>IF($B993=1,N(INDEX(Employees!$N$5:$N$29,$A993)),P992)</f>
        <v/>
      </c>
      <c r="N993" s="48">
        <f>IF(INDEX(Employees!$L$5:$L$29,$A993)="",K993,MAX(0,MIN(K993,INDEX(Employees!$L$5:$L$29,$A993)-(M993-L993))))</f>
        <v/>
      </c>
      <c r="O993" s="48">
        <f>K993-N993</f>
        <v/>
      </c>
      <c r="P993" s="48">
        <f>M993-L993+N993</f>
        <v/>
      </c>
      <c r="Q993" s="48">
        <f>IF($G993=0,0,IF(INDEX(Employees!$P$5:$P$29,$A993)="Per pay period",(N(INDEX(Employees!$Q$5:$Q$29,$A993)))/Settings!$B$13,IF(INDEX(Employees!$P$5:$P$29,$A993)="Per hour worked",N(INDEX(Employees!$R$5:$R$29,$A993))*$I993,IF(INDEX(Employees!$P$5:$P$29,$A993)="Front-loaded",IF(OR($B993=1,N($G992)=0),N(INDEX(Employees!$Q$5:$Q$29,$A993)),0),0))))</f>
        <v/>
      </c>
      <c r="R993" s="48">
        <f>IF($F993=0,0,SUMIFS('Time Off Log'!$H$5:$H$504,'Time Off Log'!$A$5:$A$504,$C993,'Time Off Log'!$B$5:$B$504,"Sick",'Time Off Log'!$E$5:$E$504,"Approved",'Time Off Log'!$C$5:$C$504,"&gt;="&amp;INDEX(Periods!$E$5:$E$57,$B993),'Time Off Log'!$C$5:$C$504,"&lt;="&amp;INDEX(Periods!$F$5:$F$57,$B993)))</f>
        <v/>
      </c>
      <c r="S993" s="48">
        <f>IF($B993=1,N(INDEX(Employees!$T$5:$T$29,$A993)),V992)</f>
        <v/>
      </c>
      <c r="T993" s="48">
        <f>IF(INDEX(Employees!$S$5:$S$29,$A993)="",Q993,MAX(0,MIN(Q993,INDEX(Employees!$S$5:$S$29,$A993)-(S993-R993))))</f>
        <v/>
      </c>
      <c r="U993" s="48">
        <f>Q993-T993</f>
        <v/>
      </c>
      <c r="V993" s="48">
        <f>S993-R993+T993</f>
        <v/>
      </c>
    </row>
    <row r="994">
      <c r="A994" s="47" t="n">
        <v>19</v>
      </c>
      <c r="B994" s="47" t="n">
        <v>36</v>
      </c>
      <c r="C994" s="48">
        <f>INDEX(Employees!$B$5:$B$29,$A994)&amp;""</f>
        <v/>
      </c>
      <c r="D994" s="49">
        <f>INDEX(Periods!$B$5:$B$57,$B994)</f>
        <v/>
      </c>
      <c r="E994" s="49">
        <f>INDEX(Periods!$C$5:$C$57,$B994)</f>
        <v/>
      </c>
      <c r="F994" s="47">
        <f>IF(AND($C994&lt;&gt;"",INDEX(Periods!$D$5:$D$57,$B994)=1),1,0)</f>
        <v/>
      </c>
      <c r="G994" s="47">
        <f>IF($F994=0,0,IF(AND(OR(INDEX(Employees!$D$5:$D$29,$A994)="",$E994&gt;=INDEX(Employees!$D$5:$D$29,$A994)+N(INDEX(Employees!$U$5:$U$29,$A994))),OR(INDEX(Employees!$E$5:$E$29,$A994)="",$D994&lt;=INDEX(Employees!$E$5:$E$29,$A994))),1,0))</f>
        <v/>
      </c>
      <c r="H994" s="47">
        <f>IF($G994=0,0,IF(INDEX(Employees!$D$5:$D$29,$A994)="",0,DATEDIF(INDEX(Employees!$D$5:$D$29,$A994),$E994,"y")))</f>
        <v/>
      </c>
      <c r="I994" s="48">
        <f>IF($G994=0,0,IF(INDEX('Hours Worked'!$D$5:$BD$29,$A994,$B994)="",N(INDEX(Employees!$H$5:$H$29,$A994)),INDEX('Hours Worked'!$D$5:$BD$29,$A994,$B994)))</f>
        <v/>
      </c>
      <c r="J994" s="48">
        <f>IF(OR($G994=0,INDEX(Employees!$O$5:$O$29,$A994)&lt;&gt;"Yes"),0,IF(COUNTIF(Settings!$D$4:$D$9,"&lt;="&amp;$H994)=0,0,INDEX(Settings!$E$4:$E$9,COUNTIF(Settings!$D$4:$D$9,"&lt;="&amp;$H994))))</f>
        <v/>
      </c>
      <c r="K994" s="48">
        <f>IF($G994=0,0,IF(INDEX(Employees!$I$5:$I$29,$A994)="Per pay period",(N(INDEX(Employees!$J$5:$J$29,$A994))+$J994)/Settings!$B$13,IF(INDEX(Employees!$I$5:$I$29,$A994)="Per hour worked",N(INDEX(Employees!$K$5:$K$29,$A994))*$I994,IF(INDEX(Employees!$I$5:$I$29,$A994)="Front-loaded",IF(OR($B994=1,N($G993)=0),N(INDEX(Employees!$J$5:$J$29,$A994))+$J994,0),0))))</f>
        <v/>
      </c>
      <c r="L994" s="48">
        <f>IF($F994=0,0,SUMIFS('Time Off Log'!$H$5:$H$504,'Time Off Log'!$A$5:$A$504,$C994,'Time Off Log'!$B$5:$B$504,"PTO",'Time Off Log'!$E$5:$E$504,"Approved",'Time Off Log'!$C$5:$C$504,"&gt;="&amp;INDEX(Periods!$E$5:$E$57,$B994),'Time Off Log'!$C$5:$C$504,"&lt;="&amp;INDEX(Periods!$F$5:$F$57,$B994)))</f>
        <v/>
      </c>
      <c r="M994" s="48">
        <f>IF($B994=1,N(INDEX(Employees!$N$5:$N$29,$A994)),P993)</f>
        <v/>
      </c>
      <c r="N994" s="48">
        <f>IF(INDEX(Employees!$L$5:$L$29,$A994)="",K994,MAX(0,MIN(K994,INDEX(Employees!$L$5:$L$29,$A994)-(M994-L994))))</f>
        <v/>
      </c>
      <c r="O994" s="48">
        <f>K994-N994</f>
        <v/>
      </c>
      <c r="P994" s="48">
        <f>M994-L994+N994</f>
        <v/>
      </c>
      <c r="Q994" s="48">
        <f>IF($G994=0,0,IF(INDEX(Employees!$P$5:$P$29,$A994)="Per pay period",(N(INDEX(Employees!$Q$5:$Q$29,$A994)))/Settings!$B$13,IF(INDEX(Employees!$P$5:$P$29,$A994)="Per hour worked",N(INDEX(Employees!$R$5:$R$29,$A994))*$I994,IF(INDEX(Employees!$P$5:$P$29,$A994)="Front-loaded",IF(OR($B994=1,N($G993)=0),N(INDEX(Employees!$Q$5:$Q$29,$A994)),0),0))))</f>
        <v/>
      </c>
      <c r="R994" s="48">
        <f>IF($F994=0,0,SUMIFS('Time Off Log'!$H$5:$H$504,'Time Off Log'!$A$5:$A$504,$C994,'Time Off Log'!$B$5:$B$504,"Sick",'Time Off Log'!$E$5:$E$504,"Approved",'Time Off Log'!$C$5:$C$504,"&gt;="&amp;INDEX(Periods!$E$5:$E$57,$B994),'Time Off Log'!$C$5:$C$504,"&lt;="&amp;INDEX(Periods!$F$5:$F$57,$B994)))</f>
        <v/>
      </c>
      <c r="S994" s="48">
        <f>IF($B994=1,N(INDEX(Employees!$T$5:$T$29,$A994)),V993)</f>
        <v/>
      </c>
      <c r="T994" s="48">
        <f>IF(INDEX(Employees!$S$5:$S$29,$A994)="",Q994,MAX(0,MIN(Q994,INDEX(Employees!$S$5:$S$29,$A994)-(S994-R994))))</f>
        <v/>
      </c>
      <c r="U994" s="48">
        <f>Q994-T994</f>
        <v/>
      </c>
      <c r="V994" s="48">
        <f>S994-R994+T994</f>
        <v/>
      </c>
    </row>
    <row r="995">
      <c r="A995" s="47" t="n">
        <v>19</v>
      </c>
      <c r="B995" s="47" t="n">
        <v>37</v>
      </c>
      <c r="C995" s="48">
        <f>INDEX(Employees!$B$5:$B$29,$A995)&amp;""</f>
        <v/>
      </c>
      <c r="D995" s="49">
        <f>INDEX(Periods!$B$5:$B$57,$B995)</f>
        <v/>
      </c>
      <c r="E995" s="49">
        <f>INDEX(Periods!$C$5:$C$57,$B995)</f>
        <v/>
      </c>
      <c r="F995" s="47">
        <f>IF(AND($C995&lt;&gt;"",INDEX(Periods!$D$5:$D$57,$B995)=1),1,0)</f>
        <v/>
      </c>
      <c r="G995" s="47">
        <f>IF($F995=0,0,IF(AND(OR(INDEX(Employees!$D$5:$D$29,$A995)="",$E995&gt;=INDEX(Employees!$D$5:$D$29,$A995)+N(INDEX(Employees!$U$5:$U$29,$A995))),OR(INDEX(Employees!$E$5:$E$29,$A995)="",$D995&lt;=INDEX(Employees!$E$5:$E$29,$A995))),1,0))</f>
        <v/>
      </c>
      <c r="H995" s="47">
        <f>IF($G995=0,0,IF(INDEX(Employees!$D$5:$D$29,$A995)="",0,DATEDIF(INDEX(Employees!$D$5:$D$29,$A995),$E995,"y")))</f>
        <v/>
      </c>
      <c r="I995" s="48">
        <f>IF($G995=0,0,IF(INDEX('Hours Worked'!$D$5:$BD$29,$A995,$B995)="",N(INDEX(Employees!$H$5:$H$29,$A995)),INDEX('Hours Worked'!$D$5:$BD$29,$A995,$B995)))</f>
        <v/>
      </c>
      <c r="J995" s="48">
        <f>IF(OR($G995=0,INDEX(Employees!$O$5:$O$29,$A995)&lt;&gt;"Yes"),0,IF(COUNTIF(Settings!$D$4:$D$9,"&lt;="&amp;$H995)=0,0,INDEX(Settings!$E$4:$E$9,COUNTIF(Settings!$D$4:$D$9,"&lt;="&amp;$H995))))</f>
        <v/>
      </c>
      <c r="K995" s="48">
        <f>IF($G995=0,0,IF(INDEX(Employees!$I$5:$I$29,$A995)="Per pay period",(N(INDEX(Employees!$J$5:$J$29,$A995))+$J995)/Settings!$B$13,IF(INDEX(Employees!$I$5:$I$29,$A995)="Per hour worked",N(INDEX(Employees!$K$5:$K$29,$A995))*$I995,IF(INDEX(Employees!$I$5:$I$29,$A995)="Front-loaded",IF(OR($B995=1,N($G994)=0),N(INDEX(Employees!$J$5:$J$29,$A995))+$J995,0),0))))</f>
        <v/>
      </c>
      <c r="L995" s="48">
        <f>IF($F995=0,0,SUMIFS('Time Off Log'!$H$5:$H$504,'Time Off Log'!$A$5:$A$504,$C995,'Time Off Log'!$B$5:$B$504,"PTO",'Time Off Log'!$E$5:$E$504,"Approved",'Time Off Log'!$C$5:$C$504,"&gt;="&amp;INDEX(Periods!$E$5:$E$57,$B995),'Time Off Log'!$C$5:$C$504,"&lt;="&amp;INDEX(Periods!$F$5:$F$57,$B995)))</f>
        <v/>
      </c>
      <c r="M995" s="48">
        <f>IF($B995=1,N(INDEX(Employees!$N$5:$N$29,$A995)),P994)</f>
        <v/>
      </c>
      <c r="N995" s="48">
        <f>IF(INDEX(Employees!$L$5:$L$29,$A995)="",K995,MAX(0,MIN(K995,INDEX(Employees!$L$5:$L$29,$A995)-(M995-L995))))</f>
        <v/>
      </c>
      <c r="O995" s="48">
        <f>K995-N995</f>
        <v/>
      </c>
      <c r="P995" s="48">
        <f>M995-L995+N995</f>
        <v/>
      </c>
      <c r="Q995" s="48">
        <f>IF($G995=0,0,IF(INDEX(Employees!$P$5:$P$29,$A995)="Per pay period",(N(INDEX(Employees!$Q$5:$Q$29,$A995)))/Settings!$B$13,IF(INDEX(Employees!$P$5:$P$29,$A995)="Per hour worked",N(INDEX(Employees!$R$5:$R$29,$A995))*$I995,IF(INDEX(Employees!$P$5:$P$29,$A995)="Front-loaded",IF(OR($B995=1,N($G994)=0),N(INDEX(Employees!$Q$5:$Q$29,$A995)),0),0))))</f>
        <v/>
      </c>
      <c r="R995" s="48">
        <f>IF($F995=0,0,SUMIFS('Time Off Log'!$H$5:$H$504,'Time Off Log'!$A$5:$A$504,$C995,'Time Off Log'!$B$5:$B$504,"Sick",'Time Off Log'!$E$5:$E$504,"Approved",'Time Off Log'!$C$5:$C$504,"&gt;="&amp;INDEX(Periods!$E$5:$E$57,$B995),'Time Off Log'!$C$5:$C$504,"&lt;="&amp;INDEX(Periods!$F$5:$F$57,$B995)))</f>
        <v/>
      </c>
      <c r="S995" s="48">
        <f>IF($B995=1,N(INDEX(Employees!$T$5:$T$29,$A995)),V994)</f>
        <v/>
      </c>
      <c r="T995" s="48">
        <f>IF(INDEX(Employees!$S$5:$S$29,$A995)="",Q995,MAX(0,MIN(Q995,INDEX(Employees!$S$5:$S$29,$A995)-(S995-R995))))</f>
        <v/>
      </c>
      <c r="U995" s="48">
        <f>Q995-T995</f>
        <v/>
      </c>
      <c r="V995" s="48">
        <f>S995-R995+T995</f>
        <v/>
      </c>
    </row>
    <row r="996">
      <c r="A996" s="47" t="n">
        <v>19</v>
      </c>
      <c r="B996" s="47" t="n">
        <v>38</v>
      </c>
      <c r="C996" s="48">
        <f>INDEX(Employees!$B$5:$B$29,$A996)&amp;""</f>
        <v/>
      </c>
      <c r="D996" s="49">
        <f>INDEX(Periods!$B$5:$B$57,$B996)</f>
        <v/>
      </c>
      <c r="E996" s="49">
        <f>INDEX(Periods!$C$5:$C$57,$B996)</f>
        <v/>
      </c>
      <c r="F996" s="47">
        <f>IF(AND($C996&lt;&gt;"",INDEX(Periods!$D$5:$D$57,$B996)=1),1,0)</f>
        <v/>
      </c>
      <c r="G996" s="47">
        <f>IF($F996=0,0,IF(AND(OR(INDEX(Employees!$D$5:$D$29,$A996)="",$E996&gt;=INDEX(Employees!$D$5:$D$29,$A996)+N(INDEX(Employees!$U$5:$U$29,$A996))),OR(INDEX(Employees!$E$5:$E$29,$A996)="",$D996&lt;=INDEX(Employees!$E$5:$E$29,$A996))),1,0))</f>
        <v/>
      </c>
      <c r="H996" s="47">
        <f>IF($G996=0,0,IF(INDEX(Employees!$D$5:$D$29,$A996)="",0,DATEDIF(INDEX(Employees!$D$5:$D$29,$A996),$E996,"y")))</f>
        <v/>
      </c>
      <c r="I996" s="48">
        <f>IF($G996=0,0,IF(INDEX('Hours Worked'!$D$5:$BD$29,$A996,$B996)="",N(INDEX(Employees!$H$5:$H$29,$A996)),INDEX('Hours Worked'!$D$5:$BD$29,$A996,$B996)))</f>
        <v/>
      </c>
      <c r="J996" s="48">
        <f>IF(OR($G996=0,INDEX(Employees!$O$5:$O$29,$A996)&lt;&gt;"Yes"),0,IF(COUNTIF(Settings!$D$4:$D$9,"&lt;="&amp;$H996)=0,0,INDEX(Settings!$E$4:$E$9,COUNTIF(Settings!$D$4:$D$9,"&lt;="&amp;$H996))))</f>
        <v/>
      </c>
      <c r="K996" s="48">
        <f>IF($G996=0,0,IF(INDEX(Employees!$I$5:$I$29,$A996)="Per pay period",(N(INDEX(Employees!$J$5:$J$29,$A996))+$J996)/Settings!$B$13,IF(INDEX(Employees!$I$5:$I$29,$A996)="Per hour worked",N(INDEX(Employees!$K$5:$K$29,$A996))*$I996,IF(INDEX(Employees!$I$5:$I$29,$A996)="Front-loaded",IF(OR($B996=1,N($G995)=0),N(INDEX(Employees!$J$5:$J$29,$A996))+$J996,0),0))))</f>
        <v/>
      </c>
      <c r="L996" s="48">
        <f>IF($F996=0,0,SUMIFS('Time Off Log'!$H$5:$H$504,'Time Off Log'!$A$5:$A$504,$C996,'Time Off Log'!$B$5:$B$504,"PTO",'Time Off Log'!$E$5:$E$504,"Approved",'Time Off Log'!$C$5:$C$504,"&gt;="&amp;INDEX(Periods!$E$5:$E$57,$B996),'Time Off Log'!$C$5:$C$504,"&lt;="&amp;INDEX(Periods!$F$5:$F$57,$B996)))</f>
        <v/>
      </c>
      <c r="M996" s="48">
        <f>IF($B996=1,N(INDEX(Employees!$N$5:$N$29,$A996)),P995)</f>
        <v/>
      </c>
      <c r="N996" s="48">
        <f>IF(INDEX(Employees!$L$5:$L$29,$A996)="",K996,MAX(0,MIN(K996,INDEX(Employees!$L$5:$L$29,$A996)-(M996-L996))))</f>
        <v/>
      </c>
      <c r="O996" s="48">
        <f>K996-N996</f>
        <v/>
      </c>
      <c r="P996" s="48">
        <f>M996-L996+N996</f>
        <v/>
      </c>
      <c r="Q996" s="48">
        <f>IF($G996=0,0,IF(INDEX(Employees!$P$5:$P$29,$A996)="Per pay period",(N(INDEX(Employees!$Q$5:$Q$29,$A996)))/Settings!$B$13,IF(INDEX(Employees!$P$5:$P$29,$A996)="Per hour worked",N(INDEX(Employees!$R$5:$R$29,$A996))*$I996,IF(INDEX(Employees!$P$5:$P$29,$A996)="Front-loaded",IF(OR($B996=1,N($G995)=0),N(INDEX(Employees!$Q$5:$Q$29,$A996)),0),0))))</f>
        <v/>
      </c>
      <c r="R996" s="48">
        <f>IF($F996=0,0,SUMIFS('Time Off Log'!$H$5:$H$504,'Time Off Log'!$A$5:$A$504,$C996,'Time Off Log'!$B$5:$B$504,"Sick",'Time Off Log'!$E$5:$E$504,"Approved",'Time Off Log'!$C$5:$C$504,"&gt;="&amp;INDEX(Periods!$E$5:$E$57,$B996),'Time Off Log'!$C$5:$C$504,"&lt;="&amp;INDEX(Periods!$F$5:$F$57,$B996)))</f>
        <v/>
      </c>
      <c r="S996" s="48">
        <f>IF($B996=1,N(INDEX(Employees!$T$5:$T$29,$A996)),V995)</f>
        <v/>
      </c>
      <c r="T996" s="48">
        <f>IF(INDEX(Employees!$S$5:$S$29,$A996)="",Q996,MAX(0,MIN(Q996,INDEX(Employees!$S$5:$S$29,$A996)-(S996-R996))))</f>
        <v/>
      </c>
      <c r="U996" s="48">
        <f>Q996-T996</f>
        <v/>
      </c>
      <c r="V996" s="48">
        <f>S996-R996+T996</f>
        <v/>
      </c>
    </row>
    <row r="997">
      <c r="A997" s="47" t="n">
        <v>19</v>
      </c>
      <c r="B997" s="47" t="n">
        <v>39</v>
      </c>
      <c r="C997" s="48">
        <f>INDEX(Employees!$B$5:$B$29,$A997)&amp;""</f>
        <v/>
      </c>
      <c r="D997" s="49">
        <f>INDEX(Periods!$B$5:$B$57,$B997)</f>
        <v/>
      </c>
      <c r="E997" s="49">
        <f>INDEX(Periods!$C$5:$C$57,$B997)</f>
        <v/>
      </c>
      <c r="F997" s="47">
        <f>IF(AND($C997&lt;&gt;"",INDEX(Periods!$D$5:$D$57,$B997)=1),1,0)</f>
        <v/>
      </c>
      <c r="G997" s="47">
        <f>IF($F997=0,0,IF(AND(OR(INDEX(Employees!$D$5:$D$29,$A997)="",$E997&gt;=INDEX(Employees!$D$5:$D$29,$A997)+N(INDEX(Employees!$U$5:$U$29,$A997))),OR(INDEX(Employees!$E$5:$E$29,$A997)="",$D997&lt;=INDEX(Employees!$E$5:$E$29,$A997))),1,0))</f>
        <v/>
      </c>
      <c r="H997" s="47">
        <f>IF($G997=0,0,IF(INDEX(Employees!$D$5:$D$29,$A997)="",0,DATEDIF(INDEX(Employees!$D$5:$D$29,$A997),$E997,"y")))</f>
        <v/>
      </c>
      <c r="I997" s="48">
        <f>IF($G997=0,0,IF(INDEX('Hours Worked'!$D$5:$BD$29,$A997,$B997)="",N(INDEX(Employees!$H$5:$H$29,$A997)),INDEX('Hours Worked'!$D$5:$BD$29,$A997,$B997)))</f>
        <v/>
      </c>
      <c r="J997" s="48">
        <f>IF(OR($G997=0,INDEX(Employees!$O$5:$O$29,$A997)&lt;&gt;"Yes"),0,IF(COUNTIF(Settings!$D$4:$D$9,"&lt;="&amp;$H997)=0,0,INDEX(Settings!$E$4:$E$9,COUNTIF(Settings!$D$4:$D$9,"&lt;="&amp;$H997))))</f>
        <v/>
      </c>
      <c r="K997" s="48">
        <f>IF($G997=0,0,IF(INDEX(Employees!$I$5:$I$29,$A997)="Per pay period",(N(INDEX(Employees!$J$5:$J$29,$A997))+$J997)/Settings!$B$13,IF(INDEX(Employees!$I$5:$I$29,$A997)="Per hour worked",N(INDEX(Employees!$K$5:$K$29,$A997))*$I997,IF(INDEX(Employees!$I$5:$I$29,$A997)="Front-loaded",IF(OR($B997=1,N($G996)=0),N(INDEX(Employees!$J$5:$J$29,$A997))+$J997,0),0))))</f>
        <v/>
      </c>
      <c r="L997" s="48">
        <f>IF($F997=0,0,SUMIFS('Time Off Log'!$H$5:$H$504,'Time Off Log'!$A$5:$A$504,$C997,'Time Off Log'!$B$5:$B$504,"PTO",'Time Off Log'!$E$5:$E$504,"Approved",'Time Off Log'!$C$5:$C$504,"&gt;="&amp;INDEX(Periods!$E$5:$E$57,$B997),'Time Off Log'!$C$5:$C$504,"&lt;="&amp;INDEX(Periods!$F$5:$F$57,$B997)))</f>
        <v/>
      </c>
      <c r="M997" s="48">
        <f>IF($B997=1,N(INDEX(Employees!$N$5:$N$29,$A997)),P996)</f>
        <v/>
      </c>
      <c r="N997" s="48">
        <f>IF(INDEX(Employees!$L$5:$L$29,$A997)="",K997,MAX(0,MIN(K997,INDEX(Employees!$L$5:$L$29,$A997)-(M997-L997))))</f>
        <v/>
      </c>
      <c r="O997" s="48">
        <f>K997-N997</f>
        <v/>
      </c>
      <c r="P997" s="48">
        <f>M997-L997+N997</f>
        <v/>
      </c>
      <c r="Q997" s="48">
        <f>IF($G997=0,0,IF(INDEX(Employees!$P$5:$P$29,$A997)="Per pay period",(N(INDEX(Employees!$Q$5:$Q$29,$A997)))/Settings!$B$13,IF(INDEX(Employees!$P$5:$P$29,$A997)="Per hour worked",N(INDEX(Employees!$R$5:$R$29,$A997))*$I997,IF(INDEX(Employees!$P$5:$P$29,$A997)="Front-loaded",IF(OR($B997=1,N($G996)=0),N(INDEX(Employees!$Q$5:$Q$29,$A997)),0),0))))</f>
        <v/>
      </c>
      <c r="R997" s="48">
        <f>IF($F997=0,0,SUMIFS('Time Off Log'!$H$5:$H$504,'Time Off Log'!$A$5:$A$504,$C997,'Time Off Log'!$B$5:$B$504,"Sick",'Time Off Log'!$E$5:$E$504,"Approved",'Time Off Log'!$C$5:$C$504,"&gt;="&amp;INDEX(Periods!$E$5:$E$57,$B997),'Time Off Log'!$C$5:$C$504,"&lt;="&amp;INDEX(Periods!$F$5:$F$57,$B997)))</f>
        <v/>
      </c>
      <c r="S997" s="48">
        <f>IF($B997=1,N(INDEX(Employees!$T$5:$T$29,$A997)),V996)</f>
        <v/>
      </c>
      <c r="T997" s="48">
        <f>IF(INDEX(Employees!$S$5:$S$29,$A997)="",Q997,MAX(0,MIN(Q997,INDEX(Employees!$S$5:$S$29,$A997)-(S997-R997))))</f>
        <v/>
      </c>
      <c r="U997" s="48">
        <f>Q997-T997</f>
        <v/>
      </c>
      <c r="V997" s="48">
        <f>S997-R997+T997</f>
        <v/>
      </c>
    </row>
    <row r="998">
      <c r="A998" s="47" t="n">
        <v>19</v>
      </c>
      <c r="B998" s="47" t="n">
        <v>40</v>
      </c>
      <c r="C998" s="48">
        <f>INDEX(Employees!$B$5:$B$29,$A998)&amp;""</f>
        <v/>
      </c>
      <c r="D998" s="49">
        <f>INDEX(Periods!$B$5:$B$57,$B998)</f>
        <v/>
      </c>
      <c r="E998" s="49">
        <f>INDEX(Periods!$C$5:$C$57,$B998)</f>
        <v/>
      </c>
      <c r="F998" s="47">
        <f>IF(AND($C998&lt;&gt;"",INDEX(Periods!$D$5:$D$57,$B998)=1),1,0)</f>
        <v/>
      </c>
      <c r="G998" s="47">
        <f>IF($F998=0,0,IF(AND(OR(INDEX(Employees!$D$5:$D$29,$A998)="",$E998&gt;=INDEX(Employees!$D$5:$D$29,$A998)+N(INDEX(Employees!$U$5:$U$29,$A998))),OR(INDEX(Employees!$E$5:$E$29,$A998)="",$D998&lt;=INDEX(Employees!$E$5:$E$29,$A998))),1,0))</f>
        <v/>
      </c>
      <c r="H998" s="47">
        <f>IF($G998=0,0,IF(INDEX(Employees!$D$5:$D$29,$A998)="",0,DATEDIF(INDEX(Employees!$D$5:$D$29,$A998),$E998,"y")))</f>
        <v/>
      </c>
      <c r="I998" s="48">
        <f>IF($G998=0,0,IF(INDEX('Hours Worked'!$D$5:$BD$29,$A998,$B998)="",N(INDEX(Employees!$H$5:$H$29,$A998)),INDEX('Hours Worked'!$D$5:$BD$29,$A998,$B998)))</f>
        <v/>
      </c>
      <c r="J998" s="48">
        <f>IF(OR($G998=0,INDEX(Employees!$O$5:$O$29,$A998)&lt;&gt;"Yes"),0,IF(COUNTIF(Settings!$D$4:$D$9,"&lt;="&amp;$H998)=0,0,INDEX(Settings!$E$4:$E$9,COUNTIF(Settings!$D$4:$D$9,"&lt;="&amp;$H998))))</f>
        <v/>
      </c>
      <c r="K998" s="48">
        <f>IF($G998=0,0,IF(INDEX(Employees!$I$5:$I$29,$A998)="Per pay period",(N(INDEX(Employees!$J$5:$J$29,$A998))+$J998)/Settings!$B$13,IF(INDEX(Employees!$I$5:$I$29,$A998)="Per hour worked",N(INDEX(Employees!$K$5:$K$29,$A998))*$I998,IF(INDEX(Employees!$I$5:$I$29,$A998)="Front-loaded",IF(OR($B998=1,N($G997)=0),N(INDEX(Employees!$J$5:$J$29,$A998))+$J998,0),0))))</f>
        <v/>
      </c>
      <c r="L998" s="48">
        <f>IF($F998=0,0,SUMIFS('Time Off Log'!$H$5:$H$504,'Time Off Log'!$A$5:$A$504,$C998,'Time Off Log'!$B$5:$B$504,"PTO",'Time Off Log'!$E$5:$E$504,"Approved",'Time Off Log'!$C$5:$C$504,"&gt;="&amp;INDEX(Periods!$E$5:$E$57,$B998),'Time Off Log'!$C$5:$C$504,"&lt;="&amp;INDEX(Periods!$F$5:$F$57,$B998)))</f>
        <v/>
      </c>
      <c r="M998" s="48">
        <f>IF($B998=1,N(INDEX(Employees!$N$5:$N$29,$A998)),P997)</f>
        <v/>
      </c>
      <c r="N998" s="48">
        <f>IF(INDEX(Employees!$L$5:$L$29,$A998)="",K998,MAX(0,MIN(K998,INDEX(Employees!$L$5:$L$29,$A998)-(M998-L998))))</f>
        <v/>
      </c>
      <c r="O998" s="48">
        <f>K998-N998</f>
        <v/>
      </c>
      <c r="P998" s="48">
        <f>M998-L998+N998</f>
        <v/>
      </c>
      <c r="Q998" s="48">
        <f>IF($G998=0,0,IF(INDEX(Employees!$P$5:$P$29,$A998)="Per pay period",(N(INDEX(Employees!$Q$5:$Q$29,$A998)))/Settings!$B$13,IF(INDEX(Employees!$P$5:$P$29,$A998)="Per hour worked",N(INDEX(Employees!$R$5:$R$29,$A998))*$I998,IF(INDEX(Employees!$P$5:$P$29,$A998)="Front-loaded",IF(OR($B998=1,N($G997)=0),N(INDEX(Employees!$Q$5:$Q$29,$A998)),0),0))))</f>
        <v/>
      </c>
      <c r="R998" s="48">
        <f>IF($F998=0,0,SUMIFS('Time Off Log'!$H$5:$H$504,'Time Off Log'!$A$5:$A$504,$C998,'Time Off Log'!$B$5:$B$504,"Sick",'Time Off Log'!$E$5:$E$504,"Approved",'Time Off Log'!$C$5:$C$504,"&gt;="&amp;INDEX(Periods!$E$5:$E$57,$B998),'Time Off Log'!$C$5:$C$504,"&lt;="&amp;INDEX(Periods!$F$5:$F$57,$B998)))</f>
        <v/>
      </c>
      <c r="S998" s="48">
        <f>IF($B998=1,N(INDEX(Employees!$T$5:$T$29,$A998)),V997)</f>
        <v/>
      </c>
      <c r="T998" s="48">
        <f>IF(INDEX(Employees!$S$5:$S$29,$A998)="",Q998,MAX(0,MIN(Q998,INDEX(Employees!$S$5:$S$29,$A998)-(S998-R998))))</f>
        <v/>
      </c>
      <c r="U998" s="48">
        <f>Q998-T998</f>
        <v/>
      </c>
      <c r="V998" s="48">
        <f>S998-R998+T998</f>
        <v/>
      </c>
    </row>
    <row r="999">
      <c r="A999" s="47" t="n">
        <v>19</v>
      </c>
      <c r="B999" s="47" t="n">
        <v>41</v>
      </c>
      <c r="C999" s="48">
        <f>INDEX(Employees!$B$5:$B$29,$A999)&amp;""</f>
        <v/>
      </c>
      <c r="D999" s="49">
        <f>INDEX(Periods!$B$5:$B$57,$B999)</f>
        <v/>
      </c>
      <c r="E999" s="49">
        <f>INDEX(Periods!$C$5:$C$57,$B999)</f>
        <v/>
      </c>
      <c r="F999" s="47">
        <f>IF(AND($C999&lt;&gt;"",INDEX(Periods!$D$5:$D$57,$B999)=1),1,0)</f>
        <v/>
      </c>
      <c r="G999" s="47">
        <f>IF($F999=0,0,IF(AND(OR(INDEX(Employees!$D$5:$D$29,$A999)="",$E999&gt;=INDEX(Employees!$D$5:$D$29,$A999)+N(INDEX(Employees!$U$5:$U$29,$A999))),OR(INDEX(Employees!$E$5:$E$29,$A999)="",$D999&lt;=INDEX(Employees!$E$5:$E$29,$A999))),1,0))</f>
        <v/>
      </c>
      <c r="H999" s="47">
        <f>IF($G999=0,0,IF(INDEX(Employees!$D$5:$D$29,$A999)="",0,DATEDIF(INDEX(Employees!$D$5:$D$29,$A999),$E999,"y")))</f>
        <v/>
      </c>
      <c r="I999" s="48">
        <f>IF($G999=0,0,IF(INDEX('Hours Worked'!$D$5:$BD$29,$A999,$B999)="",N(INDEX(Employees!$H$5:$H$29,$A999)),INDEX('Hours Worked'!$D$5:$BD$29,$A999,$B999)))</f>
        <v/>
      </c>
      <c r="J999" s="48">
        <f>IF(OR($G999=0,INDEX(Employees!$O$5:$O$29,$A999)&lt;&gt;"Yes"),0,IF(COUNTIF(Settings!$D$4:$D$9,"&lt;="&amp;$H999)=0,0,INDEX(Settings!$E$4:$E$9,COUNTIF(Settings!$D$4:$D$9,"&lt;="&amp;$H999))))</f>
        <v/>
      </c>
      <c r="K999" s="48">
        <f>IF($G999=0,0,IF(INDEX(Employees!$I$5:$I$29,$A999)="Per pay period",(N(INDEX(Employees!$J$5:$J$29,$A999))+$J999)/Settings!$B$13,IF(INDEX(Employees!$I$5:$I$29,$A999)="Per hour worked",N(INDEX(Employees!$K$5:$K$29,$A999))*$I999,IF(INDEX(Employees!$I$5:$I$29,$A999)="Front-loaded",IF(OR($B999=1,N($G998)=0),N(INDEX(Employees!$J$5:$J$29,$A999))+$J999,0),0))))</f>
        <v/>
      </c>
      <c r="L999" s="48">
        <f>IF($F999=0,0,SUMIFS('Time Off Log'!$H$5:$H$504,'Time Off Log'!$A$5:$A$504,$C999,'Time Off Log'!$B$5:$B$504,"PTO",'Time Off Log'!$E$5:$E$504,"Approved",'Time Off Log'!$C$5:$C$504,"&gt;="&amp;INDEX(Periods!$E$5:$E$57,$B999),'Time Off Log'!$C$5:$C$504,"&lt;="&amp;INDEX(Periods!$F$5:$F$57,$B999)))</f>
        <v/>
      </c>
      <c r="M999" s="48">
        <f>IF($B999=1,N(INDEX(Employees!$N$5:$N$29,$A999)),P998)</f>
        <v/>
      </c>
      <c r="N999" s="48">
        <f>IF(INDEX(Employees!$L$5:$L$29,$A999)="",K999,MAX(0,MIN(K999,INDEX(Employees!$L$5:$L$29,$A999)-(M999-L999))))</f>
        <v/>
      </c>
      <c r="O999" s="48">
        <f>K999-N999</f>
        <v/>
      </c>
      <c r="P999" s="48">
        <f>M999-L999+N999</f>
        <v/>
      </c>
      <c r="Q999" s="48">
        <f>IF($G999=0,0,IF(INDEX(Employees!$P$5:$P$29,$A999)="Per pay period",(N(INDEX(Employees!$Q$5:$Q$29,$A999)))/Settings!$B$13,IF(INDEX(Employees!$P$5:$P$29,$A999)="Per hour worked",N(INDEX(Employees!$R$5:$R$29,$A999))*$I999,IF(INDEX(Employees!$P$5:$P$29,$A999)="Front-loaded",IF(OR($B999=1,N($G998)=0),N(INDEX(Employees!$Q$5:$Q$29,$A999)),0),0))))</f>
        <v/>
      </c>
      <c r="R999" s="48">
        <f>IF($F999=0,0,SUMIFS('Time Off Log'!$H$5:$H$504,'Time Off Log'!$A$5:$A$504,$C999,'Time Off Log'!$B$5:$B$504,"Sick",'Time Off Log'!$E$5:$E$504,"Approved",'Time Off Log'!$C$5:$C$504,"&gt;="&amp;INDEX(Periods!$E$5:$E$57,$B999),'Time Off Log'!$C$5:$C$504,"&lt;="&amp;INDEX(Periods!$F$5:$F$57,$B999)))</f>
        <v/>
      </c>
      <c r="S999" s="48">
        <f>IF($B999=1,N(INDEX(Employees!$T$5:$T$29,$A999)),V998)</f>
        <v/>
      </c>
      <c r="T999" s="48">
        <f>IF(INDEX(Employees!$S$5:$S$29,$A999)="",Q999,MAX(0,MIN(Q999,INDEX(Employees!$S$5:$S$29,$A999)-(S999-R999))))</f>
        <v/>
      </c>
      <c r="U999" s="48">
        <f>Q999-T999</f>
        <v/>
      </c>
      <c r="V999" s="48">
        <f>S999-R999+T999</f>
        <v/>
      </c>
    </row>
    <row r="1000">
      <c r="A1000" s="47" t="n">
        <v>19</v>
      </c>
      <c r="B1000" s="47" t="n">
        <v>42</v>
      </c>
      <c r="C1000" s="48">
        <f>INDEX(Employees!$B$5:$B$29,$A1000)&amp;""</f>
        <v/>
      </c>
      <c r="D1000" s="49">
        <f>INDEX(Periods!$B$5:$B$57,$B1000)</f>
        <v/>
      </c>
      <c r="E1000" s="49">
        <f>INDEX(Periods!$C$5:$C$57,$B1000)</f>
        <v/>
      </c>
      <c r="F1000" s="47">
        <f>IF(AND($C1000&lt;&gt;"",INDEX(Periods!$D$5:$D$57,$B1000)=1),1,0)</f>
        <v/>
      </c>
      <c r="G1000" s="47">
        <f>IF($F1000=0,0,IF(AND(OR(INDEX(Employees!$D$5:$D$29,$A1000)="",$E1000&gt;=INDEX(Employees!$D$5:$D$29,$A1000)+N(INDEX(Employees!$U$5:$U$29,$A1000))),OR(INDEX(Employees!$E$5:$E$29,$A1000)="",$D1000&lt;=INDEX(Employees!$E$5:$E$29,$A1000))),1,0))</f>
        <v/>
      </c>
      <c r="H1000" s="47">
        <f>IF($G1000=0,0,IF(INDEX(Employees!$D$5:$D$29,$A1000)="",0,DATEDIF(INDEX(Employees!$D$5:$D$29,$A1000),$E1000,"y")))</f>
        <v/>
      </c>
      <c r="I1000" s="48">
        <f>IF($G1000=0,0,IF(INDEX('Hours Worked'!$D$5:$BD$29,$A1000,$B1000)="",N(INDEX(Employees!$H$5:$H$29,$A1000)),INDEX('Hours Worked'!$D$5:$BD$29,$A1000,$B1000)))</f>
        <v/>
      </c>
      <c r="J1000" s="48">
        <f>IF(OR($G1000=0,INDEX(Employees!$O$5:$O$29,$A1000)&lt;&gt;"Yes"),0,IF(COUNTIF(Settings!$D$4:$D$9,"&lt;="&amp;$H1000)=0,0,INDEX(Settings!$E$4:$E$9,COUNTIF(Settings!$D$4:$D$9,"&lt;="&amp;$H1000))))</f>
        <v/>
      </c>
      <c r="K1000" s="48">
        <f>IF($G1000=0,0,IF(INDEX(Employees!$I$5:$I$29,$A1000)="Per pay period",(N(INDEX(Employees!$J$5:$J$29,$A1000))+$J1000)/Settings!$B$13,IF(INDEX(Employees!$I$5:$I$29,$A1000)="Per hour worked",N(INDEX(Employees!$K$5:$K$29,$A1000))*$I1000,IF(INDEX(Employees!$I$5:$I$29,$A1000)="Front-loaded",IF(OR($B1000=1,N($G999)=0),N(INDEX(Employees!$J$5:$J$29,$A1000))+$J1000,0),0))))</f>
        <v/>
      </c>
      <c r="L1000" s="48">
        <f>IF($F1000=0,0,SUMIFS('Time Off Log'!$H$5:$H$504,'Time Off Log'!$A$5:$A$504,$C1000,'Time Off Log'!$B$5:$B$504,"PTO",'Time Off Log'!$E$5:$E$504,"Approved",'Time Off Log'!$C$5:$C$504,"&gt;="&amp;INDEX(Periods!$E$5:$E$57,$B1000),'Time Off Log'!$C$5:$C$504,"&lt;="&amp;INDEX(Periods!$F$5:$F$57,$B1000)))</f>
        <v/>
      </c>
      <c r="M1000" s="48">
        <f>IF($B1000=1,N(INDEX(Employees!$N$5:$N$29,$A1000)),P999)</f>
        <v/>
      </c>
      <c r="N1000" s="48">
        <f>IF(INDEX(Employees!$L$5:$L$29,$A1000)="",K1000,MAX(0,MIN(K1000,INDEX(Employees!$L$5:$L$29,$A1000)-(M1000-L1000))))</f>
        <v/>
      </c>
      <c r="O1000" s="48">
        <f>K1000-N1000</f>
        <v/>
      </c>
      <c r="P1000" s="48">
        <f>M1000-L1000+N1000</f>
        <v/>
      </c>
      <c r="Q1000" s="48">
        <f>IF($G1000=0,0,IF(INDEX(Employees!$P$5:$P$29,$A1000)="Per pay period",(N(INDEX(Employees!$Q$5:$Q$29,$A1000)))/Settings!$B$13,IF(INDEX(Employees!$P$5:$P$29,$A1000)="Per hour worked",N(INDEX(Employees!$R$5:$R$29,$A1000))*$I1000,IF(INDEX(Employees!$P$5:$P$29,$A1000)="Front-loaded",IF(OR($B1000=1,N($G999)=0),N(INDEX(Employees!$Q$5:$Q$29,$A1000)),0),0))))</f>
        <v/>
      </c>
      <c r="R1000" s="48">
        <f>IF($F1000=0,0,SUMIFS('Time Off Log'!$H$5:$H$504,'Time Off Log'!$A$5:$A$504,$C1000,'Time Off Log'!$B$5:$B$504,"Sick",'Time Off Log'!$E$5:$E$504,"Approved",'Time Off Log'!$C$5:$C$504,"&gt;="&amp;INDEX(Periods!$E$5:$E$57,$B1000),'Time Off Log'!$C$5:$C$504,"&lt;="&amp;INDEX(Periods!$F$5:$F$57,$B1000)))</f>
        <v/>
      </c>
      <c r="S1000" s="48">
        <f>IF($B1000=1,N(INDEX(Employees!$T$5:$T$29,$A1000)),V999)</f>
        <v/>
      </c>
      <c r="T1000" s="48">
        <f>IF(INDEX(Employees!$S$5:$S$29,$A1000)="",Q1000,MAX(0,MIN(Q1000,INDEX(Employees!$S$5:$S$29,$A1000)-(S1000-R1000))))</f>
        <v/>
      </c>
      <c r="U1000" s="48">
        <f>Q1000-T1000</f>
        <v/>
      </c>
      <c r="V1000" s="48">
        <f>S1000-R1000+T1000</f>
        <v/>
      </c>
    </row>
    <row r="1001">
      <c r="A1001" s="47" t="n">
        <v>19</v>
      </c>
      <c r="B1001" s="47" t="n">
        <v>43</v>
      </c>
      <c r="C1001" s="48">
        <f>INDEX(Employees!$B$5:$B$29,$A1001)&amp;""</f>
        <v/>
      </c>
      <c r="D1001" s="49">
        <f>INDEX(Periods!$B$5:$B$57,$B1001)</f>
        <v/>
      </c>
      <c r="E1001" s="49">
        <f>INDEX(Periods!$C$5:$C$57,$B1001)</f>
        <v/>
      </c>
      <c r="F1001" s="47">
        <f>IF(AND($C1001&lt;&gt;"",INDEX(Periods!$D$5:$D$57,$B1001)=1),1,0)</f>
        <v/>
      </c>
      <c r="G1001" s="47">
        <f>IF($F1001=0,0,IF(AND(OR(INDEX(Employees!$D$5:$D$29,$A1001)="",$E1001&gt;=INDEX(Employees!$D$5:$D$29,$A1001)+N(INDEX(Employees!$U$5:$U$29,$A1001))),OR(INDEX(Employees!$E$5:$E$29,$A1001)="",$D1001&lt;=INDEX(Employees!$E$5:$E$29,$A1001))),1,0))</f>
        <v/>
      </c>
      <c r="H1001" s="47">
        <f>IF($G1001=0,0,IF(INDEX(Employees!$D$5:$D$29,$A1001)="",0,DATEDIF(INDEX(Employees!$D$5:$D$29,$A1001),$E1001,"y")))</f>
        <v/>
      </c>
      <c r="I1001" s="48">
        <f>IF($G1001=0,0,IF(INDEX('Hours Worked'!$D$5:$BD$29,$A1001,$B1001)="",N(INDEX(Employees!$H$5:$H$29,$A1001)),INDEX('Hours Worked'!$D$5:$BD$29,$A1001,$B1001)))</f>
        <v/>
      </c>
      <c r="J1001" s="48">
        <f>IF(OR($G1001=0,INDEX(Employees!$O$5:$O$29,$A1001)&lt;&gt;"Yes"),0,IF(COUNTIF(Settings!$D$4:$D$9,"&lt;="&amp;$H1001)=0,0,INDEX(Settings!$E$4:$E$9,COUNTIF(Settings!$D$4:$D$9,"&lt;="&amp;$H1001))))</f>
        <v/>
      </c>
      <c r="K1001" s="48">
        <f>IF($G1001=0,0,IF(INDEX(Employees!$I$5:$I$29,$A1001)="Per pay period",(N(INDEX(Employees!$J$5:$J$29,$A1001))+$J1001)/Settings!$B$13,IF(INDEX(Employees!$I$5:$I$29,$A1001)="Per hour worked",N(INDEX(Employees!$K$5:$K$29,$A1001))*$I1001,IF(INDEX(Employees!$I$5:$I$29,$A1001)="Front-loaded",IF(OR($B1001=1,N($G1000)=0),N(INDEX(Employees!$J$5:$J$29,$A1001))+$J1001,0),0))))</f>
        <v/>
      </c>
      <c r="L1001" s="48">
        <f>IF($F1001=0,0,SUMIFS('Time Off Log'!$H$5:$H$504,'Time Off Log'!$A$5:$A$504,$C1001,'Time Off Log'!$B$5:$B$504,"PTO",'Time Off Log'!$E$5:$E$504,"Approved",'Time Off Log'!$C$5:$C$504,"&gt;="&amp;INDEX(Periods!$E$5:$E$57,$B1001),'Time Off Log'!$C$5:$C$504,"&lt;="&amp;INDEX(Periods!$F$5:$F$57,$B1001)))</f>
        <v/>
      </c>
      <c r="M1001" s="48">
        <f>IF($B1001=1,N(INDEX(Employees!$N$5:$N$29,$A1001)),P1000)</f>
        <v/>
      </c>
      <c r="N1001" s="48">
        <f>IF(INDEX(Employees!$L$5:$L$29,$A1001)="",K1001,MAX(0,MIN(K1001,INDEX(Employees!$L$5:$L$29,$A1001)-(M1001-L1001))))</f>
        <v/>
      </c>
      <c r="O1001" s="48">
        <f>K1001-N1001</f>
        <v/>
      </c>
      <c r="P1001" s="48">
        <f>M1001-L1001+N1001</f>
        <v/>
      </c>
      <c r="Q1001" s="48">
        <f>IF($G1001=0,0,IF(INDEX(Employees!$P$5:$P$29,$A1001)="Per pay period",(N(INDEX(Employees!$Q$5:$Q$29,$A1001)))/Settings!$B$13,IF(INDEX(Employees!$P$5:$P$29,$A1001)="Per hour worked",N(INDEX(Employees!$R$5:$R$29,$A1001))*$I1001,IF(INDEX(Employees!$P$5:$P$29,$A1001)="Front-loaded",IF(OR($B1001=1,N($G1000)=0),N(INDEX(Employees!$Q$5:$Q$29,$A1001)),0),0))))</f>
        <v/>
      </c>
      <c r="R1001" s="48">
        <f>IF($F1001=0,0,SUMIFS('Time Off Log'!$H$5:$H$504,'Time Off Log'!$A$5:$A$504,$C1001,'Time Off Log'!$B$5:$B$504,"Sick",'Time Off Log'!$E$5:$E$504,"Approved",'Time Off Log'!$C$5:$C$504,"&gt;="&amp;INDEX(Periods!$E$5:$E$57,$B1001),'Time Off Log'!$C$5:$C$504,"&lt;="&amp;INDEX(Periods!$F$5:$F$57,$B1001)))</f>
        <v/>
      </c>
      <c r="S1001" s="48">
        <f>IF($B1001=1,N(INDEX(Employees!$T$5:$T$29,$A1001)),V1000)</f>
        <v/>
      </c>
      <c r="T1001" s="48">
        <f>IF(INDEX(Employees!$S$5:$S$29,$A1001)="",Q1001,MAX(0,MIN(Q1001,INDEX(Employees!$S$5:$S$29,$A1001)-(S1001-R1001))))</f>
        <v/>
      </c>
      <c r="U1001" s="48">
        <f>Q1001-T1001</f>
        <v/>
      </c>
      <c r="V1001" s="48">
        <f>S1001-R1001+T1001</f>
        <v/>
      </c>
    </row>
    <row r="1002">
      <c r="A1002" s="47" t="n">
        <v>19</v>
      </c>
      <c r="B1002" s="47" t="n">
        <v>44</v>
      </c>
      <c r="C1002" s="48">
        <f>INDEX(Employees!$B$5:$B$29,$A1002)&amp;""</f>
        <v/>
      </c>
      <c r="D1002" s="49">
        <f>INDEX(Periods!$B$5:$B$57,$B1002)</f>
        <v/>
      </c>
      <c r="E1002" s="49">
        <f>INDEX(Periods!$C$5:$C$57,$B1002)</f>
        <v/>
      </c>
      <c r="F1002" s="47">
        <f>IF(AND($C1002&lt;&gt;"",INDEX(Periods!$D$5:$D$57,$B1002)=1),1,0)</f>
        <v/>
      </c>
      <c r="G1002" s="47">
        <f>IF($F1002=0,0,IF(AND(OR(INDEX(Employees!$D$5:$D$29,$A1002)="",$E1002&gt;=INDEX(Employees!$D$5:$D$29,$A1002)+N(INDEX(Employees!$U$5:$U$29,$A1002))),OR(INDEX(Employees!$E$5:$E$29,$A1002)="",$D1002&lt;=INDEX(Employees!$E$5:$E$29,$A1002))),1,0))</f>
        <v/>
      </c>
      <c r="H1002" s="47">
        <f>IF($G1002=0,0,IF(INDEX(Employees!$D$5:$D$29,$A1002)="",0,DATEDIF(INDEX(Employees!$D$5:$D$29,$A1002),$E1002,"y")))</f>
        <v/>
      </c>
      <c r="I1002" s="48">
        <f>IF($G1002=0,0,IF(INDEX('Hours Worked'!$D$5:$BD$29,$A1002,$B1002)="",N(INDEX(Employees!$H$5:$H$29,$A1002)),INDEX('Hours Worked'!$D$5:$BD$29,$A1002,$B1002)))</f>
        <v/>
      </c>
      <c r="J1002" s="48">
        <f>IF(OR($G1002=0,INDEX(Employees!$O$5:$O$29,$A1002)&lt;&gt;"Yes"),0,IF(COUNTIF(Settings!$D$4:$D$9,"&lt;="&amp;$H1002)=0,0,INDEX(Settings!$E$4:$E$9,COUNTIF(Settings!$D$4:$D$9,"&lt;="&amp;$H1002))))</f>
        <v/>
      </c>
      <c r="K1002" s="48">
        <f>IF($G1002=0,0,IF(INDEX(Employees!$I$5:$I$29,$A1002)="Per pay period",(N(INDEX(Employees!$J$5:$J$29,$A1002))+$J1002)/Settings!$B$13,IF(INDEX(Employees!$I$5:$I$29,$A1002)="Per hour worked",N(INDEX(Employees!$K$5:$K$29,$A1002))*$I1002,IF(INDEX(Employees!$I$5:$I$29,$A1002)="Front-loaded",IF(OR($B1002=1,N($G1001)=0),N(INDEX(Employees!$J$5:$J$29,$A1002))+$J1002,0),0))))</f>
        <v/>
      </c>
      <c r="L1002" s="48">
        <f>IF($F1002=0,0,SUMIFS('Time Off Log'!$H$5:$H$504,'Time Off Log'!$A$5:$A$504,$C1002,'Time Off Log'!$B$5:$B$504,"PTO",'Time Off Log'!$E$5:$E$504,"Approved",'Time Off Log'!$C$5:$C$504,"&gt;="&amp;INDEX(Periods!$E$5:$E$57,$B1002),'Time Off Log'!$C$5:$C$504,"&lt;="&amp;INDEX(Periods!$F$5:$F$57,$B1002)))</f>
        <v/>
      </c>
      <c r="M1002" s="48">
        <f>IF($B1002=1,N(INDEX(Employees!$N$5:$N$29,$A1002)),P1001)</f>
        <v/>
      </c>
      <c r="N1002" s="48">
        <f>IF(INDEX(Employees!$L$5:$L$29,$A1002)="",K1002,MAX(0,MIN(K1002,INDEX(Employees!$L$5:$L$29,$A1002)-(M1002-L1002))))</f>
        <v/>
      </c>
      <c r="O1002" s="48">
        <f>K1002-N1002</f>
        <v/>
      </c>
      <c r="P1002" s="48">
        <f>M1002-L1002+N1002</f>
        <v/>
      </c>
      <c r="Q1002" s="48">
        <f>IF($G1002=0,0,IF(INDEX(Employees!$P$5:$P$29,$A1002)="Per pay period",(N(INDEX(Employees!$Q$5:$Q$29,$A1002)))/Settings!$B$13,IF(INDEX(Employees!$P$5:$P$29,$A1002)="Per hour worked",N(INDEX(Employees!$R$5:$R$29,$A1002))*$I1002,IF(INDEX(Employees!$P$5:$P$29,$A1002)="Front-loaded",IF(OR($B1002=1,N($G1001)=0),N(INDEX(Employees!$Q$5:$Q$29,$A1002)),0),0))))</f>
        <v/>
      </c>
      <c r="R1002" s="48">
        <f>IF($F1002=0,0,SUMIFS('Time Off Log'!$H$5:$H$504,'Time Off Log'!$A$5:$A$504,$C1002,'Time Off Log'!$B$5:$B$504,"Sick",'Time Off Log'!$E$5:$E$504,"Approved",'Time Off Log'!$C$5:$C$504,"&gt;="&amp;INDEX(Periods!$E$5:$E$57,$B1002),'Time Off Log'!$C$5:$C$504,"&lt;="&amp;INDEX(Periods!$F$5:$F$57,$B1002)))</f>
        <v/>
      </c>
      <c r="S1002" s="48">
        <f>IF($B1002=1,N(INDEX(Employees!$T$5:$T$29,$A1002)),V1001)</f>
        <v/>
      </c>
      <c r="T1002" s="48">
        <f>IF(INDEX(Employees!$S$5:$S$29,$A1002)="",Q1002,MAX(0,MIN(Q1002,INDEX(Employees!$S$5:$S$29,$A1002)-(S1002-R1002))))</f>
        <v/>
      </c>
      <c r="U1002" s="48">
        <f>Q1002-T1002</f>
        <v/>
      </c>
      <c r="V1002" s="48">
        <f>S1002-R1002+T1002</f>
        <v/>
      </c>
    </row>
    <row r="1003">
      <c r="A1003" s="47" t="n">
        <v>19</v>
      </c>
      <c r="B1003" s="47" t="n">
        <v>45</v>
      </c>
      <c r="C1003" s="48">
        <f>INDEX(Employees!$B$5:$B$29,$A1003)&amp;""</f>
        <v/>
      </c>
      <c r="D1003" s="49">
        <f>INDEX(Periods!$B$5:$B$57,$B1003)</f>
        <v/>
      </c>
      <c r="E1003" s="49">
        <f>INDEX(Periods!$C$5:$C$57,$B1003)</f>
        <v/>
      </c>
      <c r="F1003" s="47">
        <f>IF(AND($C1003&lt;&gt;"",INDEX(Periods!$D$5:$D$57,$B1003)=1),1,0)</f>
        <v/>
      </c>
      <c r="G1003" s="47">
        <f>IF($F1003=0,0,IF(AND(OR(INDEX(Employees!$D$5:$D$29,$A1003)="",$E1003&gt;=INDEX(Employees!$D$5:$D$29,$A1003)+N(INDEX(Employees!$U$5:$U$29,$A1003))),OR(INDEX(Employees!$E$5:$E$29,$A1003)="",$D1003&lt;=INDEX(Employees!$E$5:$E$29,$A1003))),1,0))</f>
        <v/>
      </c>
      <c r="H1003" s="47">
        <f>IF($G1003=0,0,IF(INDEX(Employees!$D$5:$D$29,$A1003)="",0,DATEDIF(INDEX(Employees!$D$5:$D$29,$A1003),$E1003,"y")))</f>
        <v/>
      </c>
      <c r="I1003" s="48">
        <f>IF($G1003=0,0,IF(INDEX('Hours Worked'!$D$5:$BD$29,$A1003,$B1003)="",N(INDEX(Employees!$H$5:$H$29,$A1003)),INDEX('Hours Worked'!$D$5:$BD$29,$A1003,$B1003)))</f>
        <v/>
      </c>
      <c r="J1003" s="48">
        <f>IF(OR($G1003=0,INDEX(Employees!$O$5:$O$29,$A1003)&lt;&gt;"Yes"),0,IF(COUNTIF(Settings!$D$4:$D$9,"&lt;="&amp;$H1003)=0,0,INDEX(Settings!$E$4:$E$9,COUNTIF(Settings!$D$4:$D$9,"&lt;="&amp;$H1003))))</f>
        <v/>
      </c>
      <c r="K1003" s="48">
        <f>IF($G1003=0,0,IF(INDEX(Employees!$I$5:$I$29,$A1003)="Per pay period",(N(INDEX(Employees!$J$5:$J$29,$A1003))+$J1003)/Settings!$B$13,IF(INDEX(Employees!$I$5:$I$29,$A1003)="Per hour worked",N(INDEX(Employees!$K$5:$K$29,$A1003))*$I1003,IF(INDEX(Employees!$I$5:$I$29,$A1003)="Front-loaded",IF(OR($B1003=1,N($G1002)=0),N(INDEX(Employees!$J$5:$J$29,$A1003))+$J1003,0),0))))</f>
        <v/>
      </c>
      <c r="L1003" s="48">
        <f>IF($F1003=0,0,SUMIFS('Time Off Log'!$H$5:$H$504,'Time Off Log'!$A$5:$A$504,$C1003,'Time Off Log'!$B$5:$B$504,"PTO",'Time Off Log'!$E$5:$E$504,"Approved",'Time Off Log'!$C$5:$C$504,"&gt;="&amp;INDEX(Periods!$E$5:$E$57,$B1003),'Time Off Log'!$C$5:$C$504,"&lt;="&amp;INDEX(Periods!$F$5:$F$57,$B1003)))</f>
        <v/>
      </c>
      <c r="M1003" s="48">
        <f>IF($B1003=1,N(INDEX(Employees!$N$5:$N$29,$A1003)),P1002)</f>
        <v/>
      </c>
      <c r="N1003" s="48">
        <f>IF(INDEX(Employees!$L$5:$L$29,$A1003)="",K1003,MAX(0,MIN(K1003,INDEX(Employees!$L$5:$L$29,$A1003)-(M1003-L1003))))</f>
        <v/>
      </c>
      <c r="O1003" s="48">
        <f>K1003-N1003</f>
        <v/>
      </c>
      <c r="P1003" s="48">
        <f>M1003-L1003+N1003</f>
        <v/>
      </c>
      <c r="Q1003" s="48">
        <f>IF($G1003=0,0,IF(INDEX(Employees!$P$5:$P$29,$A1003)="Per pay period",(N(INDEX(Employees!$Q$5:$Q$29,$A1003)))/Settings!$B$13,IF(INDEX(Employees!$P$5:$P$29,$A1003)="Per hour worked",N(INDEX(Employees!$R$5:$R$29,$A1003))*$I1003,IF(INDEX(Employees!$P$5:$P$29,$A1003)="Front-loaded",IF(OR($B1003=1,N($G1002)=0),N(INDEX(Employees!$Q$5:$Q$29,$A1003)),0),0))))</f>
        <v/>
      </c>
      <c r="R1003" s="48">
        <f>IF($F1003=0,0,SUMIFS('Time Off Log'!$H$5:$H$504,'Time Off Log'!$A$5:$A$504,$C1003,'Time Off Log'!$B$5:$B$504,"Sick",'Time Off Log'!$E$5:$E$504,"Approved",'Time Off Log'!$C$5:$C$504,"&gt;="&amp;INDEX(Periods!$E$5:$E$57,$B1003),'Time Off Log'!$C$5:$C$504,"&lt;="&amp;INDEX(Periods!$F$5:$F$57,$B1003)))</f>
        <v/>
      </c>
      <c r="S1003" s="48">
        <f>IF($B1003=1,N(INDEX(Employees!$T$5:$T$29,$A1003)),V1002)</f>
        <v/>
      </c>
      <c r="T1003" s="48">
        <f>IF(INDEX(Employees!$S$5:$S$29,$A1003)="",Q1003,MAX(0,MIN(Q1003,INDEX(Employees!$S$5:$S$29,$A1003)-(S1003-R1003))))</f>
        <v/>
      </c>
      <c r="U1003" s="48">
        <f>Q1003-T1003</f>
        <v/>
      </c>
      <c r="V1003" s="48">
        <f>S1003-R1003+T1003</f>
        <v/>
      </c>
    </row>
    <row r="1004">
      <c r="A1004" s="47" t="n">
        <v>19</v>
      </c>
      <c r="B1004" s="47" t="n">
        <v>46</v>
      </c>
      <c r="C1004" s="48">
        <f>INDEX(Employees!$B$5:$B$29,$A1004)&amp;""</f>
        <v/>
      </c>
      <c r="D1004" s="49">
        <f>INDEX(Periods!$B$5:$B$57,$B1004)</f>
        <v/>
      </c>
      <c r="E1004" s="49">
        <f>INDEX(Periods!$C$5:$C$57,$B1004)</f>
        <v/>
      </c>
      <c r="F1004" s="47">
        <f>IF(AND($C1004&lt;&gt;"",INDEX(Periods!$D$5:$D$57,$B1004)=1),1,0)</f>
        <v/>
      </c>
      <c r="G1004" s="47">
        <f>IF($F1004=0,0,IF(AND(OR(INDEX(Employees!$D$5:$D$29,$A1004)="",$E1004&gt;=INDEX(Employees!$D$5:$D$29,$A1004)+N(INDEX(Employees!$U$5:$U$29,$A1004))),OR(INDEX(Employees!$E$5:$E$29,$A1004)="",$D1004&lt;=INDEX(Employees!$E$5:$E$29,$A1004))),1,0))</f>
        <v/>
      </c>
      <c r="H1004" s="47">
        <f>IF($G1004=0,0,IF(INDEX(Employees!$D$5:$D$29,$A1004)="",0,DATEDIF(INDEX(Employees!$D$5:$D$29,$A1004),$E1004,"y")))</f>
        <v/>
      </c>
      <c r="I1004" s="48">
        <f>IF($G1004=0,0,IF(INDEX('Hours Worked'!$D$5:$BD$29,$A1004,$B1004)="",N(INDEX(Employees!$H$5:$H$29,$A1004)),INDEX('Hours Worked'!$D$5:$BD$29,$A1004,$B1004)))</f>
        <v/>
      </c>
      <c r="J1004" s="48">
        <f>IF(OR($G1004=0,INDEX(Employees!$O$5:$O$29,$A1004)&lt;&gt;"Yes"),0,IF(COUNTIF(Settings!$D$4:$D$9,"&lt;="&amp;$H1004)=0,0,INDEX(Settings!$E$4:$E$9,COUNTIF(Settings!$D$4:$D$9,"&lt;="&amp;$H1004))))</f>
        <v/>
      </c>
      <c r="K1004" s="48">
        <f>IF($G1004=0,0,IF(INDEX(Employees!$I$5:$I$29,$A1004)="Per pay period",(N(INDEX(Employees!$J$5:$J$29,$A1004))+$J1004)/Settings!$B$13,IF(INDEX(Employees!$I$5:$I$29,$A1004)="Per hour worked",N(INDEX(Employees!$K$5:$K$29,$A1004))*$I1004,IF(INDEX(Employees!$I$5:$I$29,$A1004)="Front-loaded",IF(OR($B1004=1,N($G1003)=0),N(INDEX(Employees!$J$5:$J$29,$A1004))+$J1004,0),0))))</f>
        <v/>
      </c>
      <c r="L1004" s="48">
        <f>IF($F1004=0,0,SUMIFS('Time Off Log'!$H$5:$H$504,'Time Off Log'!$A$5:$A$504,$C1004,'Time Off Log'!$B$5:$B$504,"PTO",'Time Off Log'!$E$5:$E$504,"Approved",'Time Off Log'!$C$5:$C$504,"&gt;="&amp;INDEX(Periods!$E$5:$E$57,$B1004),'Time Off Log'!$C$5:$C$504,"&lt;="&amp;INDEX(Periods!$F$5:$F$57,$B1004)))</f>
        <v/>
      </c>
      <c r="M1004" s="48">
        <f>IF($B1004=1,N(INDEX(Employees!$N$5:$N$29,$A1004)),P1003)</f>
        <v/>
      </c>
      <c r="N1004" s="48">
        <f>IF(INDEX(Employees!$L$5:$L$29,$A1004)="",K1004,MAX(0,MIN(K1004,INDEX(Employees!$L$5:$L$29,$A1004)-(M1004-L1004))))</f>
        <v/>
      </c>
      <c r="O1004" s="48">
        <f>K1004-N1004</f>
        <v/>
      </c>
      <c r="P1004" s="48">
        <f>M1004-L1004+N1004</f>
        <v/>
      </c>
      <c r="Q1004" s="48">
        <f>IF($G1004=0,0,IF(INDEX(Employees!$P$5:$P$29,$A1004)="Per pay period",(N(INDEX(Employees!$Q$5:$Q$29,$A1004)))/Settings!$B$13,IF(INDEX(Employees!$P$5:$P$29,$A1004)="Per hour worked",N(INDEX(Employees!$R$5:$R$29,$A1004))*$I1004,IF(INDEX(Employees!$P$5:$P$29,$A1004)="Front-loaded",IF(OR($B1004=1,N($G1003)=0),N(INDEX(Employees!$Q$5:$Q$29,$A1004)),0),0))))</f>
        <v/>
      </c>
      <c r="R1004" s="48">
        <f>IF($F1004=0,0,SUMIFS('Time Off Log'!$H$5:$H$504,'Time Off Log'!$A$5:$A$504,$C1004,'Time Off Log'!$B$5:$B$504,"Sick",'Time Off Log'!$E$5:$E$504,"Approved",'Time Off Log'!$C$5:$C$504,"&gt;="&amp;INDEX(Periods!$E$5:$E$57,$B1004),'Time Off Log'!$C$5:$C$504,"&lt;="&amp;INDEX(Periods!$F$5:$F$57,$B1004)))</f>
        <v/>
      </c>
      <c r="S1004" s="48">
        <f>IF($B1004=1,N(INDEX(Employees!$T$5:$T$29,$A1004)),V1003)</f>
        <v/>
      </c>
      <c r="T1004" s="48">
        <f>IF(INDEX(Employees!$S$5:$S$29,$A1004)="",Q1004,MAX(0,MIN(Q1004,INDEX(Employees!$S$5:$S$29,$A1004)-(S1004-R1004))))</f>
        <v/>
      </c>
      <c r="U1004" s="48">
        <f>Q1004-T1004</f>
        <v/>
      </c>
      <c r="V1004" s="48">
        <f>S1004-R1004+T1004</f>
        <v/>
      </c>
    </row>
    <row r="1005">
      <c r="A1005" s="47" t="n">
        <v>19</v>
      </c>
      <c r="B1005" s="47" t="n">
        <v>47</v>
      </c>
      <c r="C1005" s="48">
        <f>INDEX(Employees!$B$5:$B$29,$A1005)&amp;""</f>
        <v/>
      </c>
      <c r="D1005" s="49">
        <f>INDEX(Periods!$B$5:$B$57,$B1005)</f>
        <v/>
      </c>
      <c r="E1005" s="49">
        <f>INDEX(Periods!$C$5:$C$57,$B1005)</f>
        <v/>
      </c>
      <c r="F1005" s="47">
        <f>IF(AND($C1005&lt;&gt;"",INDEX(Periods!$D$5:$D$57,$B1005)=1),1,0)</f>
        <v/>
      </c>
      <c r="G1005" s="47">
        <f>IF($F1005=0,0,IF(AND(OR(INDEX(Employees!$D$5:$D$29,$A1005)="",$E1005&gt;=INDEX(Employees!$D$5:$D$29,$A1005)+N(INDEX(Employees!$U$5:$U$29,$A1005))),OR(INDEX(Employees!$E$5:$E$29,$A1005)="",$D1005&lt;=INDEX(Employees!$E$5:$E$29,$A1005))),1,0))</f>
        <v/>
      </c>
      <c r="H1005" s="47">
        <f>IF($G1005=0,0,IF(INDEX(Employees!$D$5:$D$29,$A1005)="",0,DATEDIF(INDEX(Employees!$D$5:$D$29,$A1005),$E1005,"y")))</f>
        <v/>
      </c>
      <c r="I1005" s="48">
        <f>IF($G1005=0,0,IF(INDEX('Hours Worked'!$D$5:$BD$29,$A1005,$B1005)="",N(INDEX(Employees!$H$5:$H$29,$A1005)),INDEX('Hours Worked'!$D$5:$BD$29,$A1005,$B1005)))</f>
        <v/>
      </c>
      <c r="J1005" s="48">
        <f>IF(OR($G1005=0,INDEX(Employees!$O$5:$O$29,$A1005)&lt;&gt;"Yes"),0,IF(COUNTIF(Settings!$D$4:$D$9,"&lt;="&amp;$H1005)=0,0,INDEX(Settings!$E$4:$E$9,COUNTIF(Settings!$D$4:$D$9,"&lt;="&amp;$H1005))))</f>
        <v/>
      </c>
      <c r="K1005" s="48">
        <f>IF($G1005=0,0,IF(INDEX(Employees!$I$5:$I$29,$A1005)="Per pay period",(N(INDEX(Employees!$J$5:$J$29,$A1005))+$J1005)/Settings!$B$13,IF(INDEX(Employees!$I$5:$I$29,$A1005)="Per hour worked",N(INDEX(Employees!$K$5:$K$29,$A1005))*$I1005,IF(INDEX(Employees!$I$5:$I$29,$A1005)="Front-loaded",IF(OR($B1005=1,N($G1004)=0),N(INDEX(Employees!$J$5:$J$29,$A1005))+$J1005,0),0))))</f>
        <v/>
      </c>
      <c r="L1005" s="48">
        <f>IF($F1005=0,0,SUMIFS('Time Off Log'!$H$5:$H$504,'Time Off Log'!$A$5:$A$504,$C1005,'Time Off Log'!$B$5:$B$504,"PTO",'Time Off Log'!$E$5:$E$504,"Approved",'Time Off Log'!$C$5:$C$504,"&gt;="&amp;INDEX(Periods!$E$5:$E$57,$B1005),'Time Off Log'!$C$5:$C$504,"&lt;="&amp;INDEX(Periods!$F$5:$F$57,$B1005)))</f>
        <v/>
      </c>
      <c r="M1005" s="48">
        <f>IF($B1005=1,N(INDEX(Employees!$N$5:$N$29,$A1005)),P1004)</f>
        <v/>
      </c>
      <c r="N1005" s="48">
        <f>IF(INDEX(Employees!$L$5:$L$29,$A1005)="",K1005,MAX(0,MIN(K1005,INDEX(Employees!$L$5:$L$29,$A1005)-(M1005-L1005))))</f>
        <v/>
      </c>
      <c r="O1005" s="48">
        <f>K1005-N1005</f>
        <v/>
      </c>
      <c r="P1005" s="48">
        <f>M1005-L1005+N1005</f>
        <v/>
      </c>
      <c r="Q1005" s="48">
        <f>IF($G1005=0,0,IF(INDEX(Employees!$P$5:$P$29,$A1005)="Per pay period",(N(INDEX(Employees!$Q$5:$Q$29,$A1005)))/Settings!$B$13,IF(INDEX(Employees!$P$5:$P$29,$A1005)="Per hour worked",N(INDEX(Employees!$R$5:$R$29,$A1005))*$I1005,IF(INDEX(Employees!$P$5:$P$29,$A1005)="Front-loaded",IF(OR($B1005=1,N($G1004)=0),N(INDEX(Employees!$Q$5:$Q$29,$A1005)),0),0))))</f>
        <v/>
      </c>
      <c r="R1005" s="48">
        <f>IF($F1005=0,0,SUMIFS('Time Off Log'!$H$5:$H$504,'Time Off Log'!$A$5:$A$504,$C1005,'Time Off Log'!$B$5:$B$504,"Sick",'Time Off Log'!$E$5:$E$504,"Approved",'Time Off Log'!$C$5:$C$504,"&gt;="&amp;INDEX(Periods!$E$5:$E$57,$B1005),'Time Off Log'!$C$5:$C$504,"&lt;="&amp;INDEX(Periods!$F$5:$F$57,$B1005)))</f>
        <v/>
      </c>
      <c r="S1005" s="48">
        <f>IF($B1005=1,N(INDEX(Employees!$T$5:$T$29,$A1005)),V1004)</f>
        <v/>
      </c>
      <c r="T1005" s="48">
        <f>IF(INDEX(Employees!$S$5:$S$29,$A1005)="",Q1005,MAX(0,MIN(Q1005,INDEX(Employees!$S$5:$S$29,$A1005)-(S1005-R1005))))</f>
        <v/>
      </c>
      <c r="U1005" s="48">
        <f>Q1005-T1005</f>
        <v/>
      </c>
      <c r="V1005" s="48">
        <f>S1005-R1005+T1005</f>
        <v/>
      </c>
    </row>
    <row r="1006">
      <c r="A1006" s="47" t="n">
        <v>19</v>
      </c>
      <c r="B1006" s="47" t="n">
        <v>48</v>
      </c>
      <c r="C1006" s="48">
        <f>INDEX(Employees!$B$5:$B$29,$A1006)&amp;""</f>
        <v/>
      </c>
      <c r="D1006" s="49">
        <f>INDEX(Periods!$B$5:$B$57,$B1006)</f>
        <v/>
      </c>
      <c r="E1006" s="49">
        <f>INDEX(Periods!$C$5:$C$57,$B1006)</f>
        <v/>
      </c>
      <c r="F1006" s="47">
        <f>IF(AND($C1006&lt;&gt;"",INDEX(Periods!$D$5:$D$57,$B1006)=1),1,0)</f>
        <v/>
      </c>
      <c r="G1006" s="47">
        <f>IF($F1006=0,0,IF(AND(OR(INDEX(Employees!$D$5:$D$29,$A1006)="",$E1006&gt;=INDEX(Employees!$D$5:$D$29,$A1006)+N(INDEX(Employees!$U$5:$U$29,$A1006))),OR(INDEX(Employees!$E$5:$E$29,$A1006)="",$D1006&lt;=INDEX(Employees!$E$5:$E$29,$A1006))),1,0))</f>
        <v/>
      </c>
      <c r="H1006" s="47">
        <f>IF($G1006=0,0,IF(INDEX(Employees!$D$5:$D$29,$A1006)="",0,DATEDIF(INDEX(Employees!$D$5:$D$29,$A1006),$E1006,"y")))</f>
        <v/>
      </c>
      <c r="I1006" s="48">
        <f>IF($G1006=0,0,IF(INDEX('Hours Worked'!$D$5:$BD$29,$A1006,$B1006)="",N(INDEX(Employees!$H$5:$H$29,$A1006)),INDEX('Hours Worked'!$D$5:$BD$29,$A1006,$B1006)))</f>
        <v/>
      </c>
      <c r="J1006" s="48">
        <f>IF(OR($G1006=0,INDEX(Employees!$O$5:$O$29,$A1006)&lt;&gt;"Yes"),0,IF(COUNTIF(Settings!$D$4:$D$9,"&lt;="&amp;$H1006)=0,0,INDEX(Settings!$E$4:$E$9,COUNTIF(Settings!$D$4:$D$9,"&lt;="&amp;$H1006))))</f>
        <v/>
      </c>
      <c r="K1006" s="48">
        <f>IF($G1006=0,0,IF(INDEX(Employees!$I$5:$I$29,$A1006)="Per pay period",(N(INDEX(Employees!$J$5:$J$29,$A1006))+$J1006)/Settings!$B$13,IF(INDEX(Employees!$I$5:$I$29,$A1006)="Per hour worked",N(INDEX(Employees!$K$5:$K$29,$A1006))*$I1006,IF(INDEX(Employees!$I$5:$I$29,$A1006)="Front-loaded",IF(OR($B1006=1,N($G1005)=0),N(INDEX(Employees!$J$5:$J$29,$A1006))+$J1006,0),0))))</f>
        <v/>
      </c>
      <c r="L1006" s="48">
        <f>IF($F1006=0,0,SUMIFS('Time Off Log'!$H$5:$H$504,'Time Off Log'!$A$5:$A$504,$C1006,'Time Off Log'!$B$5:$B$504,"PTO",'Time Off Log'!$E$5:$E$504,"Approved",'Time Off Log'!$C$5:$C$504,"&gt;="&amp;INDEX(Periods!$E$5:$E$57,$B1006),'Time Off Log'!$C$5:$C$504,"&lt;="&amp;INDEX(Periods!$F$5:$F$57,$B1006)))</f>
        <v/>
      </c>
      <c r="M1006" s="48">
        <f>IF($B1006=1,N(INDEX(Employees!$N$5:$N$29,$A1006)),P1005)</f>
        <v/>
      </c>
      <c r="N1006" s="48">
        <f>IF(INDEX(Employees!$L$5:$L$29,$A1006)="",K1006,MAX(0,MIN(K1006,INDEX(Employees!$L$5:$L$29,$A1006)-(M1006-L1006))))</f>
        <v/>
      </c>
      <c r="O1006" s="48">
        <f>K1006-N1006</f>
        <v/>
      </c>
      <c r="P1006" s="48">
        <f>M1006-L1006+N1006</f>
        <v/>
      </c>
      <c r="Q1006" s="48">
        <f>IF($G1006=0,0,IF(INDEX(Employees!$P$5:$P$29,$A1006)="Per pay period",(N(INDEX(Employees!$Q$5:$Q$29,$A1006)))/Settings!$B$13,IF(INDEX(Employees!$P$5:$P$29,$A1006)="Per hour worked",N(INDEX(Employees!$R$5:$R$29,$A1006))*$I1006,IF(INDEX(Employees!$P$5:$P$29,$A1006)="Front-loaded",IF(OR($B1006=1,N($G1005)=0),N(INDEX(Employees!$Q$5:$Q$29,$A1006)),0),0))))</f>
        <v/>
      </c>
      <c r="R1006" s="48">
        <f>IF($F1006=0,0,SUMIFS('Time Off Log'!$H$5:$H$504,'Time Off Log'!$A$5:$A$504,$C1006,'Time Off Log'!$B$5:$B$504,"Sick",'Time Off Log'!$E$5:$E$504,"Approved",'Time Off Log'!$C$5:$C$504,"&gt;="&amp;INDEX(Periods!$E$5:$E$57,$B1006),'Time Off Log'!$C$5:$C$504,"&lt;="&amp;INDEX(Periods!$F$5:$F$57,$B1006)))</f>
        <v/>
      </c>
      <c r="S1006" s="48">
        <f>IF($B1006=1,N(INDEX(Employees!$T$5:$T$29,$A1006)),V1005)</f>
        <v/>
      </c>
      <c r="T1006" s="48">
        <f>IF(INDEX(Employees!$S$5:$S$29,$A1006)="",Q1006,MAX(0,MIN(Q1006,INDEX(Employees!$S$5:$S$29,$A1006)-(S1006-R1006))))</f>
        <v/>
      </c>
      <c r="U1006" s="48">
        <f>Q1006-T1006</f>
        <v/>
      </c>
      <c r="V1006" s="48">
        <f>S1006-R1006+T1006</f>
        <v/>
      </c>
    </row>
    <row r="1007">
      <c r="A1007" s="47" t="n">
        <v>19</v>
      </c>
      <c r="B1007" s="47" t="n">
        <v>49</v>
      </c>
      <c r="C1007" s="48">
        <f>INDEX(Employees!$B$5:$B$29,$A1007)&amp;""</f>
        <v/>
      </c>
      <c r="D1007" s="49">
        <f>INDEX(Periods!$B$5:$B$57,$B1007)</f>
        <v/>
      </c>
      <c r="E1007" s="49">
        <f>INDEX(Periods!$C$5:$C$57,$B1007)</f>
        <v/>
      </c>
      <c r="F1007" s="47">
        <f>IF(AND($C1007&lt;&gt;"",INDEX(Periods!$D$5:$D$57,$B1007)=1),1,0)</f>
        <v/>
      </c>
      <c r="G1007" s="47">
        <f>IF($F1007=0,0,IF(AND(OR(INDEX(Employees!$D$5:$D$29,$A1007)="",$E1007&gt;=INDEX(Employees!$D$5:$D$29,$A1007)+N(INDEX(Employees!$U$5:$U$29,$A1007))),OR(INDEX(Employees!$E$5:$E$29,$A1007)="",$D1007&lt;=INDEX(Employees!$E$5:$E$29,$A1007))),1,0))</f>
        <v/>
      </c>
      <c r="H1007" s="47">
        <f>IF($G1007=0,0,IF(INDEX(Employees!$D$5:$D$29,$A1007)="",0,DATEDIF(INDEX(Employees!$D$5:$D$29,$A1007),$E1007,"y")))</f>
        <v/>
      </c>
      <c r="I1007" s="48">
        <f>IF($G1007=0,0,IF(INDEX('Hours Worked'!$D$5:$BD$29,$A1007,$B1007)="",N(INDEX(Employees!$H$5:$H$29,$A1007)),INDEX('Hours Worked'!$D$5:$BD$29,$A1007,$B1007)))</f>
        <v/>
      </c>
      <c r="J1007" s="48">
        <f>IF(OR($G1007=0,INDEX(Employees!$O$5:$O$29,$A1007)&lt;&gt;"Yes"),0,IF(COUNTIF(Settings!$D$4:$D$9,"&lt;="&amp;$H1007)=0,0,INDEX(Settings!$E$4:$E$9,COUNTIF(Settings!$D$4:$D$9,"&lt;="&amp;$H1007))))</f>
        <v/>
      </c>
      <c r="K1007" s="48">
        <f>IF($G1007=0,0,IF(INDEX(Employees!$I$5:$I$29,$A1007)="Per pay period",(N(INDEX(Employees!$J$5:$J$29,$A1007))+$J1007)/Settings!$B$13,IF(INDEX(Employees!$I$5:$I$29,$A1007)="Per hour worked",N(INDEX(Employees!$K$5:$K$29,$A1007))*$I1007,IF(INDEX(Employees!$I$5:$I$29,$A1007)="Front-loaded",IF(OR($B1007=1,N($G1006)=0),N(INDEX(Employees!$J$5:$J$29,$A1007))+$J1007,0),0))))</f>
        <v/>
      </c>
      <c r="L1007" s="48">
        <f>IF($F1007=0,0,SUMIFS('Time Off Log'!$H$5:$H$504,'Time Off Log'!$A$5:$A$504,$C1007,'Time Off Log'!$B$5:$B$504,"PTO",'Time Off Log'!$E$5:$E$504,"Approved",'Time Off Log'!$C$5:$C$504,"&gt;="&amp;INDEX(Periods!$E$5:$E$57,$B1007),'Time Off Log'!$C$5:$C$504,"&lt;="&amp;INDEX(Periods!$F$5:$F$57,$B1007)))</f>
        <v/>
      </c>
      <c r="M1007" s="48">
        <f>IF($B1007=1,N(INDEX(Employees!$N$5:$N$29,$A1007)),P1006)</f>
        <v/>
      </c>
      <c r="N1007" s="48">
        <f>IF(INDEX(Employees!$L$5:$L$29,$A1007)="",K1007,MAX(0,MIN(K1007,INDEX(Employees!$L$5:$L$29,$A1007)-(M1007-L1007))))</f>
        <v/>
      </c>
      <c r="O1007" s="48">
        <f>K1007-N1007</f>
        <v/>
      </c>
      <c r="P1007" s="48">
        <f>M1007-L1007+N1007</f>
        <v/>
      </c>
      <c r="Q1007" s="48">
        <f>IF($G1007=0,0,IF(INDEX(Employees!$P$5:$P$29,$A1007)="Per pay period",(N(INDEX(Employees!$Q$5:$Q$29,$A1007)))/Settings!$B$13,IF(INDEX(Employees!$P$5:$P$29,$A1007)="Per hour worked",N(INDEX(Employees!$R$5:$R$29,$A1007))*$I1007,IF(INDEX(Employees!$P$5:$P$29,$A1007)="Front-loaded",IF(OR($B1007=1,N($G1006)=0),N(INDEX(Employees!$Q$5:$Q$29,$A1007)),0),0))))</f>
        <v/>
      </c>
      <c r="R1007" s="48">
        <f>IF($F1007=0,0,SUMIFS('Time Off Log'!$H$5:$H$504,'Time Off Log'!$A$5:$A$504,$C1007,'Time Off Log'!$B$5:$B$504,"Sick",'Time Off Log'!$E$5:$E$504,"Approved",'Time Off Log'!$C$5:$C$504,"&gt;="&amp;INDEX(Periods!$E$5:$E$57,$B1007),'Time Off Log'!$C$5:$C$504,"&lt;="&amp;INDEX(Periods!$F$5:$F$57,$B1007)))</f>
        <v/>
      </c>
      <c r="S1007" s="48">
        <f>IF($B1007=1,N(INDEX(Employees!$T$5:$T$29,$A1007)),V1006)</f>
        <v/>
      </c>
      <c r="T1007" s="48">
        <f>IF(INDEX(Employees!$S$5:$S$29,$A1007)="",Q1007,MAX(0,MIN(Q1007,INDEX(Employees!$S$5:$S$29,$A1007)-(S1007-R1007))))</f>
        <v/>
      </c>
      <c r="U1007" s="48">
        <f>Q1007-T1007</f>
        <v/>
      </c>
      <c r="V1007" s="48">
        <f>S1007-R1007+T1007</f>
        <v/>
      </c>
    </row>
    <row r="1008">
      <c r="A1008" s="47" t="n">
        <v>19</v>
      </c>
      <c r="B1008" s="47" t="n">
        <v>50</v>
      </c>
      <c r="C1008" s="48">
        <f>INDEX(Employees!$B$5:$B$29,$A1008)&amp;""</f>
        <v/>
      </c>
      <c r="D1008" s="49">
        <f>INDEX(Periods!$B$5:$B$57,$B1008)</f>
        <v/>
      </c>
      <c r="E1008" s="49">
        <f>INDEX(Periods!$C$5:$C$57,$B1008)</f>
        <v/>
      </c>
      <c r="F1008" s="47">
        <f>IF(AND($C1008&lt;&gt;"",INDEX(Periods!$D$5:$D$57,$B1008)=1),1,0)</f>
        <v/>
      </c>
      <c r="G1008" s="47">
        <f>IF($F1008=0,0,IF(AND(OR(INDEX(Employees!$D$5:$D$29,$A1008)="",$E1008&gt;=INDEX(Employees!$D$5:$D$29,$A1008)+N(INDEX(Employees!$U$5:$U$29,$A1008))),OR(INDEX(Employees!$E$5:$E$29,$A1008)="",$D1008&lt;=INDEX(Employees!$E$5:$E$29,$A1008))),1,0))</f>
        <v/>
      </c>
      <c r="H1008" s="47">
        <f>IF($G1008=0,0,IF(INDEX(Employees!$D$5:$D$29,$A1008)="",0,DATEDIF(INDEX(Employees!$D$5:$D$29,$A1008),$E1008,"y")))</f>
        <v/>
      </c>
      <c r="I1008" s="48">
        <f>IF($G1008=0,0,IF(INDEX('Hours Worked'!$D$5:$BD$29,$A1008,$B1008)="",N(INDEX(Employees!$H$5:$H$29,$A1008)),INDEX('Hours Worked'!$D$5:$BD$29,$A1008,$B1008)))</f>
        <v/>
      </c>
      <c r="J1008" s="48">
        <f>IF(OR($G1008=0,INDEX(Employees!$O$5:$O$29,$A1008)&lt;&gt;"Yes"),0,IF(COUNTIF(Settings!$D$4:$D$9,"&lt;="&amp;$H1008)=0,0,INDEX(Settings!$E$4:$E$9,COUNTIF(Settings!$D$4:$D$9,"&lt;="&amp;$H1008))))</f>
        <v/>
      </c>
      <c r="K1008" s="48">
        <f>IF($G1008=0,0,IF(INDEX(Employees!$I$5:$I$29,$A1008)="Per pay period",(N(INDEX(Employees!$J$5:$J$29,$A1008))+$J1008)/Settings!$B$13,IF(INDEX(Employees!$I$5:$I$29,$A1008)="Per hour worked",N(INDEX(Employees!$K$5:$K$29,$A1008))*$I1008,IF(INDEX(Employees!$I$5:$I$29,$A1008)="Front-loaded",IF(OR($B1008=1,N($G1007)=0),N(INDEX(Employees!$J$5:$J$29,$A1008))+$J1008,0),0))))</f>
        <v/>
      </c>
      <c r="L1008" s="48">
        <f>IF($F1008=0,0,SUMIFS('Time Off Log'!$H$5:$H$504,'Time Off Log'!$A$5:$A$504,$C1008,'Time Off Log'!$B$5:$B$504,"PTO",'Time Off Log'!$E$5:$E$504,"Approved",'Time Off Log'!$C$5:$C$504,"&gt;="&amp;INDEX(Periods!$E$5:$E$57,$B1008),'Time Off Log'!$C$5:$C$504,"&lt;="&amp;INDEX(Periods!$F$5:$F$57,$B1008)))</f>
        <v/>
      </c>
      <c r="M1008" s="48">
        <f>IF($B1008=1,N(INDEX(Employees!$N$5:$N$29,$A1008)),P1007)</f>
        <v/>
      </c>
      <c r="N1008" s="48">
        <f>IF(INDEX(Employees!$L$5:$L$29,$A1008)="",K1008,MAX(0,MIN(K1008,INDEX(Employees!$L$5:$L$29,$A1008)-(M1008-L1008))))</f>
        <v/>
      </c>
      <c r="O1008" s="48">
        <f>K1008-N1008</f>
        <v/>
      </c>
      <c r="P1008" s="48">
        <f>M1008-L1008+N1008</f>
        <v/>
      </c>
      <c r="Q1008" s="48">
        <f>IF($G1008=0,0,IF(INDEX(Employees!$P$5:$P$29,$A1008)="Per pay period",(N(INDEX(Employees!$Q$5:$Q$29,$A1008)))/Settings!$B$13,IF(INDEX(Employees!$P$5:$P$29,$A1008)="Per hour worked",N(INDEX(Employees!$R$5:$R$29,$A1008))*$I1008,IF(INDEX(Employees!$P$5:$P$29,$A1008)="Front-loaded",IF(OR($B1008=1,N($G1007)=0),N(INDEX(Employees!$Q$5:$Q$29,$A1008)),0),0))))</f>
        <v/>
      </c>
      <c r="R1008" s="48">
        <f>IF($F1008=0,0,SUMIFS('Time Off Log'!$H$5:$H$504,'Time Off Log'!$A$5:$A$504,$C1008,'Time Off Log'!$B$5:$B$504,"Sick",'Time Off Log'!$E$5:$E$504,"Approved",'Time Off Log'!$C$5:$C$504,"&gt;="&amp;INDEX(Periods!$E$5:$E$57,$B1008),'Time Off Log'!$C$5:$C$504,"&lt;="&amp;INDEX(Periods!$F$5:$F$57,$B1008)))</f>
        <v/>
      </c>
      <c r="S1008" s="48">
        <f>IF($B1008=1,N(INDEX(Employees!$T$5:$T$29,$A1008)),V1007)</f>
        <v/>
      </c>
      <c r="T1008" s="48">
        <f>IF(INDEX(Employees!$S$5:$S$29,$A1008)="",Q1008,MAX(0,MIN(Q1008,INDEX(Employees!$S$5:$S$29,$A1008)-(S1008-R1008))))</f>
        <v/>
      </c>
      <c r="U1008" s="48">
        <f>Q1008-T1008</f>
        <v/>
      </c>
      <c r="V1008" s="48">
        <f>S1008-R1008+T1008</f>
        <v/>
      </c>
    </row>
    <row r="1009">
      <c r="A1009" s="47" t="n">
        <v>19</v>
      </c>
      <c r="B1009" s="47" t="n">
        <v>51</v>
      </c>
      <c r="C1009" s="48">
        <f>INDEX(Employees!$B$5:$B$29,$A1009)&amp;""</f>
        <v/>
      </c>
      <c r="D1009" s="49">
        <f>INDEX(Periods!$B$5:$B$57,$B1009)</f>
        <v/>
      </c>
      <c r="E1009" s="49">
        <f>INDEX(Periods!$C$5:$C$57,$B1009)</f>
        <v/>
      </c>
      <c r="F1009" s="47">
        <f>IF(AND($C1009&lt;&gt;"",INDEX(Periods!$D$5:$D$57,$B1009)=1),1,0)</f>
        <v/>
      </c>
      <c r="G1009" s="47">
        <f>IF($F1009=0,0,IF(AND(OR(INDEX(Employees!$D$5:$D$29,$A1009)="",$E1009&gt;=INDEX(Employees!$D$5:$D$29,$A1009)+N(INDEX(Employees!$U$5:$U$29,$A1009))),OR(INDEX(Employees!$E$5:$E$29,$A1009)="",$D1009&lt;=INDEX(Employees!$E$5:$E$29,$A1009))),1,0))</f>
        <v/>
      </c>
      <c r="H1009" s="47">
        <f>IF($G1009=0,0,IF(INDEX(Employees!$D$5:$D$29,$A1009)="",0,DATEDIF(INDEX(Employees!$D$5:$D$29,$A1009),$E1009,"y")))</f>
        <v/>
      </c>
      <c r="I1009" s="48">
        <f>IF($G1009=0,0,IF(INDEX('Hours Worked'!$D$5:$BD$29,$A1009,$B1009)="",N(INDEX(Employees!$H$5:$H$29,$A1009)),INDEX('Hours Worked'!$D$5:$BD$29,$A1009,$B1009)))</f>
        <v/>
      </c>
      <c r="J1009" s="48">
        <f>IF(OR($G1009=0,INDEX(Employees!$O$5:$O$29,$A1009)&lt;&gt;"Yes"),0,IF(COUNTIF(Settings!$D$4:$D$9,"&lt;="&amp;$H1009)=0,0,INDEX(Settings!$E$4:$E$9,COUNTIF(Settings!$D$4:$D$9,"&lt;="&amp;$H1009))))</f>
        <v/>
      </c>
      <c r="K1009" s="48">
        <f>IF($G1009=0,0,IF(INDEX(Employees!$I$5:$I$29,$A1009)="Per pay period",(N(INDEX(Employees!$J$5:$J$29,$A1009))+$J1009)/Settings!$B$13,IF(INDEX(Employees!$I$5:$I$29,$A1009)="Per hour worked",N(INDEX(Employees!$K$5:$K$29,$A1009))*$I1009,IF(INDEX(Employees!$I$5:$I$29,$A1009)="Front-loaded",IF(OR($B1009=1,N($G1008)=0),N(INDEX(Employees!$J$5:$J$29,$A1009))+$J1009,0),0))))</f>
        <v/>
      </c>
      <c r="L1009" s="48">
        <f>IF($F1009=0,0,SUMIFS('Time Off Log'!$H$5:$H$504,'Time Off Log'!$A$5:$A$504,$C1009,'Time Off Log'!$B$5:$B$504,"PTO",'Time Off Log'!$E$5:$E$504,"Approved",'Time Off Log'!$C$5:$C$504,"&gt;="&amp;INDEX(Periods!$E$5:$E$57,$B1009),'Time Off Log'!$C$5:$C$504,"&lt;="&amp;INDEX(Periods!$F$5:$F$57,$B1009)))</f>
        <v/>
      </c>
      <c r="M1009" s="48">
        <f>IF($B1009=1,N(INDEX(Employees!$N$5:$N$29,$A1009)),P1008)</f>
        <v/>
      </c>
      <c r="N1009" s="48">
        <f>IF(INDEX(Employees!$L$5:$L$29,$A1009)="",K1009,MAX(0,MIN(K1009,INDEX(Employees!$L$5:$L$29,$A1009)-(M1009-L1009))))</f>
        <v/>
      </c>
      <c r="O1009" s="48">
        <f>K1009-N1009</f>
        <v/>
      </c>
      <c r="P1009" s="48">
        <f>M1009-L1009+N1009</f>
        <v/>
      </c>
      <c r="Q1009" s="48">
        <f>IF($G1009=0,0,IF(INDEX(Employees!$P$5:$P$29,$A1009)="Per pay period",(N(INDEX(Employees!$Q$5:$Q$29,$A1009)))/Settings!$B$13,IF(INDEX(Employees!$P$5:$P$29,$A1009)="Per hour worked",N(INDEX(Employees!$R$5:$R$29,$A1009))*$I1009,IF(INDEX(Employees!$P$5:$P$29,$A1009)="Front-loaded",IF(OR($B1009=1,N($G1008)=0),N(INDEX(Employees!$Q$5:$Q$29,$A1009)),0),0))))</f>
        <v/>
      </c>
      <c r="R1009" s="48">
        <f>IF($F1009=0,0,SUMIFS('Time Off Log'!$H$5:$H$504,'Time Off Log'!$A$5:$A$504,$C1009,'Time Off Log'!$B$5:$B$504,"Sick",'Time Off Log'!$E$5:$E$504,"Approved",'Time Off Log'!$C$5:$C$504,"&gt;="&amp;INDEX(Periods!$E$5:$E$57,$B1009),'Time Off Log'!$C$5:$C$504,"&lt;="&amp;INDEX(Periods!$F$5:$F$57,$B1009)))</f>
        <v/>
      </c>
      <c r="S1009" s="48">
        <f>IF($B1009=1,N(INDEX(Employees!$T$5:$T$29,$A1009)),V1008)</f>
        <v/>
      </c>
      <c r="T1009" s="48">
        <f>IF(INDEX(Employees!$S$5:$S$29,$A1009)="",Q1009,MAX(0,MIN(Q1009,INDEX(Employees!$S$5:$S$29,$A1009)-(S1009-R1009))))</f>
        <v/>
      </c>
      <c r="U1009" s="48">
        <f>Q1009-T1009</f>
        <v/>
      </c>
      <c r="V1009" s="48">
        <f>S1009-R1009+T1009</f>
        <v/>
      </c>
    </row>
    <row r="1010">
      <c r="A1010" s="47" t="n">
        <v>19</v>
      </c>
      <c r="B1010" s="47" t="n">
        <v>52</v>
      </c>
      <c r="C1010" s="48">
        <f>INDEX(Employees!$B$5:$B$29,$A1010)&amp;""</f>
        <v/>
      </c>
      <c r="D1010" s="49">
        <f>INDEX(Periods!$B$5:$B$57,$B1010)</f>
        <v/>
      </c>
      <c r="E1010" s="49">
        <f>INDEX(Periods!$C$5:$C$57,$B1010)</f>
        <v/>
      </c>
      <c r="F1010" s="47">
        <f>IF(AND($C1010&lt;&gt;"",INDEX(Periods!$D$5:$D$57,$B1010)=1),1,0)</f>
        <v/>
      </c>
      <c r="G1010" s="47">
        <f>IF($F1010=0,0,IF(AND(OR(INDEX(Employees!$D$5:$D$29,$A1010)="",$E1010&gt;=INDEX(Employees!$D$5:$D$29,$A1010)+N(INDEX(Employees!$U$5:$U$29,$A1010))),OR(INDEX(Employees!$E$5:$E$29,$A1010)="",$D1010&lt;=INDEX(Employees!$E$5:$E$29,$A1010))),1,0))</f>
        <v/>
      </c>
      <c r="H1010" s="47">
        <f>IF($G1010=0,0,IF(INDEX(Employees!$D$5:$D$29,$A1010)="",0,DATEDIF(INDEX(Employees!$D$5:$D$29,$A1010),$E1010,"y")))</f>
        <v/>
      </c>
      <c r="I1010" s="48">
        <f>IF($G1010=0,0,IF(INDEX('Hours Worked'!$D$5:$BD$29,$A1010,$B1010)="",N(INDEX(Employees!$H$5:$H$29,$A1010)),INDEX('Hours Worked'!$D$5:$BD$29,$A1010,$B1010)))</f>
        <v/>
      </c>
      <c r="J1010" s="48">
        <f>IF(OR($G1010=0,INDEX(Employees!$O$5:$O$29,$A1010)&lt;&gt;"Yes"),0,IF(COUNTIF(Settings!$D$4:$D$9,"&lt;="&amp;$H1010)=0,0,INDEX(Settings!$E$4:$E$9,COUNTIF(Settings!$D$4:$D$9,"&lt;="&amp;$H1010))))</f>
        <v/>
      </c>
      <c r="K1010" s="48">
        <f>IF($G1010=0,0,IF(INDEX(Employees!$I$5:$I$29,$A1010)="Per pay period",(N(INDEX(Employees!$J$5:$J$29,$A1010))+$J1010)/Settings!$B$13,IF(INDEX(Employees!$I$5:$I$29,$A1010)="Per hour worked",N(INDEX(Employees!$K$5:$K$29,$A1010))*$I1010,IF(INDEX(Employees!$I$5:$I$29,$A1010)="Front-loaded",IF(OR($B1010=1,N($G1009)=0),N(INDEX(Employees!$J$5:$J$29,$A1010))+$J1010,0),0))))</f>
        <v/>
      </c>
      <c r="L1010" s="48">
        <f>IF($F1010=0,0,SUMIFS('Time Off Log'!$H$5:$H$504,'Time Off Log'!$A$5:$A$504,$C1010,'Time Off Log'!$B$5:$B$504,"PTO",'Time Off Log'!$E$5:$E$504,"Approved",'Time Off Log'!$C$5:$C$504,"&gt;="&amp;INDEX(Periods!$E$5:$E$57,$B1010),'Time Off Log'!$C$5:$C$504,"&lt;="&amp;INDEX(Periods!$F$5:$F$57,$B1010)))</f>
        <v/>
      </c>
      <c r="M1010" s="48">
        <f>IF($B1010=1,N(INDEX(Employees!$N$5:$N$29,$A1010)),P1009)</f>
        <v/>
      </c>
      <c r="N1010" s="48">
        <f>IF(INDEX(Employees!$L$5:$L$29,$A1010)="",K1010,MAX(0,MIN(K1010,INDEX(Employees!$L$5:$L$29,$A1010)-(M1010-L1010))))</f>
        <v/>
      </c>
      <c r="O1010" s="48">
        <f>K1010-N1010</f>
        <v/>
      </c>
      <c r="P1010" s="48">
        <f>M1010-L1010+N1010</f>
        <v/>
      </c>
      <c r="Q1010" s="48">
        <f>IF($G1010=0,0,IF(INDEX(Employees!$P$5:$P$29,$A1010)="Per pay period",(N(INDEX(Employees!$Q$5:$Q$29,$A1010)))/Settings!$B$13,IF(INDEX(Employees!$P$5:$P$29,$A1010)="Per hour worked",N(INDEX(Employees!$R$5:$R$29,$A1010))*$I1010,IF(INDEX(Employees!$P$5:$P$29,$A1010)="Front-loaded",IF(OR($B1010=1,N($G1009)=0),N(INDEX(Employees!$Q$5:$Q$29,$A1010)),0),0))))</f>
        <v/>
      </c>
      <c r="R1010" s="48">
        <f>IF($F1010=0,0,SUMIFS('Time Off Log'!$H$5:$H$504,'Time Off Log'!$A$5:$A$504,$C1010,'Time Off Log'!$B$5:$B$504,"Sick",'Time Off Log'!$E$5:$E$504,"Approved",'Time Off Log'!$C$5:$C$504,"&gt;="&amp;INDEX(Periods!$E$5:$E$57,$B1010),'Time Off Log'!$C$5:$C$504,"&lt;="&amp;INDEX(Periods!$F$5:$F$57,$B1010)))</f>
        <v/>
      </c>
      <c r="S1010" s="48">
        <f>IF($B1010=1,N(INDEX(Employees!$T$5:$T$29,$A1010)),V1009)</f>
        <v/>
      </c>
      <c r="T1010" s="48">
        <f>IF(INDEX(Employees!$S$5:$S$29,$A1010)="",Q1010,MAX(0,MIN(Q1010,INDEX(Employees!$S$5:$S$29,$A1010)-(S1010-R1010))))</f>
        <v/>
      </c>
      <c r="U1010" s="48">
        <f>Q1010-T1010</f>
        <v/>
      </c>
      <c r="V1010" s="48">
        <f>S1010-R1010+T1010</f>
        <v/>
      </c>
    </row>
    <row r="1011">
      <c r="A1011" s="47" t="n">
        <v>19</v>
      </c>
      <c r="B1011" s="47" t="n">
        <v>53</v>
      </c>
      <c r="C1011" s="48">
        <f>INDEX(Employees!$B$5:$B$29,$A1011)&amp;""</f>
        <v/>
      </c>
      <c r="D1011" s="49">
        <f>INDEX(Periods!$B$5:$B$57,$B1011)</f>
        <v/>
      </c>
      <c r="E1011" s="49">
        <f>INDEX(Periods!$C$5:$C$57,$B1011)</f>
        <v/>
      </c>
      <c r="F1011" s="47">
        <f>IF(AND($C1011&lt;&gt;"",INDEX(Periods!$D$5:$D$57,$B1011)=1),1,0)</f>
        <v/>
      </c>
      <c r="G1011" s="47">
        <f>IF($F1011=0,0,IF(AND(OR(INDEX(Employees!$D$5:$D$29,$A1011)="",$E1011&gt;=INDEX(Employees!$D$5:$D$29,$A1011)+N(INDEX(Employees!$U$5:$U$29,$A1011))),OR(INDEX(Employees!$E$5:$E$29,$A1011)="",$D1011&lt;=INDEX(Employees!$E$5:$E$29,$A1011))),1,0))</f>
        <v/>
      </c>
      <c r="H1011" s="47">
        <f>IF($G1011=0,0,IF(INDEX(Employees!$D$5:$D$29,$A1011)="",0,DATEDIF(INDEX(Employees!$D$5:$D$29,$A1011),$E1011,"y")))</f>
        <v/>
      </c>
      <c r="I1011" s="48">
        <f>IF($G1011=0,0,IF(INDEX('Hours Worked'!$D$5:$BD$29,$A1011,$B1011)="",N(INDEX(Employees!$H$5:$H$29,$A1011)),INDEX('Hours Worked'!$D$5:$BD$29,$A1011,$B1011)))</f>
        <v/>
      </c>
      <c r="J1011" s="48">
        <f>IF(OR($G1011=0,INDEX(Employees!$O$5:$O$29,$A1011)&lt;&gt;"Yes"),0,IF(COUNTIF(Settings!$D$4:$D$9,"&lt;="&amp;$H1011)=0,0,INDEX(Settings!$E$4:$E$9,COUNTIF(Settings!$D$4:$D$9,"&lt;="&amp;$H1011))))</f>
        <v/>
      </c>
      <c r="K1011" s="48">
        <f>IF($G1011=0,0,IF(INDEX(Employees!$I$5:$I$29,$A1011)="Per pay period",(N(INDEX(Employees!$J$5:$J$29,$A1011))+$J1011)/Settings!$B$13,IF(INDEX(Employees!$I$5:$I$29,$A1011)="Per hour worked",N(INDEX(Employees!$K$5:$K$29,$A1011))*$I1011,IF(INDEX(Employees!$I$5:$I$29,$A1011)="Front-loaded",IF(OR($B1011=1,N($G1010)=0),N(INDEX(Employees!$J$5:$J$29,$A1011))+$J1011,0),0))))</f>
        <v/>
      </c>
      <c r="L1011" s="48">
        <f>IF($F1011=0,0,SUMIFS('Time Off Log'!$H$5:$H$504,'Time Off Log'!$A$5:$A$504,$C1011,'Time Off Log'!$B$5:$B$504,"PTO",'Time Off Log'!$E$5:$E$504,"Approved",'Time Off Log'!$C$5:$C$504,"&gt;="&amp;INDEX(Periods!$E$5:$E$57,$B1011),'Time Off Log'!$C$5:$C$504,"&lt;="&amp;INDEX(Periods!$F$5:$F$57,$B1011)))</f>
        <v/>
      </c>
      <c r="M1011" s="48">
        <f>IF($B1011=1,N(INDEX(Employees!$N$5:$N$29,$A1011)),P1010)</f>
        <v/>
      </c>
      <c r="N1011" s="48">
        <f>IF(INDEX(Employees!$L$5:$L$29,$A1011)="",K1011,MAX(0,MIN(K1011,INDEX(Employees!$L$5:$L$29,$A1011)-(M1011-L1011))))</f>
        <v/>
      </c>
      <c r="O1011" s="48">
        <f>K1011-N1011</f>
        <v/>
      </c>
      <c r="P1011" s="48">
        <f>M1011-L1011+N1011</f>
        <v/>
      </c>
      <c r="Q1011" s="48">
        <f>IF($G1011=0,0,IF(INDEX(Employees!$P$5:$P$29,$A1011)="Per pay period",(N(INDEX(Employees!$Q$5:$Q$29,$A1011)))/Settings!$B$13,IF(INDEX(Employees!$P$5:$P$29,$A1011)="Per hour worked",N(INDEX(Employees!$R$5:$R$29,$A1011))*$I1011,IF(INDEX(Employees!$P$5:$P$29,$A1011)="Front-loaded",IF(OR($B1011=1,N($G1010)=0),N(INDEX(Employees!$Q$5:$Q$29,$A1011)),0),0))))</f>
        <v/>
      </c>
      <c r="R1011" s="48">
        <f>IF($F1011=0,0,SUMIFS('Time Off Log'!$H$5:$H$504,'Time Off Log'!$A$5:$A$504,$C1011,'Time Off Log'!$B$5:$B$504,"Sick",'Time Off Log'!$E$5:$E$504,"Approved",'Time Off Log'!$C$5:$C$504,"&gt;="&amp;INDEX(Periods!$E$5:$E$57,$B1011),'Time Off Log'!$C$5:$C$504,"&lt;="&amp;INDEX(Periods!$F$5:$F$57,$B1011)))</f>
        <v/>
      </c>
      <c r="S1011" s="48">
        <f>IF($B1011=1,N(INDEX(Employees!$T$5:$T$29,$A1011)),V1010)</f>
        <v/>
      </c>
      <c r="T1011" s="48">
        <f>IF(INDEX(Employees!$S$5:$S$29,$A1011)="",Q1011,MAX(0,MIN(Q1011,INDEX(Employees!$S$5:$S$29,$A1011)-(S1011-R1011))))</f>
        <v/>
      </c>
      <c r="U1011" s="48">
        <f>Q1011-T1011</f>
        <v/>
      </c>
      <c r="V1011" s="48">
        <f>S1011-R1011+T1011</f>
        <v/>
      </c>
    </row>
    <row r="1012">
      <c r="A1012" s="50" t="n">
        <v>20</v>
      </c>
      <c r="B1012" s="50" t="n">
        <v>1</v>
      </c>
      <c r="C1012" s="51">
        <f>INDEX(Employees!$B$5:$B$29,$A1012)&amp;""</f>
        <v/>
      </c>
      <c r="D1012" s="52">
        <f>INDEX(Periods!$B$5:$B$57,$B1012)</f>
        <v/>
      </c>
      <c r="E1012" s="52">
        <f>INDEX(Periods!$C$5:$C$57,$B1012)</f>
        <v/>
      </c>
      <c r="F1012" s="50">
        <f>IF(AND($C1012&lt;&gt;"",INDEX(Periods!$D$5:$D$57,$B1012)=1),1,0)</f>
        <v/>
      </c>
      <c r="G1012" s="50">
        <f>IF($F1012=0,0,IF(AND(OR(INDEX(Employees!$D$5:$D$29,$A1012)="",$E1012&gt;=INDEX(Employees!$D$5:$D$29,$A1012)+N(INDEX(Employees!$U$5:$U$29,$A1012))),OR(INDEX(Employees!$E$5:$E$29,$A1012)="",$D1012&lt;=INDEX(Employees!$E$5:$E$29,$A1012))),1,0))</f>
        <v/>
      </c>
      <c r="H1012" s="50">
        <f>IF($G1012=0,0,IF(INDEX(Employees!$D$5:$D$29,$A1012)="",0,DATEDIF(INDEX(Employees!$D$5:$D$29,$A1012),$E1012,"y")))</f>
        <v/>
      </c>
      <c r="I1012" s="51">
        <f>IF($G1012=0,0,IF(INDEX('Hours Worked'!$D$5:$BD$29,$A1012,$B1012)="",N(INDEX(Employees!$H$5:$H$29,$A1012)),INDEX('Hours Worked'!$D$5:$BD$29,$A1012,$B1012)))</f>
        <v/>
      </c>
      <c r="J1012" s="51">
        <f>IF(OR($G1012=0,INDEX(Employees!$O$5:$O$29,$A1012)&lt;&gt;"Yes"),0,IF(COUNTIF(Settings!$D$4:$D$9,"&lt;="&amp;$H1012)=0,0,INDEX(Settings!$E$4:$E$9,COUNTIF(Settings!$D$4:$D$9,"&lt;="&amp;$H1012))))</f>
        <v/>
      </c>
      <c r="K1012" s="51">
        <f>IF($G1012=0,0,IF(INDEX(Employees!$I$5:$I$29,$A1012)="Per pay period",(N(INDEX(Employees!$J$5:$J$29,$A1012))+$J1012)/Settings!$B$13,IF(INDEX(Employees!$I$5:$I$29,$A1012)="Per hour worked",N(INDEX(Employees!$K$5:$K$29,$A1012))*$I1012,IF(INDEX(Employees!$I$5:$I$29,$A1012)="Front-loaded",IF(OR($B1012=1,N($G1011)=0),N(INDEX(Employees!$J$5:$J$29,$A1012))+$J1012,0),0))))</f>
        <v/>
      </c>
      <c r="L1012" s="51">
        <f>IF($F1012=0,0,SUMIFS('Time Off Log'!$H$5:$H$504,'Time Off Log'!$A$5:$A$504,$C1012,'Time Off Log'!$B$5:$B$504,"PTO",'Time Off Log'!$E$5:$E$504,"Approved",'Time Off Log'!$C$5:$C$504,"&gt;="&amp;INDEX(Periods!$E$5:$E$57,$B1012),'Time Off Log'!$C$5:$C$504,"&lt;="&amp;INDEX(Periods!$F$5:$F$57,$B1012)))</f>
        <v/>
      </c>
      <c r="M1012" s="51">
        <f>N(INDEX(Employees!$N$5:$N$29,$A1012))</f>
        <v/>
      </c>
      <c r="N1012" s="51">
        <f>IF(INDEX(Employees!$L$5:$L$29,$A1012)="",K1012,MAX(0,MIN(K1012,INDEX(Employees!$L$5:$L$29,$A1012)-(M1012-L1012))))</f>
        <v/>
      </c>
      <c r="O1012" s="51">
        <f>K1012-N1012</f>
        <v/>
      </c>
      <c r="P1012" s="51">
        <f>M1012-L1012+N1012</f>
        <v/>
      </c>
      <c r="Q1012" s="51">
        <f>IF($G1012=0,0,IF(INDEX(Employees!$P$5:$P$29,$A1012)="Per pay period",(N(INDEX(Employees!$Q$5:$Q$29,$A1012)))/Settings!$B$13,IF(INDEX(Employees!$P$5:$P$29,$A1012)="Per hour worked",N(INDEX(Employees!$R$5:$R$29,$A1012))*$I1012,IF(INDEX(Employees!$P$5:$P$29,$A1012)="Front-loaded",IF(OR($B1012=1,N($G1011)=0),N(INDEX(Employees!$Q$5:$Q$29,$A1012)),0),0))))</f>
        <v/>
      </c>
      <c r="R1012" s="51">
        <f>IF($F1012=0,0,SUMIFS('Time Off Log'!$H$5:$H$504,'Time Off Log'!$A$5:$A$504,$C1012,'Time Off Log'!$B$5:$B$504,"Sick",'Time Off Log'!$E$5:$E$504,"Approved",'Time Off Log'!$C$5:$C$504,"&gt;="&amp;INDEX(Periods!$E$5:$E$57,$B1012),'Time Off Log'!$C$5:$C$504,"&lt;="&amp;INDEX(Periods!$F$5:$F$57,$B1012)))</f>
        <v/>
      </c>
      <c r="S1012" s="51">
        <f>N(INDEX(Employees!$T$5:$T$29,$A1012))</f>
        <v/>
      </c>
      <c r="T1012" s="51">
        <f>IF(INDEX(Employees!$S$5:$S$29,$A1012)="",Q1012,MAX(0,MIN(Q1012,INDEX(Employees!$S$5:$S$29,$A1012)-(S1012-R1012))))</f>
        <v/>
      </c>
      <c r="U1012" s="51">
        <f>Q1012-T1012</f>
        <v/>
      </c>
      <c r="V1012" s="51">
        <f>S1012-R1012+T1012</f>
        <v/>
      </c>
    </row>
    <row r="1013">
      <c r="A1013" s="50" t="n">
        <v>20</v>
      </c>
      <c r="B1013" s="50" t="n">
        <v>2</v>
      </c>
      <c r="C1013" s="51">
        <f>INDEX(Employees!$B$5:$B$29,$A1013)&amp;""</f>
        <v/>
      </c>
      <c r="D1013" s="52">
        <f>INDEX(Periods!$B$5:$B$57,$B1013)</f>
        <v/>
      </c>
      <c r="E1013" s="52">
        <f>INDEX(Periods!$C$5:$C$57,$B1013)</f>
        <v/>
      </c>
      <c r="F1013" s="50">
        <f>IF(AND($C1013&lt;&gt;"",INDEX(Periods!$D$5:$D$57,$B1013)=1),1,0)</f>
        <v/>
      </c>
      <c r="G1013" s="50">
        <f>IF($F1013=0,0,IF(AND(OR(INDEX(Employees!$D$5:$D$29,$A1013)="",$E1013&gt;=INDEX(Employees!$D$5:$D$29,$A1013)+N(INDEX(Employees!$U$5:$U$29,$A1013))),OR(INDEX(Employees!$E$5:$E$29,$A1013)="",$D1013&lt;=INDEX(Employees!$E$5:$E$29,$A1013))),1,0))</f>
        <v/>
      </c>
      <c r="H1013" s="50">
        <f>IF($G1013=0,0,IF(INDEX(Employees!$D$5:$D$29,$A1013)="",0,DATEDIF(INDEX(Employees!$D$5:$D$29,$A1013),$E1013,"y")))</f>
        <v/>
      </c>
      <c r="I1013" s="51">
        <f>IF($G1013=0,0,IF(INDEX('Hours Worked'!$D$5:$BD$29,$A1013,$B1013)="",N(INDEX(Employees!$H$5:$H$29,$A1013)),INDEX('Hours Worked'!$D$5:$BD$29,$A1013,$B1013)))</f>
        <v/>
      </c>
      <c r="J1013" s="51">
        <f>IF(OR($G1013=0,INDEX(Employees!$O$5:$O$29,$A1013)&lt;&gt;"Yes"),0,IF(COUNTIF(Settings!$D$4:$D$9,"&lt;="&amp;$H1013)=0,0,INDEX(Settings!$E$4:$E$9,COUNTIF(Settings!$D$4:$D$9,"&lt;="&amp;$H1013))))</f>
        <v/>
      </c>
      <c r="K1013" s="51">
        <f>IF($G1013=0,0,IF(INDEX(Employees!$I$5:$I$29,$A1013)="Per pay period",(N(INDEX(Employees!$J$5:$J$29,$A1013))+$J1013)/Settings!$B$13,IF(INDEX(Employees!$I$5:$I$29,$A1013)="Per hour worked",N(INDEX(Employees!$K$5:$K$29,$A1013))*$I1013,IF(INDEX(Employees!$I$5:$I$29,$A1013)="Front-loaded",IF(OR($B1013=1,N($G1012)=0),N(INDEX(Employees!$J$5:$J$29,$A1013))+$J1013,0),0))))</f>
        <v/>
      </c>
      <c r="L1013" s="51">
        <f>IF($F1013=0,0,SUMIFS('Time Off Log'!$H$5:$H$504,'Time Off Log'!$A$5:$A$504,$C1013,'Time Off Log'!$B$5:$B$504,"PTO",'Time Off Log'!$E$5:$E$504,"Approved",'Time Off Log'!$C$5:$C$504,"&gt;="&amp;INDEX(Periods!$E$5:$E$57,$B1013),'Time Off Log'!$C$5:$C$504,"&lt;="&amp;INDEX(Periods!$F$5:$F$57,$B1013)))</f>
        <v/>
      </c>
      <c r="M1013" s="51">
        <f>IF($B1013=1,N(INDEX(Employees!$N$5:$N$29,$A1013)),P1012)</f>
        <v/>
      </c>
      <c r="N1013" s="51">
        <f>IF(INDEX(Employees!$L$5:$L$29,$A1013)="",K1013,MAX(0,MIN(K1013,INDEX(Employees!$L$5:$L$29,$A1013)-(M1013-L1013))))</f>
        <v/>
      </c>
      <c r="O1013" s="51">
        <f>K1013-N1013</f>
        <v/>
      </c>
      <c r="P1013" s="51">
        <f>M1013-L1013+N1013</f>
        <v/>
      </c>
      <c r="Q1013" s="51">
        <f>IF($G1013=0,0,IF(INDEX(Employees!$P$5:$P$29,$A1013)="Per pay period",(N(INDEX(Employees!$Q$5:$Q$29,$A1013)))/Settings!$B$13,IF(INDEX(Employees!$P$5:$P$29,$A1013)="Per hour worked",N(INDEX(Employees!$R$5:$R$29,$A1013))*$I1013,IF(INDEX(Employees!$P$5:$P$29,$A1013)="Front-loaded",IF(OR($B1013=1,N($G1012)=0),N(INDEX(Employees!$Q$5:$Q$29,$A1013)),0),0))))</f>
        <v/>
      </c>
      <c r="R1013" s="51">
        <f>IF($F1013=0,0,SUMIFS('Time Off Log'!$H$5:$H$504,'Time Off Log'!$A$5:$A$504,$C1013,'Time Off Log'!$B$5:$B$504,"Sick",'Time Off Log'!$E$5:$E$504,"Approved",'Time Off Log'!$C$5:$C$504,"&gt;="&amp;INDEX(Periods!$E$5:$E$57,$B1013),'Time Off Log'!$C$5:$C$504,"&lt;="&amp;INDEX(Periods!$F$5:$F$57,$B1013)))</f>
        <v/>
      </c>
      <c r="S1013" s="51">
        <f>IF($B1013=1,N(INDEX(Employees!$T$5:$T$29,$A1013)),V1012)</f>
        <v/>
      </c>
      <c r="T1013" s="51">
        <f>IF(INDEX(Employees!$S$5:$S$29,$A1013)="",Q1013,MAX(0,MIN(Q1013,INDEX(Employees!$S$5:$S$29,$A1013)-(S1013-R1013))))</f>
        <v/>
      </c>
      <c r="U1013" s="51">
        <f>Q1013-T1013</f>
        <v/>
      </c>
      <c r="V1013" s="51">
        <f>S1013-R1013+T1013</f>
        <v/>
      </c>
    </row>
    <row r="1014">
      <c r="A1014" s="50" t="n">
        <v>20</v>
      </c>
      <c r="B1014" s="50" t="n">
        <v>3</v>
      </c>
      <c r="C1014" s="51">
        <f>INDEX(Employees!$B$5:$B$29,$A1014)&amp;""</f>
        <v/>
      </c>
      <c r="D1014" s="52">
        <f>INDEX(Periods!$B$5:$B$57,$B1014)</f>
        <v/>
      </c>
      <c r="E1014" s="52">
        <f>INDEX(Periods!$C$5:$C$57,$B1014)</f>
        <v/>
      </c>
      <c r="F1014" s="50">
        <f>IF(AND($C1014&lt;&gt;"",INDEX(Periods!$D$5:$D$57,$B1014)=1),1,0)</f>
        <v/>
      </c>
      <c r="G1014" s="50">
        <f>IF($F1014=0,0,IF(AND(OR(INDEX(Employees!$D$5:$D$29,$A1014)="",$E1014&gt;=INDEX(Employees!$D$5:$D$29,$A1014)+N(INDEX(Employees!$U$5:$U$29,$A1014))),OR(INDEX(Employees!$E$5:$E$29,$A1014)="",$D1014&lt;=INDEX(Employees!$E$5:$E$29,$A1014))),1,0))</f>
        <v/>
      </c>
      <c r="H1014" s="50">
        <f>IF($G1014=0,0,IF(INDEX(Employees!$D$5:$D$29,$A1014)="",0,DATEDIF(INDEX(Employees!$D$5:$D$29,$A1014),$E1014,"y")))</f>
        <v/>
      </c>
      <c r="I1014" s="51">
        <f>IF($G1014=0,0,IF(INDEX('Hours Worked'!$D$5:$BD$29,$A1014,$B1014)="",N(INDEX(Employees!$H$5:$H$29,$A1014)),INDEX('Hours Worked'!$D$5:$BD$29,$A1014,$B1014)))</f>
        <v/>
      </c>
      <c r="J1014" s="51">
        <f>IF(OR($G1014=0,INDEX(Employees!$O$5:$O$29,$A1014)&lt;&gt;"Yes"),0,IF(COUNTIF(Settings!$D$4:$D$9,"&lt;="&amp;$H1014)=0,0,INDEX(Settings!$E$4:$E$9,COUNTIF(Settings!$D$4:$D$9,"&lt;="&amp;$H1014))))</f>
        <v/>
      </c>
      <c r="K1014" s="51">
        <f>IF($G1014=0,0,IF(INDEX(Employees!$I$5:$I$29,$A1014)="Per pay period",(N(INDEX(Employees!$J$5:$J$29,$A1014))+$J1014)/Settings!$B$13,IF(INDEX(Employees!$I$5:$I$29,$A1014)="Per hour worked",N(INDEX(Employees!$K$5:$K$29,$A1014))*$I1014,IF(INDEX(Employees!$I$5:$I$29,$A1014)="Front-loaded",IF(OR($B1014=1,N($G1013)=0),N(INDEX(Employees!$J$5:$J$29,$A1014))+$J1014,0),0))))</f>
        <v/>
      </c>
      <c r="L1014" s="51">
        <f>IF($F1014=0,0,SUMIFS('Time Off Log'!$H$5:$H$504,'Time Off Log'!$A$5:$A$504,$C1014,'Time Off Log'!$B$5:$B$504,"PTO",'Time Off Log'!$E$5:$E$504,"Approved",'Time Off Log'!$C$5:$C$504,"&gt;="&amp;INDEX(Periods!$E$5:$E$57,$B1014),'Time Off Log'!$C$5:$C$504,"&lt;="&amp;INDEX(Periods!$F$5:$F$57,$B1014)))</f>
        <v/>
      </c>
      <c r="M1014" s="51">
        <f>IF($B1014=1,N(INDEX(Employees!$N$5:$N$29,$A1014)),P1013)</f>
        <v/>
      </c>
      <c r="N1014" s="51">
        <f>IF(INDEX(Employees!$L$5:$L$29,$A1014)="",K1014,MAX(0,MIN(K1014,INDEX(Employees!$L$5:$L$29,$A1014)-(M1014-L1014))))</f>
        <v/>
      </c>
      <c r="O1014" s="51">
        <f>K1014-N1014</f>
        <v/>
      </c>
      <c r="P1014" s="51">
        <f>M1014-L1014+N1014</f>
        <v/>
      </c>
      <c r="Q1014" s="51">
        <f>IF($G1014=0,0,IF(INDEX(Employees!$P$5:$P$29,$A1014)="Per pay period",(N(INDEX(Employees!$Q$5:$Q$29,$A1014)))/Settings!$B$13,IF(INDEX(Employees!$P$5:$P$29,$A1014)="Per hour worked",N(INDEX(Employees!$R$5:$R$29,$A1014))*$I1014,IF(INDEX(Employees!$P$5:$P$29,$A1014)="Front-loaded",IF(OR($B1014=1,N($G1013)=0),N(INDEX(Employees!$Q$5:$Q$29,$A1014)),0),0))))</f>
        <v/>
      </c>
      <c r="R1014" s="51">
        <f>IF($F1014=0,0,SUMIFS('Time Off Log'!$H$5:$H$504,'Time Off Log'!$A$5:$A$504,$C1014,'Time Off Log'!$B$5:$B$504,"Sick",'Time Off Log'!$E$5:$E$504,"Approved",'Time Off Log'!$C$5:$C$504,"&gt;="&amp;INDEX(Periods!$E$5:$E$57,$B1014),'Time Off Log'!$C$5:$C$504,"&lt;="&amp;INDEX(Periods!$F$5:$F$57,$B1014)))</f>
        <v/>
      </c>
      <c r="S1014" s="51">
        <f>IF($B1014=1,N(INDEX(Employees!$T$5:$T$29,$A1014)),V1013)</f>
        <v/>
      </c>
      <c r="T1014" s="51">
        <f>IF(INDEX(Employees!$S$5:$S$29,$A1014)="",Q1014,MAX(0,MIN(Q1014,INDEX(Employees!$S$5:$S$29,$A1014)-(S1014-R1014))))</f>
        <v/>
      </c>
      <c r="U1014" s="51">
        <f>Q1014-T1014</f>
        <v/>
      </c>
      <c r="V1014" s="51">
        <f>S1014-R1014+T1014</f>
        <v/>
      </c>
    </row>
    <row r="1015">
      <c r="A1015" s="50" t="n">
        <v>20</v>
      </c>
      <c r="B1015" s="50" t="n">
        <v>4</v>
      </c>
      <c r="C1015" s="51">
        <f>INDEX(Employees!$B$5:$B$29,$A1015)&amp;""</f>
        <v/>
      </c>
      <c r="D1015" s="52">
        <f>INDEX(Periods!$B$5:$B$57,$B1015)</f>
        <v/>
      </c>
      <c r="E1015" s="52">
        <f>INDEX(Periods!$C$5:$C$57,$B1015)</f>
        <v/>
      </c>
      <c r="F1015" s="50">
        <f>IF(AND($C1015&lt;&gt;"",INDEX(Periods!$D$5:$D$57,$B1015)=1),1,0)</f>
        <v/>
      </c>
      <c r="G1015" s="50">
        <f>IF($F1015=0,0,IF(AND(OR(INDEX(Employees!$D$5:$D$29,$A1015)="",$E1015&gt;=INDEX(Employees!$D$5:$D$29,$A1015)+N(INDEX(Employees!$U$5:$U$29,$A1015))),OR(INDEX(Employees!$E$5:$E$29,$A1015)="",$D1015&lt;=INDEX(Employees!$E$5:$E$29,$A1015))),1,0))</f>
        <v/>
      </c>
      <c r="H1015" s="50">
        <f>IF($G1015=0,0,IF(INDEX(Employees!$D$5:$D$29,$A1015)="",0,DATEDIF(INDEX(Employees!$D$5:$D$29,$A1015),$E1015,"y")))</f>
        <v/>
      </c>
      <c r="I1015" s="51">
        <f>IF($G1015=0,0,IF(INDEX('Hours Worked'!$D$5:$BD$29,$A1015,$B1015)="",N(INDEX(Employees!$H$5:$H$29,$A1015)),INDEX('Hours Worked'!$D$5:$BD$29,$A1015,$B1015)))</f>
        <v/>
      </c>
      <c r="J1015" s="51">
        <f>IF(OR($G1015=0,INDEX(Employees!$O$5:$O$29,$A1015)&lt;&gt;"Yes"),0,IF(COUNTIF(Settings!$D$4:$D$9,"&lt;="&amp;$H1015)=0,0,INDEX(Settings!$E$4:$E$9,COUNTIF(Settings!$D$4:$D$9,"&lt;="&amp;$H1015))))</f>
        <v/>
      </c>
      <c r="K1015" s="51">
        <f>IF($G1015=0,0,IF(INDEX(Employees!$I$5:$I$29,$A1015)="Per pay period",(N(INDEX(Employees!$J$5:$J$29,$A1015))+$J1015)/Settings!$B$13,IF(INDEX(Employees!$I$5:$I$29,$A1015)="Per hour worked",N(INDEX(Employees!$K$5:$K$29,$A1015))*$I1015,IF(INDEX(Employees!$I$5:$I$29,$A1015)="Front-loaded",IF(OR($B1015=1,N($G1014)=0),N(INDEX(Employees!$J$5:$J$29,$A1015))+$J1015,0),0))))</f>
        <v/>
      </c>
      <c r="L1015" s="51">
        <f>IF($F1015=0,0,SUMIFS('Time Off Log'!$H$5:$H$504,'Time Off Log'!$A$5:$A$504,$C1015,'Time Off Log'!$B$5:$B$504,"PTO",'Time Off Log'!$E$5:$E$504,"Approved",'Time Off Log'!$C$5:$C$504,"&gt;="&amp;INDEX(Periods!$E$5:$E$57,$B1015),'Time Off Log'!$C$5:$C$504,"&lt;="&amp;INDEX(Periods!$F$5:$F$57,$B1015)))</f>
        <v/>
      </c>
      <c r="M1015" s="51">
        <f>IF($B1015=1,N(INDEX(Employees!$N$5:$N$29,$A1015)),P1014)</f>
        <v/>
      </c>
      <c r="N1015" s="51">
        <f>IF(INDEX(Employees!$L$5:$L$29,$A1015)="",K1015,MAX(0,MIN(K1015,INDEX(Employees!$L$5:$L$29,$A1015)-(M1015-L1015))))</f>
        <v/>
      </c>
      <c r="O1015" s="51">
        <f>K1015-N1015</f>
        <v/>
      </c>
      <c r="P1015" s="51">
        <f>M1015-L1015+N1015</f>
        <v/>
      </c>
      <c r="Q1015" s="51">
        <f>IF($G1015=0,0,IF(INDEX(Employees!$P$5:$P$29,$A1015)="Per pay period",(N(INDEX(Employees!$Q$5:$Q$29,$A1015)))/Settings!$B$13,IF(INDEX(Employees!$P$5:$P$29,$A1015)="Per hour worked",N(INDEX(Employees!$R$5:$R$29,$A1015))*$I1015,IF(INDEX(Employees!$P$5:$P$29,$A1015)="Front-loaded",IF(OR($B1015=1,N($G1014)=0),N(INDEX(Employees!$Q$5:$Q$29,$A1015)),0),0))))</f>
        <v/>
      </c>
      <c r="R1015" s="51">
        <f>IF($F1015=0,0,SUMIFS('Time Off Log'!$H$5:$H$504,'Time Off Log'!$A$5:$A$504,$C1015,'Time Off Log'!$B$5:$B$504,"Sick",'Time Off Log'!$E$5:$E$504,"Approved",'Time Off Log'!$C$5:$C$504,"&gt;="&amp;INDEX(Periods!$E$5:$E$57,$B1015),'Time Off Log'!$C$5:$C$504,"&lt;="&amp;INDEX(Periods!$F$5:$F$57,$B1015)))</f>
        <v/>
      </c>
      <c r="S1015" s="51">
        <f>IF($B1015=1,N(INDEX(Employees!$T$5:$T$29,$A1015)),V1014)</f>
        <v/>
      </c>
      <c r="T1015" s="51">
        <f>IF(INDEX(Employees!$S$5:$S$29,$A1015)="",Q1015,MAX(0,MIN(Q1015,INDEX(Employees!$S$5:$S$29,$A1015)-(S1015-R1015))))</f>
        <v/>
      </c>
      <c r="U1015" s="51">
        <f>Q1015-T1015</f>
        <v/>
      </c>
      <c r="V1015" s="51">
        <f>S1015-R1015+T1015</f>
        <v/>
      </c>
    </row>
    <row r="1016">
      <c r="A1016" s="50" t="n">
        <v>20</v>
      </c>
      <c r="B1016" s="50" t="n">
        <v>5</v>
      </c>
      <c r="C1016" s="51">
        <f>INDEX(Employees!$B$5:$B$29,$A1016)&amp;""</f>
        <v/>
      </c>
      <c r="D1016" s="52">
        <f>INDEX(Periods!$B$5:$B$57,$B1016)</f>
        <v/>
      </c>
      <c r="E1016" s="52">
        <f>INDEX(Periods!$C$5:$C$57,$B1016)</f>
        <v/>
      </c>
      <c r="F1016" s="50">
        <f>IF(AND($C1016&lt;&gt;"",INDEX(Periods!$D$5:$D$57,$B1016)=1),1,0)</f>
        <v/>
      </c>
      <c r="G1016" s="50">
        <f>IF($F1016=0,0,IF(AND(OR(INDEX(Employees!$D$5:$D$29,$A1016)="",$E1016&gt;=INDEX(Employees!$D$5:$D$29,$A1016)+N(INDEX(Employees!$U$5:$U$29,$A1016))),OR(INDEX(Employees!$E$5:$E$29,$A1016)="",$D1016&lt;=INDEX(Employees!$E$5:$E$29,$A1016))),1,0))</f>
        <v/>
      </c>
      <c r="H1016" s="50">
        <f>IF($G1016=0,0,IF(INDEX(Employees!$D$5:$D$29,$A1016)="",0,DATEDIF(INDEX(Employees!$D$5:$D$29,$A1016),$E1016,"y")))</f>
        <v/>
      </c>
      <c r="I1016" s="51">
        <f>IF($G1016=0,0,IF(INDEX('Hours Worked'!$D$5:$BD$29,$A1016,$B1016)="",N(INDEX(Employees!$H$5:$H$29,$A1016)),INDEX('Hours Worked'!$D$5:$BD$29,$A1016,$B1016)))</f>
        <v/>
      </c>
      <c r="J1016" s="51">
        <f>IF(OR($G1016=0,INDEX(Employees!$O$5:$O$29,$A1016)&lt;&gt;"Yes"),0,IF(COUNTIF(Settings!$D$4:$D$9,"&lt;="&amp;$H1016)=0,0,INDEX(Settings!$E$4:$E$9,COUNTIF(Settings!$D$4:$D$9,"&lt;="&amp;$H1016))))</f>
        <v/>
      </c>
      <c r="K1016" s="51">
        <f>IF($G1016=0,0,IF(INDEX(Employees!$I$5:$I$29,$A1016)="Per pay period",(N(INDEX(Employees!$J$5:$J$29,$A1016))+$J1016)/Settings!$B$13,IF(INDEX(Employees!$I$5:$I$29,$A1016)="Per hour worked",N(INDEX(Employees!$K$5:$K$29,$A1016))*$I1016,IF(INDEX(Employees!$I$5:$I$29,$A1016)="Front-loaded",IF(OR($B1016=1,N($G1015)=0),N(INDEX(Employees!$J$5:$J$29,$A1016))+$J1016,0),0))))</f>
        <v/>
      </c>
      <c r="L1016" s="51">
        <f>IF($F1016=0,0,SUMIFS('Time Off Log'!$H$5:$H$504,'Time Off Log'!$A$5:$A$504,$C1016,'Time Off Log'!$B$5:$B$504,"PTO",'Time Off Log'!$E$5:$E$504,"Approved",'Time Off Log'!$C$5:$C$504,"&gt;="&amp;INDEX(Periods!$E$5:$E$57,$B1016),'Time Off Log'!$C$5:$C$504,"&lt;="&amp;INDEX(Periods!$F$5:$F$57,$B1016)))</f>
        <v/>
      </c>
      <c r="M1016" s="51">
        <f>IF($B1016=1,N(INDEX(Employees!$N$5:$N$29,$A1016)),P1015)</f>
        <v/>
      </c>
      <c r="N1016" s="51">
        <f>IF(INDEX(Employees!$L$5:$L$29,$A1016)="",K1016,MAX(0,MIN(K1016,INDEX(Employees!$L$5:$L$29,$A1016)-(M1016-L1016))))</f>
        <v/>
      </c>
      <c r="O1016" s="51">
        <f>K1016-N1016</f>
        <v/>
      </c>
      <c r="P1016" s="51">
        <f>M1016-L1016+N1016</f>
        <v/>
      </c>
      <c r="Q1016" s="51">
        <f>IF($G1016=0,0,IF(INDEX(Employees!$P$5:$P$29,$A1016)="Per pay period",(N(INDEX(Employees!$Q$5:$Q$29,$A1016)))/Settings!$B$13,IF(INDEX(Employees!$P$5:$P$29,$A1016)="Per hour worked",N(INDEX(Employees!$R$5:$R$29,$A1016))*$I1016,IF(INDEX(Employees!$P$5:$P$29,$A1016)="Front-loaded",IF(OR($B1016=1,N($G1015)=0),N(INDEX(Employees!$Q$5:$Q$29,$A1016)),0),0))))</f>
        <v/>
      </c>
      <c r="R1016" s="51">
        <f>IF($F1016=0,0,SUMIFS('Time Off Log'!$H$5:$H$504,'Time Off Log'!$A$5:$A$504,$C1016,'Time Off Log'!$B$5:$B$504,"Sick",'Time Off Log'!$E$5:$E$504,"Approved",'Time Off Log'!$C$5:$C$504,"&gt;="&amp;INDEX(Periods!$E$5:$E$57,$B1016),'Time Off Log'!$C$5:$C$504,"&lt;="&amp;INDEX(Periods!$F$5:$F$57,$B1016)))</f>
        <v/>
      </c>
      <c r="S1016" s="51">
        <f>IF($B1016=1,N(INDEX(Employees!$T$5:$T$29,$A1016)),V1015)</f>
        <v/>
      </c>
      <c r="T1016" s="51">
        <f>IF(INDEX(Employees!$S$5:$S$29,$A1016)="",Q1016,MAX(0,MIN(Q1016,INDEX(Employees!$S$5:$S$29,$A1016)-(S1016-R1016))))</f>
        <v/>
      </c>
      <c r="U1016" s="51">
        <f>Q1016-T1016</f>
        <v/>
      </c>
      <c r="V1016" s="51">
        <f>S1016-R1016+T1016</f>
        <v/>
      </c>
    </row>
    <row r="1017">
      <c r="A1017" s="50" t="n">
        <v>20</v>
      </c>
      <c r="B1017" s="50" t="n">
        <v>6</v>
      </c>
      <c r="C1017" s="51">
        <f>INDEX(Employees!$B$5:$B$29,$A1017)&amp;""</f>
        <v/>
      </c>
      <c r="D1017" s="52">
        <f>INDEX(Periods!$B$5:$B$57,$B1017)</f>
        <v/>
      </c>
      <c r="E1017" s="52">
        <f>INDEX(Periods!$C$5:$C$57,$B1017)</f>
        <v/>
      </c>
      <c r="F1017" s="50">
        <f>IF(AND($C1017&lt;&gt;"",INDEX(Periods!$D$5:$D$57,$B1017)=1),1,0)</f>
        <v/>
      </c>
      <c r="G1017" s="50">
        <f>IF($F1017=0,0,IF(AND(OR(INDEX(Employees!$D$5:$D$29,$A1017)="",$E1017&gt;=INDEX(Employees!$D$5:$D$29,$A1017)+N(INDEX(Employees!$U$5:$U$29,$A1017))),OR(INDEX(Employees!$E$5:$E$29,$A1017)="",$D1017&lt;=INDEX(Employees!$E$5:$E$29,$A1017))),1,0))</f>
        <v/>
      </c>
      <c r="H1017" s="50">
        <f>IF($G1017=0,0,IF(INDEX(Employees!$D$5:$D$29,$A1017)="",0,DATEDIF(INDEX(Employees!$D$5:$D$29,$A1017),$E1017,"y")))</f>
        <v/>
      </c>
      <c r="I1017" s="51">
        <f>IF($G1017=0,0,IF(INDEX('Hours Worked'!$D$5:$BD$29,$A1017,$B1017)="",N(INDEX(Employees!$H$5:$H$29,$A1017)),INDEX('Hours Worked'!$D$5:$BD$29,$A1017,$B1017)))</f>
        <v/>
      </c>
      <c r="J1017" s="51">
        <f>IF(OR($G1017=0,INDEX(Employees!$O$5:$O$29,$A1017)&lt;&gt;"Yes"),0,IF(COUNTIF(Settings!$D$4:$D$9,"&lt;="&amp;$H1017)=0,0,INDEX(Settings!$E$4:$E$9,COUNTIF(Settings!$D$4:$D$9,"&lt;="&amp;$H1017))))</f>
        <v/>
      </c>
      <c r="K1017" s="51">
        <f>IF($G1017=0,0,IF(INDEX(Employees!$I$5:$I$29,$A1017)="Per pay period",(N(INDEX(Employees!$J$5:$J$29,$A1017))+$J1017)/Settings!$B$13,IF(INDEX(Employees!$I$5:$I$29,$A1017)="Per hour worked",N(INDEX(Employees!$K$5:$K$29,$A1017))*$I1017,IF(INDEX(Employees!$I$5:$I$29,$A1017)="Front-loaded",IF(OR($B1017=1,N($G1016)=0),N(INDEX(Employees!$J$5:$J$29,$A1017))+$J1017,0),0))))</f>
        <v/>
      </c>
      <c r="L1017" s="51">
        <f>IF($F1017=0,0,SUMIFS('Time Off Log'!$H$5:$H$504,'Time Off Log'!$A$5:$A$504,$C1017,'Time Off Log'!$B$5:$B$504,"PTO",'Time Off Log'!$E$5:$E$504,"Approved",'Time Off Log'!$C$5:$C$504,"&gt;="&amp;INDEX(Periods!$E$5:$E$57,$B1017),'Time Off Log'!$C$5:$C$504,"&lt;="&amp;INDEX(Periods!$F$5:$F$57,$B1017)))</f>
        <v/>
      </c>
      <c r="M1017" s="51">
        <f>IF($B1017=1,N(INDEX(Employees!$N$5:$N$29,$A1017)),P1016)</f>
        <v/>
      </c>
      <c r="N1017" s="51">
        <f>IF(INDEX(Employees!$L$5:$L$29,$A1017)="",K1017,MAX(0,MIN(K1017,INDEX(Employees!$L$5:$L$29,$A1017)-(M1017-L1017))))</f>
        <v/>
      </c>
      <c r="O1017" s="51">
        <f>K1017-N1017</f>
        <v/>
      </c>
      <c r="P1017" s="51">
        <f>M1017-L1017+N1017</f>
        <v/>
      </c>
      <c r="Q1017" s="51">
        <f>IF($G1017=0,0,IF(INDEX(Employees!$P$5:$P$29,$A1017)="Per pay period",(N(INDEX(Employees!$Q$5:$Q$29,$A1017)))/Settings!$B$13,IF(INDEX(Employees!$P$5:$P$29,$A1017)="Per hour worked",N(INDEX(Employees!$R$5:$R$29,$A1017))*$I1017,IF(INDEX(Employees!$P$5:$P$29,$A1017)="Front-loaded",IF(OR($B1017=1,N($G1016)=0),N(INDEX(Employees!$Q$5:$Q$29,$A1017)),0),0))))</f>
        <v/>
      </c>
      <c r="R1017" s="51">
        <f>IF($F1017=0,0,SUMIFS('Time Off Log'!$H$5:$H$504,'Time Off Log'!$A$5:$A$504,$C1017,'Time Off Log'!$B$5:$B$504,"Sick",'Time Off Log'!$E$5:$E$504,"Approved",'Time Off Log'!$C$5:$C$504,"&gt;="&amp;INDEX(Periods!$E$5:$E$57,$B1017),'Time Off Log'!$C$5:$C$504,"&lt;="&amp;INDEX(Periods!$F$5:$F$57,$B1017)))</f>
        <v/>
      </c>
      <c r="S1017" s="51">
        <f>IF($B1017=1,N(INDEX(Employees!$T$5:$T$29,$A1017)),V1016)</f>
        <v/>
      </c>
      <c r="T1017" s="51">
        <f>IF(INDEX(Employees!$S$5:$S$29,$A1017)="",Q1017,MAX(0,MIN(Q1017,INDEX(Employees!$S$5:$S$29,$A1017)-(S1017-R1017))))</f>
        <v/>
      </c>
      <c r="U1017" s="51">
        <f>Q1017-T1017</f>
        <v/>
      </c>
      <c r="V1017" s="51">
        <f>S1017-R1017+T1017</f>
        <v/>
      </c>
    </row>
    <row r="1018">
      <c r="A1018" s="50" t="n">
        <v>20</v>
      </c>
      <c r="B1018" s="50" t="n">
        <v>7</v>
      </c>
      <c r="C1018" s="51">
        <f>INDEX(Employees!$B$5:$B$29,$A1018)&amp;""</f>
        <v/>
      </c>
      <c r="D1018" s="52">
        <f>INDEX(Periods!$B$5:$B$57,$B1018)</f>
        <v/>
      </c>
      <c r="E1018" s="52">
        <f>INDEX(Periods!$C$5:$C$57,$B1018)</f>
        <v/>
      </c>
      <c r="F1018" s="50">
        <f>IF(AND($C1018&lt;&gt;"",INDEX(Periods!$D$5:$D$57,$B1018)=1),1,0)</f>
        <v/>
      </c>
      <c r="G1018" s="50">
        <f>IF($F1018=0,0,IF(AND(OR(INDEX(Employees!$D$5:$D$29,$A1018)="",$E1018&gt;=INDEX(Employees!$D$5:$D$29,$A1018)+N(INDEX(Employees!$U$5:$U$29,$A1018))),OR(INDEX(Employees!$E$5:$E$29,$A1018)="",$D1018&lt;=INDEX(Employees!$E$5:$E$29,$A1018))),1,0))</f>
        <v/>
      </c>
      <c r="H1018" s="50">
        <f>IF($G1018=0,0,IF(INDEX(Employees!$D$5:$D$29,$A1018)="",0,DATEDIF(INDEX(Employees!$D$5:$D$29,$A1018),$E1018,"y")))</f>
        <v/>
      </c>
      <c r="I1018" s="51">
        <f>IF($G1018=0,0,IF(INDEX('Hours Worked'!$D$5:$BD$29,$A1018,$B1018)="",N(INDEX(Employees!$H$5:$H$29,$A1018)),INDEX('Hours Worked'!$D$5:$BD$29,$A1018,$B1018)))</f>
        <v/>
      </c>
      <c r="J1018" s="51">
        <f>IF(OR($G1018=0,INDEX(Employees!$O$5:$O$29,$A1018)&lt;&gt;"Yes"),0,IF(COUNTIF(Settings!$D$4:$D$9,"&lt;="&amp;$H1018)=0,0,INDEX(Settings!$E$4:$E$9,COUNTIF(Settings!$D$4:$D$9,"&lt;="&amp;$H1018))))</f>
        <v/>
      </c>
      <c r="K1018" s="51">
        <f>IF($G1018=0,0,IF(INDEX(Employees!$I$5:$I$29,$A1018)="Per pay period",(N(INDEX(Employees!$J$5:$J$29,$A1018))+$J1018)/Settings!$B$13,IF(INDEX(Employees!$I$5:$I$29,$A1018)="Per hour worked",N(INDEX(Employees!$K$5:$K$29,$A1018))*$I1018,IF(INDEX(Employees!$I$5:$I$29,$A1018)="Front-loaded",IF(OR($B1018=1,N($G1017)=0),N(INDEX(Employees!$J$5:$J$29,$A1018))+$J1018,0),0))))</f>
        <v/>
      </c>
      <c r="L1018" s="51">
        <f>IF($F1018=0,0,SUMIFS('Time Off Log'!$H$5:$H$504,'Time Off Log'!$A$5:$A$504,$C1018,'Time Off Log'!$B$5:$B$504,"PTO",'Time Off Log'!$E$5:$E$504,"Approved",'Time Off Log'!$C$5:$C$504,"&gt;="&amp;INDEX(Periods!$E$5:$E$57,$B1018),'Time Off Log'!$C$5:$C$504,"&lt;="&amp;INDEX(Periods!$F$5:$F$57,$B1018)))</f>
        <v/>
      </c>
      <c r="M1018" s="51">
        <f>IF($B1018=1,N(INDEX(Employees!$N$5:$N$29,$A1018)),P1017)</f>
        <v/>
      </c>
      <c r="N1018" s="51">
        <f>IF(INDEX(Employees!$L$5:$L$29,$A1018)="",K1018,MAX(0,MIN(K1018,INDEX(Employees!$L$5:$L$29,$A1018)-(M1018-L1018))))</f>
        <v/>
      </c>
      <c r="O1018" s="51">
        <f>K1018-N1018</f>
        <v/>
      </c>
      <c r="P1018" s="51">
        <f>M1018-L1018+N1018</f>
        <v/>
      </c>
      <c r="Q1018" s="51">
        <f>IF($G1018=0,0,IF(INDEX(Employees!$P$5:$P$29,$A1018)="Per pay period",(N(INDEX(Employees!$Q$5:$Q$29,$A1018)))/Settings!$B$13,IF(INDEX(Employees!$P$5:$P$29,$A1018)="Per hour worked",N(INDEX(Employees!$R$5:$R$29,$A1018))*$I1018,IF(INDEX(Employees!$P$5:$P$29,$A1018)="Front-loaded",IF(OR($B1018=1,N($G1017)=0),N(INDEX(Employees!$Q$5:$Q$29,$A1018)),0),0))))</f>
        <v/>
      </c>
      <c r="R1018" s="51">
        <f>IF($F1018=0,0,SUMIFS('Time Off Log'!$H$5:$H$504,'Time Off Log'!$A$5:$A$504,$C1018,'Time Off Log'!$B$5:$B$504,"Sick",'Time Off Log'!$E$5:$E$504,"Approved",'Time Off Log'!$C$5:$C$504,"&gt;="&amp;INDEX(Periods!$E$5:$E$57,$B1018),'Time Off Log'!$C$5:$C$504,"&lt;="&amp;INDEX(Periods!$F$5:$F$57,$B1018)))</f>
        <v/>
      </c>
      <c r="S1018" s="51">
        <f>IF($B1018=1,N(INDEX(Employees!$T$5:$T$29,$A1018)),V1017)</f>
        <v/>
      </c>
      <c r="T1018" s="51">
        <f>IF(INDEX(Employees!$S$5:$S$29,$A1018)="",Q1018,MAX(0,MIN(Q1018,INDEX(Employees!$S$5:$S$29,$A1018)-(S1018-R1018))))</f>
        <v/>
      </c>
      <c r="U1018" s="51">
        <f>Q1018-T1018</f>
        <v/>
      </c>
      <c r="V1018" s="51">
        <f>S1018-R1018+T1018</f>
        <v/>
      </c>
    </row>
    <row r="1019">
      <c r="A1019" s="50" t="n">
        <v>20</v>
      </c>
      <c r="B1019" s="50" t="n">
        <v>8</v>
      </c>
      <c r="C1019" s="51">
        <f>INDEX(Employees!$B$5:$B$29,$A1019)&amp;""</f>
        <v/>
      </c>
      <c r="D1019" s="52">
        <f>INDEX(Periods!$B$5:$B$57,$B1019)</f>
        <v/>
      </c>
      <c r="E1019" s="52">
        <f>INDEX(Periods!$C$5:$C$57,$B1019)</f>
        <v/>
      </c>
      <c r="F1019" s="50">
        <f>IF(AND($C1019&lt;&gt;"",INDEX(Periods!$D$5:$D$57,$B1019)=1),1,0)</f>
        <v/>
      </c>
      <c r="G1019" s="50">
        <f>IF($F1019=0,0,IF(AND(OR(INDEX(Employees!$D$5:$D$29,$A1019)="",$E1019&gt;=INDEX(Employees!$D$5:$D$29,$A1019)+N(INDEX(Employees!$U$5:$U$29,$A1019))),OR(INDEX(Employees!$E$5:$E$29,$A1019)="",$D1019&lt;=INDEX(Employees!$E$5:$E$29,$A1019))),1,0))</f>
        <v/>
      </c>
      <c r="H1019" s="50">
        <f>IF($G1019=0,0,IF(INDEX(Employees!$D$5:$D$29,$A1019)="",0,DATEDIF(INDEX(Employees!$D$5:$D$29,$A1019),$E1019,"y")))</f>
        <v/>
      </c>
      <c r="I1019" s="51">
        <f>IF($G1019=0,0,IF(INDEX('Hours Worked'!$D$5:$BD$29,$A1019,$B1019)="",N(INDEX(Employees!$H$5:$H$29,$A1019)),INDEX('Hours Worked'!$D$5:$BD$29,$A1019,$B1019)))</f>
        <v/>
      </c>
      <c r="J1019" s="51">
        <f>IF(OR($G1019=0,INDEX(Employees!$O$5:$O$29,$A1019)&lt;&gt;"Yes"),0,IF(COUNTIF(Settings!$D$4:$D$9,"&lt;="&amp;$H1019)=0,0,INDEX(Settings!$E$4:$E$9,COUNTIF(Settings!$D$4:$D$9,"&lt;="&amp;$H1019))))</f>
        <v/>
      </c>
      <c r="K1019" s="51">
        <f>IF($G1019=0,0,IF(INDEX(Employees!$I$5:$I$29,$A1019)="Per pay period",(N(INDEX(Employees!$J$5:$J$29,$A1019))+$J1019)/Settings!$B$13,IF(INDEX(Employees!$I$5:$I$29,$A1019)="Per hour worked",N(INDEX(Employees!$K$5:$K$29,$A1019))*$I1019,IF(INDEX(Employees!$I$5:$I$29,$A1019)="Front-loaded",IF(OR($B1019=1,N($G1018)=0),N(INDEX(Employees!$J$5:$J$29,$A1019))+$J1019,0),0))))</f>
        <v/>
      </c>
      <c r="L1019" s="51">
        <f>IF($F1019=0,0,SUMIFS('Time Off Log'!$H$5:$H$504,'Time Off Log'!$A$5:$A$504,$C1019,'Time Off Log'!$B$5:$B$504,"PTO",'Time Off Log'!$E$5:$E$504,"Approved",'Time Off Log'!$C$5:$C$504,"&gt;="&amp;INDEX(Periods!$E$5:$E$57,$B1019),'Time Off Log'!$C$5:$C$504,"&lt;="&amp;INDEX(Periods!$F$5:$F$57,$B1019)))</f>
        <v/>
      </c>
      <c r="M1019" s="51">
        <f>IF($B1019=1,N(INDEX(Employees!$N$5:$N$29,$A1019)),P1018)</f>
        <v/>
      </c>
      <c r="N1019" s="51">
        <f>IF(INDEX(Employees!$L$5:$L$29,$A1019)="",K1019,MAX(0,MIN(K1019,INDEX(Employees!$L$5:$L$29,$A1019)-(M1019-L1019))))</f>
        <v/>
      </c>
      <c r="O1019" s="51">
        <f>K1019-N1019</f>
        <v/>
      </c>
      <c r="P1019" s="51">
        <f>M1019-L1019+N1019</f>
        <v/>
      </c>
      <c r="Q1019" s="51">
        <f>IF($G1019=0,0,IF(INDEX(Employees!$P$5:$P$29,$A1019)="Per pay period",(N(INDEX(Employees!$Q$5:$Q$29,$A1019)))/Settings!$B$13,IF(INDEX(Employees!$P$5:$P$29,$A1019)="Per hour worked",N(INDEX(Employees!$R$5:$R$29,$A1019))*$I1019,IF(INDEX(Employees!$P$5:$P$29,$A1019)="Front-loaded",IF(OR($B1019=1,N($G1018)=0),N(INDEX(Employees!$Q$5:$Q$29,$A1019)),0),0))))</f>
        <v/>
      </c>
      <c r="R1019" s="51">
        <f>IF($F1019=0,0,SUMIFS('Time Off Log'!$H$5:$H$504,'Time Off Log'!$A$5:$A$504,$C1019,'Time Off Log'!$B$5:$B$504,"Sick",'Time Off Log'!$E$5:$E$504,"Approved",'Time Off Log'!$C$5:$C$504,"&gt;="&amp;INDEX(Periods!$E$5:$E$57,$B1019),'Time Off Log'!$C$5:$C$504,"&lt;="&amp;INDEX(Periods!$F$5:$F$57,$B1019)))</f>
        <v/>
      </c>
      <c r="S1019" s="51">
        <f>IF($B1019=1,N(INDEX(Employees!$T$5:$T$29,$A1019)),V1018)</f>
        <v/>
      </c>
      <c r="T1019" s="51">
        <f>IF(INDEX(Employees!$S$5:$S$29,$A1019)="",Q1019,MAX(0,MIN(Q1019,INDEX(Employees!$S$5:$S$29,$A1019)-(S1019-R1019))))</f>
        <v/>
      </c>
      <c r="U1019" s="51">
        <f>Q1019-T1019</f>
        <v/>
      </c>
      <c r="V1019" s="51">
        <f>S1019-R1019+T1019</f>
        <v/>
      </c>
    </row>
    <row r="1020">
      <c r="A1020" s="50" t="n">
        <v>20</v>
      </c>
      <c r="B1020" s="50" t="n">
        <v>9</v>
      </c>
      <c r="C1020" s="51">
        <f>INDEX(Employees!$B$5:$B$29,$A1020)&amp;""</f>
        <v/>
      </c>
      <c r="D1020" s="52">
        <f>INDEX(Periods!$B$5:$B$57,$B1020)</f>
        <v/>
      </c>
      <c r="E1020" s="52">
        <f>INDEX(Periods!$C$5:$C$57,$B1020)</f>
        <v/>
      </c>
      <c r="F1020" s="50">
        <f>IF(AND($C1020&lt;&gt;"",INDEX(Periods!$D$5:$D$57,$B1020)=1),1,0)</f>
        <v/>
      </c>
      <c r="G1020" s="50">
        <f>IF($F1020=0,0,IF(AND(OR(INDEX(Employees!$D$5:$D$29,$A1020)="",$E1020&gt;=INDEX(Employees!$D$5:$D$29,$A1020)+N(INDEX(Employees!$U$5:$U$29,$A1020))),OR(INDEX(Employees!$E$5:$E$29,$A1020)="",$D1020&lt;=INDEX(Employees!$E$5:$E$29,$A1020))),1,0))</f>
        <v/>
      </c>
      <c r="H1020" s="50">
        <f>IF($G1020=0,0,IF(INDEX(Employees!$D$5:$D$29,$A1020)="",0,DATEDIF(INDEX(Employees!$D$5:$D$29,$A1020),$E1020,"y")))</f>
        <v/>
      </c>
      <c r="I1020" s="51">
        <f>IF($G1020=0,0,IF(INDEX('Hours Worked'!$D$5:$BD$29,$A1020,$B1020)="",N(INDEX(Employees!$H$5:$H$29,$A1020)),INDEX('Hours Worked'!$D$5:$BD$29,$A1020,$B1020)))</f>
        <v/>
      </c>
      <c r="J1020" s="51">
        <f>IF(OR($G1020=0,INDEX(Employees!$O$5:$O$29,$A1020)&lt;&gt;"Yes"),0,IF(COUNTIF(Settings!$D$4:$D$9,"&lt;="&amp;$H1020)=0,0,INDEX(Settings!$E$4:$E$9,COUNTIF(Settings!$D$4:$D$9,"&lt;="&amp;$H1020))))</f>
        <v/>
      </c>
      <c r="K1020" s="51">
        <f>IF($G1020=0,0,IF(INDEX(Employees!$I$5:$I$29,$A1020)="Per pay period",(N(INDEX(Employees!$J$5:$J$29,$A1020))+$J1020)/Settings!$B$13,IF(INDEX(Employees!$I$5:$I$29,$A1020)="Per hour worked",N(INDEX(Employees!$K$5:$K$29,$A1020))*$I1020,IF(INDEX(Employees!$I$5:$I$29,$A1020)="Front-loaded",IF(OR($B1020=1,N($G1019)=0),N(INDEX(Employees!$J$5:$J$29,$A1020))+$J1020,0),0))))</f>
        <v/>
      </c>
      <c r="L1020" s="51">
        <f>IF($F1020=0,0,SUMIFS('Time Off Log'!$H$5:$H$504,'Time Off Log'!$A$5:$A$504,$C1020,'Time Off Log'!$B$5:$B$504,"PTO",'Time Off Log'!$E$5:$E$504,"Approved",'Time Off Log'!$C$5:$C$504,"&gt;="&amp;INDEX(Periods!$E$5:$E$57,$B1020),'Time Off Log'!$C$5:$C$504,"&lt;="&amp;INDEX(Periods!$F$5:$F$57,$B1020)))</f>
        <v/>
      </c>
      <c r="M1020" s="51">
        <f>IF($B1020=1,N(INDEX(Employees!$N$5:$N$29,$A1020)),P1019)</f>
        <v/>
      </c>
      <c r="N1020" s="51">
        <f>IF(INDEX(Employees!$L$5:$L$29,$A1020)="",K1020,MAX(0,MIN(K1020,INDEX(Employees!$L$5:$L$29,$A1020)-(M1020-L1020))))</f>
        <v/>
      </c>
      <c r="O1020" s="51">
        <f>K1020-N1020</f>
        <v/>
      </c>
      <c r="P1020" s="51">
        <f>M1020-L1020+N1020</f>
        <v/>
      </c>
      <c r="Q1020" s="51">
        <f>IF($G1020=0,0,IF(INDEX(Employees!$P$5:$P$29,$A1020)="Per pay period",(N(INDEX(Employees!$Q$5:$Q$29,$A1020)))/Settings!$B$13,IF(INDEX(Employees!$P$5:$P$29,$A1020)="Per hour worked",N(INDEX(Employees!$R$5:$R$29,$A1020))*$I1020,IF(INDEX(Employees!$P$5:$P$29,$A1020)="Front-loaded",IF(OR($B1020=1,N($G1019)=0),N(INDEX(Employees!$Q$5:$Q$29,$A1020)),0),0))))</f>
        <v/>
      </c>
      <c r="R1020" s="51">
        <f>IF($F1020=0,0,SUMIFS('Time Off Log'!$H$5:$H$504,'Time Off Log'!$A$5:$A$504,$C1020,'Time Off Log'!$B$5:$B$504,"Sick",'Time Off Log'!$E$5:$E$504,"Approved",'Time Off Log'!$C$5:$C$504,"&gt;="&amp;INDEX(Periods!$E$5:$E$57,$B1020),'Time Off Log'!$C$5:$C$504,"&lt;="&amp;INDEX(Periods!$F$5:$F$57,$B1020)))</f>
        <v/>
      </c>
      <c r="S1020" s="51">
        <f>IF($B1020=1,N(INDEX(Employees!$T$5:$T$29,$A1020)),V1019)</f>
        <v/>
      </c>
      <c r="T1020" s="51">
        <f>IF(INDEX(Employees!$S$5:$S$29,$A1020)="",Q1020,MAX(0,MIN(Q1020,INDEX(Employees!$S$5:$S$29,$A1020)-(S1020-R1020))))</f>
        <v/>
      </c>
      <c r="U1020" s="51">
        <f>Q1020-T1020</f>
        <v/>
      </c>
      <c r="V1020" s="51">
        <f>S1020-R1020+T1020</f>
        <v/>
      </c>
    </row>
    <row r="1021">
      <c r="A1021" s="50" t="n">
        <v>20</v>
      </c>
      <c r="B1021" s="50" t="n">
        <v>10</v>
      </c>
      <c r="C1021" s="51">
        <f>INDEX(Employees!$B$5:$B$29,$A1021)&amp;""</f>
        <v/>
      </c>
      <c r="D1021" s="52">
        <f>INDEX(Periods!$B$5:$B$57,$B1021)</f>
        <v/>
      </c>
      <c r="E1021" s="52">
        <f>INDEX(Periods!$C$5:$C$57,$B1021)</f>
        <v/>
      </c>
      <c r="F1021" s="50">
        <f>IF(AND($C1021&lt;&gt;"",INDEX(Periods!$D$5:$D$57,$B1021)=1),1,0)</f>
        <v/>
      </c>
      <c r="G1021" s="50">
        <f>IF($F1021=0,0,IF(AND(OR(INDEX(Employees!$D$5:$D$29,$A1021)="",$E1021&gt;=INDEX(Employees!$D$5:$D$29,$A1021)+N(INDEX(Employees!$U$5:$U$29,$A1021))),OR(INDEX(Employees!$E$5:$E$29,$A1021)="",$D1021&lt;=INDEX(Employees!$E$5:$E$29,$A1021))),1,0))</f>
        <v/>
      </c>
      <c r="H1021" s="50">
        <f>IF($G1021=0,0,IF(INDEX(Employees!$D$5:$D$29,$A1021)="",0,DATEDIF(INDEX(Employees!$D$5:$D$29,$A1021),$E1021,"y")))</f>
        <v/>
      </c>
      <c r="I1021" s="51">
        <f>IF($G1021=0,0,IF(INDEX('Hours Worked'!$D$5:$BD$29,$A1021,$B1021)="",N(INDEX(Employees!$H$5:$H$29,$A1021)),INDEX('Hours Worked'!$D$5:$BD$29,$A1021,$B1021)))</f>
        <v/>
      </c>
      <c r="J1021" s="51">
        <f>IF(OR($G1021=0,INDEX(Employees!$O$5:$O$29,$A1021)&lt;&gt;"Yes"),0,IF(COUNTIF(Settings!$D$4:$D$9,"&lt;="&amp;$H1021)=0,0,INDEX(Settings!$E$4:$E$9,COUNTIF(Settings!$D$4:$D$9,"&lt;="&amp;$H1021))))</f>
        <v/>
      </c>
      <c r="K1021" s="51">
        <f>IF($G1021=0,0,IF(INDEX(Employees!$I$5:$I$29,$A1021)="Per pay period",(N(INDEX(Employees!$J$5:$J$29,$A1021))+$J1021)/Settings!$B$13,IF(INDEX(Employees!$I$5:$I$29,$A1021)="Per hour worked",N(INDEX(Employees!$K$5:$K$29,$A1021))*$I1021,IF(INDEX(Employees!$I$5:$I$29,$A1021)="Front-loaded",IF(OR($B1021=1,N($G1020)=0),N(INDEX(Employees!$J$5:$J$29,$A1021))+$J1021,0),0))))</f>
        <v/>
      </c>
      <c r="L1021" s="51">
        <f>IF($F1021=0,0,SUMIFS('Time Off Log'!$H$5:$H$504,'Time Off Log'!$A$5:$A$504,$C1021,'Time Off Log'!$B$5:$B$504,"PTO",'Time Off Log'!$E$5:$E$504,"Approved",'Time Off Log'!$C$5:$C$504,"&gt;="&amp;INDEX(Periods!$E$5:$E$57,$B1021),'Time Off Log'!$C$5:$C$504,"&lt;="&amp;INDEX(Periods!$F$5:$F$57,$B1021)))</f>
        <v/>
      </c>
      <c r="M1021" s="51">
        <f>IF($B1021=1,N(INDEX(Employees!$N$5:$N$29,$A1021)),P1020)</f>
        <v/>
      </c>
      <c r="N1021" s="51">
        <f>IF(INDEX(Employees!$L$5:$L$29,$A1021)="",K1021,MAX(0,MIN(K1021,INDEX(Employees!$L$5:$L$29,$A1021)-(M1021-L1021))))</f>
        <v/>
      </c>
      <c r="O1021" s="51">
        <f>K1021-N1021</f>
        <v/>
      </c>
      <c r="P1021" s="51">
        <f>M1021-L1021+N1021</f>
        <v/>
      </c>
      <c r="Q1021" s="51">
        <f>IF($G1021=0,0,IF(INDEX(Employees!$P$5:$P$29,$A1021)="Per pay period",(N(INDEX(Employees!$Q$5:$Q$29,$A1021)))/Settings!$B$13,IF(INDEX(Employees!$P$5:$P$29,$A1021)="Per hour worked",N(INDEX(Employees!$R$5:$R$29,$A1021))*$I1021,IF(INDEX(Employees!$P$5:$P$29,$A1021)="Front-loaded",IF(OR($B1021=1,N($G1020)=0),N(INDEX(Employees!$Q$5:$Q$29,$A1021)),0),0))))</f>
        <v/>
      </c>
      <c r="R1021" s="51">
        <f>IF($F1021=0,0,SUMIFS('Time Off Log'!$H$5:$H$504,'Time Off Log'!$A$5:$A$504,$C1021,'Time Off Log'!$B$5:$B$504,"Sick",'Time Off Log'!$E$5:$E$504,"Approved",'Time Off Log'!$C$5:$C$504,"&gt;="&amp;INDEX(Periods!$E$5:$E$57,$B1021),'Time Off Log'!$C$5:$C$504,"&lt;="&amp;INDEX(Periods!$F$5:$F$57,$B1021)))</f>
        <v/>
      </c>
      <c r="S1021" s="51">
        <f>IF($B1021=1,N(INDEX(Employees!$T$5:$T$29,$A1021)),V1020)</f>
        <v/>
      </c>
      <c r="T1021" s="51">
        <f>IF(INDEX(Employees!$S$5:$S$29,$A1021)="",Q1021,MAX(0,MIN(Q1021,INDEX(Employees!$S$5:$S$29,$A1021)-(S1021-R1021))))</f>
        <v/>
      </c>
      <c r="U1021" s="51">
        <f>Q1021-T1021</f>
        <v/>
      </c>
      <c r="V1021" s="51">
        <f>S1021-R1021+T1021</f>
        <v/>
      </c>
    </row>
    <row r="1022">
      <c r="A1022" s="50" t="n">
        <v>20</v>
      </c>
      <c r="B1022" s="50" t="n">
        <v>11</v>
      </c>
      <c r="C1022" s="51">
        <f>INDEX(Employees!$B$5:$B$29,$A1022)&amp;""</f>
        <v/>
      </c>
      <c r="D1022" s="52">
        <f>INDEX(Periods!$B$5:$B$57,$B1022)</f>
        <v/>
      </c>
      <c r="E1022" s="52">
        <f>INDEX(Periods!$C$5:$C$57,$B1022)</f>
        <v/>
      </c>
      <c r="F1022" s="50">
        <f>IF(AND($C1022&lt;&gt;"",INDEX(Periods!$D$5:$D$57,$B1022)=1),1,0)</f>
        <v/>
      </c>
      <c r="G1022" s="50">
        <f>IF($F1022=0,0,IF(AND(OR(INDEX(Employees!$D$5:$D$29,$A1022)="",$E1022&gt;=INDEX(Employees!$D$5:$D$29,$A1022)+N(INDEX(Employees!$U$5:$U$29,$A1022))),OR(INDEX(Employees!$E$5:$E$29,$A1022)="",$D1022&lt;=INDEX(Employees!$E$5:$E$29,$A1022))),1,0))</f>
        <v/>
      </c>
      <c r="H1022" s="50">
        <f>IF($G1022=0,0,IF(INDEX(Employees!$D$5:$D$29,$A1022)="",0,DATEDIF(INDEX(Employees!$D$5:$D$29,$A1022),$E1022,"y")))</f>
        <v/>
      </c>
      <c r="I1022" s="51">
        <f>IF($G1022=0,0,IF(INDEX('Hours Worked'!$D$5:$BD$29,$A1022,$B1022)="",N(INDEX(Employees!$H$5:$H$29,$A1022)),INDEX('Hours Worked'!$D$5:$BD$29,$A1022,$B1022)))</f>
        <v/>
      </c>
      <c r="J1022" s="51">
        <f>IF(OR($G1022=0,INDEX(Employees!$O$5:$O$29,$A1022)&lt;&gt;"Yes"),0,IF(COUNTIF(Settings!$D$4:$D$9,"&lt;="&amp;$H1022)=0,0,INDEX(Settings!$E$4:$E$9,COUNTIF(Settings!$D$4:$D$9,"&lt;="&amp;$H1022))))</f>
        <v/>
      </c>
      <c r="K1022" s="51">
        <f>IF($G1022=0,0,IF(INDEX(Employees!$I$5:$I$29,$A1022)="Per pay period",(N(INDEX(Employees!$J$5:$J$29,$A1022))+$J1022)/Settings!$B$13,IF(INDEX(Employees!$I$5:$I$29,$A1022)="Per hour worked",N(INDEX(Employees!$K$5:$K$29,$A1022))*$I1022,IF(INDEX(Employees!$I$5:$I$29,$A1022)="Front-loaded",IF(OR($B1022=1,N($G1021)=0),N(INDEX(Employees!$J$5:$J$29,$A1022))+$J1022,0),0))))</f>
        <v/>
      </c>
      <c r="L1022" s="51">
        <f>IF($F1022=0,0,SUMIFS('Time Off Log'!$H$5:$H$504,'Time Off Log'!$A$5:$A$504,$C1022,'Time Off Log'!$B$5:$B$504,"PTO",'Time Off Log'!$E$5:$E$504,"Approved",'Time Off Log'!$C$5:$C$504,"&gt;="&amp;INDEX(Periods!$E$5:$E$57,$B1022),'Time Off Log'!$C$5:$C$504,"&lt;="&amp;INDEX(Periods!$F$5:$F$57,$B1022)))</f>
        <v/>
      </c>
      <c r="M1022" s="51">
        <f>IF($B1022=1,N(INDEX(Employees!$N$5:$N$29,$A1022)),P1021)</f>
        <v/>
      </c>
      <c r="N1022" s="51">
        <f>IF(INDEX(Employees!$L$5:$L$29,$A1022)="",K1022,MAX(0,MIN(K1022,INDEX(Employees!$L$5:$L$29,$A1022)-(M1022-L1022))))</f>
        <v/>
      </c>
      <c r="O1022" s="51">
        <f>K1022-N1022</f>
        <v/>
      </c>
      <c r="P1022" s="51">
        <f>M1022-L1022+N1022</f>
        <v/>
      </c>
      <c r="Q1022" s="51">
        <f>IF($G1022=0,0,IF(INDEX(Employees!$P$5:$P$29,$A1022)="Per pay period",(N(INDEX(Employees!$Q$5:$Q$29,$A1022)))/Settings!$B$13,IF(INDEX(Employees!$P$5:$P$29,$A1022)="Per hour worked",N(INDEX(Employees!$R$5:$R$29,$A1022))*$I1022,IF(INDEX(Employees!$P$5:$P$29,$A1022)="Front-loaded",IF(OR($B1022=1,N($G1021)=0),N(INDEX(Employees!$Q$5:$Q$29,$A1022)),0),0))))</f>
        <v/>
      </c>
      <c r="R1022" s="51">
        <f>IF($F1022=0,0,SUMIFS('Time Off Log'!$H$5:$H$504,'Time Off Log'!$A$5:$A$504,$C1022,'Time Off Log'!$B$5:$B$504,"Sick",'Time Off Log'!$E$5:$E$504,"Approved",'Time Off Log'!$C$5:$C$504,"&gt;="&amp;INDEX(Periods!$E$5:$E$57,$B1022),'Time Off Log'!$C$5:$C$504,"&lt;="&amp;INDEX(Periods!$F$5:$F$57,$B1022)))</f>
        <v/>
      </c>
      <c r="S1022" s="51">
        <f>IF($B1022=1,N(INDEX(Employees!$T$5:$T$29,$A1022)),V1021)</f>
        <v/>
      </c>
      <c r="T1022" s="51">
        <f>IF(INDEX(Employees!$S$5:$S$29,$A1022)="",Q1022,MAX(0,MIN(Q1022,INDEX(Employees!$S$5:$S$29,$A1022)-(S1022-R1022))))</f>
        <v/>
      </c>
      <c r="U1022" s="51">
        <f>Q1022-T1022</f>
        <v/>
      </c>
      <c r="V1022" s="51">
        <f>S1022-R1022+T1022</f>
        <v/>
      </c>
    </row>
    <row r="1023">
      <c r="A1023" s="50" t="n">
        <v>20</v>
      </c>
      <c r="B1023" s="50" t="n">
        <v>12</v>
      </c>
      <c r="C1023" s="51">
        <f>INDEX(Employees!$B$5:$B$29,$A1023)&amp;""</f>
        <v/>
      </c>
      <c r="D1023" s="52">
        <f>INDEX(Periods!$B$5:$B$57,$B1023)</f>
        <v/>
      </c>
      <c r="E1023" s="52">
        <f>INDEX(Periods!$C$5:$C$57,$B1023)</f>
        <v/>
      </c>
      <c r="F1023" s="50">
        <f>IF(AND($C1023&lt;&gt;"",INDEX(Periods!$D$5:$D$57,$B1023)=1),1,0)</f>
        <v/>
      </c>
      <c r="G1023" s="50">
        <f>IF($F1023=0,0,IF(AND(OR(INDEX(Employees!$D$5:$D$29,$A1023)="",$E1023&gt;=INDEX(Employees!$D$5:$D$29,$A1023)+N(INDEX(Employees!$U$5:$U$29,$A1023))),OR(INDEX(Employees!$E$5:$E$29,$A1023)="",$D1023&lt;=INDEX(Employees!$E$5:$E$29,$A1023))),1,0))</f>
        <v/>
      </c>
      <c r="H1023" s="50">
        <f>IF($G1023=0,0,IF(INDEX(Employees!$D$5:$D$29,$A1023)="",0,DATEDIF(INDEX(Employees!$D$5:$D$29,$A1023),$E1023,"y")))</f>
        <v/>
      </c>
      <c r="I1023" s="51">
        <f>IF($G1023=0,0,IF(INDEX('Hours Worked'!$D$5:$BD$29,$A1023,$B1023)="",N(INDEX(Employees!$H$5:$H$29,$A1023)),INDEX('Hours Worked'!$D$5:$BD$29,$A1023,$B1023)))</f>
        <v/>
      </c>
      <c r="J1023" s="51">
        <f>IF(OR($G1023=0,INDEX(Employees!$O$5:$O$29,$A1023)&lt;&gt;"Yes"),0,IF(COUNTIF(Settings!$D$4:$D$9,"&lt;="&amp;$H1023)=0,0,INDEX(Settings!$E$4:$E$9,COUNTIF(Settings!$D$4:$D$9,"&lt;="&amp;$H1023))))</f>
        <v/>
      </c>
      <c r="K1023" s="51">
        <f>IF($G1023=0,0,IF(INDEX(Employees!$I$5:$I$29,$A1023)="Per pay period",(N(INDEX(Employees!$J$5:$J$29,$A1023))+$J1023)/Settings!$B$13,IF(INDEX(Employees!$I$5:$I$29,$A1023)="Per hour worked",N(INDEX(Employees!$K$5:$K$29,$A1023))*$I1023,IF(INDEX(Employees!$I$5:$I$29,$A1023)="Front-loaded",IF(OR($B1023=1,N($G1022)=0),N(INDEX(Employees!$J$5:$J$29,$A1023))+$J1023,0),0))))</f>
        <v/>
      </c>
      <c r="L1023" s="51">
        <f>IF($F1023=0,0,SUMIFS('Time Off Log'!$H$5:$H$504,'Time Off Log'!$A$5:$A$504,$C1023,'Time Off Log'!$B$5:$B$504,"PTO",'Time Off Log'!$E$5:$E$504,"Approved",'Time Off Log'!$C$5:$C$504,"&gt;="&amp;INDEX(Periods!$E$5:$E$57,$B1023),'Time Off Log'!$C$5:$C$504,"&lt;="&amp;INDEX(Periods!$F$5:$F$57,$B1023)))</f>
        <v/>
      </c>
      <c r="M1023" s="51">
        <f>IF($B1023=1,N(INDEX(Employees!$N$5:$N$29,$A1023)),P1022)</f>
        <v/>
      </c>
      <c r="N1023" s="51">
        <f>IF(INDEX(Employees!$L$5:$L$29,$A1023)="",K1023,MAX(0,MIN(K1023,INDEX(Employees!$L$5:$L$29,$A1023)-(M1023-L1023))))</f>
        <v/>
      </c>
      <c r="O1023" s="51">
        <f>K1023-N1023</f>
        <v/>
      </c>
      <c r="P1023" s="51">
        <f>M1023-L1023+N1023</f>
        <v/>
      </c>
      <c r="Q1023" s="51">
        <f>IF($G1023=0,0,IF(INDEX(Employees!$P$5:$P$29,$A1023)="Per pay period",(N(INDEX(Employees!$Q$5:$Q$29,$A1023)))/Settings!$B$13,IF(INDEX(Employees!$P$5:$P$29,$A1023)="Per hour worked",N(INDEX(Employees!$R$5:$R$29,$A1023))*$I1023,IF(INDEX(Employees!$P$5:$P$29,$A1023)="Front-loaded",IF(OR($B1023=1,N($G1022)=0),N(INDEX(Employees!$Q$5:$Q$29,$A1023)),0),0))))</f>
        <v/>
      </c>
      <c r="R1023" s="51">
        <f>IF($F1023=0,0,SUMIFS('Time Off Log'!$H$5:$H$504,'Time Off Log'!$A$5:$A$504,$C1023,'Time Off Log'!$B$5:$B$504,"Sick",'Time Off Log'!$E$5:$E$504,"Approved",'Time Off Log'!$C$5:$C$504,"&gt;="&amp;INDEX(Periods!$E$5:$E$57,$B1023),'Time Off Log'!$C$5:$C$504,"&lt;="&amp;INDEX(Periods!$F$5:$F$57,$B1023)))</f>
        <v/>
      </c>
      <c r="S1023" s="51">
        <f>IF($B1023=1,N(INDEX(Employees!$T$5:$T$29,$A1023)),V1022)</f>
        <v/>
      </c>
      <c r="T1023" s="51">
        <f>IF(INDEX(Employees!$S$5:$S$29,$A1023)="",Q1023,MAX(0,MIN(Q1023,INDEX(Employees!$S$5:$S$29,$A1023)-(S1023-R1023))))</f>
        <v/>
      </c>
      <c r="U1023" s="51">
        <f>Q1023-T1023</f>
        <v/>
      </c>
      <c r="V1023" s="51">
        <f>S1023-R1023+T1023</f>
        <v/>
      </c>
    </row>
    <row r="1024">
      <c r="A1024" s="50" t="n">
        <v>20</v>
      </c>
      <c r="B1024" s="50" t="n">
        <v>13</v>
      </c>
      <c r="C1024" s="51">
        <f>INDEX(Employees!$B$5:$B$29,$A1024)&amp;""</f>
        <v/>
      </c>
      <c r="D1024" s="52">
        <f>INDEX(Periods!$B$5:$B$57,$B1024)</f>
        <v/>
      </c>
      <c r="E1024" s="52">
        <f>INDEX(Periods!$C$5:$C$57,$B1024)</f>
        <v/>
      </c>
      <c r="F1024" s="50">
        <f>IF(AND($C1024&lt;&gt;"",INDEX(Periods!$D$5:$D$57,$B1024)=1),1,0)</f>
        <v/>
      </c>
      <c r="G1024" s="50">
        <f>IF($F1024=0,0,IF(AND(OR(INDEX(Employees!$D$5:$D$29,$A1024)="",$E1024&gt;=INDEX(Employees!$D$5:$D$29,$A1024)+N(INDEX(Employees!$U$5:$U$29,$A1024))),OR(INDEX(Employees!$E$5:$E$29,$A1024)="",$D1024&lt;=INDEX(Employees!$E$5:$E$29,$A1024))),1,0))</f>
        <v/>
      </c>
      <c r="H1024" s="50">
        <f>IF($G1024=0,0,IF(INDEX(Employees!$D$5:$D$29,$A1024)="",0,DATEDIF(INDEX(Employees!$D$5:$D$29,$A1024),$E1024,"y")))</f>
        <v/>
      </c>
      <c r="I1024" s="51">
        <f>IF($G1024=0,0,IF(INDEX('Hours Worked'!$D$5:$BD$29,$A1024,$B1024)="",N(INDEX(Employees!$H$5:$H$29,$A1024)),INDEX('Hours Worked'!$D$5:$BD$29,$A1024,$B1024)))</f>
        <v/>
      </c>
      <c r="J1024" s="51">
        <f>IF(OR($G1024=0,INDEX(Employees!$O$5:$O$29,$A1024)&lt;&gt;"Yes"),0,IF(COUNTIF(Settings!$D$4:$D$9,"&lt;="&amp;$H1024)=0,0,INDEX(Settings!$E$4:$E$9,COUNTIF(Settings!$D$4:$D$9,"&lt;="&amp;$H1024))))</f>
        <v/>
      </c>
      <c r="K1024" s="51">
        <f>IF($G1024=0,0,IF(INDEX(Employees!$I$5:$I$29,$A1024)="Per pay period",(N(INDEX(Employees!$J$5:$J$29,$A1024))+$J1024)/Settings!$B$13,IF(INDEX(Employees!$I$5:$I$29,$A1024)="Per hour worked",N(INDEX(Employees!$K$5:$K$29,$A1024))*$I1024,IF(INDEX(Employees!$I$5:$I$29,$A1024)="Front-loaded",IF(OR($B1024=1,N($G1023)=0),N(INDEX(Employees!$J$5:$J$29,$A1024))+$J1024,0),0))))</f>
        <v/>
      </c>
      <c r="L1024" s="51">
        <f>IF($F1024=0,0,SUMIFS('Time Off Log'!$H$5:$H$504,'Time Off Log'!$A$5:$A$504,$C1024,'Time Off Log'!$B$5:$B$504,"PTO",'Time Off Log'!$E$5:$E$504,"Approved",'Time Off Log'!$C$5:$C$504,"&gt;="&amp;INDEX(Periods!$E$5:$E$57,$B1024),'Time Off Log'!$C$5:$C$504,"&lt;="&amp;INDEX(Periods!$F$5:$F$57,$B1024)))</f>
        <v/>
      </c>
      <c r="M1024" s="51">
        <f>IF($B1024=1,N(INDEX(Employees!$N$5:$N$29,$A1024)),P1023)</f>
        <v/>
      </c>
      <c r="N1024" s="51">
        <f>IF(INDEX(Employees!$L$5:$L$29,$A1024)="",K1024,MAX(0,MIN(K1024,INDEX(Employees!$L$5:$L$29,$A1024)-(M1024-L1024))))</f>
        <v/>
      </c>
      <c r="O1024" s="51">
        <f>K1024-N1024</f>
        <v/>
      </c>
      <c r="P1024" s="51">
        <f>M1024-L1024+N1024</f>
        <v/>
      </c>
      <c r="Q1024" s="51">
        <f>IF($G1024=0,0,IF(INDEX(Employees!$P$5:$P$29,$A1024)="Per pay period",(N(INDEX(Employees!$Q$5:$Q$29,$A1024)))/Settings!$B$13,IF(INDEX(Employees!$P$5:$P$29,$A1024)="Per hour worked",N(INDEX(Employees!$R$5:$R$29,$A1024))*$I1024,IF(INDEX(Employees!$P$5:$P$29,$A1024)="Front-loaded",IF(OR($B1024=1,N($G1023)=0),N(INDEX(Employees!$Q$5:$Q$29,$A1024)),0),0))))</f>
        <v/>
      </c>
      <c r="R1024" s="51">
        <f>IF($F1024=0,0,SUMIFS('Time Off Log'!$H$5:$H$504,'Time Off Log'!$A$5:$A$504,$C1024,'Time Off Log'!$B$5:$B$504,"Sick",'Time Off Log'!$E$5:$E$504,"Approved",'Time Off Log'!$C$5:$C$504,"&gt;="&amp;INDEX(Periods!$E$5:$E$57,$B1024),'Time Off Log'!$C$5:$C$504,"&lt;="&amp;INDEX(Periods!$F$5:$F$57,$B1024)))</f>
        <v/>
      </c>
      <c r="S1024" s="51">
        <f>IF($B1024=1,N(INDEX(Employees!$T$5:$T$29,$A1024)),V1023)</f>
        <v/>
      </c>
      <c r="T1024" s="51">
        <f>IF(INDEX(Employees!$S$5:$S$29,$A1024)="",Q1024,MAX(0,MIN(Q1024,INDEX(Employees!$S$5:$S$29,$A1024)-(S1024-R1024))))</f>
        <v/>
      </c>
      <c r="U1024" s="51">
        <f>Q1024-T1024</f>
        <v/>
      </c>
      <c r="V1024" s="51">
        <f>S1024-R1024+T1024</f>
        <v/>
      </c>
    </row>
    <row r="1025">
      <c r="A1025" s="50" t="n">
        <v>20</v>
      </c>
      <c r="B1025" s="50" t="n">
        <v>14</v>
      </c>
      <c r="C1025" s="51">
        <f>INDEX(Employees!$B$5:$B$29,$A1025)&amp;""</f>
        <v/>
      </c>
      <c r="D1025" s="52">
        <f>INDEX(Periods!$B$5:$B$57,$B1025)</f>
        <v/>
      </c>
      <c r="E1025" s="52">
        <f>INDEX(Periods!$C$5:$C$57,$B1025)</f>
        <v/>
      </c>
      <c r="F1025" s="50">
        <f>IF(AND($C1025&lt;&gt;"",INDEX(Periods!$D$5:$D$57,$B1025)=1),1,0)</f>
        <v/>
      </c>
      <c r="G1025" s="50">
        <f>IF($F1025=0,0,IF(AND(OR(INDEX(Employees!$D$5:$D$29,$A1025)="",$E1025&gt;=INDEX(Employees!$D$5:$D$29,$A1025)+N(INDEX(Employees!$U$5:$U$29,$A1025))),OR(INDEX(Employees!$E$5:$E$29,$A1025)="",$D1025&lt;=INDEX(Employees!$E$5:$E$29,$A1025))),1,0))</f>
        <v/>
      </c>
      <c r="H1025" s="50">
        <f>IF($G1025=0,0,IF(INDEX(Employees!$D$5:$D$29,$A1025)="",0,DATEDIF(INDEX(Employees!$D$5:$D$29,$A1025),$E1025,"y")))</f>
        <v/>
      </c>
      <c r="I1025" s="51">
        <f>IF($G1025=0,0,IF(INDEX('Hours Worked'!$D$5:$BD$29,$A1025,$B1025)="",N(INDEX(Employees!$H$5:$H$29,$A1025)),INDEX('Hours Worked'!$D$5:$BD$29,$A1025,$B1025)))</f>
        <v/>
      </c>
      <c r="J1025" s="51">
        <f>IF(OR($G1025=0,INDEX(Employees!$O$5:$O$29,$A1025)&lt;&gt;"Yes"),0,IF(COUNTIF(Settings!$D$4:$D$9,"&lt;="&amp;$H1025)=0,0,INDEX(Settings!$E$4:$E$9,COUNTIF(Settings!$D$4:$D$9,"&lt;="&amp;$H1025))))</f>
        <v/>
      </c>
      <c r="K1025" s="51">
        <f>IF($G1025=0,0,IF(INDEX(Employees!$I$5:$I$29,$A1025)="Per pay period",(N(INDEX(Employees!$J$5:$J$29,$A1025))+$J1025)/Settings!$B$13,IF(INDEX(Employees!$I$5:$I$29,$A1025)="Per hour worked",N(INDEX(Employees!$K$5:$K$29,$A1025))*$I1025,IF(INDEX(Employees!$I$5:$I$29,$A1025)="Front-loaded",IF(OR($B1025=1,N($G1024)=0),N(INDEX(Employees!$J$5:$J$29,$A1025))+$J1025,0),0))))</f>
        <v/>
      </c>
      <c r="L1025" s="51">
        <f>IF($F1025=0,0,SUMIFS('Time Off Log'!$H$5:$H$504,'Time Off Log'!$A$5:$A$504,$C1025,'Time Off Log'!$B$5:$B$504,"PTO",'Time Off Log'!$E$5:$E$504,"Approved",'Time Off Log'!$C$5:$C$504,"&gt;="&amp;INDEX(Periods!$E$5:$E$57,$B1025),'Time Off Log'!$C$5:$C$504,"&lt;="&amp;INDEX(Periods!$F$5:$F$57,$B1025)))</f>
        <v/>
      </c>
      <c r="M1025" s="51">
        <f>IF($B1025=1,N(INDEX(Employees!$N$5:$N$29,$A1025)),P1024)</f>
        <v/>
      </c>
      <c r="N1025" s="51">
        <f>IF(INDEX(Employees!$L$5:$L$29,$A1025)="",K1025,MAX(0,MIN(K1025,INDEX(Employees!$L$5:$L$29,$A1025)-(M1025-L1025))))</f>
        <v/>
      </c>
      <c r="O1025" s="51">
        <f>K1025-N1025</f>
        <v/>
      </c>
      <c r="P1025" s="51">
        <f>M1025-L1025+N1025</f>
        <v/>
      </c>
      <c r="Q1025" s="51">
        <f>IF($G1025=0,0,IF(INDEX(Employees!$P$5:$P$29,$A1025)="Per pay period",(N(INDEX(Employees!$Q$5:$Q$29,$A1025)))/Settings!$B$13,IF(INDEX(Employees!$P$5:$P$29,$A1025)="Per hour worked",N(INDEX(Employees!$R$5:$R$29,$A1025))*$I1025,IF(INDEX(Employees!$P$5:$P$29,$A1025)="Front-loaded",IF(OR($B1025=1,N($G1024)=0),N(INDEX(Employees!$Q$5:$Q$29,$A1025)),0),0))))</f>
        <v/>
      </c>
      <c r="R1025" s="51">
        <f>IF($F1025=0,0,SUMIFS('Time Off Log'!$H$5:$H$504,'Time Off Log'!$A$5:$A$504,$C1025,'Time Off Log'!$B$5:$B$504,"Sick",'Time Off Log'!$E$5:$E$504,"Approved",'Time Off Log'!$C$5:$C$504,"&gt;="&amp;INDEX(Periods!$E$5:$E$57,$B1025),'Time Off Log'!$C$5:$C$504,"&lt;="&amp;INDEX(Periods!$F$5:$F$57,$B1025)))</f>
        <v/>
      </c>
      <c r="S1025" s="51">
        <f>IF($B1025=1,N(INDEX(Employees!$T$5:$T$29,$A1025)),V1024)</f>
        <v/>
      </c>
      <c r="T1025" s="51">
        <f>IF(INDEX(Employees!$S$5:$S$29,$A1025)="",Q1025,MAX(0,MIN(Q1025,INDEX(Employees!$S$5:$S$29,$A1025)-(S1025-R1025))))</f>
        <v/>
      </c>
      <c r="U1025" s="51">
        <f>Q1025-T1025</f>
        <v/>
      </c>
      <c r="V1025" s="51">
        <f>S1025-R1025+T1025</f>
        <v/>
      </c>
    </row>
    <row r="1026">
      <c r="A1026" s="50" t="n">
        <v>20</v>
      </c>
      <c r="B1026" s="50" t="n">
        <v>15</v>
      </c>
      <c r="C1026" s="51">
        <f>INDEX(Employees!$B$5:$B$29,$A1026)&amp;""</f>
        <v/>
      </c>
      <c r="D1026" s="52">
        <f>INDEX(Periods!$B$5:$B$57,$B1026)</f>
        <v/>
      </c>
      <c r="E1026" s="52">
        <f>INDEX(Periods!$C$5:$C$57,$B1026)</f>
        <v/>
      </c>
      <c r="F1026" s="50">
        <f>IF(AND($C1026&lt;&gt;"",INDEX(Periods!$D$5:$D$57,$B1026)=1),1,0)</f>
        <v/>
      </c>
      <c r="G1026" s="50">
        <f>IF($F1026=0,0,IF(AND(OR(INDEX(Employees!$D$5:$D$29,$A1026)="",$E1026&gt;=INDEX(Employees!$D$5:$D$29,$A1026)+N(INDEX(Employees!$U$5:$U$29,$A1026))),OR(INDEX(Employees!$E$5:$E$29,$A1026)="",$D1026&lt;=INDEX(Employees!$E$5:$E$29,$A1026))),1,0))</f>
        <v/>
      </c>
      <c r="H1026" s="50">
        <f>IF($G1026=0,0,IF(INDEX(Employees!$D$5:$D$29,$A1026)="",0,DATEDIF(INDEX(Employees!$D$5:$D$29,$A1026),$E1026,"y")))</f>
        <v/>
      </c>
      <c r="I1026" s="51">
        <f>IF($G1026=0,0,IF(INDEX('Hours Worked'!$D$5:$BD$29,$A1026,$B1026)="",N(INDEX(Employees!$H$5:$H$29,$A1026)),INDEX('Hours Worked'!$D$5:$BD$29,$A1026,$B1026)))</f>
        <v/>
      </c>
      <c r="J1026" s="51">
        <f>IF(OR($G1026=0,INDEX(Employees!$O$5:$O$29,$A1026)&lt;&gt;"Yes"),0,IF(COUNTIF(Settings!$D$4:$D$9,"&lt;="&amp;$H1026)=0,0,INDEX(Settings!$E$4:$E$9,COUNTIF(Settings!$D$4:$D$9,"&lt;="&amp;$H1026))))</f>
        <v/>
      </c>
      <c r="K1026" s="51">
        <f>IF($G1026=0,0,IF(INDEX(Employees!$I$5:$I$29,$A1026)="Per pay period",(N(INDEX(Employees!$J$5:$J$29,$A1026))+$J1026)/Settings!$B$13,IF(INDEX(Employees!$I$5:$I$29,$A1026)="Per hour worked",N(INDEX(Employees!$K$5:$K$29,$A1026))*$I1026,IF(INDEX(Employees!$I$5:$I$29,$A1026)="Front-loaded",IF(OR($B1026=1,N($G1025)=0),N(INDEX(Employees!$J$5:$J$29,$A1026))+$J1026,0),0))))</f>
        <v/>
      </c>
      <c r="L1026" s="51">
        <f>IF($F1026=0,0,SUMIFS('Time Off Log'!$H$5:$H$504,'Time Off Log'!$A$5:$A$504,$C1026,'Time Off Log'!$B$5:$B$504,"PTO",'Time Off Log'!$E$5:$E$504,"Approved",'Time Off Log'!$C$5:$C$504,"&gt;="&amp;INDEX(Periods!$E$5:$E$57,$B1026),'Time Off Log'!$C$5:$C$504,"&lt;="&amp;INDEX(Periods!$F$5:$F$57,$B1026)))</f>
        <v/>
      </c>
      <c r="M1026" s="51">
        <f>IF($B1026=1,N(INDEX(Employees!$N$5:$N$29,$A1026)),P1025)</f>
        <v/>
      </c>
      <c r="N1026" s="51">
        <f>IF(INDEX(Employees!$L$5:$L$29,$A1026)="",K1026,MAX(0,MIN(K1026,INDEX(Employees!$L$5:$L$29,$A1026)-(M1026-L1026))))</f>
        <v/>
      </c>
      <c r="O1026" s="51">
        <f>K1026-N1026</f>
        <v/>
      </c>
      <c r="P1026" s="51">
        <f>M1026-L1026+N1026</f>
        <v/>
      </c>
      <c r="Q1026" s="51">
        <f>IF($G1026=0,0,IF(INDEX(Employees!$P$5:$P$29,$A1026)="Per pay period",(N(INDEX(Employees!$Q$5:$Q$29,$A1026)))/Settings!$B$13,IF(INDEX(Employees!$P$5:$P$29,$A1026)="Per hour worked",N(INDEX(Employees!$R$5:$R$29,$A1026))*$I1026,IF(INDEX(Employees!$P$5:$P$29,$A1026)="Front-loaded",IF(OR($B1026=1,N($G1025)=0),N(INDEX(Employees!$Q$5:$Q$29,$A1026)),0),0))))</f>
        <v/>
      </c>
      <c r="R1026" s="51">
        <f>IF($F1026=0,0,SUMIFS('Time Off Log'!$H$5:$H$504,'Time Off Log'!$A$5:$A$504,$C1026,'Time Off Log'!$B$5:$B$504,"Sick",'Time Off Log'!$E$5:$E$504,"Approved",'Time Off Log'!$C$5:$C$504,"&gt;="&amp;INDEX(Periods!$E$5:$E$57,$B1026),'Time Off Log'!$C$5:$C$504,"&lt;="&amp;INDEX(Periods!$F$5:$F$57,$B1026)))</f>
        <v/>
      </c>
      <c r="S1026" s="51">
        <f>IF($B1026=1,N(INDEX(Employees!$T$5:$T$29,$A1026)),V1025)</f>
        <v/>
      </c>
      <c r="T1026" s="51">
        <f>IF(INDEX(Employees!$S$5:$S$29,$A1026)="",Q1026,MAX(0,MIN(Q1026,INDEX(Employees!$S$5:$S$29,$A1026)-(S1026-R1026))))</f>
        <v/>
      </c>
      <c r="U1026" s="51">
        <f>Q1026-T1026</f>
        <v/>
      </c>
      <c r="V1026" s="51">
        <f>S1026-R1026+T1026</f>
        <v/>
      </c>
    </row>
    <row r="1027">
      <c r="A1027" s="50" t="n">
        <v>20</v>
      </c>
      <c r="B1027" s="50" t="n">
        <v>16</v>
      </c>
      <c r="C1027" s="51">
        <f>INDEX(Employees!$B$5:$B$29,$A1027)&amp;""</f>
        <v/>
      </c>
      <c r="D1027" s="52">
        <f>INDEX(Periods!$B$5:$B$57,$B1027)</f>
        <v/>
      </c>
      <c r="E1027" s="52">
        <f>INDEX(Periods!$C$5:$C$57,$B1027)</f>
        <v/>
      </c>
      <c r="F1027" s="50">
        <f>IF(AND($C1027&lt;&gt;"",INDEX(Periods!$D$5:$D$57,$B1027)=1),1,0)</f>
        <v/>
      </c>
      <c r="G1027" s="50">
        <f>IF($F1027=0,0,IF(AND(OR(INDEX(Employees!$D$5:$D$29,$A1027)="",$E1027&gt;=INDEX(Employees!$D$5:$D$29,$A1027)+N(INDEX(Employees!$U$5:$U$29,$A1027))),OR(INDEX(Employees!$E$5:$E$29,$A1027)="",$D1027&lt;=INDEX(Employees!$E$5:$E$29,$A1027))),1,0))</f>
        <v/>
      </c>
      <c r="H1027" s="50">
        <f>IF($G1027=0,0,IF(INDEX(Employees!$D$5:$D$29,$A1027)="",0,DATEDIF(INDEX(Employees!$D$5:$D$29,$A1027),$E1027,"y")))</f>
        <v/>
      </c>
      <c r="I1027" s="51">
        <f>IF($G1027=0,0,IF(INDEX('Hours Worked'!$D$5:$BD$29,$A1027,$B1027)="",N(INDEX(Employees!$H$5:$H$29,$A1027)),INDEX('Hours Worked'!$D$5:$BD$29,$A1027,$B1027)))</f>
        <v/>
      </c>
      <c r="J1027" s="51">
        <f>IF(OR($G1027=0,INDEX(Employees!$O$5:$O$29,$A1027)&lt;&gt;"Yes"),0,IF(COUNTIF(Settings!$D$4:$D$9,"&lt;="&amp;$H1027)=0,0,INDEX(Settings!$E$4:$E$9,COUNTIF(Settings!$D$4:$D$9,"&lt;="&amp;$H1027))))</f>
        <v/>
      </c>
      <c r="K1027" s="51">
        <f>IF($G1027=0,0,IF(INDEX(Employees!$I$5:$I$29,$A1027)="Per pay period",(N(INDEX(Employees!$J$5:$J$29,$A1027))+$J1027)/Settings!$B$13,IF(INDEX(Employees!$I$5:$I$29,$A1027)="Per hour worked",N(INDEX(Employees!$K$5:$K$29,$A1027))*$I1027,IF(INDEX(Employees!$I$5:$I$29,$A1027)="Front-loaded",IF(OR($B1027=1,N($G1026)=0),N(INDEX(Employees!$J$5:$J$29,$A1027))+$J1027,0),0))))</f>
        <v/>
      </c>
      <c r="L1027" s="51">
        <f>IF($F1027=0,0,SUMIFS('Time Off Log'!$H$5:$H$504,'Time Off Log'!$A$5:$A$504,$C1027,'Time Off Log'!$B$5:$B$504,"PTO",'Time Off Log'!$E$5:$E$504,"Approved",'Time Off Log'!$C$5:$C$504,"&gt;="&amp;INDEX(Periods!$E$5:$E$57,$B1027),'Time Off Log'!$C$5:$C$504,"&lt;="&amp;INDEX(Periods!$F$5:$F$57,$B1027)))</f>
        <v/>
      </c>
      <c r="M1027" s="51">
        <f>IF($B1027=1,N(INDEX(Employees!$N$5:$N$29,$A1027)),P1026)</f>
        <v/>
      </c>
      <c r="N1027" s="51">
        <f>IF(INDEX(Employees!$L$5:$L$29,$A1027)="",K1027,MAX(0,MIN(K1027,INDEX(Employees!$L$5:$L$29,$A1027)-(M1027-L1027))))</f>
        <v/>
      </c>
      <c r="O1027" s="51">
        <f>K1027-N1027</f>
        <v/>
      </c>
      <c r="P1027" s="51">
        <f>M1027-L1027+N1027</f>
        <v/>
      </c>
      <c r="Q1027" s="51">
        <f>IF($G1027=0,0,IF(INDEX(Employees!$P$5:$P$29,$A1027)="Per pay period",(N(INDEX(Employees!$Q$5:$Q$29,$A1027)))/Settings!$B$13,IF(INDEX(Employees!$P$5:$P$29,$A1027)="Per hour worked",N(INDEX(Employees!$R$5:$R$29,$A1027))*$I1027,IF(INDEX(Employees!$P$5:$P$29,$A1027)="Front-loaded",IF(OR($B1027=1,N($G1026)=0),N(INDEX(Employees!$Q$5:$Q$29,$A1027)),0),0))))</f>
        <v/>
      </c>
      <c r="R1027" s="51">
        <f>IF($F1027=0,0,SUMIFS('Time Off Log'!$H$5:$H$504,'Time Off Log'!$A$5:$A$504,$C1027,'Time Off Log'!$B$5:$B$504,"Sick",'Time Off Log'!$E$5:$E$504,"Approved",'Time Off Log'!$C$5:$C$504,"&gt;="&amp;INDEX(Periods!$E$5:$E$57,$B1027),'Time Off Log'!$C$5:$C$504,"&lt;="&amp;INDEX(Periods!$F$5:$F$57,$B1027)))</f>
        <v/>
      </c>
      <c r="S1027" s="51">
        <f>IF($B1027=1,N(INDEX(Employees!$T$5:$T$29,$A1027)),V1026)</f>
        <v/>
      </c>
      <c r="T1027" s="51">
        <f>IF(INDEX(Employees!$S$5:$S$29,$A1027)="",Q1027,MAX(0,MIN(Q1027,INDEX(Employees!$S$5:$S$29,$A1027)-(S1027-R1027))))</f>
        <v/>
      </c>
      <c r="U1027" s="51">
        <f>Q1027-T1027</f>
        <v/>
      </c>
      <c r="V1027" s="51">
        <f>S1027-R1027+T1027</f>
        <v/>
      </c>
    </row>
    <row r="1028">
      <c r="A1028" s="50" t="n">
        <v>20</v>
      </c>
      <c r="B1028" s="50" t="n">
        <v>17</v>
      </c>
      <c r="C1028" s="51">
        <f>INDEX(Employees!$B$5:$B$29,$A1028)&amp;""</f>
        <v/>
      </c>
      <c r="D1028" s="52">
        <f>INDEX(Periods!$B$5:$B$57,$B1028)</f>
        <v/>
      </c>
      <c r="E1028" s="52">
        <f>INDEX(Periods!$C$5:$C$57,$B1028)</f>
        <v/>
      </c>
      <c r="F1028" s="50">
        <f>IF(AND($C1028&lt;&gt;"",INDEX(Periods!$D$5:$D$57,$B1028)=1),1,0)</f>
        <v/>
      </c>
      <c r="G1028" s="50">
        <f>IF($F1028=0,0,IF(AND(OR(INDEX(Employees!$D$5:$D$29,$A1028)="",$E1028&gt;=INDEX(Employees!$D$5:$D$29,$A1028)+N(INDEX(Employees!$U$5:$U$29,$A1028))),OR(INDEX(Employees!$E$5:$E$29,$A1028)="",$D1028&lt;=INDEX(Employees!$E$5:$E$29,$A1028))),1,0))</f>
        <v/>
      </c>
      <c r="H1028" s="50">
        <f>IF($G1028=0,0,IF(INDEX(Employees!$D$5:$D$29,$A1028)="",0,DATEDIF(INDEX(Employees!$D$5:$D$29,$A1028),$E1028,"y")))</f>
        <v/>
      </c>
      <c r="I1028" s="51">
        <f>IF($G1028=0,0,IF(INDEX('Hours Worked'!$D$5:$BD$29,$A1028,$B1028)="",N(INDEX(Employees!$H$5:$H$29,$A1028)),INDEX('Hours Worked'!$D$5:$BD$29,$A1028,$B1028)))</f>
        <v/>
      </c>
      <c r="J1028" s="51">
        <f>IF(OR($G1028=0,INDEX(Employees!$O$5:$O$29,$A1028)&lt;&gt;"Yes"),0,IF(COUNTIF(Settings!$D$4:$D$9,"&lt;="&amp;$H1028)=0,0,INDEX(Settings!$E$4:$E$9,COUNTIF(Settings!$D$4:$D$9,"&lt;="&amp;$H1028))))</f>
        <v/>
      </c>
      <c r="K1028" s="51">
        <f>IF($G1028=0,0,IF(INDEX(Employees!$I$5:$I$29,$A1028)="Per pay period",(N(INDEX(Employees!$J$5:$J$29,$A1028))+$J1028)/Settings!$B$13,IF(INDEX(Employees!$I$5:$I$29,$A1028)="Per hour worked",N(INDEX(Employees!$K$5:$K$29,$A1028))*$I1028,IF(INDEX(Employees!$I$5:$I$29,$A1028)="Front-loaded",IF(OR($B1028=1,N($G1027)=0),N(INDEX(Employees!$J$5:$J$29,$A1028))+$J1028,0),0))))</f>
        <v/>
      </c>
      <c r="L1028" s="51">
        <f>IF($F1028=0,0,SUMIFS('Time Off Log'!$H$5:$H$504,'Time Off Log'!$A$5:$A$504,$C1028,'Time Off Log'!$B$5:$B$504,"PTO",'Time Off Log'!$E$5:$E$504,"Approved",'Time Off Log'!$C$5:$C$504,"&gt;="&amp;INDEX(Periods!$E$5:$E$57,$B1028),'Time Off Log'!$C$5:$C$504,"&lt;="&amp;INDEX(Periods!$F$5:$F$57,$B1028)))</f>
        <v/>
      </c>
      <c r="M1028" s="51">
        <f>IF($B1028=1,N(INDEX(Employees!$N$5:$N$29,$A1028)),P1027)</f>
        <v/>
      </c>
      <c r="N1028" s="51">
        <f>IF(INDEX(Employees!$L$5:$L$29,$A1028)="",K1028,MAX(0,MIN(K1028,INDEX(Employees!$L$5:$L$29,$A1028)-(M1028-L1028))))</f>
        <v/>
      </c>
      <c r="O1028" s="51">
        <f>K1028-N1028</f>
        <v/>
      </c>
      <c r="P1028" s="51">
        <f>M1028-L1028+N1028</f>
        <v/>
      </c>
      <c r="Q1028" s="51">
        <f>IF($G1028=0,0,IF(INDEX(Employees!$P$5:$P$29,$A1028)="Per pay period",(N(INDEX(Employees!$Q$5:$Q$29,$A1028)))/Settings!$B$13,IF(INDEX(Employees!$P$5:$P$29,$A1028)="Per hour worked",N(INDEX(Employees!$R$5:$R$29,$A1028))*$I1028,IF(INDEX(Employees!$P$5:$P$29,$A1028)="Front-loaded",IF(OR($B1028=1,N($G1027)=0),N(INDEX(Employees!$Q$5:$Q$29,$A1028)),0),0))))</f>
        <v/>
      </c>
      <c r="R1028" s="51">
        <f>IF($F1028=0,0,SUMIFS('Time Off Log'!$H$5:$H$504,'Time Off Log'!$A$5:$A$504,$C1028,'Time Off Log'!$B$5:$B$504,"Sick",'Time Off Log'!$E$5:$E$504,"Approved",'Time Off Log'!$C$5:$C$504,"&gt;="&amp;INDEX(Periods!$E$5:$E$57,$B1028),'Time Off Log'!$C$5:$C$504,"&lt;="&amp;INDEX(Periods!$F$5:$F$57,$B1028)))</f>
        <v/>
      </c>
      <c r="S1028" s="51">
        <f>IF($B1028=1,N(INDEX(Employees!$T$5:$T$29,$A1028)),V1027)</f>
        <v/>
      </c>
      <c r="T1028" s="51">
        <f>IF(INDEX(Employees!$S$5:$S$29,$A1028)="",Q1028,MAX(0,MIN(Q1028,INDEX(Employees!$S$5:$S$29,$A1028)-(S1028-R1028))))</f>
        <v/>
      </c>
      <c r="U1028" s="51">
        <f>Q1028-T1028</f>
        <v/>
      </c>
      <c r="V1028" s="51">
        <f>S1028-R1028+T1028</f>
        <v/>
      </c>
    </row>
    <row r="1029">
      <c r="A1029" s="50" t="n">
        <v>20</v>
      </c>
      <c r="B1029" s="50" t="n">
        <v>18</v>
      </c>
      <c r="C1029" s="51">
        <f>INDEX(Employees!$B$5:$B$29,$A1029)&amp;""</f>
        <v/>
      </c>
      <c r="D1029" s="52">
        <f>INDEX(Periods!$B$5:$B$57,$B1029)</f>
        <v/>
      </c>
      <c r="E1029" s="52">
        <f>INDEX(Periods!$C$5:$C$57,$B1029)</f>
        <v/>
      </c>
      <c r="F1029" s="50">
        <f>IF(AND($C1029&lt;&gt;"",INDEX(Periods!$D$5:$D$57,$B1029)=1),1,0)</f>
        <v/>
      </c>
      <c r="G1029" s="50">
        <f>IF($F1029=0,0,IF(AND(OR(INDEX(Employees!$D$5:$D$29,$A1029)="",$E1029&gt;=INDEX(Employees!$D$5:$D$29,$A1029)+N(INDEX(Employees!$U$5:$U$29,$A1029))),OR(INDEX(Employees!$E$5:$E$29,$A1029)="",$D1029&lt;=INDEX(Employees!$E$5:$E$29,$A1029))),1,0))</f>
        <v/>
      </c>
      <c r="H1029" s="50">
        <f>IF($G1029=0,0,IF(INDEX(Employees!$D$5:$D$29,$A1029)="",0,DATEDIF(INDEX(Employees!$D$5:$D$29,$A1029),$E1029,"y")))</f>
        <v/>
      </c>
      <c r="I1029" s="51">
        <f>IF($G1029=0,0,IF(INDEX('Hours Worked'!$D$5:$BD$29,$A1029,$B1029)="",N(INDEX(Employees!$H$5:$H$29,$A1029)),INDEX('Hours Worked'!$D$5:$BD$29,$A1029,$B1029)))</f>
        <v/>
      </c>
      <c r="J1029" s="51">
        <f>IF(OR($G1029=0,INDEX(Employees!$O$5:$O$29,$A1029)&lt;&gt;"Yes"),0,IF(COUNTIF(Settings!$D$4:$D$9,"&lt;="&amp;$H1029)=0,0,INDEX(Settings!$E$4:$E$9,COUNTIF(Settings!$D$4:$D$9,"&lt;="&amp;$H1029))))</f>
        <v/>
      </c>
      <c r="K1029" s="51">
        <f>IF($G1029=0,0,IF(INDEX(Employees!$I$5:$I$29,$A1029)="Per pay period",(N(INDEX(Employees!$J$5:$J$29,$A1029))+$J1029)/Settings!$B$13,IF(INDEX(Employees!$I$5:$I$29,$A1029)="Per hour worked",N(INDEX(Employees!$K$5:$K$29,$A1029))*$I1029,IF(INDEX(Employees!$I$5:$I$29,$A1029)="Front-loaded",IF(OR($B1029=1,N($G1028)=0),N(INDEX(Employees!$J$5:$J$29,$A1029))+$J1029,0),0))))</f>
        <v/>
      </c>
      <c r="L1029" s="51">
        <f>IF($F1029=0,0,SUMIFS('Time Off Log'!$H$5:$H$504,'Time Off Log'!$A$5:$A$504,$C1029,'Time Off Log'!$B$5:$B$504,"PTO",'Time Off Log'!$E$5:$E$504,"Approved",'Time Off Log'!$C$5:$C$504,"&gt;="&amp;INDEX(Periods!$E$5:$E$57,$B1029),'Time Off Log'!$C$5:$C$504,"&lt;="&amp;INDEX(Periods!$F$5:$F$57,$B1029)))</f>
        <v/>
      </c>
      <c r="M1029" s="51">
        <f>IF($B1029=1,N(INDEX(Employees!$N$5:$N$29,$A1029)),P1028)</f>
        <v/>
      </c>
      <c r="N1029" s="51">
        <f>IF(INDEX(Employees!$L$5:$L$29,$A1029)="",K1029,MAX(0,MIN(K1029,INDEX(Employees!$L$5:$L$29,$A1029)-(M1029-L1029))))</f>
        <v/>
      </c>
      <c r="O1029" s="51">
        <f>K1029-N1029</f>
        <v/>
      </c>
      <c r="P1029" s="51">
        <f>M1029-L1029+N1029</f>
        <v/>
      </c>
      <c r="Q1029" s="51">
        <f>IF($G1029=0,0,IF(INDEX(Employees!$P$5:$P$29,$A1029)="Per pay period",(N(INDEX(Employees!$Q$5:$Q$29,$A1029)))/Settings!$B$13,IF(INDEX(Employees!$P$5:$P$29,$A1029)="Per hour worked",N(INDEX(Employees!$R$5:$R$29,$A1029))*$I1029,IF(INDEX(Employees!$P$5:$P$29,$A1029)="Front-loaded",IF(OR($B1029=1,N($G1028)=0),N(INDEX(Employees!$Q$5:$Q$29,$A1029)),0),0))))</f>
        <v/>
      </c>
      <c r="R1029" s="51">
        <f>IF($F1029=0,0,SUMIFS('Time Off Log'!$H$5:$H$504,'Time Off Log'!$A$5:$A$504,$C1029,'Time Off Log'!$B$5:$B$504,"Sick",'Time Off Log'!$E$5:$E$504,"Approved",'Time Off Log'!$C$5:$C$504,"&gt;="&amp;INDEX(Periods!$E$5:$E$57,$B1029),'Time Off Log'!$C$5:$C$504,"&lt;="&amp;INDEX(Periods!$F$5:$F$57,$B1029)))</f>
        <v/>
      </c>
      <c r="S1029" s="51">
        <f>IF($B1029=1,N(INDEX(Employees!$T$5:$T$29,$A1029)),V1028)</f>
        <v/>
      </c>
      <c r="T1029" s="51">
        <f>IF(INDEX(Employees!$S$5:$S$29,$A1029)="",Q1029,MAX(0,MIN(Q1029,INDEX(Employees!$S$5:$S$29,$A1029)-(S1029-R1029))))</f>
        <v/>
      </c>
      <c r="U1029" s="51">
        <f>Q1029-T1029</f>
        <v/>
      </c>
      <c r="V1029" s="51">
        <f>S1029-R1029+T1029</f>
        <v/>
      </c>
    </row>
    <row r="1030">
      <c r="A1030" s="50" t="n">
        <v>20</v>
      </c>
      <c r="B1030" s="50" t="n">
        <v>19</v>
      </c>
      <c r="C1030" s="51">
        <f>INDEX(Employees!$B$5:$B$29,$A1030)&amp;""</f>
        <v/>
      </c>
      <c r="D1030" s="52">
        <f>INDEX(Periods!$B$5:$B$57,$B1030)</f>
        <v/>
      </c>
      <c r="E1030" s="52">
        <f>INDEX(Periods!$C$5:$C$57,$B1030)</f>
        <v/>
      </c>
      <c r="F1030" s="50">
        <f>IF(AND($C1030&lt;&gt;"",INDEX(Periods!$D$5:$D$57,$B1030)=1),1,0)</f>
        <v/>
      </c>
      <c r="G1030" s="50">
        <f>IF($F1030=0,0,IF(AND(OR(INDEX(Employees!$D$5:$D$29,$A1030)="",$E1030&gt;=INDEX(Employees!$D$5:$D$29,$A1030)+N(INDEX(Employees!$U$5:$U$29,$A1030))),OR(INDEX(Employees!$E$5:$E$29,$A1030)="",$D1030&lt;=INDEX(Employees!$E$5:$E$29,$A1030))),1,0))</f>
        <v/>
      </c>
      <c r="H1030" s="50">
        <f>IF($G1030=0,0,IF(INDEX(Employees!$D$5:$D$29,$A1030)="",0,DATEDIF(INDEX(Employees!$D$5:$D$29,$A1030),$E1030,"y")))</f>
        <v/>
      </c>
      <c r="I1030" s="51">
        <f>IF($G1030=0,0,IF(INDEX('Hours Worked'!$D$5:$BD$29,$A1030,$B1030)="",N(INDEX(Employees!$H$5:$H$29,$A1030)),INDEX('Hours Worked'!$D$5:$BD$29,$A1030,$B1030)))</f>
        <v/>
      </c>
      <c r="J1030" s="51">
        <f>IF(OR($G1030=0,INDEX(Employees!$O$5:$O$29,$A1030)&lt;&gt;"Yes"),0,IF(COUNTIF(Settings!$D$4:$D$9,"&lt;="&amp;$H1030)=0,0,INDEX(Settings!$E$4:$E$9,COUNTIF(Settings!$D$4:$D$9,"&lt;="&amp;$H1030))))</f>
        <v/>
      </c>
      <c r="K1030" s="51">
        <f>IF($G1030=0,0,IF(INDEX(Employees!$I$5:$I$29,$A1030)="Per pay period",(N(INDEX(Employees!$J$5:$J$29,$A1030))+$J1030)/Settings!$B$13,IF(INDEX(Employees!$I$5:$I$29,$A1030)="Per hour worked",N(INDEX(Employees!$K$5:$K$29,$A1030))*$I1030,IF(INDEX(Employees!$I$5:$I$29,$A1030)="Front-loaded",IF(OR($B1030=1,N($G1029)=0),N(INDEX(Employees!$J$5:$J$29,$A1030))+$J1030,0),0))))</f>
        <v/>
      </c>
      <c r="L1030" s="51">
        <f>IF($F1030=0,0,SUMIFS('Time Off Log'!$H$5:$H$504,'Time Off Log'!$A$5:$A$504,$C1030,'Time Off Log'!$B$5:$B$504,"PTO",'Time Off Log'!$E$5:$E$504,"Approved",'Time Off Log'!$C$5:$C$504,"&gt;="&amp;INDEX(Periods!$E$5:$E$57,$B1030),'Time Off Log'!$C$5:$C$504,"&lt;="&amp;INDEX(Periods!$F$5:$F$57,$B1030)))</f>
        <v/>
      </c>
      <c r="M1030" s="51">
        <f>IF($B1030=1,N(INDEX(Employees!$N$5:$N$29,$A1030)),P1029)</f>
        <v/>
      </c>
      <c r="N1030" s="51">
        <f>IF(INDEX(Employees!$L$5:$L$29,$A1030)="",K1030,MAX(0,MIN(K1030,INDEX(Employees!$L$5:$L$29,$A1030)-(M1030-L1030))))</f>
        <v/>
      </c>
      <c r="O1030" s="51">
        <f>K1030-N1030</f>
        <v/>
      </c>
      <c r="P1030" s="51">
        <f>M1030-L1030+N1030</f>
        <v/>
      </c>
      <c r="Q1030" s="51">
        <f>IF($G1030=0,0,IF(INDEX(Employees!$P$5:$P$29,$A1030)="Per pay period",(N(INDEX(Employees!$Q$5:$Q$29,$A1030)))/Settings!$B$13,IF(INDEX(Employees!$P$5:$P$29,$A1030)="Per hour worked",N(INDEX(Employees!$R$5:$R$29,$A1030))*$I1030,IF(INDEX(Employees!$P$5:$P$29,$A1030)="Front-loaded",IF(OR($B1030=1,N($G1029)=0),N(INDEX(Employees!$Q$5:$Q$29,$A1030)),0),0))))</f>
        <v/>
      </c>
      <c r="R1030" s="51">
        <f>IF($F1030=0,0,SUMIFS('Time Off Log'!$H$5:$H$504,'Time Off Log'!$A$5:$A$504,$C1030,'Time Off Log'!$B$5:$B$504,"Sick",'Time Off Log'!$E$5:$E$504,"Approved",'Time Off Log'!$C$5:$C$504,"&gt;="&amp;INDEX(Periods!$E$5:$E$57,$B1030),'Time Off Log'!$C$5:$C$504,"&lt;="&amp;INDEX(Periods!$F$5:$F$57,$B1030)))</f>
        <v/>
      </c>
      <c r="S1030" s="51">
        <f>IF($B1030=1,N(INDEX(Employees!$T$5:$T$29,$A1030)),V1029)</f>
        <v/>
      </c>
      <c r="T1030" s="51">
        <f>IF(INDEX(Employees!$S$5:$S$29,$A1030)="",Q1030,MAX(0,MIN(Q1030,INDEX(Employees!$S$5:$S$29,$A1030)-(S1030-R1030))))</f>
        <v/>
      </c>
      <c r="U1030" s="51">
        <f>Q1030-T1030</f>
        <v/>
      </c>
      <c r="V1030" s="51">
        <f>S1030-R1030+T1030</f>
        <v/>
      </c>
    </row>
    <row r="1031">
      <c r="A1031" s="50" t="n">
        <v>20</v>
      </c>
      <c r="B1031" s="50" t="n">
        <v>20</v>
      </c>
      <c r="C1031" s="51">
        <f>INDEX(Employees!$B$5:$B$29,$A1031)&amp;""</f>
        <v/>
      </c>
      <c r="D1031" s="52">
        <f>INDEX(Periods!$B$5:$B$57,$B1031)</f>
        <v/>
      </c>
      <c r="E1031" s="52">
        <f>INDEX(Periods!$C$5:$C$57,$B1031)</f>
        <v/>
      </c>
      <c r="F1031" s="50">
        <f>IF(AND($C1031&lt;&gt;"",INDEX(Periods!$D$5:$D$57,$B1031)=1),1,0)</f>
        <v/>
      </c>
      <c r="G1031" s="50">
        <f>IF($F1031=0,0,IF(AND(OR(INDEX(Employees!$D$5:$D$29,$A1031)="",$E1031&gt;=INDEX(Employees!$D$5:$D$29,$A1031)+N(INDEX(Employees!$U$5:$U$29,$A1031))),OR(INDEX(Employees!$E$5:$E$29,$A1031)="",$D1031&lt;=INDEX(Employees!$E$5:$E$29,$A1031))),1,0))</f>
        <v/>
      </c>
      <c r="H1031" s="50">
        <f>IF($G1031=0,0,IF(INDEX(Employees!$D$5:$D$29,$A1031)="",0,DATEDIF(INDEX(Employees!$D$5:$D$29,$A1031),$E1031,"y")))</f>
        <v/>
      </c>
      <c r="I1031" s="51">
        <f>IF($G1031=0,0,IF(INDEX('Hours Worked'!$D$5:$BD$29,$A1031,$B1031)="",N(INDEX(Employees!$H$5:$H$29,$A1031)),INDEX('Hours Worked'!$D$5:$BD$29,$A1031,$B1031)))</f>
        <v/>
      </c>
      <c r="J1031" s="51">
        <f>IF(OR($G1031=0,INDEX(Employees!$O$5:$O$29,$A1031)&lt;&gt;"Yes"),0,IF(COUNTIF(Settings!$D$4:$D$9,"&lt;="&amp;$H1031)=0,0,INDEX(Settings!$E$4:$E$9,COUNTIF(Settings!$D$4:$D$9,"&lt;="&amp;$H1031))))</f>
        <v/>
      </c>
      <c r="K1031" s="51">
        <f>IF($G1031=0,0,IF(INDEX(Employees!$I$5:$I$29,$A1031)="Per pay period",(N(INDEX(Employees!$J$5:$J$29,$A1031))+$J1031)/Settings!$B$13,IF(INDEX(Employees!$I$5:$I$29,$A1031)="Per hour worked",N(INDEX(Employees!$K$5:$K$29,$A1031))*$I1031,IF(INDEX(Employees!$I$5:$I$29,$A1031)="Front-loaded",IF(OR($B1031=1,N($G1030)=0),N(INDEX(Employees!$J$5:$J$29,$A1031))+$J1031,0),0))))</f>
        <v/>
      </c>
      <c r="L1031" s="51">
        <f>IF($F1031=0,0,SUMIFS('Time Off Log'!$H$5:$H$504,'Time Off Log'!$A$5:$A$504,$C1031,'Time Off Log'!$B$5:$B$504,"PTO",'Time Off Log'!$E$5:$E$504,"Approved",'Time Off Log'!$C$5:$C$504,"&gt;="&amp;INDEX(Periods!$E$5:$E$57,$B1031),'Time Off Log'!$C$5:$C$504,"&lt;="&amp;INDEX(Periods!$F$5:$F$57,$B1031)))</f>
        <v/>
      </c>
      <c r="M1031" s="51">
        <f>IF($B1031=1,N(INDEX(Employees!$N$5:$N$29,$A1031)),P1030)</f>
        <v/>
      </c>
      <c r="N1031" s="51">
        <f>IF(INDEX(Employees!$L$5:$L$29,$A1031)="",K1031,MAX(0,MIN(K1031,INDEX(Employees!$L$5:$L$29,$A1031)-(M1031-L1031))))</f>
        <v/>
      </c>
      <c r="O1031" s="51">
        <f>K1031-N1031</f>
        <v/>
      </c>
      <c r="P1031" s="51">
        <f>M1031-L1031+N1031</f>
        <v/>
      </c>
      <c r="Q1031" s="51">
        <f>IF($G1031=0,0,IF(INDEX(Employees!$P$5:$P$29,$A1031)="Per pay period",(N(INDEX(Employees!$Q$5:$Q$29,$A1031)))/Settings!$B$13,IF(INDEX(Employees!$P$5:$P$29,$A1031)="Per hour worked",N(INDEX(Employees!$R$5:$R$29,$A1031))*$I1031,IF(INDEX(Employees!$P$5:$P$29,$A1031)="Front-loaded",IF(OR($B1031=1,N($G1030)=0),N(INDEX(Employees!$Q$5:$Q$29,$A1031)),0),0))))</f>
        <v/>
      </c>
      <c r="R1031" s="51">
        <f>IF($F1031=0,0,SUMIFS('Time Off Log'!$H$5:$H$504,'Time Off Log'!$A$5:$A$504,$C1031,'Time Off Log'!$B$5:$B$504,"Sick",'Time Off Log'!$E$5:$E$504,"Approved",'Time Off Log'!$C$5:$C$504,"&gt;="&amp;INDEX(Periods!$E$5:$E$57,$B1031),'Time Off Log'!$C$5:$C$504,"&lt;="&amp;INDEX(Periods!$F$5:$F$57,$B1031)))</f>
        <v/>
      </c>
      <c r="S1031" s="51">
        <f>IF($B1031=1,N(INDEX(Employees!$T$5:$T$29,$A1031)),V1030)</f>
        <v/>
      </c>
      <c r="T1031" s="51">
        <f>IF(INDEX(Employees!$S$5:$S$29,$A1031)="",Q1031,MAX(0,MIN(Q1031,INDEX(Employees!$S$5:$S$29,$A1031)-(S1031-R1031))))</f>
        <v/>
      </c>
      <c r="U1031" s="51">
        <f>Q1031-T1031</f>
        <v/>
      </c>
      <c r="V1031" s="51">
        <f>S1031-R1031+T1031</f>
        <v/>
      </c>
    </row>
    <row r="1032">
      <c r="A1032" s="50" t="n">
        <v>20</v>
      </c>
      <c r="B1032" s="50" t="n">
        <v>21</v>
      </c>
      <c r="C1032" s="51">
        <f>INDEX(Employees!$B$5:$B$29,$A1032)&amp;""</f>
        <v/>
      </c>
      <c r="D1032" s="52">
        <f>INDEX(Periods!$B$5:$B$57,$B1032)</f>
        <v/>
      </c>
      <c r="E1032" s="52">
        <f>INDEX(Periods!$C$5:$C$57,$B1032)</f>
        <v/>
      </c>
      <c r="F1032" s="50">
        <f>IF(AND($C1032&lt;&gt;"",INDEX(Periods!$D$5:$D$57,$B1032)=1),1,0)</f>
        <v/>
      </c>
      <c r="G1032" s="50">
        <f>IF($F1032=0,0,IF(AND(OR(INDEX(Employees!$D$5:$D$29,$A1032)="",$E1032&gt;=INDEX(Employees!$D$5:$D$29,$A1032)+N(INDEX(Employees!$U$5:$U$29,$A1032))),OR(INDEX(Employees!$E$5:$E$29,$A1032)="",$D1032&lt;=INDEX(Employees!$E$5:$E$29,$A1032))),1,0))</f>
        <v/>
      </c>
      <c r="H1032" s="50">
        <f>IF($G1032=0,0,IF(INDEX(Employees!$D$5:$D$29,$A1032)="",0,DATEDIF(INDEX(Employees!$D$5:$D$29,$A1032),$E1032,"y")))</f>
        <v/>
      </c>
      <c r="I1032" s="51">
        <f>IF($G1032=0,0,IF(INDEX('Hours Worked'!$D$5:$BD$29,$A1032,$B1032)="",N(INDEX(Employees!$H$5:$H$29,$A1032)),INDEX('Hours Worked'!$D$5:$BD$29,$A1032,$B1032)))</f>
        <v/>
      </c>
      <c r="J1032" s="51">
        <f>IF(OR($G1032=0,INDEX(Employees!$O$5:$O$29,$A1032)&lt;&gt;"Yes"),0,IF(COUNTIF(Settings!$D$4:$D$9,"&lt;="&amp;$H1032)=0,0,INDEX(Settings!$E$4:$E$9,COUNTIF(Settings!$D$4:$D$9,"&lt;="&amp;$H1032))))</f>
        <v/>
      </c>
      <c r="K1032" s="51">
        <f>IF($G1032=0,0,IF(INDEX(Employees!$I$5:$I$29,$A1032)="Per pay period",(N(INDEX(Employees!$J$5:$J$29,$A1032))+$J1032)/Settings!$B$13,IF(INDEX(Employees!$I$5:$I$29,$A1032)="Per hour worked",N(INDEX(Employees!$K$5:$K$29,$A1032))*$I1032,IF(INDEX(Employees!$I$5:$I$29,$A1032)="Front-loaded",IF(OR($B1032=1,N($G1031)=0),N(INDEX(Employees!$J$5:$J$29,$A1032))+$J1032,0),0))))</f>
        <v/>
      </c>
      <c r="L1032" s="51">
        <f>IF($F1032=0,0,SUMIFS('Time Off Log'!$H$5:$H$504,'Time Off Log'!$A$5:$A$504,$C1032,'Time Off Log'!$B$5:$B$504,"PTO",'Time Off Log'!$E$5:$E$504,"Approved",'Time Off Log'!$C$5:$C$504,"&gt;="&amp;INDEX(Periods!$E$5:$E$57,$B1032),'Time Off Log'!$C$5:$C$504,"&lt;="&amp;INDEX(Periods!$F$5:$F$57,$B1032)))</f>
        <v/>
      </c>
      <c r="M1032" s="51">
        <f>IF($B1032=1,N(INDEX(Employees!$N$5:$N$29,$A1032)),P1031)</f>
        <v/>
      </c>
      <c r="N1032" s="51">
        <f>IF(INDEX(Employees!$L$5:$L$29,$A1032)="",K1032,MAX(0,MIN(K1032,INDEX(Employees!$L$5:$L$29,$A1032)-(M1032-L1032))))</f>
        <v/>
      </c>
      <c r="O1032" s="51">
        <f>K1032-N1032</f>
        <v/>
      </c>
      <c r="P1032" s="51">
        <f>M1032-L1032+N1032</f>
        <v/>
      </c>
      <c r="Q1032" s="51">
        <f>IF($G1032=0,0,IF(INDEX(Employees!$P$5:$P$29,$A1032)="Per pay period",(N(INDEX(Employees!$Q$5:$Q$29,$A1032)))/Settings!$B$13,IF(INDEX(Employees!$P$5:$P$29,$A1032)="Per hour worked",N(INDEX(Employees!$R$5:$R$29,$A1032))*$I1032,IF(INDEX(Employees!$P$5:$P$29,$A1032)="Front-loaded",IF(OR($B1032=1,N($G1031)=0),N(INDEX(Employees!$Q$5:$Q$29,$A1032)),0),0))))</f>
        <v/>
      </c>
      <c r="R1032" s="51">
        <f>IF($F1032=0,0,SUMIFS('Time Off Log'!$H$5:$H$504,'Time Off Log'!$A$5:$A$504,$C1032,'Time Off Log'!$B$5:$B$504,"Sick",'Time Off Log'!$E$5:$E$504,"Approved",'Time Off Log'!$C$5:$C$504,"&gt;="&amp;INDEX(Periods!$E$5:$E$57,$B1032),'Time Off Log'!$C$5:$C$504,"&lt;="&amp;INDEX(Periods!$F$5:$F$57,$B1032)))</f>
        <v/>
      </c>
      <c r="S1032" s="51">
        <f>IF($B1032=1,N(INDEX(Employees!$T$5:$T$29,$A1032)),V1031)</f>
        <v/>
      </c>
      <c r="T1032" s="51">
        <f>IF(INDEX(Employees!$S$5:$S$29,$A1032)="",Q1032,MAX(0,MIN(Q1032,INDEX(Employees!$S$5:$S$29,$A1032)-(S1032-R1032))))</f>
        <v/>
      </c>
      <c r="U1032" s="51">
        <f>Q1032-T1032</f>
        <v/>
      </c>
      <c r="V1032" s="51">
        <f>S1032-R1032+T1032</f>
        <v/>
      </c>
    </row>
    <row r="1033">
      <c r="A1033" s="50" t="n">
        <v>20</v>
      </c>
      <c r="B1033" s="50" t="n">
        <v>22</v>
      </c>
      <c r="C1033" s="51">
        <f>INDEX(Employees!$B$5:$B$29,$A1033)&amp;""</f>
        <v/>
      </c>
      <c r="D1033" s="52">
        <f>INDEX(Periods!$B$5:$B$57,$B1033)</f>
        <v/>
      </c>
      <c r="E1033" s="52">
        <f>INDEX(Periods!$C$5:$C$57,$B1033)</f>
        <v/>
      </c>
      <c r="F1033" s="50">
        <f>IF(AND($C1033&lt;&gt;"",INDEX(Periods!$D$5:$D$57,$B1033)=1),1,0)</f>
        <v/>
      </c>
      <c r="G1033" s="50">
        <f>IF($F1033=0,0,IF(AND(OR(INDEX(Employees!$D$5:$D$29,$A1033)="",$E1033&gt;=INDEX(Employees!$D$5:$D$29,$A1033)+N(INDEX(Employees!$U$5:$U$29,$A1033))),OR(INDEX(Employees!$E$5:$E$29,$A1033)="",$D1033&lt;=INDEX(Employees!$E$5:$E$29,$A1033))),1,0))</f>
        <v/>
      </c>
      <c r="H1033" s="50">
        <f>IF($G1033=0,0,IF(INDEX(Employees!$D$5:$D$29,$A1033)="",0,DATEDIF(INDEX(Employees!$D$5:$D$29,$A1033),$E1033,"y")))</f>
        <v/>
      </c>
      <c r="I1033" s="51">
        <f>IF($G1033=0,0,IF(INDEX('Hours Worked'!$D$5:$BD$29,$A1033,$B1033)="",N(INDEX(Employees!$H$5:$H$29,$A1033)),INDEX('Hours Worked'!$D$5:$BD$29,$A1033,$B1033)))</f>
        <v/>
      </c>
      <c r="J1033" s="51">
        <f>IF(OR($G1033=0,INDEX(Employees!$O$5:$O$29,$A1033)&lt;&gt;"Yes"),0,IF(COUNTIF(Settings!$D$4:$D$9,"&lt;="&amp;$H1033)=0,0,INDEX(Settings!$E$4:$E$9,COUNTIF(Settings!$D$4:$D$9,"&lt;="&amp;$H1033))))</f>
        <v/>
      </c>
      <c r="K1033" s="51">
        <f>IF($G1033=0,0,IF(INDEX(Employees!$I$5:$I$29,$A1033)="Per pay period",(N(INDEX(Employees!$J$5:$J$29,$A1033))+$J1033)/Settings!$B$13,IF(INDEX(Employees!$I$5:$I$29,$A1033)="Per hour worked",N(INDEX(Employees!$K$5:$K$29,$A1033))*$I1033,IF(INDEX(Employees!$I$5:$I$29,$A1033)="Front-loaded",IF(OR($B1033=1,N($G1032)=0),N(INDEX(Employees!$J$5:$J$29,$A1033))+$J1033,0),0))))</f>
        <v/>
      </c>
      <c r="L1033" s="51">
        <f>IF($F1033=0,0,SUMIFS('Time Off Log'!$H$5:$H$504,'Time Off Log'!$A$5:$A$504,$C1033,'Time Off Log'!$B$5:$B$504,"PTO",'Time Off Log'!$E$5:$E$504,"Approved",'Time Off Log'!$C$5:$C$504,"&gt;="&amp;INDEX(Periods!$E$5:$E$57,$B1033),'Time Off Log'!$C$5:$C$504,"&lt;="&amp;INDEX(Periods!$F$5:$F$57,$B1033)))</f>
        <v/>
      </c>
      <c r="M1033" s="51">
        <f>IF($B1033=1,N(INDEX(Employees!$N$5:$N$29,$A1033)),P1032)</f>
        <v/>
      </c>
      <c r="N1033" s="51">
        <f>IF(INDEX(Employees!$L$5:$L$29,$A1033)="",K1033,MAX(0,MIN(K1033,INDEX(Employees!$L$5:$L$29,$A1033)-(M1033-L1033))))</f>
        <v/>
      </c>
      <c r="O1033" s="51">
        <f>K1033-N1033</f>
        <v/>
      </c>
      <c r="P1033" s="51">
        <f>M1033-L1033+N1033</f>
        <v/>
      </c>
      <c r="Q1033" s="51">
        <f>IF($G1033=0,0,IF(INDEX(Employees!$P$5:$P$29,$A1033)="Per pay period",(N(INDEX(Employees!$Q$5:$Q$29,$A1033)))/Settings!$B$13,IF(INDEX(Employees!$P$5:$P$29,$A1033)="Per hour worked",N(INDEX(Employees!$R$5:$R$29,$A1033))*$I1033,IF(INDEX(Employees!$P$5:$P$29,$A1033)="Front-loaded",IF(OR($B1033=1,N($G1032)=0),N(INDEX(Employees!$Q$5:$Q$29,$A1033)),0),0))))</f>
        <v/>
      </c>
      <c r="R1033" s="51">
        <f>IF($F1033=0,0,SUMIFS('Time Off Log'!$H$5:$H$504,'Time Off Log'!$A$5:$A$504,$C1033,'Time Off Log'!$B$5:$B$504,"Sick",'Time Off Log'!$E$5:$E$504,"Approved",'Time Off Log'!$C$5:$C$504,"&gt;="&amp;INDEX(Periods!$E$5:$E$57,$B1033),'Time Off Log'!$C$5:$C$504,"&lt;="&amp;INDEX(Periods!$F$5:$F$57,$B1033)))</f>
        <v/>
      </c>
      <c r="S1033" s="51">
        <f>IF($B1033=1,N(INDEX(Employees!$T$5:$T$29,$A1033)),V1032)</f>
        <v/>
      </c>
      <c r="T1033" s="51">
        <f>IF(INDEX(Employees!$S$5:$S$29,$A1033)="",Q1033,MAX(0,MIN(Q1033,INDEX(Employees!$S$5:$S$29,$A1033)-(S1033-R1033))))</f>
        <v/>
      </c>
      <c r="U1033" s="51">
        <f>Q1033-T1033</f>
        <v/>
      </c>
      <c r="V1033" s="51">
        <f>S1033-R1033+T1033</f>
        <v/>
      </c>
    </row>
    <row r="1034">
      <c r="A1034" s="50" t="n">
        <v>20</v>
      </c>
      <c r="B1034" s="50" t="n">
        <v>23</v>
      </c>
      <c r="C1034" s="51">
        <f>INDEX(Employees!$B$5:$B$29,$A1034)&amp;""</f>
        <v/>
      </c>
      <c r="D1034" s="52">
        <f>INDEX(Periods!$B$5:$B$57,$B1034)</f>
        <v/>
      </c>
      <c r="E1034" s="52">
        <f>INDEX(Periods!$C$5:$C$57,$B1034)</f>
        <v/>
      </c>
      <c r="F1034" s="50">
        <f>IF(AND($C1034&lt;&gt;"",INDEX(Periods!$D$5:$D$57,$B1034)=1),1,0)</f>
        <v/>
      </c>
      <c r="G1034" s="50">
        <f>IF($F1034=0,0,IF(AND(OR(INDEX(Employees!$D$5:$D$29,$A1034)="",$E1034&gt;=INDEX(Employees!$D$5:$D$29,$A1034)+N(INDEX(Employees!$U$5:$U$29,$A1034))),OR(INDEX(Employees!$E$5:$E$29,$A1034)="",$D1034&lt;=INDEX(Employees!$E$5:$E$29,$A1034))),1,0))</f>
        <v/>
      </c>
      <c r="H1034" s="50">
        <f>IF($G1034=0,0,IF(INDEX(Employees!$D$5:$D$29,$A1034)="",0,DATEDIF(INDEX(Employees!$D$5:$D$29,$A1034),$E1034,"y")))</f>
        <v/>
      </c>
      <c r="I1034" s="51">
        <f>IF($G1034=0,0,IF(INDEX('Hours Worked'!$D$5:$BD$29,$A1034,$B1034)="",N(INDEX(Employees!$H$5:$H$29,$A1034)),INDEX('Hours Worked'!$D$5:$BD$29,$A1034,$B1034)))</f>
        <v/>
      </c>
      <c r="J1034" s="51">
        <f>IF(OR($G1034=0,INDEX(Employees!$O$5:$O$29,$A1034)&lt;&gt;"Yes"),0,IF(COUNTIF(Settings!$D$4:$D$9,"&lt;="&amp;$H1034)=0,0,INDEX(Settings!$E$4:$E$9,COUNTIF(Settings!$D$4:$D$9,"&lt;="&amp;$H1034))))</f>
        <v/>
      </c>
      <c r="K1034" s="51">
        <f>IF($G1034=0,0,IF(INDEX(Employees!$I$5:$I$29,$A1034)="Per pay period",(N(INDEX(Employees!$J$5:$J$29,$A1034))+$J1034)/Settings!$B$13,IF(INDEX(Employees!$I$5:$I$29,$A1034)="Per hour worked",N(INDEX(Employees!$K$5:$K$29,$A1034))*$I1034,IF(INDEX(Employees!$I$5:$I$29,$A1034)="Front-loaded",IF(OR($B1034=1,N($G1033)=0),N(INDEX(Employees!$J$5:$J$29,$A1034))+$J1034,0),0))))</f>
        <v/>
      </c>
      <c r="L1034" s="51">
        <f>IF($F1034=0,0,SUMIFS('Time Off Log'!$H$5:$H$504,'Time Off Log'!$A$5:$A$504,$C1034,'Time Off Log'!$B$5:$B$504,"PTO",'Time Off Log'!$E$5:$E$504,"Approved",'Time Off Log'!$C$5:$C$504,"&gt;="&amp;INDEX(Periods!$E$5:$E$57,$B1034),'Time Off Log'!$C$5:$C$504,"&lt;="&amp;INDEX(Periods!$F$5:$F$57,$B1034)))</f>
        <v/>
      </c>
      <c r="M1034" s="51">
        <f>IF($B1034=1,N(INDEX(Employees!$N$5:$N$29,$A1034)),P1033)</f>
        <v/>
      </c>
      <c r="N1034" s="51">
        <f>IF(INDEX(Employees!$L$5:$L$29,$A1034)="",K1034,MAX(0,MIN(K1034,INDEX(Employees!$L$5:$L$29,$A1034)-(M1034-L1034))))</f>
        <v/>
      </c>
      <c r="O1034" s="51">
        <f>K1034-N1034</f>
        <v/>
      </c>
      <c r="P1034" s="51">
        <f>M1034-L1034+N1034</f>
        <v/>
      </c>
      <c r="Q1034" s="51">
        <f>IF($G1034=0,0,IF(INDEX(Employees!$P$5:$P$29,$A1034)="Per pay period",(N(INDEX(Employees!$Q$5:$Q$29,$A1034)))/Settings!$B$13,IF(INDEX(Employees!$P$5:$P$29,$A1034)="Per hour worked",N(INDEX(Employees!$R$5:$R$29,$A1034))*$I1034,IF(INDEX(Employees!$P$5:$P$29,$A1034)="Front-loaded",IF(OR($B1034=1,N($G1033)=0),N(INDEX(Employees!$Q$5:$Q$29,$A1034)),0),0))))</f>
        <v/>
      </c>
      <c r="R1034" s="51">
        <f>IF($F1034=0,0,SUMIFS('Time Off Log'!$H$5:$H$504,'Time Off Log'!$A$5:$A$504,$C1034,'Time Off Log'!$B$5:$B$504,"Sick",'Time Off Log'!$E$5:$E$504,"Approved",'Time Off Log'!$C$5:$C$504,"&gt;="&amp;INDEX(Periods!$E$5:$E$57,$B1034),'Time Off Log'!$C$5:$C$504,"&lt;="&amp;INDEX(Periods!$F$5:$F$57,$B1034)))</f>
        <v/>
      </c>
      <c r="S1034" s="51">
        <f>IF($B1034=1,N(INDEX(Employees!$T$5:$T$29,$A1034)),V1033)</f>
        <v/>
      </c>
      <c r="T1034" s="51">
        <f>IF(INDEX(Employees!$S$5:$S$29,$A1034)="",Q1034,MAX(0,MIN(Q1034,INDEX(Employees!$S$5:$S$29,$A1034)-(S1034-R1034))))</f>
        <v/>
      </c>
      <c r="U1034" s="51">
        <f>Q1034-T1034</f>
        <v/>
      </c>
      <c r="V1034" s="51">
        <f>S1034-R1034+T1034</f>
        <v/>
      </c>
    </row>
    <row r="1035">
      <c r="A1035" s="50" t="n">
        <v>20</v>
      </c>
      <c r="B1035" s="50" t="n">
        <v>24</v>
      </c>
      <c r="C1035" s="51">
        <f>INDEX(Employees!$B$5:$B$29,$A1035)&amp;""</f>
        <v/>
      </c>
      <c r="D1035" s="52">
        <f>INDEX(Periods!$B$5:$B$57,$B1035)</f>
        <v/>
      </c>
      <c r="E1035" s="52">
        <f>INDEX(Periods!$C$5:$C$57,$B1035)</f>
        <v/>
      </c>
      <c r="F1035" s="50">
        <f>IF(AND($C1035&lt;&gt;"",INDEX(Periods!$D$5:$D$57,$B1035)=1),1,0)</f>
        <v/>
      </c>
      <c r="G1035" s="50">
        <f>IF($F1035=0,0,IF(AND(OR(INDEX(Employees!$D$5:$D$29,$A1035)="",$E1035&gt;=INDEX(Employees!$D$5:$D$29,$A1035)+N(INDEX(Employees!$U$5:$U$29,$A1035))),OR(INDEX(Employees!$E$5:$E$29,$A1035)="",$D1035&lt;=INDEX(Employees!$E$5:$E$29,$A1035))),1,0))</f>
        <v/>
      </c>
      <c r="H1035" s="50">
        <f>IF($G1035=0,0,IF(INDEX(Employees!$D$5:$D$29,$A1035)="",0,DATEDIF(INDEX(Employees!$D$5:$D$29,$A1035),$E1035,"y")))</f>
        <v/>
      </c>
      <c r="I1035" s="51">
        <f>IF($G1035=0,0,IF(INDEX('Hours Worked'!$D$5:$BD$29,$A1035,$B1035)="",N(INDEX(Employees!$H$5:$H$29,$A1035)),INDEX('Hours Worked'!$D$5:$BD$29,$A1035,$B1035)))</f>
        <v/>
      </c>
      <c r="J1035" s="51">
        <f>IF(OR($G1035=0,INDEX(Employees!$O$5:$O$29,$A1035)&lt;&gt;"Yes"),0,IF(COUNTIF(Settings!$D$4:$D$9,"&lt;="&amp;$H1035)=0,0,INDEX(Settings!$E$4:$E$9,COUNTIF(Settings!$D$4:$D$9,"&lt;="&amp;$H1035))))</f>
        <v/>
      </c>
      <c r="K1035" s="51">
        <f>IF($G1035=0,0,IF(INDEX(Employees!$I$5:$I$29,$A1035)="Per pay period",(N(INDEX(Employees!$J$5:$J$29,$A1035))+$J1035)/Settings!$B$13,IF(INDEX(Employees!$I$5:$I$29,$A1035)="Per hour worked",N(INDEX(Employees!$K$5:$K$29,$A1035))*$I1035,IF(INDEX(Employees!$I$5:$I$29,$A1035)="Front-loaded",IF(OR($B1035=1,N($G1034)=0),N(INDEX(Employees!$J$5:$J$29,$A1035))+$J1035,0),0))))</f>
        <v/>
      </c>
      <c r="L1035" s="51">
        <f>IF($F1035=0,0,SUMIFS('Time Off Log'!$H$5:$H$504,'Time Off Log'!$A$5:$A$504,$C1035,'Time Off Log'!$B$5:$B$504,"PTO",'Time Off Log'!$E$5:$E$504,"Approved",'Time Off Log'!$C$5:$C$504,"&gt;="&amp;INDEX(Periods!$E$5:$E$57,$B1035),'Time Off Log'!$C$5:$C$504,"&lt;="&amp;INDEX(Periods!$F$5:$F$57,$B1035)))</f>
        <v/>
      </c>
      <c r="M1035" s="51">
        <f>IF($B1035=1,N(INDEX(Employees!$N$5:$N$29,$A1035)),P1034)</f>
        <v/>
      </c>
      <c r="N1035" s="51">
        <f>IF(INDEX(Employees!$L$5:$L$29,$A1035)="",K1035,MAX(0,MIN(K1035,INDEX(Employees!$L$5:$L$29,$A1035)-(M1035-L1035))))</f>
        <v/>
      </c>
      <c r="O1035" s="51">
        <f>K1035-N1035</f>
        <v/>
      </c>
      <c r="P1035" s="51">
        <f>M1035-L1035+N1035</f>
        <v/>
      </c>
      <c r="Q1035" s="51">
        <f>IF($G1035=0,0,IF(INDEX(Employees!$P$5:$P$29,$A1035)="Per pay period",(N(INDEX(Employees!$Q$5:$Q$29,$A1035)))/Settings!$B$13,IF(INDEX(Employees!$P$5:$P$29,$A1035)="Per hour worked",N(INDEX(Employees!$R$5:$R$29,$A1035))*$I1035,IF(INDEX(Employees!$P$5:$P$29,$A1035)="Front-loaded",IF(OR($B1035=1,N($G1034)=0),N(INDEX(Employees!$Q$5:$Q$29,$A1035)),0),0))))</f>
        <v/>
      </c>
      <c r="R1035" s="51">
        <f>IF($F1035=0,0,SUMIFS('Time Off Log'!$H$5:$H$504,'Time Off Log'!$A$5:$A$504,$C1035,'Time Off Log'!$B$5:$B$504,"Sick",'Time Off Log'!$E$5:$E$504,"Approved",'Time Off Log'!$C$5:$C$504,"&gt;="&amp;INDEX(Periods!$E$5:$E$57,$B1035),'Time Off Log'!$C$5:$C$504,"&lt;="&amp;INDEX(Periods!$F$5:$F$57,$B1035)))</f>
        <v/>
      </c>
      <c r="S1035" s="51">
        <f>IF($B1035=1,N(INDEX(Employees!$T$5:$T$29,$A1035)),V1034)</f>
        <v/>
      </c>
      <c r="T1035" s="51">
        <f>IF(INDEX(Employees!$S$5:$S$29,$A1035)="",Q1035,MAX(0,MIN(Q1035,INDEX(Employees!$S$5:$S$29,$A1035)-(S1035-R1035))))</f>
        <v/>
      </c>
      <c r="U1035" s="51">
        <f>Q1035-T1035</f>
        <v/>
      </c>
      <c r="V1035" s="51">
        <f>S1035-R1035+T1035</f>
        <v/>
      </c>
    </row>
    <row r="1036">
      <c r="A1036" s="50" t="n">
        <v>20</v>
      </c>
      <c r="B1036" s="50" t="n">
        <v>25</v>
      </c>
      <c r="C1036" s="51">
        <f>INDEX(Employees!$B$5:$B$29,$A1036)&amp;""</f>
        <v/>
      </c>
      <c r="D1036" s="52">
        <f>INDEX(Periods!$B$5:$B$57,$B1036)</f>
        <v/>
      </c>
      <c r="E1036" s="52">
        <f>INDEX(Periods!$C$5:$C$57,$B1036)</f>
        <v/>
      </c>
      <c r="F1036" s="50">
        <f>IF(AND($C1036&lt;&gt;"",INDEX(Periods!$D$5:$D$57,$B1036)=1),1,0)</f>
        <v/>
      </c>
      <c r="G1036" s="50">
        <f>IF($F1036=0,0,IF(AND(OR(INDEX(Employees!$D$5:$D$29,$A1036)="",$E1036&gt;=INDEX(Employees!$D$5:$D$29,$A1036)+N(INDEX(Employees!$U$5:$U$29,$A1036))),OR(INDEX(Employees!$E$5:$E$29,$A1036)="",$D1036&lt;=INDEX(Employees!$E$5:$E$29,$A1036))),1,0))</f>
        <v/>
      </c>
      <c r="H1036" s="50">
        <f>IF($G1036=0,0,IF(INDEX(Employees!$D$5:$D$29,$A1036)="",0,DATEDIF(INDEX(Employees!$D$5:$D$29,$A1036),$E1036,"y")))</f>
        <v/>
      </c>
      <c r="I1036" s="51">
        <f>IF($G1036=0,0,IF(INDEX('Hours Worked'!$D$5:$BD$29,$A1036,$B1036)="",N(INDEX(Employees!$H$5:$H$29,$A1036)),INDEX('Hours Worked'!$D$5:$BD$29,$A1036,$B1036)))</f>
        <v/>
      </c>
      <c r="J1036" s="51">
        <f>IF(OR($G1036=0,INDEX(Employees!$O$5:$O$29,$A1036)&lt;&gt;"Yes"),0,IF(COUNTIF(Settings!$D$4:$D$9,"&lt;="&amp;$H1036)=0,0,INDEX(Settings!$E$4:$E$9,COUNTIF(Settings!$D$4:$D$9,"&lt;="&amp;$H1036))))</f>
        <v/>
      </c>
      <c r="K1036" s="51">
        <f>IF($G1036=0,0,IF(INDEX(Employees!$I$5:$I$29,$A1036)="Per pay period",(N(INDEX(Employees!$J$5:$J$29,$A1036))+$J1036)/Settings!$B$13,IF(INDEX(Employees!$I$5:$I$29,$A1036)="Per hour worked",N(INDEX(Employees!$K$5:$K$29,$A1036))*$I1036,IF(INDEX(Employees!$I$5:$I$29,$A1036)="Front-loaded",IF(OR($B1036=1,N($G1035)=0),N(INDEX(Employees!$J$5:$J$29,$A1036))+$J1036,0),0))))</f>
        <v/>
      </c>
      <c r="L1036" s="51">
        <f>IF($F1036=0,0,SUMIFS('Time Off Log'!$H$5:$H$504,'Time Off Log'!$A$5:$A$504,$C1036,'Time Off Log'!$B$5:$B$504,"PTO",'Time Off Log'!$E$5:$E$504,"Approved",'Time Off Log'!$C$5:$C$504,"&gt;="&amp;INDEX(Periods!$E$5:$E$57,$B1036),'Time Off Log'!$C$5:$C$504,"&lt;="&amp;INDEX(Periods!$F$5:$F$57,$B1036)))</f>
        <v/>
      </c>
      <c r="M1036" s="51">
        <f>IF($B1036=1,N(INDEX(Employees!$N$5:$N$29,$A1036)),P1035)</f>
        <v/>
      </c>
      <c r="N1036" s="51">
        <f>IF(INDEX(Employees!$L$5:$L$29,$A1036)="",K1036,MAX(0,MIN(K1036,INDEX(Employees!$L$5:$L$29,$A1036)-(M1036-L1036))))</f>
        <v/>
      </c>
      <c r="O1036" s="51">
        <f>K1036-N1036</f>
        <v/>
      </c>
      <c r="P1036" s="51">
        <f>M1036-L1036+N1036</f>
        <v/>
      </c>
      <c r="Q1036" s="51">
        <f>IF($G1036=0,0,IF(INDEX(Employees!$P$5:$P$29,$A1036)="Per pay period",(N(INDEX(Employees!$Q$5:$Q$29,$A1036)))/Settings!$B$13,IF(INDEX(Employees!$P$5:$P$29,$A1036)="Per hour worked",N(INDEX(Employees!$R$5:$R$29,$A1036))*$I1036,IF(INDEX(Employees!$P$5:$P$29,$A1036)="Front-loaded",IF(OR($B1036=1,N($G1035)=0),N(INDEX(Employees!$Q$5:$Q$29,$A1036)),0),0))))</f>
        <v/>
      </c>
      <c r="R1036" s="51">
        <f>IF($F1036=0,0,SUMIFS('Time Off Log'!$H$5:$H$504,'Time Off Log'!$A$5:$A$504,$C1036,'Time Off Log'!$B$5:$B$504,"Sick",'Time Off Log'!$E$5:$E$504,"Approved",'Time Off Log'!$C$5:$C$504,"&gt;="&amp;INDEX(Periods!$E$5:$E$57,$B1036),'Time Off Log'!$C$5:$C$504,"&lt;="&amp;INDEX(Periods!$F$5:$F$57,$B1036)))</f>
        <v/>
      </c>
      <c r="S1036" s="51">
        <f>IF($B1036=1,N(INDEX(Employees!$T$5:$T$29,$A1036)),V1035)</f>
        <v/>
      </c>
      <c r="T1036" s="51">
        <f>IF(INDEX(Employees!$S$5:$S$29,$A1036)="",Q1036,MAX(0,MIN(Q1036,INDEX(Employees!$S$5:$S$29,$A1036)-(S1036-R1036))))</f>
        <v/>
      </c>
      <c r="U1036" s="51">
        <f>Q1036-T1036</f>
        <v/>
      </c>
      <c r="V1036" s="51">
        <f>S1036-R1036+T1036</f>
        <v/>
      </c>
    </row>
    <row r="1037">
      <c r="A1037" s="50" t="n">
        <v>20</v>
      </c>
      <c r="B1037" s="50" t="n">
        <v>26</v>
      </c>
      <c r="C1037" s="51">
        <f>INDEX(Employees!$B$5:$B$29,$A1037)&amp;""</f>
        <v/>
      </c>
      <c r="D1037" s="52">
        <f>INDEX(Periods!$B$5:$B$57,$B1037)</f>
        <v/>
      </c>
      <c r="E1037" s="52">
        <f>INDEX(Periods!$C$5:$C$57,$B1037)</f>
        <v/>
      </c>
      <c r="F1037" s="50">
        <f>IF(AND($C1037&lt;&gt;"",INDEX(Periods!$D$5:$D$57,$B1037)=1),1,0)</f>
        <v/>
      </c>
      <c r="G1037" s="50">
        <f>IF($F1037=0,0,IF(AND(OR(INDEX(Employees!$D$5:$D$29,$A1037)="",$E1037&gt;=INDEX(Employees!$D$5:$D$29,$A1037)+N(INDEX(Employees!$U$5:$U$29,$A1037))),OR(INDEX(Employees!$E$5:$E$29,$A1037)="",$D1037&lt;=INDEX(Employees!$E$5:$E$29,$A1037))),1,0))</f>
        <v/>
      </c>
      <c r="H1037" s="50">
        <f>IF($G1037=0,0,IF(INDEX(Employees!$D$5:$D$29,$A1037)="",0,DATEDIF(INDEX(Employees!$D$5:$D$29,$A1037),$E1037,"y")))</f>
        <v/>
      </c>
      <c r="I1037" s="51">
        <f>IF($G1037=0,0,IF(INDEX('Hours Worked'!$D$5:$BD$29,$A1037,$B1037)="",N(INDEX(Employees!$H$5:$H$29,$A1037)),INDEX('Hours Worked'!$D$5:$BD$29,$A1037,$B1037)))</f>
        <v/>
      </c>
      <c r="J1037" s="51">
        <f>IF(OR($G1037=0,INDEX(Employees!$O$5:$O$29,$A1037)&lt;&gt;"Yes"),0,IF(COUNTIF(Settings!$D$4:$D$9,"&lt;="&amp;$H1037)=0,0,INDEX(Settings!$E$4:$E$9,COUNTIF(Settings!$D$4:$D$9,"&lt;="&amp;$H1037))))</f>
        <v/>
      </c>
      <c r="K1037" s="51">
        <f>IF($G1037=0,0,IF(INDEX(Employees!$I$5:$I$29,$A1037)="Per pay period",(N(INDEX(Employees!$J$5:$J$29,$A1037))+$J1037)/Settings!$B$13,IF(INDEX(Employees!$I$5:$I$29,$A1037)="Per hour worked",N(INDEX(Employees!$K$5:$K$29,$A1037))*$I1037,IF(INDEX(Employees!$I$5:$I$29,$A1037)="Front-loaded",IF(OR($B1037=1,N($G1036)=0),N(INDEX(Employees!$J$5:$J$29,$A1037))+$J1037,0),0))))</f>
        <v/>
      </c>
      <c r="L1037" s="51">
        <f>IF($F1037=0,0,SUMIFS('Time Off Log'!$H$5:$H$504,'Time Off Log'!$A$5:$A$504,$C1037,'Time Off Log'!$B$5:$B$504,"PTO",'Time Off Log'!$E$5:$E$504,"Approved",'Time Off Log'!$C$5:$C$504,"&gt;="&amp;INDEX(Periods!$E$5:$E$57,$B1037),'Time Off Log'!$C$5:$C$504,"&lt;="&amp;INDEX(Periods!$F$5:$F$57,$B1037)))</f>
        <v/>
      </c>
      <c r="M1037" s="51">
        <f>IF($B1037=1,N(INDEX(Employees!$N$5:$N$29,$A1037)),P1036)</f>
        <v/>
      </c>
      <c r="N1037" s="51">
        <f>IF(INDEX(Employees!$L$5:$L$29,$A1037)="",K1037,MAX(0,MIN(K1037,INDEX(Employees!$L$5:$L$29,$A1037)-(M1037-L1037))))</f>
        <v/>
      </c>
      <c r="O1037" s="51">
        <f>K1037-N1037</f>
        <v/>
      </c>
      <c r="P1037" s="51">
        <f>M1037-L1037+N1037</f>
        <v/>
      </c>
      <c r="Q1037" s="51">
        <f>IF($G1037=0,0,IF(INDEX(Employees!$P$5:$P$29,$A1037)="Per pay period",(N(INDEX(Employees!$Q$5:$Q$29,$A1037)))/Settings!$B$13,IF(INDEX(Employees!$P$5:$P$29,$A1037)="Per hour worked",N(INDEX(Employees!$R$5:$R$29,$A1037))*$I1037,IF(INDEX(Employees!$P$5:$P$29,$A1037)="Front-loaded",IF(OR($B1037=1,N($G1036)=0),N(INDEX(Employees!$Q$5:$Q$29,$A1037)),0),0))))</f>
        <v/>
      </c>
      <c r="R1037" s="51">
        <f>IF($F1037=0,0,SUMIFS('Time Off Log'!$H$5:$H$504,'Time Off Log'!$A$5:$A$504,$C1037,'Time Off Log'!$B$5:$B$504,"Sick",'Time Off Log'!$E$5:$E$504,"Approved",'Time Off Log'!$C$5:$C$504,"&gt;="&amp;INDEX(Periods!$E$5:$E$57,$B1037),'Time Off Log'!$C$5:$C$504,"&lt;="&amp;INDEX(Periods!$F$5:$F$57,$B1037)))</f>
        <v/>
      </c>
      <c r="S1037" s="51">
        <f>IF($B1037=1,N(INDEX(Employees!$T$5:$T$29,$A1037)),V1036)</f>
        <v/>
      </c>
      <c r="T1037" s="51">
        <f>IF(INDEX(Employees!$S$5:$S$29,$A1037)="",Q1037,MAX(0,MIN(Q1037,INDEX(Employees!$S$5:$S$29,$A1037)-(S1037-R1037))))</f>
        <v/>
      </c>
      <c r="U1037" s="51">
        <f>Q1037-T1037</f>
        <v/>
      </c>
      <c r="V1037" s="51">
        <f>S1037-R1037+T1037</f>
        <v/>
      </c>
    </row>
    <row r="1038">
      <c r="A1038" s="50" t="n">
        <v>20</v>
      </c>
      <c r="B1038" s="50" t="n">
        <v>27</v>
      </c>
      <c r="C1038" s="51">
        <f>INDEX(Employees!$B$5:$B$29,$A1038)&amp;""</f>
        <v/>
      </c>
      <c r="D1038" s="52">
        <f>INDEX(Periods!$B$5:$B$57,$B1038)</f>
        <v/>
      </c>
      <c r="E1038" s="52">
        <f>INDEX(Periods!$C$5:$C$57,$B1038)</f>
        <v/>
      </c>
      <c r="F1038" s="50">
        <f>IF(AND($C1038&lt;&gt;"",INDEX(Periods!$D$5:$D$57,$B1038)=1),1,0)</f>
        <v/>
      </c>
      <c r="G1038" s="50">
        <f>IF($F1038=0,0,IF(AND(OR(INDEX(Employees!$D$5:$D$29,$A1038)="",$E1038&gt;=INDEX(Employees!$D$5:$D$29,$A1038)+N(INDEX(Employees!$U$5:$U$29,$A1038))),OR(INDEX(Employees!$E$5:$E$29,$A1038)="",$D1038&lt;=INDEX(Employees!$E$5:$E$29,$A1038))),1,0))</f>
        <v/>
      </c>
      <c r="H1038" s="50">
        <f>IF($G1038=0,0,IF(INDEX(Employees!$D$5:$D$29,$A1038)="",0,DATEDIF(INDEX(Employees!$D$5:$D$29,$A1038),$E1038,"y")))</f>
        <v/>
      </c>
      <c r="I1038" s="51">
        <f>IF($G1038=0,0,IF(INDEX('Hours Worked'!$D$5:$BD$29,$A1038,$B1038)="",N(INDEX(Employees!$H$5:$H$29,$A1038)),INDEX('Hours Worked'!$D$5:$BD$29,$A1038,$B1038)))</f>
        <v/>
      </c>
      <c r="J1038" s="51">
        <f>IF(OR($G1038=0,INDEX(Employees!$O$5:$O$29,$A1038)&lt;&gt;"Yes"),0,IF(COUNTIF(Settings!$D$4:$D$9,"&lt;="&amp;$H1038)=0,0,INDEX(Settings!$E$4:$E$9,COUNTIF(Settings!$D$4:$D$9,"&lt;="&amp;$H1038))))</f>
        <v/>
      </c>
      <c r="K1038" s="51">
        <f>IF($G1038=0,0,IF(INDEX(Employees!$I$5:$I$29,$A1038)="Per pay period",(N(INDEX(Employees!$J$5:$J$29,$A1038))+$J1038)/Settings!$B$13,IF(INDEX(Employees!$I$5:$I$29,$A1038)="Per hour worked",N(INDEX(Employees!$K$5:$K$29,$A1038))*$I1038,IF(INDEX(Employees!$I$5:$I$29,$A1038)="Front-loaded",IF(OR($B1038=1,N($G1037)=0),N(INDEX(Employees!$J$5:$J$29,$A1038))+$J1038,0),0))))</f>
        <v/>
      </c>
      <c r="L1038" s="51">
        <f>IF($F1038=0,0,SUMIFS('Time Off Log'!$H$5:$H$504,'Time Off Log'!$A$5:$A$504,$C1038,'Time Off Log'!$B$5:$B$504,"PTO",'Time Off Log'!$E$5:$E$504,"Approved",'Time Off Log'!$C$5:$C$504,"&gt;="&amp;INDEX(Periods!$E$5:$E$57,$B1038),'Time Off Log'!$C$5:$C$504,"&lt;="&amp;INDEX(Periods!$F$5:$F$57,$B1038)))</f>
        <v/>
      </c>
      <c r="M1038" s="51">
        <f>IF($B1038=1,N(INDEX(Employees!$N$5:$N$29,$A1038)),P1037)</f>
        <v/>
      </c>
      <c r="N1038" s="51">
        <f>IF(INDEX(Employees!$L$5:$L$29,$A1038)="",K1038,MAX(0,MIN(K1038,INDEX(Employees!$L$5:$L$29,$A1038)-(M1038-L1038))))</f>
        <v/>
      </c>
      <c r="O1038" s="51">
        <f>K1038-N1038</f>
        <v/>
      </c>
      <c r="P1038" s="51">
        <f>M1038-L1038+N1038</f>
        <v/>
      </c>
      <c r="Q1038" s="51">
        <f>IF($G1038=0,0,IF(INDEX(Employees!$P$5:$P$29,$A1038)="Per pay period",(N(INDEX(Employees!$Q$5:$Q$29,$A1038)))/Settings!$B$13,IF(INDEX(Employees!$P$5:$P$29,$A1038)="Per hour worked",N(INDEX(Employees!$R$5:$R$29,$A1038))*$I1038,IF(INDEX(Employees!$P$5:$P$29,$A1038)="Front-loaded",IF(OR($B1038=1,N($G1037)=0),N(INDEX(Employees!$Q$5:$Q$29,$A1038)),0),0))))</f>
        <v/>
      </c>
      <c r="R1038" s="51">
        <f>IF($F1038=0,0,SUMIFS('Time Off Log'!$H$5:$H$504,'Time Off Log'!$A$5:$A$504,$C1038,'Time Off Log'!$B$5:$B$504,"Sick",'Time Off Log'!$E$5:$E$504,"Approved",'Time Off Log'!$C$5:$C$504,"&gt;="&amp;INDEX(Periods!$E$5:$E$57,$B1038),'Time Off Log'!$C$5:$C$504,"&lt;="&amp;INDEX(Periods!$F$5:$F$57,$B1038)))</f>
        <v/>
      </c>
      <c r="S1038" s="51">
        <f>IF($B1038=1,N(INDEX(Employees!$T$5:$T$29,$A1038)),V1037)</f>
        <v/>
      </c>
      <c r="T1038" s="51">
        <f>IF(INDEX(Employees!$S$5:$S$29,$A1038)="",Q1038,MAX(0,MIN(Q1038,INDEX(Employees!$S$5:$S$29,$A1038)-(S1038-R1038))))</f>
        <v/>
      </c>
      <c r="U1038" s="51">
        <f>Q1038-T1038</f>
        <v/>
      </c>
      <c r="V1038" s="51">
        <f>S1038-R1038+T1038</f>
        <v/>
      </c>
    </row>
    <row r="1039">
      <c r="A1039" s="50" t="n">
        <v>20</v>
      </c>
      <c r="B1039" s="50" t="n">
        <v>28</v>
      </c>
      <c r="C1039" s="51">
        <f>INDEX(Employees!$B$5:$B$29,$A1039)&amp;""</f>
        <v/>
      </c>
      <c r="D1039" s="52">
        <f>INDEX(Periods!$B$5:$B$57,$B1039)</f>
        <v/>
      </c>
      <c r="E1039" s="52">
        <f>INDEX(Periods!$C$5:$C$57,$B1039)</f>
        <v/>
      </c>
      <c r="F1039" s="50">
        <f>IF(AND($C1039&lt;&gt;"",INDEX(Periods!$D$5:$D$57,$B1039)=1),1,0)</f>
        <v/>
      </c>
      <c r="G1039" s="50">
        <f>IF($F1039=0,0,IF(AND(OR(INDEX(Employees!$D$5:$D$29,$A1039)="",$E1039&gt;=INDEX(Employees!$D$5:$D$29,$A1039)+N(INDEX(Employees!$U$5:$U$29,$A1039))),OR(INDEX(Employees!$E$5:$E$29,$A1039)="",$D1039&lt;=INDEX(Employees!$E$5:$E$29,$A1039))),1,0))</f>
        <v/>
      </c>
      <c r="H1039" s="50">
        <f>IF($G1039=0,0,IF(INDEX(Employees!$D$5:$D$29,$A1039)="",0,DATEDIF(INDEX(Employees!$D$5:$D$29,$A1039),$E1039,"y")))</f>
        <v/>
      </c>
      <c r="I1039" s="51">
        <f>IF($G1039=0,0,IF(INDEX('Hours Worked'!$D$5:$BD$29,$A1039,$B1039)="",N(INDEX(Employees!$H$5:$H$29,$A1039)),INDEX('Hours Worked'!$D$5:$BD$29,$A1039,$B1039)))</f>
        <v/>
      </c>
      <c r="J1039" s="51">
        <f>IF(OR($G1039=0,INDEX(Employees!$O$5:$O$29,$A1039)&lt;&gt;"Yes"),0,IF(COUNTIF(Settings!$D$4:$D$9,"&lt;="&amp;$H1039)=0,0,INDEX(Settings!$E$4:$E$9,COUNTIF(Settings!$D$4:$D$9,"&lt;="&amp;$H1039))))</f>
        <v/>
      </c>
      <c r="K1039" s="51">
        <f>IF($G1039=0,0,IF(INDEX(Employees!$I$5:$I$29,$A1039)="Per pay period",(N(INDEX(Employees!$J$5:$J$29,$A1039))+$J1039)/Settings!$B$13,IF(INDEX(Employees!$I$5:$I$29,$A1039)="Per hour worked",N(INDEX(Employees!$K$5:$K$29,$A1039))*$I1039,IF(INDEX(Employees!$I$5:$I$29,$A1039)="Front-loaded",IF(OR($B1039=1,N($G1038)=0),N(INDEX(Employees!$J$5:$J$29,$A1039))+$J1039,0),0))))</f>
        <v/>
      </c>
      <c r="L1039" s="51">
        <f>IF($F1039=0,0,SUMIFS('Time Off Log'!$H$5:$H$504,'Time Off Log'!$A$5:$A$504,$C1039,'Time Off Log'!$B$5:$B$504,"PTO",'Time Off Log'!$E$5:$E$504,"Approved",'Time Off Log'!$C$5:$C$504,"&gt;="&amp;INDEX(Periods!$E$5:$E$57,$B1039),'Time Off Log'!$C$5:$C$504,"&lt;="&amp;INDEX(Periods!$F$5:$F$57,$B1039)))</f>
        <v/>
      </c>
      <c r="M1039" s="51">
        <f>IF($B1039=1,N(INDEX(Employees!$N$5:$N$29,$A1039)),P1038)</f>
        <v/>
      </c>
      <c r="N1039" s="51">
        <f>IF(INDEX(Employees!$L$5:$L$29,$A1039)="",K1039,MAX(0,MIN(K1039,INDEX(Employees!$L$5:$L$29,$A1039)-(M1039-L1039))))</f>
        <v/>
      </c>
      <c r="O1039" s="51">
        <f>K1039-N1039</f>
        <v/>
      </c>
      <c r="P1039" s="51">
        <f>M1039-L1039+N1039</f>
        <v/>
      </c>
      <c r="Q1039" s="51">
        <f>IF($G1039=0,0,IF(INDEX(Employees!$P$5:$P$29,$A1039)="Per pay period",(N(INDEX(Employees!$Q$5:$Q$29,$A1039)))/Settings!$B$13,IF(INDEX(Employees!$P$5:$P$29,$A1039)="Per hour worked",N(INDEX(Employees!$R$5:$R$29,$A1039))*$I1039,IF(INDEX(Employees!$P$5:$P$29,$A1039)="Front-loaded",IF(OR($B1039=1,N($G1038)=0),N(INDEX(Employees!$Q$5:$Q$29,$A1039)),0),0))))</f>
        <v/>
      </c>
      <c r="R1039" s="51">
        <f>IF($F1039=0,0,SUMIFS('Time Off Log'!$H$5:$H$504,'Time Off Log'!$A$5:$A$504,$C1039,'Time Off Log'!$B$5:$B$504,"Sick",'Time Off Log'!$E$5:$E$504,"Approved",'Time Off Log'!$C$5:$C$504,"&gt;="&amp;INDEX(Periods!$E$5:$E$57,$B1039),'Time Off Log'!$C$5:$C$504,"&lt;="&amp;INDEX(Periods!$F$5:$F$57,$B1039)))</f>
        <v/>
      </c>
      <c r="S1039" s="51">
        <f>IF($B1039=1,N(INDEX(Employees!$T$5:$T$29,$A1039)),V1038)</f>
        <v/>
      </c>
      <c r="T1039" s="51">
        <f>IF(INDEX(Employees!$S$5:$S$29,$A1039)="",Q1039,MAX(0,MIN(Q1039,INDEX(Employees!$S$5:$S$29,$A1039)-(S1039-R1039))))</f>
        <v/>
      </c>
      <c r="U1039" s="51">
        <f>Q1039-T1039</f>
        <v/>
      </c>
      <c r="V1039" s="51">
        <f>S1039-R1039+T1039</f>
        <v/>
      </c>
    </row>
    <row r="1040">
      <c r="A1040" s="50" t="n">
        <v>20</v>
      </c>
      <c r="B1040" s="50" t="n">
        <v>29</v>
      </c>
      <c r="C1040" s="51">
        <f>INDEX(Employees!$B$5:$B$29,$A1040)&amp;""</f>
        <v/>
      </c>
      <c r="D1040" s="52">
        <f>INDEX(Periods!$B$5:$B$57,$B1040)</f>
        <v/>
      </c>
      <c r="E1040" s="52">
        <f>INDEX(Periods!$C$5:$C$57,$B1040)</f>
        <v/>
      </c>
      <c r="F1040" s="50">
        <f>IF(AND($C1040&lt;&gt;"",INDEX(Periods!$D$5:$D$57,$B1040)=1),1,0)</f>
        <v/>
      </c>
      <c r="G1040" s="50">
        <f>IF($F1040=0,0,IF(AND(OR(INDEX(Employees!$D$5:$D$29,$A1040)="",$E1040&gt;=INDEX(Employees!$D$5:$D$29,$A1040)+N(INDEX(Employees!$U$5:$U$29,$A1040))),OR(INDEX(Employees!$E$5:$E$29,$A1040)="",$D1040&lt;=INDEX(Employees!$E$5:$E$29,$A1040))),1,0))</f>
        <v/>
      </c>
      <c r="H1040" s="50">
        <f>IF($G1040=0,0,IF(INDEX(Employees!$D$5:$D$29,$A1040)="",0,DATEDIF(INDEX(Employees!$D$5:$D$29,$A1040),$E1040,"y")))</f>
        <v/>
      </c>
      <c r="I1040" s="51">
        <f>IF($G1040=0,0,IF(INDEX('Hours Worked'!$D$5:$BD$29,$A1040,$B1040)="",N(INDEX(Employees!$H$5:$H$29,$A1040)),INDEX('Hours Worked'!$D$5:$BD$29,$A1040,$B1040)))</f>
        <v/>
      </c>
      <c r="J1040" s="51">
        <f>IF(OR($G1040=0,INDEX(Employees!$O$5:$O$29,$A1040)&lt;&gt;"Yes"),0,IF(COUNTIF(Settings!$D$4:$D$9,"&lt;="&amp;$H1040)=0,0,INDEX(Settings!$E$4:$E$9,COUNTIF(Settings!$D$4:$D$9,"&lt;="&amp;$H1040))))</f>
        <v/>
      </c>
      <c r="K1040" s="51">
        <f>IF($G1040=0,0,IF(INDEX(Employees!$I$5:$I$29,$A1040)="Per pay period",(N(INDEX(Employees!$J$5:$J$29,$A1040))+$J1040)/Settings!$B$13,IF(INDEX(Employees!$I$5:$I$29,$A1040)="Per hour worked",N(INDEX(Employees!$K$5:$K$29,$A1040))*$I1040,IF(INDEX(Employees!$I$5:$I$29,$A1040)="Front-loaded",IF(OR($B1040=1,N($G1039)=0),N(INDEX(Employees!$J$5:$J$29,$A1040))+$J1040,0),0))))</f>
        <v/>
      </c>
      <c r="L1040" s="51">
        <f>IF($F1040=0,0,SUMIFS('Time Off Log'!$H$5:$H$504,'Time Off Log'!$A$5:$A$504,$C1040,'Time Off Log'!$B$5:$B$504,"PTO",'Time Off Log'!$E$5:$E$504,"Approved",'Time Off Log'!$C$5:$C$504,"&gt;="&amp;INDEX(Periods!$E$5:$E$57,$B1040),'Time Off Log'!$C$5:$C$504,"&lt;="&amp;INDEX(Periods!$F$5:$F$57,$B1040)))</f>
        <v/>
      </c>
      <c r="M1040" s="51">
        <f>IF($B1040=1,N(INDEX(Employees!$N$5:$N$29,$A1040)),P1039)</f>
        <v/>
      </c>
      <c r="N1040" s="51">
        <f>IF(INDEX(Employees!$L$5:$L$29,$A1040)="",K1040,MAX(0,MIN(K1040,INDEX(Employees!$L$5:$L$29,$A1040)-(M1040-L1040))))</f>
        <v/>
      </c>
      <c r="O1040" s="51">
        <f>K1040-N1040</f>
        <v/>
      </c>
      <c r="P1040" s="51">
        <f>M1040-L1040+N1040</f>
        <v/>
      </c>
      <c r="Q1040" s="51">
        <f>IF($G1040=0,0,IF(INDEX(Employees!$P$5:$P$29,$A1040)="Per pay period",(N(INDEX(Employees!$Q$5:$Q$29,$A1040)))/Settings!$B$13,IF(INDEX(Employees!$P$5:$P$29,$A1040)="Per hour worked",N(INDEX(Employees!$R$5:$R$29,$A1040))*$I1040,IF(INDEX(Employees!$P$5:$P$29,$A1040)="Front-loaded",IF(OR($B1040=1,N($G1039)=0),N(INDEX(Employees!$Q$5:$Q$29,$A1040)),0),0))))</f>
        <v/>
      </c>
      <c r="R1040" s="51">
        <f>IF($F1040=0,0,SUMIFS('Time Off Log'!$H$5:$H$504,'Time Off Log'!$A$5:$A$504,$C1040,'Time Off Log'!$B$5:$B$504,"Sick",'Time Off Log'!$E$5:$E$504,"Approved",'Time Off Log'!$C$5:$C$504,"&gt;="&amp;INDEX(Periods!$E$5:$E$57,$B1040),'Time Off Log'!$C$5:$C$504,"&lt;="&amp;INDEX(Periods!$F$5:$F$57,$B1040)))</f>
        <v/>
      </c>
      <c r="S1040" s="51">
        <f>IF($B1040=1,N(INDEX(Employees!$T$5:$T$29,$A1040)),V1039)</f>
        <v/>
      </c>
      <c r="T1040" s="51">
        <f>IF(INDEX(Employees!$S$5:$S$29,$A1040)="",Q1040,MAX(0,MIN(Q1040,INDEX(Employees!$S$5:$S$29,$A1040)-(S1040-R1040))))</f>
        <v/>
      </c>
      <c r="U1040" s="51">
        <f>Q1040-T1040</f>
        <v/>
      </c>
      <c r="V1040" s="51">
        <f>S1040-R1040+T1040</f>
        <v/>
      </c>
    </row>
    <row r="1041">
      <c r="A1041" s="50" t="n">
        <v>20</v>
      </c>
      <c r="B1041" s="50" t="n">
        <v>30</v>
      </c>
      <c r="C1041" s="51">
        <f>INDEX(Employees!$B$5:$B$29,$A1041)&amp;""</f>
        <v/>
      </c>
      <c r="D1041" s="52">
        <f>INDEX(Periods!$B$5:$B$57,$B1041)</f>
        <v/>
      </c>
      <c r="E1041" s="52">
        <f>INDEX(Periods!$C$5:$C$57,$B1041)</f>
        <v/>
      </c>
      <c r="F1041" s="50">
        <f>IF(AND($C1041&lt;&gt;"",INDEX(Periods!$D$5:$D$57,$B1041)=1),1,0)</f>
        <v/>
      </c>
      <c r="G1041" s="50">
        <f>IF($F1041=0,0,IF(AND(OR(INDEX(Employees!$D$5:$D$29,$A1041)="",$E1041&gt;=INDEX(Employees!$D$5:$D$29,$A1041)+N(INDEX(Employees!$U$5:$U$29,$A1041))),OR(INDEX(Employees!$E$5:$E$29,$A1041)="",$D1041&lt;=INDEX(Employees!$E$5:$E$29,$A1041))),1,0))</f>
        <v/>
      </c>
      <c r="H1041" s="50">
        <f>IF($G1041=0,0,IF(INDEX(Employees!$D$5:$D$29,$A1041)="",0,DATEDIF(INDEX(Employees!$D$5:$D$29,$A1041),$E1041,"y")))</f>
        <v/>
      </c>
      <c r="I1041" s="51">
        <f>IF($G1041=0,0,IF(INDEX('Hours Worked'!$D$5:$BD$29,$A1041,$B1041)="",N(INDEX(Employees!$H$5:$H$29,$A1041)),INDEX('Hours Worked'!$D$5:$BD$29,$A1041,$B1041)))</f>
        <v/>
      </c>
      <c r="J1041" s="51">
        <f>IF(OR($G1041=0,INDEX(Employees!$O$5:$O$29,$A1041)&lt;&gt;"Yes"),0,IF(COUNTIF(Settings!$D$4:$D$9,"&lt;="&amp;$H1041)=0,0,INDEX(Settings!$E$4:$E$9,COUNTIF(Settings!$D$4:$D$9,"&lt;="&amp;$H1041))))</f>
        <v/>
      </c>
      <c r="K1041" s="51">
        <f>IF($G1041=0,0,IF(INDEX(Employees!$I$5:$I$29,$A1041)="Per pay period",(N(INDEX(Employees!$J$5:$J$29,$A1041))+$J1041)/Settings!$B$13,IF(INDEX(Employees!$I$5:$I$29,$A1041)="Per hour worked",N(INDEX(Employees!$K$5:$K$29,$A1041))*$I1041,IF(INDEX(Employees!$I$5:$I$29,$A1041)="Front-loaded",IF(OR($B1041=1,N($G1040)=0),N(INDEX(Employees!$J$5:$J$29,$A1041))+$J1041,0),0))))</f>
        <v/>
      </c>
      <c r="L1041" s="51">
        <f>IF($F1041=0,0,SUMIFS('Time Off Log'!$H$5:$H$504,'Time Off Log'!$A$5:$A$504,$C1041,'Time Off Log'!$B$5:$B$504,"PTO",'Time Off Log'!$E$5:$E$504,"Approved",'Time Off Log'!$C$5:$C$504,"&gt;="&amp;INDEX(Periods!$E$5:$E$57,$B1041),'Time Off Log'!$C$5:$C$504,"&lt;="&amp;INDEX(Periods!$F$5:$F$57,$B1041)))</f>
        <v/>
      </c>
      <c r="M1041" s="51">
        <f>IF($B1041=1,N(INDEX(Employees!$N$5:$N$29,$A1041)),P1040)</f>
        <v/>
      </c>
      <c r="N1041" s="51">
        <f>IF(INDEX(Employees!$L$5:$L$29,$A1041)="",K1041,MAX(0,MIN(K1041,INDEX(Employees!$L$5:$L$29,$A1041)-(M1041-L1041))))</f>
        <v/>
      </c>
      <c r="O1041" s="51">
        <f>K1041-N1041</f>
        <v/>
      </c>
      <c r="P1041" s="51">
        <f>M1041-L1041+N1041</f>
        <v/>
      </c>
      <c r="Q1041" s="51">
        <f>IF($G1041=0,0,IF(INDEX(Employees!$P$5:$P$29,$A1041)="Per pay period",(N(INDEX(Employees!$Q$5:$Q$29,$A1041)))/Settings!$B$13,IF(INDEX(Employees!$P$5:$P$29,$A1041)="Per hour worked",N(INDEX(Employees!$R$5:$R$29,$A1041))*$I1041,IF(INDEX(Employees!$P$5:$P$29,$A1041)="Front-loaded",IF(OR($B1041=1,N($G1040)=0),N(INDEX(Employees!$Q$5:$Q$29,$A1041)),0),0))))</f>
        <v/>
      </c>
      <c r="R1041" s="51">
        <f>IF($F1041=0,0,SUMIFS('Time Off Log'!$H$5:$H$504,'Time Off Log'!$A$5:$A$504,$C1041,'Time Off Log'!$B$5:$B$504,"Sick",'Time Off Log'!$E$5:$E$504,"Approved",'Time Off Log'!$C$5:$C$504,"&gt;="&amp;INDEX(Periods!$E$5:$E$57,$B1041),'Time Off Log'!$C$5:$C$504,"&lt;="&amp;INDEX(Periods!$F$5:$F$57,$B1041)))</f>
        <v/>
      </c>
      <c r="S1041" s="51">
        <f>IF($B1041=1,N(INDEX(Employees!$T$5:$T$29,$A1041)),V1040)</f>
        <v/>
      </c>
      <c r="T1041" s="51">
        <f>IF(INDEX(Employees!$S$5:$S$29,$A1041)="",Q1041,MAX(0,MIN(Q1041,INDEX(Employees!$S$5:$S$29,$A1041)-(S1041-R1041))))</f>
        <v/>
      </c>
      <c r="U1041" s="51">
        <f>Q1041-T1041</f>
        <v/>
      </c>
      <c r="V1041" s="51">
        <f>S1041-R1041+T1041</f>
        <v/>
      </c>
    </row>
    <row r="1042">
      <c r="A1042" s="50" t="n">
        <v>20</v>
      </c>
      <c r="B1042" s="50" t="n">
        <v>31</v>
      </c>
      <c r="C1042" s="51">
        <f>INDEX(Employees!$B$5:$B$29,$A1042)&amp;""</f>
        <v/>
      </c>
      <c r="D1042" s="52">
        <f>INDEX(Periods!$B$5:$B$57,$B1042)</f>
        <v/>
      </c>
      <c r="E1042" s="52">
        <f>INDEX(Periods!$C$5:$C$57,$B1042)</f>
        <v/>
      </c>
      <c r="F1042" s="50">
        <f>IF(AND($C1042&lt;&gt;"",INDEX(Periods!$D$5:$D$57,$B1042)=1),1,0)</f>
        <v/>
      </c>
      <c r="G1042" s="50">
        <f>IF($F1042=0,0,IF(AND(OR(INDEX(Employees!$D$5:$D$29,$A1042)="",$E1042&gt;=INDEX(Employees!$D$5:$D$29,$A1042)+N(INDEX(Employees!$U$5:$U$29,$A1042))),OR(INDEX(Employees!$E$5:$E$29,$A1042)="",$D1042&lt;=INDEX(Employees!$E$5:$E$29,$A1042))),1,0))</f>
        <v/>
      </c>
      <c r="H1042" s="50">
        <f>IF($G1042=0,0,IF(INDEX(Employees!$D$5:$D$29,$A1042)="",0,DATEDIF(INDEX(Employees!$D$5:$D$29,$A1042),$E1042,"y")))</f>
        <v/>
      </c>
      <c r="I1042" s="51">
        <f>IF($G1042=0,0,IF(INDEX('Hours Worked'!$D$5:$BD$29,$A1042,$B1042)="",N(INDEX(Employees!$H$5:$H$29,$A1042)),INDEX('Hours Worked'!$D$5:$BD$29,$A1042,$B1042)))</f>
        <v/>
      </c>
      <c r="J1042" s="51">
        <f>IF(OR($G1042=0,INDEX(Employees!$O$5:$O$29,$A1042)&lt;&gt;"Yes"),0,IF(COUNTIF(Settings!$D$4:$D$9,"&lt;="&amp;$H1042)=0,0,INDEX(Settings!$E$4:$E$9,COUNTIF(Settings!$D$4:$D$9,"&lt;="&amp;$H1042))))</f>
        <v/>
      </c>
      <c r="K1042" s="51">
        <f>IF($G1042=0,0,IF(INDEX(Employees!$I$5:$I$29,$A1042)="Per pay period",(N(INDEX(Employees!$J$5:$J$29,$A1042))+$J1042)/Settings!$B$13,IF(INDEX(Employees!$I$5:$I$29,$A1042)="Per hour worked",N(INDEX(Employees!$K$5:$K$29,$A1042))*$I1042,IF(INDEX(Employees!$I$5:$I$29,$A1042)="Front-loaded",IF(OR($B1042=1,N($G1041)=0),N(INDEX(Employees!$J$5:$J$29,$A1042))+$J1042,0),0))))</f>
        <v/>
      </c>
      <c r="L1042" s="51">
        <f>IF($F1042=0,0,SUMIFS('Time Off Log'!$H$5:$H$504,'Time Off Log'!$A$5:$A$504,$C1042,'Time Off Log'!$B$5:$B$504,"PTO",'Time Off Log'!$E$5:$E$504,"Approved",'Time Off Log'!$C$5:$C$504,"&gt;="&amp;INDEX(Periods!$E$5:$E$57,$B1042),'Time Off Log'!$C$5:$C$504,"&lt;="&amp;INDEX(Periods!$F$5:$F$57,$B1042)))</f>
        <v/>
      </c>
      <c r="M1042" s="51">
        <f>IF($B1042=1,N(INDEX(Employees!$N$5:$N$29,$A1042)),P1041)</f>
        <v/>
      </c>
      <c r="N1042" s="51">
        <f>IF(INDEX(Employees!$L$5:$L$29,$A1042)="",K1042,MAX(0,MIN(K1042,INDEX(Employees!$L$5:$L$29,$A1042)-(M1042-L1042))))</f>
        <v/>
      </c>
      <c r="O1042" s="51">
        <f>K1042-N1042</f>
        <v/>
      </c>
      <c r="P1042" s="51">
        <f>M1042-L1042+N1042</f>
        <v/>
      </c>
      <c r="Q1042" s="51">
        <f>IF($G1042=0,0,IF(INDEX(Employees!$P$5:$P$29,$A1042)="Per pay period",(N(INDEX(Employees!$Q$5:$Q$29,$A1042)))/Settings!$B$13,IF(INDEX(Employees!$P$5:$P$29,$A1042)="Per hour worked",N(INDEX(Employees!$R$5:$R$29,$A1042))*$I1042,IF(INDEX(Employees!$P$5:$P$29,$A1042)="Front-loaded",IF(OR($B1042=1,N($G1041)=0),N(INDEX(Employees!$Q$5:$Q$29,$A1042)),0),0))))</f>
        <v/>
      </c>
      <c r="R1042" s="51">
        <f>IF($F1042=0,0,SUMIFS('Time Off Log'!$H$5:$H$504,'Time Off Log'!$A$5:$A$504,$C1042,'Time Off Log'!$B$5:$B$504,"Sick",'Time Off Log'!$E$5:$E$504,"Approved",'Time Off Log'!$C$5:$C$504,"&gt;="&amp;INDEX(Periods!$E$5:$E$57,$B1042),'Time Off Log'!$C$5:$C$504,"&lt;="&amp;INDEX(Periods!$F$5:$F$57,$B1042)))</f>
        <v/>
      </c>
      <c r="S1042" s="51">
        <f>IF($B1042=1,N(INDEX(Employees!$T$5:$T$29,$A1042)),V1041)</f>
        <v/>
      </c>
      <c r="T1042" s="51">
        <f>IF(INDEX(Employees!$S$5:$S$29,$A1042)="",Q1042,MAX(0,MIN(Q1042,INDEX(Employees!$S$5:$S$29,$A1042)-(S1042-R1042))))</f>
        <v/>
      </c>
      <c r="U1042" s="51">
        <f>Q1042-T1042</f>
        <v/>
      </c>
      <c r="V1042" s="51">
        <f>S1042-R1042+T1042</f>
        <v/>
      </c>
    </row>
    <row r="1043">
      <c r="A1043" s="50" t="n">
        <v>20</v>
      </c>
      <c r="B1043" s="50" t="n">
        <v>32</v>
      </c>
      <c r="C1043" s="51">
        <f>INDEX(Employees!$B$5:$B$29,$A1043)&amp;""</f>
        <v/>
      </c>
      <c r="D1043" s="52">
        <f>INDEX(Periods!$B$5:$B$57,$B1043)</f>
        <v/>
      </c>
      <c r="E1043" s="52">
        <f>INDEX(Periods!$C$5:$C$57,$B1043)</f>
        <v/>
      </c>
      <c r="F1043" s="50">
        <f>IF(AND($C1043&lt;&gt;"",INDEX(Periods!$D$5:$D$57,$B1043)=1),1,0)</f>
        <v/>
      </c>
      <c r="G1043" s="50">
        <f>IF($F1043=0,0,IF(AND(OR(INDEX(Employees!$D$5:$D$29,$A1043)="",$E1043&gt;=INDEX(Employees!$D$5:$D$29,$A1043)+N(INDEX(Employees!$U$5:$U$29,$A1043))),OR(INDEX(Employees!$E$5:$E$29,$A1043)="",$D1043&lt;=INDEX(Employees!$E$5:$E$29,$A1043))),1,0))</f>
        <v/>
      </c>
      <c r="H1043" s="50">
        <f>IF($G1043=0,0,IF(INDEX(Employees!$D$5:$D$29,$A1043)="",0,DATEDIF(INDEX(Employees!$D$5:$D$29,$A1043),$E1043,"y")))</f>
        <v/>
      </c>
      <c r="I1043" s="51">
        <f>IF($G1043=0,0,IF(INDEX('Hours Worked'!$D$5:$BD$29,$A1043,$B1043)="",N(INDEX(Employees!$H$5:$H$29,$A1043)),INDEX('Hours Worked'!$D$5:$BD$29,$A1043,$B1043)))</f>
        <v/>
      </c>
      <c r="J1043" s="51">
        <f>IF(OR($G1043=0,INDEX(Employees!$O$5:$O$29,$A1043)&lt;&gt;"Yes"),0,IF(COUNTIF(Settings!$D$4:$D$9,"&lt;="&amp;$H1043)=0,0,INDEX(Settings!$E$4:$E$9,COUNTIF(Settings!$D$4:$D$9,"&lt;="&amp;$H1043))))</f>
        <v/>
      </c>
      <c r="K1043" s="51">
        <f>IF($G1043=0,0,IF(INDEX(Employees!$I$5:$I$29,$A1043)="Per pay period",(N(INDEX(Employees!$J$5:$J$29,$A1043))+$J1043)/Settings!$B$13,IF(INDEX(Employees!$I$5:$I$29,$A1043)="Per hour worked",N(INDEX(Employees!$K$5:$K$29,$A1043))*$I1043,IF(INDEX(Employees!$I$5:$I$29,$A1043)="Front-loaded",IF(OR($B1043=1,N($G1042)=0),N(INDEX(Employees!$J$5:$J$29,$A1043))+$J1043,0),0))))</f>
        <v/>
      </c>
      <c r="L1043" s="51">
        <f>IF($F1043=0,0,SUMIFS('Time Off Log'!$H$5:$H$504,'Time Off Log'!$A$5:$A$504,$C1043,'Time Off Log'!$B$5:$B$504,"PTO",'Time Off Log'!$E$5:$E$504,"Approved",'Time Off Log'!$C$5:$C$504,"&gt;="&amp;INDEX(Periods!$E$5:$E$57,$B1043),'Time Off Log'!$C$5:$C$504,"&lt;="&amp;INDEX(Periods!$F$5:$F$57,$B1043)))</f>
        <v/>
      </c>
      <c r="M1043" s="51">
        <f>IF($B1043=1,N(INDEX(Employees!$N$5:$N$29,$A1043)),P1042)</f>
        <v/>
      </c>
      <c r="N1043" s="51">
        <f>IF(INDEX(Employees!$L$5:$L$29,$A1043)="",K1043,MAX(0,MIN(K1043,INDEX(Employees!$L$5:$L$29,$A1043)-(M1043-L1043))))</f>
        <v/>
      </c>
      <c r="O1043" s="51">
        <f>K1043-N1043</f>
        <v/>
      </c>
      <c r="P1043" s="51">
        <f>M1043-L1043+N1043</f>
        <v/>
      </c>
      <c r="Q1043" s="51">
        <f>IF($G1043=0,0,IF(INDEX(Employees!$P$5:$P$29,$A1043)="Per pay period",(N(INDEX(Employees!$Q$5:$Q$29,$A1043)))/Settings!$B$13,IF(INDEX(Employees!$P$5:$P$29,$A1043)="Per hour worked",N(INDEX(Employees!$R$5:$R$29,$A1043))*$I1043,IF(INDEX(Employees!$P$5:$P$29,$A1043)="Front-loaded",IF(OR($B1043=1,N($G1042)=0),N(INDEX(Employees!$Q$5:$Q$29,$A1043)),0),0))))</f>
        <v/>
      </c>
      <c r="R1043" s="51">
        <f>IF($F1043=0,0,SUMIFS('Time Off Log'!$H$5:$H$504,'Time Off Log'!$A$5:$A$504,$C1043,'Time Off Log'!$B$5:$B$504,"Sick",'Time Off Log'!$E$5:$E$504,"Approved",'Time Off Log'!$C$5:$C$504,"&gt;="&amp;INDEX(Periods!$E$5:$E$57,$B1043),'Time Off Log'!$C$5:$C$504,"&lt;="&amp;INDEX(Periods!$F$5:$F$57,$B1043)))</f>
        <v/>
      </c>
      <c r="S1043" s="51">
        <f>IF($B1043=1,N(INDEX(Employees!$T$5:$T$29,$A1043)),V1042)</f>
        <v/>
      </c>
      <c r="T1043" s="51">
        <f>IF(INDEX(Employees!$S$5:$S$29,$A1043)="",Q1043,MAX(0,MIN(Q1043,INDEX(Employees!$S$5:$S$29,$A1043)-(S1043-R1043))))</f>
        <v/>
      </c>
      <c r="U1043" s="51">
        <f>Q1043-T1043</f>
        <v/>
      </c>
      <c r="V1043" s="51">
        <f>S1043-R1043+T1043</f>
        <v/>
      </c>
    </row>
    <row r="1044">
      <c r="A1044" s="50" t="n">
        <v>20</v>
      </c>
      <c r="B1044" s="50" t="n">
        <v>33</v>
      </c>
      <c r="C1044" s="51">
        <f>INDEX(Employees!$B$5:$B$29,$A1044)&amp;""</f>
        <v/>
      </c>
      <c r="D1044" s="52">
        <f>INDEX(Periods!$B$5:$B$57,$B1044)</f>
        <v/>
      </c>
      <c r="E1044" s="52">
        <f>INDEX(Periods!$C$5:$C$57,$B1044)</f>
        <v/>
      </c>
      <c r="F1044" s="50">
        <f>IF(AND($C1044&lt;&gt;"",INDEX(Periods!$D$5:$D$57,$B1044)=1),1,0)</f>
        <v/>
      </c>
      <c r="G1044" s="50">
        <f>IF($F1044=0,0,IF(AND(OR(INDEX(Employees!$D$5:$D$29,$A1044)="",$E1044&gt;=INDEX(Employees!$D$5:$D$29,$A1044)+N(INDEX(Employees!$U$5:$U$29,$A1044))),OR(INDEX(Employees!$E$5:$E$29,$A1044)="",$D1044&lt;=INDEX(Employees!$E$5:$E$29,$A1044))),1,0))</f>
        <v/>
      </c>
      <c r="H1044" s="50">
        <f>IF($G1044=0,0,IF(INDEX(Employees!$D$5:$D$29,$A1044)="",0,DATEDIF(INDEX(Employees!$D$5:$D$29,$A1044),$E1044,"y")))</f>
        <v/>
      </c>
      <c r="I1044" s="51">
        <f>IF($G1044=0,0,IF(INDEX('Hours Worked'!$D$5:$BD$29,$A1044,$B1044)="",N(INDEX(Employees!$H$5:$H$29,$A1044)),INDEX('Hours Worked'!$D$5:$BD$29,$A1044,$B1044)))</f>
        <v/>
      </c>
      <c r="J1044" s="51">
        <f>IF(OR($G1044=0,INDEX(Employees!$O$5:$O$29,$A1044)&lt;&gt;"Yes"),0,IF(COUNTIF(Settings!$D$4:$D$9,"&lt;="&amp;$H1044)=0,0,INDEX(Settings!$E$4:$E$9,COUNTIF(Settings!$D$4:$D$9,"&lt;="&amp;$H1044))))</f>
        <v/>
      </c>
      <c r="K1044" s="51">
        <f>IF($G1044=0,0,IF(INDEX(Employees!$I$5:$I$29,$A1044)="Per pay period",(N(INDEX(Employees!$J$5:$J$29,$A1044))+$J1044)/Settings!$B$13,IF(INDEX(Employees!$I$5:$I$29,$A1044)="Per hour worked",N(INDEX(Employees!$K$5:$K$29,$A1044))*$I1044,IF(INDEX(Employees!$I$5:$I$29,$A1044)="Front-loaded",IF(OR($B1044=1,N($G1043)=0),N(INDEX(Employees!$J$5:$J$29,$A1044))+$J1044,0),0))))</f>
        <v/>
      </c>
      <c r="L1044" s="51">
        <f>IF($F1044=0,0,SUMIFS('Time Off Log'!$H$5:$H$504,'Time Off Log'!$A$5:$A$504,$C1044,'Time Off Log'!$B$5:$B$504,"PTO",'Time Off Log'!$E$5:$E$504,"Approved",'Time Off Log'!$C$5:$C$504,"&gt;="&amp;INDEX(Periods!$E$5:$E$57,$B1044),'Time Off Log'!$C$5:$C$504,"&lt;="&amp;INDEX(Periods!$F$5:$F$57,$B1044)))</f>
        <v/>
      </c>
      <c r="M1044" s="51">
        <f>IF($B1044=1,N(INDEX(Employees!$N$5:$N$29,$A1044)),P1043)</f>
        <v/>
      </c>
      <c r="N1044" s="51">
        <f>IF(INDEX(Employees!$L$5:$L$29,$A1044)="",K1044,MAX(0,MIN(K1044,INDEX(Employees!$L$5:$L$29,$A1044)-(M1044-L1044))))</f>
        <v/>
      </c>
      <c r="O1044" s="51">
        <f>K1044-N1044</f>
        <v/>
      </c>
      <c r="P1044" s="51">
        <f>M1044-L1044+N1044</f>
        <v/>
      </c>
      <c r="Q1044" s="51">
        <f>IF($G1044=0,0,IF(INDEX(Employees!$P$5:$P$29,$A1044)="Per pay period",(N(INDEX(Employees!$Q$5:$Q$29,$A1044)))/Settings!$B$13,IF(INDEX(Employees!$P$5:$P$29,$A1044)="Per hour worked",N(INDEX(Employees!$R$5:$R$29,$A1044))*$I1044,IF(INDEX(Employees!$P$5:$P$29,$A1044)="Front-loaded",IF(OR($B1044=1,N($G1043)=0),N(INDEX(Employees!$Q$5:$Q$29,$A1044)),0),0))))</f>
        <v/>
      </c>
      <c r="R1044" s="51">
        <f>IF($F1044=0,0,SUMIFS('Time Off Log'!$H$5:$H$504,'Time Off Log'!$A$5:$A$504,$C1044,'Time Off Log'!$B$5:$B$504,"Sick",'Time Off Log'!$E$5:$E$504,"Approved",'Time Off Log'!$C$5:$C$504,"&gt;="&amp;INDEX(Periods!$E$5:$E$57,$B1044),'Time Off Log'!$C$5:$C$504,"&lt;="&amp;INDEX(Periods!$F$5:$F$57,$B1044)))</f>
        <v/>
      </c>
      <c r="S1044" s="51">
        <f>IF($B1044=1,N(INDEX(Employees!$T$5:$T$29,$A1044)),V1043)</f>
        <v/>
      </c>
      <c r="T1044" s="51">
        <f>IF(INDEX(Employees!$S$5:$S$29,$A1044)="",Q1044,MAX(0,MIN(Q1044,INDEX(Employees!$S$5:$S$29,$A1044)-(S1044-R1044))))</f>
        <v/>
      </c>
      <c r="U1044" s="51">
        <f>Q1044-T1044</f>
        <v/>
      </c>
      <c r="V1044" s="51">
        <f>S1044-R1044+T1044</f>
        <v/>
      </c>
    </row>
    <row r="1045">
      <c r="A1045" s="50" t="n">
        <v>20</v>
      </c>
      <c r="B1045" s="50" t="n">
        <v>34</v>
      </c>
      <c r="C1045" s="51">
        <f>INDEX(Employees!$B$5:$B$29,$A1045)&amp;""</f>
        <v/>
      </c>
      <c r="D1045" s="52">
        <f>INDEX(Periods!$B$5:$B$57,$B1045)</f>
        <v/>
      </c>
      <c r="E1045" s="52">
        <f>INDEX(Periods!$C$5:$C$57,$B1045)</f>
        <v/>
      </c>
      <c r="F1045" s="50">
        <f>IF(AND($C1045&lt;&gt;"",INDEX(Periods!$D$5:$D$57,$B1045)=1),1,0)</f>
        <v/>
      </c>
      <c r="G1045" s="50">
        <f>IF($F1045=0,0,IF(AND(OR(INDEX(Employees!$D$5:$D$29,$A1045)="",$E1045&gt;=INDEX(Employees!$D$5:$D$29,$A1045)+N(INDEX(Employees!$U$5:$U$29,$A1045))),OR(INDEX(Employees!$E$5:$E$29,$A1045)="",$D1045&lt;=INDEX(Employees!$E$5:$E$29,$A1045))),1,0))</f>
        <v/>
      </c>
      <c r="H1045" s="50">
        <f>IF($G1045=0,0,IF(INDEX(Employees!$D$5:$D$29,$A1045)="",0,DATEDIF(INDEX(Employees!$D$5:$D$29,$A1045),$E1045,"y")))</f>
        <v/>
      </c>
      <c r="I1045" s="51">
        <f>IF($G1045=0,0,IF(INDEX('Hours Worked'!$D$5:$BD$29,$A1045,$B1045)="",N(INDEX(Employees!$H$5:$H$29,$A1045)),INDEX('Hours Worked'!$D$5:$BD$29,$A1045,$B1045)))</f>
        <v/>
      </c>
      <c r="J1045" s="51">
        <f>IF(OR($G1045=0,INDEX(Employees!$O$5:$O$29,$A1045)&lt;&gt;"Yes"),0,IF(COUNTIF(Settings!$D$4:$D$9,"&lt;="&amp;$H1045)=0,0,INDEX(Settings!$E$4:$E$9,COUNTIF(Settings!$D$4:$D$9,"&lt;="&amp;$H1045))))</f>
        <v/>
      </c>
      <c r="K1045" s="51">
        <f>IF($G1045=0,0,IF(INDEX(Employees!$I$5:$I$29,$A1045)="Per pay period",(N(INDEX(Employees!$J$5:$J$29,$A1045))+$J1045)/Settings!$B$13,IF(INDEX(Employees!$I$5:$I$29,$A1045)="Per hour worked",N(INDEX(Employees!$K$5:$K$29,$A1045))*$I1045,IF(INDEX(Employees!$I$5:$I$29,$A1045)="Front-loaded",IF(OR($B1045=1,N($G1044)=0),N(INDEX(Employees!$J$5:$J$29,$A1045))+$J1045,0),0))))</f>
        <v/>
      </c>
      <c r="L1045" s="51">
        <f>IF($F1045=0,0,SUMIFS('Time Off Log'!$H$5:$H$504,'Time Off Log'!$A$5:$A$504,$C1045,'Time Off Log'!$B$5:$B$504,"PTO",'Time Off Log'!$E$5:$E$504,"Approved",'Time Off Log'!$C$5:$C$504,"&gt;="&amp;INDEX(Periods!$E$5:$E$57,$B1045),'Time Off Log'!$C$5:$C$504,"&lt;="&amp;INDEX(Periods!$F$5:$F$57,$B1045)))</f>
        <v/>
      </c>
      <c r="M1045" s="51">
        <f>IF($B1045=1,N(INDEX(Employees!$N$5:$N$29,$A1045)),P1044)</f>
        <v/>
      </c>
      <c r="N1045" s="51">
        <f>IF(INDEX(Employees!$L$5:$L$29,$A1045)="",K1045,MAX(0,MIN(K1045,INDEX(Employees!$L$5:$L$29,$A1045)-(M1045-L1045))))</f>
        <v/>
      </c>
      <c r="O1045" s="51">
        <f>K1045-N1045</f>
        <v/>
      </c>
      <c r="P1045" s="51">
        <f>M1045-L1045+N1045</f>
        <v/>
      </c>
      <c r="Q1045" s="51">
        <f>IF($G1045=0,0,IF(INDEX(Employees!$P$5:$P$29,$A1045)="Per pay period",(N(INDEX(Employees!$Q$5:$Q$29,$A1045)))/Settings!$B$13,IF(INDEX(Employees!$P$5:$P$29,$A1045)="Per hour worked",N(INDEX(Employees!$R$5:$R$29,$A1045))*$I1045,IF(INDEX(Employees!$P$5:$P$29,$A1045)="Front-loaded",IF(OR($B1045=1,N($G1044)=0),N(INDEX(Employees!$Q$5:$Q$29,$A1045)),0),0))))</f>
        <v/>
      </c>
      <c r="R1045" s="51">
        <f>IF($F1045=0,0,SUMIFS('Time Off Log'!$H$5:$H$504,'Time Off Log'!$A$5:$A$504,$C1045,'Time Off Log'!$B$5:$B$504,"Sick",'Time Off Log'!$E$5:$E$504,"Approved",'Time Off Log'!$C$5:$C$504,"&gt;="&amp;INDEX(Periods!$E$5:$E$57,$B1045),'Time Off Log'!$C$5:$C$504,"&lt;="&amp;INDEX(Periods!$F$5:$F$57,$B1045)))</f>
        <v/>
      </c>
      <c r="S1045" s="51">
        <f>IF($B1045=1,N(INDEX(Employees!$T$5:$T$29,$A1045)),V1044)</f>
        <v/>
      </c>
      <c r="T1045" s="51">
        <f>IF(INDEX(Employees!$S$5:$S$29,$A1045)="",Q1045,MAX(0,MIN(Q1045,INDEX(Employees!$S$5:$S$29,$A1045)-(S1045-R1045))))</f>
        <v/>
      </c>
      <c r="U1045" s="51">
        <f>Q1045-T1045</f>
        <v/>
      </c>
      <c r="V1045" s="51">
        <f>S1045-R1045+T1045</f>
        <v/>
      </c>
    </row>
    <row r="1046">
      <c r="A1046" s="50" t="n">
        <v>20</v>
      </c>
      <c r="B1046" s="50" t="n">
        <v>35</v>
      </c>
      <c r="C1046" s="51">
        <f>INDEX(Employees!$B$5:$B$29,$A1046)&amp;""</f>
        <v/>
      </c>
      <c r="D1046" s="52">
        <f>INDEX(Periods!$B$5:$B$57,$B1046)</f>
        <v/>
      </c>
      <c r="E1046" s="52">
        <f>INDEX(Periods!$C$5:$C$57,$B1046)</f>
        <v/>
      </c>
      <c r="F1046" s="50">
        <f>IF(AND($C1046&lt;&gt;"",INDEX(Periods!$D$5:$D$57,$B1046)=1),1,0)</f>
        <v/>
      </c>
      <c r="G1046" s="50">
        <f>IF($F1046=0,0,IF(AND(OR(INDEX(Employees!$D$5:$D$29,$A1046)="",$E1046&gt;=INDEX(Employees!$D$5:$D$29,$A1046)+N(INDEX(Employees!$U$5:$U$29,$A1046))),OR(INDEX(Employees!$E$5:$E$29,$A1046)="",$D1046&lt;=INDEX(Employees!$E$5:$E$29,$A1046))),1,0))</f>
        <v/>
      </c>
      <c r="H1046" s="50">
        <f>IF($G1046=0,0,IF(INDEX(Employees!$D$5:$D$29,$A1046)="",0,DATEDIF(INDEX(Employees!$D$5:$D$29,$A1046),$E1046,"y")))</f>
        <v/>
      </c>
      <c r="I1046" s="51">
        <f>IF($G1046=0,0,IF(INDEX('Hours Worked'!$D$5:$BD$29,$A1046,$B1046)="",N(INDEX(Employees!$H$5:$H$29,$A1046)),INDEX('Hours Worked'!$D$5:$BD$29,$A1046,$B1046)))</f>
        <v/>
      </c>
      <c r="J1046" s="51">
        <f>IF(OR($G1046=0,INDEX(Employees!$O$5:$O$29,$A1046)&lt;&gt;"Yes"),0,IF(COUNTIF(Settings!$D$4:$D$9,"&lt;="&amp;$H1046)=0,0,INDEX(Settings!$E$4:$E$9,COUNTIF(Settings!$D$4:$D$9,"&lt;="&amp;$H1046))))</f>
        <v/>
      </c>
      <c r="K1046" s="51">
        <f>IF($G1046=0,0,IF(INDEX(Employees!$I$5:$I$29,$A1046)="Per pay period",(N(INDEX(Employees!$J$5:$J$29,$A1046))+$J1046)/Settings!$B$13,IF(INDEX(Employees!$I$5:$I$29,$A1046)="Per hour worked",N(INDEX(Employees!$K$5:$K$29,$A1046))*$I1046,IF(INDEX(Employees!$I$5:$I$29,$A1046)="Front-loaded",IF(OR($B1046=1,N($G1045)=0),N(INDEX(Employees!$J$5:$J$29,$A1046))+$J1046,0),0))))</f>
        <v/>
      </c>
      <c r="L1046" s="51">
        <f>IF($F1046=0,0,SUMIFS('Time Off Log'!$H$5:$H$504,'Time Off Log'!$A$5:$A$504,$C1046,'Time Off Log'!$B$5:$B$504,"PTO",'Time Off Log'!$E$5:$E$504,"Approved",'Time Off Log'!$C$5:$C$504,"&gt;="&amp;INDEX(Periods!$E$5:$E$57,$B1046),'Time Off Log'!$C$5:$C$504,"&lt;="&amp;INDEX(Periods!$F$5:$F$57,$B1046)))</f>
        <v/>
      </c>
      <c r="M1046" s="51">
        <f>IF($B1046=1,N(INDEX(Employees!$N$5:$N$29,$A1046)),P1045)</f>
        <v/>
      </c>
      <c r="N1046" s="51">
        <f>IF(INDEX(Employees!$L$5:$L$29,$A1046)="",K1046,MAX(0,MIN(K1046,INDEX(Employees!$L$5:$L$29,$A1046)-(M1046-L1046))))</f>
        <v/>
      </c>
      <c r="O1046" s="51">
        <f>K1046-N1046</f>
        <v/>
      </c>
      <c r="P1046" s="51">
        <f>M1046-L1046+N1046</f>
        <v/>
      </c>
      <c r="Q1046" s="51">
        <f>IF($G1046=0,0,IF(INDEX(Employees!$P$5:$P$29,$A1046)="Per pay period",(N(INDEX(Employees!$Q$5:$Q$29,$A1046)))/Settings!$B$13,IF(INDEX(Employees!$P$5:$P$29,$A1046)="Per hour worked",N(INDEX(Employees!$R$5:$R$29,$A1046))*$I1046,IF(INDEX(Employees!$P$5:$P$29,$A1046)="Front-loaded",IF(OR($B1046=1,N($G1045)=0),N(INDEX(Employees!$Q$5:$Q$29,$A1046)),0),0))))</f>
        <v/>
      </c>
      <c r="R1046" s="51">
        <f>IF($F1046=0,0,SUMIFS('Time Off Log'!$H$5:$H$504,'Time Off Log'!$A$5:$A$504,$C1046,'Time Off Log'!$B$5:$B$504,"Sick",'Time Off Log'!$E$5:$E$504,"Approved",'Time Off Log'!$C$5:$C$504,"&gt;="&amp;INDEX(Periods!$E$5:$E$57,$B1046),'Time Off Log'!$C$5:$C$504,"&lt;="&amp;INDEX(Periods!$F$5:$F$57,$B1046)))</f>
        <v/>
      </c>
      <c r="S1046" s="51">
        <f>IF($B1046=1,N(INDEX(Employees!$T$5:$T$29,$A1046)),V1045)</f>
        <v/>
      </c>
      <c r="T1046" s="51">
        <f>IF(INDEX(Employees!$S$5:$S$29,$A1046)="",Q1046,MAX(0,MIN(Q1046,INDEX(Employees!$S$5:$S$29,$A1046)-(S1046-R1046))))</f>
        <v/>
      </c>
      <c r="U1046" s="51">
        <f>Q1046-T1046</f>
        <v/>
      </c>
      <c r="V1046" s="51">
        <f>S1046-R1046+T1046</f>
        <v/>
      </c>
    </row>
    <row r="1047">
      <c r="A1047" s="50" t="n">
        <v>20</v>
      </c>
      <c r="B1047" s="50" t="n">
        <v>36</v>
      </c>
      <c r="C1047" s="51">
        <f>INDEX(Employees!$B$5:$B$29,$A1047)&amp;""</f>
        <v/>
      </c>
      <c r="D1047" s="52">
        <f>INDEX(Periods!$B$5:$B$57,$B1047)</f>
        <v/>
      </c>
      <c r="E1047" s="52">
        <f>INDEX(Periods!$C$5:$C$57,$B1047)</f>
        <v/>
      </c>
      <c r="F1047" s="50">
        <f>IF(AND($C1047&lt;&gt;"",INDEX(Periods!$D$5:$D$57,$B1047)=1),1,0)</f>
        <v/>
      </c>
      <c r="G1047" s="50">
        <f>IF($F1047=0,0,IF(AND(OR(INDEX(Employees!$D$5:$D$29,$A1047)="",$E1047&gt;=INDEX(Employees!$D$5:$D$29,$A1047)+N(INDEX(Employees!$U$5:$U$29,$A1047))),OR(INDEX(Employees!$E$5:$E$29,$A1047)="",$D1047&lt;=INDEX(Employees!$E$5:$E$29,$A1047))),1,0))</f>
        <v/>
      </c>
      <c r="H1047" s="50">
        <f>IF($G1047=0,0,IF(INDEX(Employees!$D$5:$D$29,$A1047)="",0,DATEDIF(INDEX(Employees!$D$5:$D$29,$A1047),$E1047,"y")))</f>
        <v/>
      </c>
      <c r="I1047" s="51">
        <f>IF($G1047=0,0,IF(INDEX('Hours Worked'!$D$5:$BD$29,$A1047,$B1047)="",N(INDEX(Employees!$H$5:$H$29,$A1047)),INDEX('Hours Worked'!$D$5:$BD$29,$A1047,$B1047)))</f>
        <v/>
      </c>
      <c r="J1047" s="51">
        <f>IF(OR($G1047=0,INDEX(Employees!$O$5:$O$29,$A1047)&lt;&gt;"Yes"),0,IF(COUNTIF(Settings!$D$4:$D$9,"&lt;="&amp;$H1047)=0,0,INDEX(Settings!$E$4:$E$9,COUNTIF(Settings!$D$4:$D$9,"&lt;="&amp;$H1047))))</f>
        <v/>
      </c>
      <c r="K1047" s="51">
        <f>IF($G1047=0,0,IF(INDEX(Employees!$I$5:$I$29,$A1047)="Per pay period",(N(INDEX(Employees!$J$5:$J$29,$A1047))+$J1047)/Settings!$B$13,IF(INDEX(Employees!$I$5:$I$29,$A1047)="Per hour worked",N(INDEX(Employees!$K$5:$K$29,$A1047))*$I1047,IF(INDEX(Employees!$I$5:$I$29,$A1047)="Front-loaded",IF(OR($B1047=1,N($G1046)=0),N(INDEX(Employees!$J$5:$J$29,$A1047))+$J1047,0),0))))</f>
        <v/>
      </c>
      <c r="L1047" s="51">
        <f>IF($F1047=0,0,SUMIFS('Time Off Log'!$H$5:$H$504,'Time Off Log'!$A$5:$A$504,$C1047,'Time Off Log'!$B$5:$B$504,"PTO",'Time Off Log'!$E$5:$E$504,"Approved",'Time Off Log'!$C$5:$C$504,"&gt;="&amp;INDEX(Periods!$E$5:$E$57,$B1047),'Time Off Log'!$C$5:$C$504,"&lt;="&amp;INDEX(Periods!$F$5:$F$57,$B1047)))</f>
        <v/>
      </c>
      <c r="M1047" s="51">
        <f>IF($B1047=1,N(INDEX(Employees!$N$5:$N$29,$A1047)),P1046)</f>
        <v/>
      </c>
      <c r="N1047" s="51">
        <f>IF(INDEX(Employees!$L$5:$L$29,$A1047)="",K1047,MAX(0,MIN(K1047,INDEX(Employees!$L$5:$L$29,$A1047)-(M1047-L1047))))</f>
        <v/>
      </c>
      <c r="O1047" s="51">
        <f>K1047-N1047</f>
        <v/>
      </c>
      <c r="P1047" s="51">
        <f>M1047-L1047+N1047</f>
        <v/>
      </c>
      <c r="Q1047" s="51">
        <f>IF($G1047=0,0,IF(INDEX(Employees!$P$5:$P$29,$A1047)="Per pay period",(N(INDEX(Employees!$Q$5:$Q$29,$A1047)))/Settings!$B$13,IF(INDEX(Employees!$P$5:$P$29,$A1047)="Per hour worked",N(INDEX(Employees!$R$5:$R$29,$A1047))*$I1047,IF(INDEX(Employees!$P$5:$P$29,$A1047)="Front-loaded",IF(OR($B1047=1,N($G1046)=0),N(INDEX(Employees!$Q$5:$Q$29,$A1047)),0),0))))</f>
        <v/>
      </c>
      <c r="R1047" s="51">
        <f>IF($F1047=0,0,SUMIFS('Time Off Log'!$H$5:$H$504,'Time Off Log'!$A$5:$A$504,$C1047,'Time Off Log'!$B$5:$B$504,"Sick",'Time Off Log'!$E$5:$E$504,"Approved",'Time Off Log'!$C$5:$C$504,"&gt;="&amp;INDEX(Periods!$E$5:$E$57,$B1047),'Time Off Log'!$C$5:$C$504,"&lt;="&amp;INDEX(Periods!$F$5:$F$57,$B1047)))</f>
        <v/>
      </c>
      <c r="S1047" s="51">
        <f>IF($B1047=1,N(INDEX(Employees!$T$5:$T$29,$A1047)),V1046)</f>
        <v/>
      </c>
      <c r="T1047" s="51">
        <f>IF(INDEX(Employees!$S$5:$S$29,$A1047)="",Q1047,MAX(0,MIN(Q1047,INDEX(Employees!$S$5:$S$29,$A1047)-(S1047-R1047))))</f>
        <v/>
      </c>
      <c r="U1047" s="51">
        <f>Q1047-T1047</f>
        <v/>
      </c>
      <c r="V1047" s="51">
        <f>S1047-R1047+T1047</f>
        <v/>
      </c>
    </row>
    <row r="1048">
      <c r="A1048" s="50" t="n">
        <v>20</v>
      </c>
      <c r="B1048" s="50" t="n">
        <v>37</v>
      </c>
      <c r="C1048" s="51">
        <f>INDEX(Employees!$B$5:$B$29,$A1048)&amp;""</f>
        <v/>
      </c>
      <c r="D1048" s="52">
        <f>INDEX(Periods!$B$5:$B$57,$B1048)</f>
        <v/>
      </c>
      <c r="E1048" s="52">
        <f>INDEX(Periods!$C$5:$C$57,$B1048)</f>
        <v/>
      </c>
      <c r="F1048" s="50">
        <f>IF(AND($C1048&lt;&gt;"",INDEX(Periods!$D$5:$D$57,$B1048)=1),1,0)</f>
        <v/>
      </c>
      <c r="G1048" s="50">
        <f>IF($F1048=0,0,IF(AND(OR(INDEX(Employees!$D$5:$D$29,$A1048)="",$E1048&gt;=INDEX(Employees!$D$5:$D$29,$A1048)+N(INDEX(Employees!$U$5:$U$29,$A1048))),OR(INDEX(Employees!$E$5:$E$29,$A1048)="",$D1048&lt;=INDEX(Employees!$E$5:$E$29,$A1048))),1,0))</f>
        <v/>
      </c>
      <c r="H1048" s="50">
        <f>IF($G1048=0,0,IF(INDEX(Employees!$D$5:$D$29,$A1048)="",0,DATEDIF(INDEX(Employees!$D$5:$D$29,$A1048),$E1048,"y")))</f>
        <v/>
      </c>
      <c r="I1048" s="51">
        <f>IF($G1048=0,0,IF(INDEX('Hours Worked'!$D$5:$BD$29,$A1048,$B1048)="",N(INDEX(Employees!$H$5:$H$29,$A1048)),INDEX('Hours Worked'!$D$5:$BD$29,$A1048,$B1048)))</f>
        <v/>
      </c>
      <c r="J1048" s="51">
        <f>IF(OR($G1048=0,INDEX(Employees!$O$5:$O$29,$A1048)&lt;&gt;"Yes"),0,IF(COUNTIF(Settings!$D$4:$D$9,"&lt;="&amp;$H1048)=0,0,INDEX(Settings!$E$4:$E$9,COUNTIF(Settings!$D$4:$D$9,"&lt;="&amp;$H1048))))</f>
        <v/>
      </c>
      <c r="K1048" s="51">
        <f>IF($G1048=0,0,IF(INDEX(Employees!$I$5:$I$29,$A1048)="Per pay period",(N(INDEX(Employees!$J$5:$J$29,$A1048))+$J1048)/Settings!$B$13,IF(INDEX(Employees!$I$5:$I$29,$A1048)="Per hour worked",N(INDEX(Employees!$K$5:$K$29,$A1048))*$I1048,IF(INDEX(Employees!$I$5:$I$29,$A1048)="Front-loaded",IF(OR($B1048=1,N($G1047)=0),N(INDEX(Employees!$J$5:$J$29,$A1048))+$J1048,0),0))))</f>
        <v/>
      </c>
      <c r="L1048" s="51">
        <f>IF($F1048=0,0,SUMIFS('Time Off Log'!$H$5:$H$504,'Time Off Log'!$A$5:$A$504,$C1048,'Time Off Log'!$B$5:$B$504,"PTO",'Time Off Log'!$E$5:$E$504,"Approved",'Time Off Log'!$C$5:$C$504,"&gt;="&amp;INDEX(Periods!$E$5:$E$57,$B1048),'Time Off Log'!$C$5:$C$504,"&lt;="&amp;INDEX(Periods!$F$5:$F$57,$B1048)))</f>
        <v/>
      </c>
      <c r="M1048" s="51">
        <f>IF($B1048=1,N(INDEX(Employees!$N$5:$N$29,$A1048)),P1047)</f>
        <v/>
      </c>
      <c r="N1048" s="51">
        <f>IF(INDEX(Employees!$L$5:$L$29,$A1048)="",K1048,MAX(0,MIN(K1048,INDEX(Employees!$L$5:$L$29,$A1048)-(M1048-L1048))))</f>
        <v/>
      </c>
      <c r="O1048" s="51">
        <f>K1048-N1048</f>
        <v/>
      </c>
      <c r="P1048" s="51">
        <f>M1048-L1048+N1048</f>
        <v/>
      </c>
      <c r="Q1048" s="51">
        <f>IF($G1048=0,0,IF(INDEX(Employees!$P$5:$P$29,$A1048)="Per pay period",(N(INDEX(Employees!$Q$5:$Q$29,$A1048)))/Settings!$B$13,IF(INDEX(Employees!$P$5:$P$29,$A1048)="Per hour worked",N(INDEX(Employees!$R$5:$R$29,$A1048))*$I1048,IF(INDEX(Employees!$P$5:$P$29,$A1048)="Front-loaded",IF(OR($B1048=1,N($G1047)=0),N(INDEX(Employees!$Q$5:$Q$29,$A1048)),0),0))))</f>
        <v/>
      </c>
      <c r="R1048" s="51">
        <f>IF($F1048=0,0,SUMIFS('Time Off Log'!$H$5:$H$504,'Time Off Log'!$A$5:$A$504,$C1048,'Time Off Log'!$B$5:$B$504,"Sick",'Time Off Log'!$E$5:$E$504,"Approved",'Time Off Log'!$C$5:$C$504,"&gt;="&amp;INDEX(Periods!$E$5:$E$57,$B1048),'Time Off Log'!$C$5:$C$504,"&lt;="&amp;INDEX(Periods!$F$5:$F$57,$B1048)))</f>
        <v/>
      </c>
      <c r="S1048" s="51">
        <f>IF($B1048=1,N(INDEX(Employees!$T$5:$T$29,$A1048)),V1047)</f>
        <v/>
      </c>
      <c r="T1048" s="51">
        <f>IF(INDEX(Employees!$S$5:$S$29,$A1048)="",Q1048,MAX(0,MIN(Q1048,INDEX(Employees!$S$5:$S$29,$A1048)-(S1048-R1048))))</f>
        <v/>
      </c>
      <c r="U1048" s="51">
        <f>Q1048-T1048</f>
        <v/>
      </c>
      <c r="V1048" s="51">
        <f>S1048-R1048+T1048</f>
        <v/>
      </c>
    </row>
    <row r="1049">
      <c r="A1049" s="50" t="n">
        <v>20</v>
      </c>
      <c r="B1049" s="50" t="n">
        <v>38</v>
      </c>
      <c r="C1049" s="51">
        <f>INDEX(Employees!$B$5:$B$29,$A1049)&amp;""</f>
        <v/>
      </c>
      <c r="D1049" s="52">
        <f>INDEX(Periods!$B$5:$B$57,$B1049)</f>
        <v/>
      </c>
      <c r="E1049" s="52">
        <f>INDEX(Periods!$C$5:$C$57,$B1049)</f>
        <v/>
      </c>
      <c r="F1049" s="50">
        <f>IF(AND($C1049&lt;&gt;"",INDEX(Periods!$D$5:$D$57,$B1049)=1),1,0)</f>
        <v/>
      </c>
      <c r="G1049" s="50">
        <f>IF($F1049=0,0,IF(AND(OR(INDEX(Employees!$D$5:$D$29,$A1049)="",$E1049&gt;=INDEX(Employees!$D$5:$D$29,$A1049)+N(INDEX(Employees!$U$5:$U$29,$A1049))),OR(INDEX(Employees!$E$5:$E$29,$A1049)="",$D1049&lt;=INDEX(Employees!$E$5:$E$29,$A1049))),1,0))</f>
        <v/>
      </c>
      <c r="H1049" s="50">
        <f>IF($G1049=0,0,IF(INDEX(Employees!$D$5:$D$29,$A1049)="",0,DATEDIF(INDEX(Employees!$D$5:$D$29,$A1049),$E1049,"y")))</f>
        <v/>
      </c>
      <c r="I1049" s="51">
        <f>IF($G1049=0,0,IF(INDEX('Hours Worked'!$D$5:$BD$29,$A1049,$B1049)="",N(INDEX(Employees!$H$5:$H$29,$A1049)),INDEX('Hours Worked'!$D$5:$BD$29,$A1049,$B1049)))</f>
        <v/>
      </c>
      <c r="J1049" s="51">
        <f>IF(OR($G1049=0,INDEX(Employees!$O$5:$O$29,$A1049)&lt;&gt;"Yes"),0,IF(COUNTIF(Settings!$D$4:$D$9,"&lt;="&amp;$H1049)=0,0,INDEX(Settings!$E$4:$E$9,COUNTIF(Settings!$D$4:$D$9,"&lt;="&amp;$H1049))))</f>
        <v/>
      </c>
      <c r="K1049" s="51">
        <f>IF($G1049=0,0,IF(INDEX(Employees!$I$5:$I$29,$A1049)="Per pay period",(N(INDEX(Employees!$J$5:$J$29,$A1049))+$J1049)/Settings!$B$13,IF(INDEX(Employees!$I$5:$I$29,$A1049)="Per hour worked",N(INDEX(Employees!$K$5:$K$29,$A1049))*$I1049,IF(INDEX(Employees!$I$5:$I$29,$A1049)="Front-loaded",IF(OR($B1049=1,N($G1048)=0),N(INDEX(Employees!$J$5:$J$29,$A1049))+$J1049,0),0))))</f>
        <v/>
      </c>
      <c r="L1049" s="51">
        <f>IF($F1049=0,0,SUMIFS('Time Off Log'!$H$5:$H$504,'Time Off Log'!$A$5:$A$504,$C1049,'Time Off Log'!$B$5:$B$504,"PTO",'Time Off Log'!$E$5:$E$504,"Approved",'Time Off Log'!$C$5:$C$504,"&gt;="&amp;INDEX(Periods!$E$5:$E$57,$B1049),'Time Off Log'!$C$5:$C$504,"&lt;="&amp;INDEX(Periods!$F$5:$F$57,$B1049)))</f>
        <v/>
      </c>
      <c r="M1049" s="51">
        <f>IF($B1049=1,N(INDEX(Employees!$N$5:$N$29,$A1049)),P1048)</f>
        <v/>
      </c>
      <c r="N1049" s="51">
        <f>IF(INDEX(Employees!$L$5:$L$29,$A1049)="",K1049,MAX(0,MIN(K1049,INDEX(Employees!$L$5:$L$29,$A1049)-(M1049-L1049))))</f>
        <v/>
      </c>
      <c r="O1049" s="51">
        <f>K1049-N1049</f>
        <v/>
      </c>
      <c r="P1049" s="51">
        <f>M1049-L1049+N1049</f>
        <v/>
      </c>
      <c r="Q1049" s="51">
        <f>IF($G1049=0,0,IF(INDEX(Employees!$P$5:$P$29,$A1049)="Per pay period",(N(INDEX(Employees!$Q$5:$Q$29,$A1049)))/Settings!$B$13,IF(INDEX(Employees!$P$5:$P$29,$A1049)="Per hour worked",N(INDEX(Employees!$R$5:$R$29,$A1049))*$I1049,IF(INDEX(Employees!$P$5:$P$29,$A1049)="Front-loaded",IF(OR($B1049=1,N($G1048)=0),N(INDEX(Employees!$Q$5:$Q$29,$A1049)),0),0))))</f>
        <v/>
      </c>
      <c r="R1049" s="51">
        <f>IF($F1049=0,0,SUMIFS('Time Off Log'!$H$5:$H$504,'Time Off Log'!$A$5:$A$504,$C1049,'Time Off Log'!$B$5:$B$504,"Sick",'Time Off Log'!$E$5:$E$504,"Approved",'Time Off Log'!$C$5:$C$504,"&gt;="&amp;INDEX(Periods!$E$5:$E$57,$B1049),'Time Off Log'!$C$5:$C$504,"&lt;="&amp;INDEX(Periods!$F$5:$F$57,$B1049)))</f>
        <v/>
      </c>
      <c r="S1049" s="51">
        <f>IF($B1049=1,N(INDEX(Employees!$T$5:$T$29,$A1049)),V1048)</f>
        <v/>
      </c>
      <c r="T1049" s="51">
        <f>IF(INDEX(Employees!$S$5:$S$29,$A1049)="",Q1049,MAX(0,MIN(Q1049,INDEX(Employees!$S$5:$S$29,$A1049)-(S1049-R1049))))</f>
        <v/>
      </c>
      <c r="U1049" s="51">
        <f>Q1049-T1049</f>
        <v/>
      </c>
      <c r="V1049" s="51">
        <f>S1049-R1049+T1049</f>
        <v/>
      </c>
    </row>
    <row r="1050">
      <c r="A1050" s="50" t="n">
        <v>20</v>
      </c>
      <c r="B1050" s="50" t="n">
        <v>39</v>
      </c>
      <c r="C1050" s="51">
        <f>INDEX(Employees!$B$5:$B$29,$A1050)&amp;""</f>
        <v/>
      </c>
      <c r="D1050" s="52">
        <f>INDEX(Periods!$B$5:$B$57,$B1050)</f>
        <v/>
      </c>
      <c r="E1050" s="52">
        <f>INDEX(Periods!$C$5:$C$57,$B1050)</f>
        <v/>
      </c>
      <c r="F1050" s="50">
        <f>IF(AND($C1050&lt;&gt;"",INDEX(Periods!$D$5:$D$57,$B1050)=1),1,0)</f>
        <v/>
      </c>
      <c r="G1050" s="50">
        <f>IF($F1050=0,0,IF(AND(OR(INDEX(Employees!$D$5:$D$29,$A1050)="",$E1050&gt;=INDEX(Employees!$D$5:$D$29,$A1050)+N(INDEX(Employees!$U$5:$U$29,$A1050))),OR(INDEX(Employees!$E$5:$E$29,$A1050)="",$D1050&lt;=INDEX(Employees!$E$5:$E$29,$A1050))),1,0))</f>
        <v/>
      </c>
      <c r="H1050" s="50">
        <f>IF($G1050=0,0,IF(INDEX(Employees!$D$5:$D$29,$A1050)="",0,DATEDIF(INDEX(Employees!$D$5:$D$29,$A1050),$E1050,"y")))</f>
        <v/>
      </c>
      <c r="I1050" s="51">
        <f>IF($G1050=0,0,IF(INDEX('Hours Worked'!$D$5:$BD$29,$A1050,$B1050)="",N(INDEX(Employees!$H$5:$H$29,$A1050)),INDEX('Hours Worked'!$D$5:$BD$29,$A1050,$B1050)))</f>
        <v/>
      </c>
      <c r="J1050" s="51">
        <f>IF(OR($G1050=0,INDEX(Employees!$O$5:$O$29,$A1050)&lt;&gt;"Yes"),0,IF(COUNTIF(Settings!$D$4:$D$9,"&lt;="&amp;$H1050)=0,0,INDEX(Settings!$E$4:$E$9,COUNTIF(Settings!$D$4:$D$9,"&lt;="&amp;$H1050))))</f>
        <v/>
      </c>
      <c r="K1050" s="51">
        <f>IF($G1050=0,0,IF(INDEX(Employees!$I$5:$I$29,$A1050)="Per pay period",(N(INDEX(Employees!$J$5:$J$29,$A1050))+$J1050)/Settings!$B$13,IF(INDEX(Employees!$I$5:$I$29,$A1050)="Per hour worked",N(INDEX(Employees!$K$5:$K$29,$A1050))*$I1050,IF(INDEX(Employees!$I$5:$I$29,$A1050)="Front-loaded",IF(OR($B1050=1,N($G1049)=0),N(INDEX(Employees!$J$5:$J$29,$A1050))+$J1050,0),0))))</f>
        <v/>
      </c>
      <c r="L1050" s="51">
        <f>IF($F1050=0,0,SUMIFS('Time Off Log'!$H$5:$H$504,'Time Off Log'!$A$5:$A$504,$C1050,'Time Off Log'!$B$5:$B$504,"PTO",'Time Off Log'!$E$5:$E$504,"Approved",'Time Off Log'!$C$5:$C$504,"&gt;="&amp;INDEX(Periods!$E$5:$E$57,$B1050),'Time Off Log'!$C$5:$C$504,"&lt;="&amp;INDEX(Periods!$F$5:$F$57,$B1050)))</f>
        <v/>
      </c>
      <c r="M1050" s="51">
        <f>IF($B1050=1,N(INDEX(Employees!$N$5:$N$29,$A1050)),P1049)</f>
        <v/>
      </c>
      <c r="N1050" s="51">
        <f>IF(INDEX(Employees!$L$5:$L$29,$A1050)="",K1050,MAX(0,MIN(K1050,INDEX(Employees!$L$5:$L$29,$A1050)-(M1050-L1050))))</f>
        <v/>
      </c>
      <c r="O1050" s="51">
        <f>K1050-N1050</f>
        <v/>
      </c>
      <c r="P1050" s="51">
        <f>M1050-L1050+N1050</f>
        <v/>
      </c>
      <c r="Q1050" s="51">
        <f>IF($G1050=0,0,IF(INDEX(Employees!$P$5:$P$29,$A1050)="Per pay period",(N(INDEX(Employees!$Q$5:$Q$29,$A1050)))/Settings!$B$13,IF(INDEX(Employees!$P$5:$P$29,$A1050)="Per hour worked",N(INDEX(Employees!$R$5:$R$29,$A1050))*$I1050,IF(INDEX(Employees!$P$5:$P$29,$A1050)="Front-loaded",IF(OR($B1050=1,N($G1049)=0),N(INDEX(Employees!$Q$5:$Q$29,$A1050)),0),0))))</f>
        <v/>
      </c>
      <c r="R1050" s="51">
        <f>IF($F1050=0,0,SUMIFS('Time Off Log'!$H$5:$H$504,'Time Off Log'!$A$5:$A$504,$C1050,'Time Off Log'!$B$5:$B$504,"Sick",'Time Off Log'!$E$5:$E$504,"Approved",'Time Off Log'!$C$5:$C$504,"&gt;="&amp;INDEX(Periods!$E$5:$E$57,$B1050),'Time Off Log'!$C$5:$C$504,"&lt;="&amp;INDEX(Periods!$F$5:$F$57,$B1050)))</f>
        <v/>
      </c>
      <c r="S1050" s="51">
        <f>IF($B1050=1,N(INDEX(Employees!$T$5:$T$29,$A1050)),V1049)</f>
        <v/>
      </c>
      <c r="T1050" s="51">
        <f>IF(INDEX(Employees!$S$5:$S$29,$A1050)="",Q1050,MAX(0,MIN(Q1050,INDEX(Employees!$S$5:$S$29,$A1050)-(S1050-R1050))))</f>
        <v/>
      </c>
      <c r="U1050" s="51">
        <f>Q1050-T1050</f>
        <v/>
      </c>
      <c r="V1050" s="51">
        <f>S1050-R1050+T1050</f>
        <v/>
      </c>
    </row>
    <row r="1051">
      <c r="A1051" s="50" t="n">
        <v>20</v>
      </c>
      <c r="B1051" s="50" t="n">
        <v>40</v>
      </c>
      <c r="C1051" s="51">
        <f>INDEX(Employees!$B$5:$B$29,$A1051)&amp;""</f>
        <v/>
      </c>
      <c r="D1051" s="52">
        <f>INDEX(Periods!$B$5:$B$57,$B1051)</f>
        <v/>
      </c>
      <c r="E1051" s="52">
        <f>INDEX(Periods!$C$5:$C$57,$B1051)</f>
        <v/>
      </c>
      <c r="F1051" s="50">
        <f>IF(AND($C1051&lt;&gt;"",INDEX(Periods!$D$5:$D$57,$B1051)=1),1,0)</f>
        <v/>
      </c>
      <c r="G1051" s="50">
        <f>IF($F1051=0,0,IF(AND(OR(INDEX(Employees!$D$5:$D$29,$A1051)="",$E1051&gt;=INDEX(Employees!$D$5:$D$29,$A1051)+N(INDEX(Employees!$U$5:$U$29,$A1051))),OR(INDEX(Employees!$E$5:$E$29,$A1051)="",$D1051&lt;=INDEX(Employees!$E$5:$E$29,$A1051))),1,0))</f>
        <v/>
      </c>
      <c r="H1051" s="50">
        <f>IF($G1051=0,0,IF(INDEX(Employees!$D$5:$D$29,$A1051)="",0,DATEDIF(INDEX(Employees!$D$5:$D$29,$A1051),$E1051,"y")))</f>
        <v/>
      </c>
      <c r="I1051" s="51">
        <f>IF($G1051=0,0,IF(INDEX('Hours Worked'!$D$5:$BD$29,$A1051,$B1051)="",N(INDEX(Employees!$H$5:$H$29,$A1051)),INDEX('Hours Worked'!$D$5:$BD$29,$A1051,$B1051)))</f>
        <v/>
      </c>
      <c r="J1051" s="51">
        <f>IF(OR($G1051=0,INDEX(Employees!$O$5:$O$29,$A1051)&lt;&gt;"Yes"),0,IF(COUNTIF(Settings!$D$4:$D$9,"&lt;="&amp;$H1051)=0,0,INDEX(Settings!$E$4:$E$9,COUNTIF(Settings!$D$4:$D$9,"&lt;="&amp;$H1051))))</f>
        <v/>
      </c>
      <c r="K1051" s="51">
        <f>IF($G1051=0,0,IF(INDEX(Employees!$I$5:$I$29,$A1051)="Per pay period",(N(INDEX(Employees!$J$5:$J$29,$A1051))+$J1051)/Settings!$B$13,IF(INDEX(Employees!$I$5:$I$29,$A1051)="Per hour worked",N(INDEX(Employees!$K$5:$K$29,$A1051))*$I1051,IF(INDEX(Employees!$I$5:$I$29,$A1051)="Front-loaded",IF(OR($B1051=1,N($G1050)=0),N(INDEX(Employees!$J$5:$J$29,$A1051))+$J1051,0),0))))</f>
        <v/>
      </c>
      <c r="L1051" s="51">
        <f>IF($F1051=0,0,SUMIFS('Time Off Log'!$H$5:$H$504,'Time Off Log'!$A$5:$A$504,$C1051,'Time Off Log'!$B$5:$B$504,"PTO",'Time Off Log'!$E$5:$E$504,"Approved",'Time Off Log'!$C$5:$C$504,"&gt;="&amp;INDEX(Periods!$E$5:$E$57,$B1051),'Time Off Log'!$C$5:$C$504,"&lt;="&amp;INDEX(Periods!$F$5:$F$57,$B1051)))</f>
        <v/>
      </c>
      <c r="M1051" s="51">
        <f>IF($B1051=1,N(INDEX(Employees!$N$5:$N$29,$A1051)),P1050)</f>
        <v/>
      </c>
      <c r="N1051" s="51">
        <f>IF(INDEX(Employees!$L$5:$L$29,$A1051)="",K1051,MAX(0,MIN(K1051,INDEX(Employees!$L$5:$L$29,$A1051)-(M1051-L1051))))</f>
        <v/>
      </c>
      <c r="O1051" s="51">
        <f>K1051-N1051</f>
        <v/>
      </c>
      <c r="P1051" s="51">
        <f>M1051-L1051+N1051</f>
        <v/>
      </c>
      <c r="Q1051" s="51">
        <f>IF($G1051=0,0,IF(INDEX(Employees!$P$5:$P$29,$A1051)="Per pay period",(N(INDEX(Employees!$Q$5:$Q$29,$A1051)))/Settings!$B$13,IF(INDEX(Employees!$P$5:$P$29,$A1051)="Per hour worked",N(INDEX(Employees!$R$5:$R$29,$A1051))*$I1051,IF(INDEX(Employees!$P$5:$P$29,$A1051)="Front-loaded",IF(OR($B1051=1,N($G1050)=0),N(INDEX(Employees!$Q$5:$Q$29,$A1051)),0),0))))</f>
        <v/>
      </c>
      <c r="R1051" s="51">
        <f>IF($F1051=0,0,SUMIFS('Time Off Log'!$H$5:$H$504,'Time Off Log'!$A$5:$A$504,$C1051,'Time Off Log'!$B$5:$B$504,"Sick",'Time Off Log'!$E$5:$E$504,"Approved",'Time Off Log'!$C$5:$C$504,"&gt;="&amp;INDEX(Periods!$E$5:$E$57,$B1051),'Time Off Log'!$C$5:$C$504,"&lt;="&amp;INDEX(Periods!$F$5:$F$57,$B1051)))</f>
        <v/>
      </c>
      <c r="S1051" s="51">
        <f>IF($B1051=1,N(INDEX(Employees!$T$5:$T$29,$A1051)),V1050)</f>
        <v/>
      </c>
      <c r="T1051" s="51">
        <f>IF(INDEX(Employees!$S$5:$S$29,$A1051)="",Q1051,MAX(0,MIN(Q1051,INDEX(Employees!$S$5:$S$29,$A1051)-(S1051-R1051))))</f>
        <v/>
      </c>
      <c r="U1051" s="51">
        <f>Q1051-T1051</f>
        <v/>
      </c>
      <c r="V1051" s="51">
        <f>S1051-R1051+T1051</f>
        <v/>
      </c>
    </row>
    <row r="1052">
      <c r="A1052" s="50" t="n">
        <v>20</v>
      </c>
      <c r="B1052" s="50" t="n">
        <v>41</v>
      </c>
      <c r="C1052" s="51">
        <f>INDEX(Employees!$B$5:$B$29,$A1052)&amp;""</f>
        <v/>
      </c>
      <c r="D1052" s="52">
        <f>INDEX(Periods!$B$5:$B$57,$B1052)</f>
        <v/>
      </c>
      <c r="E1052" s="52">
        <f>INDEX(Periods!$C$5:$C$57,$B1052)</f>
        <v/>
      </c>
      <c r="F1052" s="50">
        <f>IF(AND($C1052&lt;&gt;"",INDEX(Periods!$D$5:$D$57,$B1052)=1),1,0)</f>
        <v/>
      </c>
      <c r="G1052" s="50">
        <f>IF($F1052=0,0,IF(AND(OR(INDEX(Employees!$D$5:$D$29,$A1052)="",$E1052&gt;=INDEX(Employees!$D$5:$D$29,$A1052)+N(INDEX(Employees!$U$5:$U$29,$A1052))),OR(INDEX(Employees!$E$5:$E$29,$A1052)="",$D1052&lt;=INDEX(Employees!$E$5:$E$29,$A1052))),1,0))</f>
        <v/>
      </c>
      <c r="H1052" s="50">
        <f>IF($G1052=0,0,IF(INDEX(Employees!$D$5:$D$29,$A1052)="",0,DATEDIF(INDEX(Employees!$D$5:$D$29,$A1052),$E1052,"y")))</f>
        <v/>
      </c>
      <c r="I1052" s="51">
        <f>IF($G1052=0,0,IF(INDEX('Hours Worked'!$D$5:$BD$29,$A1052,$B1052)="",N(INDEX(Employees!$H$5:$H$29,$A1052)),INDEX('Hours Worked'!$D$5:$BD$29,$A1052,$B1052)))</f>
        <v/>
      </c>
      <c r="J1052" s="51">
        <f>IF(OR($G1052=0,INDEX(Employees!$O$5:$O$29,$A1052)&lt;&gt;"Yes"),0,IF(COUNTIF(Settings!$D$4:$D$9,"&lt;="&amp;$H1052)=0,0,INDEX(Settings!$E$4:$E$9,COUNTIF(Settings!$D$4:$D$9,"&lt;="&amp;$H1052))))</f>
        <v/>
      </c>
      <c r="K1052" s="51">
        <f>IF($G1052=0,0,IF(INDEX(Employees!$I$5:$I$29,$A1052)="Per pay period",(N(INDEX(Employees!$J$5:$J$29,$A1052))+$J1052)/Settings!$B$13,IF(INDEX(Employees!$I$5:$I$29,$A1052)="Per hour worked",N(INDEX(Employees!$K$5:$K$29,$A1052))*$I1052,IF(INDEX(Employees!$I$5:$I$29,$A1052)="Front-loaded",IF(OR($B1052=1,N($G1051)=0),N(INDEX(Employees!$J$5:$J$29,$A1052))+$J1052,0),0))))</f>
        <v/>
      </c>
      <c r="L1052" s="51">
        <f>IF($F1052=0,0,SUMIFS('Time Off Log'!$H$5:$H$504,'Time Off Log'!$A$5:$A$504,$C1052,'Time Off Log'!$B$5:$B$504,"PTO",'Time Off Log'!$E$5:$E$504,"Approved",'Time Off Log'!$C$5:$C$504,"&gt;="&amp;INDEX(Periods!$E$5:$E$57,$B1052),'Time Off Log'!$C$5:$C$504,"&lt;="&amp;INDEX(Periods!$F$5:$F$57,$B1052)))</f>
        <v/>
      </c>
      <c r="M1052" s="51">
        <f>IF($B1052=1,N(INDEX(Employees!$N$5:$N$29,$A1052)),P1051)</f>
        <v/>
      </c>
      <c r="N1052" s="51">
        <f>IF(INDEX(Employees!$L$5:$L$29,$A1052)="",K1052,MAX(0,MIN(K1052,INDEX(Employees!$L$5:$L$29,$A1052)-(M1052-L1052))))</f>
        <v/>
      </c>
      <c r="O1052" s="51">
        <f>K1052-N1052</f>
        <v/>
      </c>
      <c r="P1052" s="51">
        <f>M1052-L1052+N1052</f>
        <v/>
      </c>
      <c r="Q1052" s="51">
        <f>IF($G1052=0,0,IF(INDEX(Employees!$P$5:$P$29,$A1052)="Per pay period",(N(INDEX(Employees!$Q$5:$Q$29,$A1052)))/Settings!$B$13,IF(INDEX(Employees!$P$5:$P$29,$A1052)="Per hour worked",N(INDEX(Employees!$R$5:$R$29,$A1052))*$I1052,IF(INDEX(Employees!$P$5:$P$29,$A1052)="Front-loaded",IF(OR($B1052=1,N($G1051)=0),N(INDEX(Employees!$Q$5:$Q$29,$A1052)),0),0))))</f>
        <v/>
      </c>
      <c r="R1052" s="51">
        <f>IF($F1052=0,0,SUMIFS('Time Off Log'!$H$5:$H$504,'Time Off Log'!$A$5:$A$504,$C1052,'Time Off Log'!$B$5:$B$504,"Sick",'Time Off Log'!$E$5:$E$504,"Approved",'Time Off Log'!$C$5:$C$504,"&gt;="&amp;INDEX(Periods!$E$5:$E$57,$B1052),'Time Off Log'!$C$5:$C$504,"&lt;="&amp;INDEX(Periods!$F$5:$F$57,$B1052)))</f>
        <v/>
      </c>
      <c r="S1052" s="51">
        <f>IF($B1052=1,N(INDEX(Employees!$T$5:$T$29,$A1052)),V1051)</f>
        <v/>
      </c>
      <c r="T1052" s="51">
        <f>IF(INDEX(Employees!$S$5:$S$29,$A1052)="",Q1052,MAX(0,MIN(Q1052,INDEX(Employees!$S$5:$S$29,$A1052)-(S1052-R1052))))</f>
        <v/>
      </c>
      <c r="U1052" s="51">
        <f>Q1052-T1052</f>
        <v/>
      </c>
      <c r="V1052" s="51">
        <f>S1052-R1052+T1052</f>
        <v/>
      </c>
    </row>
    <row r="1053">
      <c r="A1053" s="50" t="n">
        <v>20</v>
      </c>
      <c r="B1053" s="50" t="n">
        <v>42</v>
      </c>
      <c r="C1053" s="51">
        <f>INDEX(Employees!$B$5:$B$29,$A1053)&amp;""</f>
        <v/>
      </c>
      <c r="D1053" s="52">
        <f>INDEX(Periods!$B$5:$B$57,$B1053)</f>
        <v/>
      </c>
      <c r="E1053" s="52">
        <f>INDEX(Periods!$C$5:$C$57,$B1053)</f>
        <v/>
      </c>
      <c r="F1053" s="50">
        <f>IF(AND($C1053&lt;&gt;"",INDEX(Periods!$D$5:$D$57,$B1053)=1),1,0)</f>
        <v/>
      </c>
      <c r="G1053" s="50">
        <f>IF($F1053=0,0,IF(AND(OR(INDEX(Employees!$D$5:$D$29,$A1053)="",$E1053&gt;=INDEX(Employees!$D$5:$D$29,$A1053)+N(INDEX(Employees!$U$5:$U$29,$A1053))),OR(INDEX(Employees!$E$5:$E$29,$A1053)="",$D1053&lt;=INDEX(Employees!$E$5:$E$29,$A1053))),1,0))</f>
        <v/>
      </c>
      <c r="H1053" s="50">
        <f>IF($G1053=0,0,IF(INDEX(Employees!$D$5:$D$29,$A1053)="",0,DATEDIF(INDEX(Employees!$D$5:$D$29,$A1053),$E1053,"y")))</f>
        <v/>
      </c>
      <c r="I1053" s="51">
        <f>IF($G1053=0,0,IF(INDEX('Hours Worked'!$D$5:$BD$29,$A1053,$B1053)="",N(INDEX(Employees!$H$5:$H$29,$A1053)),INDEX('Hours Worked'!$D$5:$BD$29,$A1053,$B1053)))</f>
        <v/>
      </c>
      <c r="J1053" s="51">
        <f>IF(OR($G1053=0,INDEX(Employees!$O$5:$O$29,$A1053)&lt;&gt;"Yes"),0,IF(COUNTIF(Settings!$D$4:$D$9,"&lt;="&amp;$H1053)=0,0,INDEX(Settings!$E$4:$E$9,COUNTIF(Settings!$D$4:$D$9,"&lt;="&amp;$H1053))))</f>
        <v/>
      </c>
      <c r="K1053" s="51">
        <f>IF($G1053=0,0,IF(INDEX(Employees!$I$5:$I$29,$A1053)="Per pay period",(N(INDEX(Employees!$J$5:$J$29,$A1053))+$J1053)/Settings!$B$13,IF(INDEX(Employees!$I$5:$I$29,$A1053)="Per hour worked",N(INDEX(Employees!$K$5:$K$29,$A1053))*$I1053,IF(INDEX(Employees!$I$5:$I$29,$A1053)="Front-loaded",IF(OR($B1053=1,N($G1052)=0),N(INDEX(Employees!$J$5:$J$29,$A1053))+$J1053,0),0))))</f>
        <v/>
      </c>
      <c r="L1053" s="51">
        <f>IF($F1053=0,0,SUMIFS('Time Off Log'!$H$5:$H$504,'Time Off Log'!$A$5:$A$504,$C1053,'Time Off Log'!$B$5:$B$504,"PTO",'Time Off Log'!$E$5:$E$504,"Approved",'Time Off Log'!$C$5:$C$504,"&gt;="&amp;INDEX(Periods!$E$5:$E$57,$B1053),'Time Off Log'!$C$5:$C$504,"&lt;="&amp;INDEX(Periods!$F$5:$F$57,$B1053)))</f>
        <v/>
      </c>
      <c r="M1053" s="51">
        <f>IF($B1053=1,N(INDEX(Employees!$N$5:$N$29,$A1053)),P1052)</f>
        <v/>
      </c>
      <c r="N1053" s="51">
        <f>IF(INDEX(Employees!$L$5:$L$29,$A1053)="",K1053,MAX(0,MIN(K1053,INDEX(Employees!$L$5:$L$29,$A1053)-(M1053-L1053))))</f>
        <v/>
      </c>
      <c r="O1053" s="51">
        <f>K1053-N1053</f>
        <v/>
      </c>
      <c r="P1053" s="51">
        <f>M1053-L1053+N1053</f>
        <v/>
      </c>
      <c r="Q1053" s="51">
        <f>IF($G1053=0,0,IF(INDEX(Employees!$P$5:$P$29,$A1053)="Per pay period",(N(INDEX(Employees!$Q$5:$Q$29,$A1053)))/Settings!$B$13,IF(INDEX(Employees!$P$5:$P$29,$A1053)="Per hour worked",N(INDEX(Employees!$R$5:$R$29,$A1053))*$I1053,IF(INDEX(Employees!$P$5:$P$29,$A1053)="Front-loaded",IF(OR($B1053=1,N($G1052)=0),N(INDEX(Employees!$Q$5:$Q$29,$A1053)),0),0))))</f>
        <v/>
      </c>
      <c r="R1053" s="51">
        <f>IF($F1053=0,0,SUMIFS('Time Off Log'!$H$5:$H$504,'Time Off Log'!$A$5:$A$504,$C1053,'Time Off Log'!$B$5:$B$504,"Sick",'Time Off Log'!$E$5:$E$504,"Approved",'Time Off Log'!$C$5:$C$504,"&gt;="&amp;INDEX(Periods!$E$5:$E$57,$B1053),'Time Off Log'!$C$5:$C$504,"&lt;="&amp;INDEX(Periods!$F$5:$F$57,$B1053)))</f>
        <v/>
      </c>
      <c r="S1053" s="51">
        <f>IF($B1053=1,N(INDEX(Employees!$T$5:$T$29,$A1053)),V1052)</f>
        <v/>
      </c>
      <c r="T1053" s="51">
        <f>IF(INDEX(Employees!$S$5:$S$29,$A1053)="",Q1053,MAX(0,MIN(Q1053,INDEX(Employees!$S$5:$S$29,$A1053)-(S1053-R1053))))</f>
        <v/>
      </c>
      <c r="U1053" s="51">
        <f>Q1053-T1053</f>
        <v/>
      </c>
      <c r="V1053" s="51">
        <f>S1053-R1053+T1053</f>
        <v/>
      </c>
    </row>
    <row r="1054">
      <c r="A1054" s="50" t="n">
        <v>20</v>
      </c>
      <c r="B1054" s="50" t="n">
        <v>43</v>
      </c>
      <c r="C1054" s="51">
        <f>INDEX(Employees!$B$5:$B$29,$A1054)&amp;""</f>
        <v/>
      </c>
      <c r="D1054" s="52">
        <f>INDEX(Periods!$B$5:$B$57,$B1054)</f>
        <v/>
      </c>
      <c r="E1054" s="52">
        <f>INDEX(Periods!$C$5:$C$57,$B1054)</f>
        <v/>
      </c>
      <c r="F1054" s="50">
        <f>IF(AND($C1054&lt;&gt;"",INDEX(Periods!$D$5:$D$57,$B1054)=1),1,0)</f>
        <v/>
      </c>
      <c r="G1054" s="50">
        <f>IF($F1054=0,0,IF(AND(OR(INDEX(Employees!$D$5:$D$29,$A1054)="",$E1054&gt;=INDEX(Employees!$D$5:$D$29,$A1054)+N(INDEX(Employees!$U$5:$U$29,$A1054))),OR(INDEX(Employees!$E$5:$E$29,$A1054)="",$D1054&lt;=INDEX(Employees!$E$5:$E$29,$A1054))),1,0))</f>
        <v/>
      </c>
      <c r="H1054" s="50">
        <f>IF($G1054=0,0,IF(INDEX(Employees!$D$5:$D$29,$A1054)="",0,DATEDIF(INDEX(Employees!$D$5:$D$29,$A1054),$E1054,"y")))</f>
        <v/>
      </c>
      <c r="I1054" s="51">
        <f>IF($G1054=0,0,IF(INDEX('Hours Worked'!$D$5:$BD$29,$A1054,$B1054)="",N(INDEX(Employees!$H$5:$H$29,$A1054)),INDEX('Hours Worked'!$D$5:$BD$29,$A1054,$B1054)))</f>
        <v/>
      </c>
      <c r="J1054" s="51">
        <f>IF(OR($G1054=0,INDEX(Employees!$O$5:$O$29,$A1054)&lt;&gt;"Yes"),0,IF(COUNTIF(Settings!$D$4:$D$9,"&lt;="&amp;$H1054)=0,0,INDEX(Settings!$E$4:$E$9,COUNTIF(Settings!$D$4:$D$9,"&lt;="&amp;$H1054))))</f>
        <v/>
      </c>
      <c r="K1054" s="51">
        <f>IF($G1054=0,0,IF(INDEX(Employees!$I$5:$I$29,$A1054)="Per pay period",(N(INDEX(Employees!$J$5:$J$29,$A1054))+$J1054)/Settings!$B$13,IF(INDEX(Employees!$I$5:$I$29,$A1054)="Per hour worked",N(INDEX(Employees!$K$5:$K$29,$A1054))*$I1054,IF(INDEX(Employees!$I$5:$I$29,$A1054)="Front-loaded",IF(OR($B1054=1,N($G1053)=0),N(INDEX(Employees!$J$5:$J$29,$A1054))+$J1054,0),0))))</f>
        <v/>
      </c>
      <c r="L1054" s="51">
        <f>IF($F1054=0,0,SUMIFS('Time Off Log'!$H$5:$H$504,'Time Off Log'!$A$5:$A$504,$C1054,'Time Off Log'!$B$5:$B$504,"PTO",'Time Off Log'!$E$5:$E$504,"Approved",'Time Off Log'!$C$5:$C$504,"&gt;="&amp;INDEX(Periods!$E$5:$E$57,$B1054),'Time Off Log'!$C$5:$C$504,"&lt;="&amp;INDEX(Periods!$F$5:$F$57,$B1054)))</f>
        <v/>
      </c>
      <c r="M1054" s="51">
        <f>IF($B1054=1,N(INDEX(Employees!$N$5:$N$29,$A1054)),P1053)</f>
        <v/>
      </c>
      <c r="N1054" s="51">
        <f>IF(INDEX(Employees!$L$5:$L$29,$A1054)="",K1054,MAX(0,MIN(K1054,INDEX(Employees!$L$5:$L$29,$A1054)-(M1054-L1054))))</f>
        <v/>
      </c>
      <c r="O1054" s="51">
        <f>K1054-N1054</f>
        <v/>
      </c>
      <c r="P1054" s="51">
        <f>M1054-L1054+N1054</f>
        <v/>
      </c>
      <c r="Q1054" s="51">
        <f>IF($G1054=0,0,IF(INDEX(Employees!$P$5:$P$29,$A1054)="Per pay period",(N(INDEX(Employees!$Q$5:$Q$29,$A1054)))/Settings!$B$13,IF(INDEX(Employees!$P$5:$P$29,$A1054)="Per hour worked",N(INDEX(Employees!$R$5:$R$29,$A1054))*$I1054,IF(INDEX(Employees!$P$5:$P$29,$A1054)="Front-loaded",IF(OR($B1054=1,N($G1053)=0),N(INDEX(Employees!$Q$5:$Q$29,$A1054)),0),0))))</f>
        <v/>
      </c>
      <c r="R1054" s="51">
        <f>IF($F1054=0,0,SUMIFS('Time Off Log'!$H$5:$H$504,'Time Off Log'!$A$5:$A$504,$C1054,'Time Off Log'!$B$5:$B$504,"Sick",'Time Off Log'!$E$5:$E$504,"Approved",'Time Off Log'!$C$5:$C$504,"&gt;="&amp;INDEX(Periods!$E$5:$E$57,$B1054),'Time Off Log'!$C$5:$C$504,"&lt;="&amp;INDEX(Periods!$F$5:$F$57,$B1054)))</f>
        <v/>
      </c>
      <c r="S1054" s="51">
        <f>IF($B1054=1,N(INDEX(Employees!$T$5:$T$29,$A1054)),V1053)</f>
        <v/>
      </c>
      <c r="T1054" s="51">
        <f>IF(INDEX(Employees!$S$5:$S$29,$A1054)="",Q1054,MAX(0,MIN(Q1054,INDEX(Employees!$S$5:$S$29,$A1054)-(S1054-R1054))))</f>
        <v/>
      </c>
      <c r="U1054" s="51">
        <f>Q1054-T1054</f>
        <v/>
      </c>
      <c r="V1054" s="51">
        <f>S1054-R1054+T1054</f>
        <v/>
      </c>
    </row>
    <row r="1055">
      <c r="A1055" s="50" t="n">
        <v>20</v>
      </c>
      <c r="B1055" s="50" t="n">
        <v>44</v>
      </c>
      <c r="C1055" s="51">
        <f>INDEX(Employees!$B$5:$B$29,$A1055)&amp;""</f>
        <v/>
      </c>
      <c r="D1055" s="52">
        <f>INDEX(Periods!$B$5:$B$57,$B1055)</f>
        <v/>
      </c>
      <c r="E1055" s="52">
        <f>INDEX(Periods!$C$5:$C$57,$B1055)</f>
        <v/>
      </c>
      <c r="F1055" s="50">
        <f>IF(AND($C1055&lt;&gt;"",INDEX(Periods!$D$5:$D$57,$B1055)=1),1,0)</f>
        <v/>
      </c>
      <c r="G1055" s="50">
        <f>IF($F1055=0,0,IF(AND(OR(INDEX(Employees!$D$5:$D$29,$A1055)="",$E1055&gt;=INDEX(Employees!$D$5:$D$29,$A1055)+N(INDEX(Employees!$U$5:$U$29,$A1055))),OR(INDEX(Employees!$E$5:$E$29,$A1055)="",$D1055&lt;=INDEX(Employees!$E$5:$E$29,$A1055))),1,0))</f>
        <v/>
      </c>
      <c r="H1055" s="50">
        <f>IF($G1055=0,0,IF(INDEX(Employees!$D$5:$D$29,$A1055)="",0,DATEDIF(INDEX(Employees!$D$5:$D$29,$A1055),$E1055,"y")))</f>
        <v/>
      </c>
      <c r="I1055" s="51">
        <f>IF($G1055=0,0,IF(INDEX('Hours Worked'!$D$5:$BD$29,$A1055,$B1055)="",N(INDEX(Employees!$H$5:$H$29,$A1055)),INDEX('Hours Worked'!$D$5:$BD$29,$A1055,$B1055)))</f>
        <v/>
      </c>
      <c r="J1055" s="51">
        <f>IF(OR($G1055=0,INDEX(Employees!$O$5:$O$29,$A1055)&lt;&gt;"Yes"),0,IF(COUNTIF(Settings!$D$4:$D$9,"&lt;="&amp;$H1055)=0,0,INDEX(Settings!$E$4:$E$9,COUNTIF(Settings!$D$4:$D$9,"&lt;="&amp;$H1055))))</f>
        <v/>
      </c>
      <c r="K1055" s="51">
        <f>IF($G1055=0,0,IF(INDEX(Employees!$I$5:$I$29,$A1055)="Per pay period",(N(INDEX(Employees!$J$5:$J$29,$A1055))+$J1055)/Settings!$B$13,IF(INDEX(Employees!$I$5:$I$29,$A1055)="Per hour worked",N(INDEX(Employees!$K$5:$K$29,$A1055))*$I1055,IF(INDEX(Employees!$I$5:$I$29,$A1055)="Front-loaded",IF(OR($B1055=1,N($G1054)=0),N(INDEX(Employees!$J$5:$J$29,$A1055))+$J1055,0),0))))</f>
        <v/>
      </c>
      <c r="L1055" s="51">
        <f>IF($F1055=0,0,SUMIFS('Time Off Log'!$H$5:$H$504,'Time Off Log'!$A$5:$A$504,$C1055,'Time Off Log'!$B$5:$B$504,"PTO",'Time Off Log'!$E$5:$E$504,"Approved",'Time Off Log'!$C$5:$C$504,"&gt;="&amp;INDEX(Periods!$E$5:$E$57,$B1055),'Time Off Log'!$C$5:$C$504,"&lt;="&amp;INDEX(Periods!$F$5:$F$57,$B1055)))</f>
        <v/>
      </c>
      <c r="M1055" s="51">
        <f>IF($B1055=1,N(INDEX(Employees!$N$5:$N$29,$A1055)),P1054)</f>
        <v/>
      </c>
      <c r="N1055" s="51">
        <f>IF(INDEX(Employees!$L$5:$L$29,$A1055)="",K1055,MAX(0,MIN(K1055,INDEX(Employees!$L$5:$L$29,$A1055)-(M1055-L1055))))</f>
        <v/>
      </c>
      <c r="O1055" s="51">
        <f>K1055-N1055</f>
        <v/>
      </c>
      <c r="P1055" s="51">
        <f>M1055-L1055+N1055</f>
        <v/>
      </c>
      <c r="Q1055" s="51">
        <f>IF($G1055=0,0,IF(INDEX(Employees!$P$5:$P$29,$A1055)="Per pay period",(N(INDEX(Employees!$Q$5:$Q$29,$A1055)))/Settings!$B$13,IF(INDEX(Employees!$P$5:$P$29,$A1055)="Per hour worked",N(INDEX(Employees!$R$5:$R$29,$A1055))*$I1055,IF(INDEX(Employees!$P$5:$P$29,$A1055)="Front-loaded",IF(OR($B1055=1,N($G1054)=0),N(INDEX(Employees!$Q$5:$Q$29,$A1055)),0),0))))</f>
        <v/>
      </c>
      <c r="R1055" s="51">
        <f>IF($F1055=0,0,SUMIFS('Time Off Log'!$H$5:$H$504,'Time Off Log'!$A$5:$A$504,$C1055,'Time Off Log'!$B$5:$B$504,"Sick",'Time Off Log'!$E$5:$E$504,"Approved",'Time Off Log'!$C$5:$C$504,"&gt;="&amp;INDEX(Periods!$E$5:$E$57,$B1055),'Time Off Log'!$C$5:$C$504,"&lt;="&amp;INDEX(Periods!$F$5:$F$57,$B1055)))</f>
        <v/>
      </c>
      <c r="S1055" s="51">
        <f>IF($B1055=1,N(INDEX(Employees!$T$5:$T$29,$A1055)),V1054)</f>
        <v/>
      </c>
      <c r="T1055" s="51">
        <f>IF(INDEX(Employees!$S$5:$S$29,$A1055)="",Q1055,MAX(0,MIN(Q1055,INDEX(Employees!$S$5:$S$29,$A1055)-(S1055-R1055))))</f>
        <v/>
      </c>
      <c r="U1055" s="51">
        <f>Q1055-T1055</f>
        <v/>
      </c>
      <c r="V1055" s="51">
        <f>S1055-R1055+T1055</f>
        <v/>
      </c>
    </row>
    <row r="1056">
      <c r="A1056" s="50" t="n">
        <v>20</v>
      </c>
      <c r="B1056" s="50" t="n">
        <v>45</v>
      </c>
      <c r="C1056" s="51">
        <f>INDEX(Employees!$B$5:$B$29,$A1056)&amp;""</f>
        <v/>
      </c>
      <c r="D1056" s="52">
        <f>INDEX(Periods!$B$5:$B$57,$B1056)</f>
        <v/>
      </c>
      <c r="E1056" s="52">
        <f>INDEX(Periods!$C$5:$C$57,$B1056)</f>
        <v/>
      </c>
      <c r="F1056" s="50">
        <f>IF(AND($C1056&lt;&gt;"",INDEX(Periods!$D$5:$D$57,$B1056)=1),1,0)</f>
        <v/>
      </c>
      <c r="G1056" s="50">
        <f>IF($F1056=0,0,IF(AND(OR(INDEX(Employees!$D$5:$D$29,$A1056)="",$E1056&gt;=INDEX(Employees!$D$5:$D$29,$A1056)+N(INDEX(Employees!$U$5:$U$29,$A1056))),OR(INDEX(Employees!$E$5:$E$29,$A1056)="",$D1056&lt;=INDEX(Employees!$E$5:$E$29,$A1056))),1,0))</f>
        <v/>
      </c>
      <c r="H1056" s="50">
        <f>IF($G1056=0,0,IF(INDEX(Employees!$D$5:$D$29,$A1056)="",0,DATEDIF(INDEX(Employees!$D$5:$D$29,$A1056),$E1056,"y")))</f>
        <v/>
      </c>
      <c r="I1056" s="51">
        <f>IF($G1056=0,0,IF(INDEX('Hours Worked'!$D$5:$BD$29,$A1056,$B1056)="",N(INDEX(Employees!$H$5:$H$29,$A1056)),INDEX('Hours Worked'!$D$5:$BD$29,$A1056,$B1056)))</f>
        <v/>
      </c>
      <c r="J1056" s="51">
        <f>IF(OR($G1056=0,INDEX(Employees!$O$5:$O$29,$A1056)&lt;&gt;"Yes"),0,IF(COUNTIF(Settings!$D$4:$D$9,"&lt;="&amp;$H1056)=0,0,INDEX(Settings!$E$4:$E$9,COUNTIF(Settings!$D$4:$D$9,"&lt;="&amp;$H1056))))</f>
        <v/>
      </c>
      <c r="K1056" s="51">
        <f>IF($G1056=0,0,IF(INDEX(Employees!$I$5:$I$29,$A1056)="Per pay period",(N(INDEX(Employees!$J$5:$J$29,$A1056))+$J1056)/Settings!$B$13,IF(INDEX(Employees!$I$5:$I$29,$A1056)="Per hour worked",N(INDEX(Employees!$K$5:$K$29,$A1056))*$I1056,IF(INDEX(Employees!$I$5:$I$29,$A1056)="Front-loaded",IF(OR($B1056=1,N($G1055)=0),N(INDEX(Employees!$J$5:$J$29,$A1056))+$J1056,0),0))))</f>
        <v/>
      </c>
      <c r="L1056" s="51">
        <f>IF($F1056=0,0,SUMIFS('Time Off Log'!$H$5:$H$504,'Time Off Log'!$A$5:$A$504,$C1056,'Time Off Log'!$B$5:$B$504,"PTO",'Time Off Log'!$E$5:$E$504,"Approved",'Time Off Log'!$C$5:$C$504,"&gt;="&amp;INDEX(Periods!$E$5:$E$57,$B1056),'Time Off Log'!$C$5:$C$504,"&lt;="&amp;INDEX(Periods!$F$5:$F$57,$B1056)))</f>
        <v/>
      </c>
      <c r="M1056" s="51">
        <f>IF($B1056=1,N(INDEX(Employees!$N$5:$N$29,$A1056)),P1055)</f>
        <v/>
      </c>
      <c r="N1056" s="51">
        <f>IF(INDEX(Employees!$L$5:$L$29,$A1056)="",K1056,MAX(0,MIN(K1056,INDEX(Employees!$L$5:$L$29,$A1056)-(M1056-L1056))))</f>
        <v/>
      </c>
      <c r="O1056" s="51">
        <f>K1056-N1056</f>
        <v/>
      </c>
      <c r="P1056" s="51">
        <f>M1056-L1056+N1056</f>
        <v/>
      </c>
      <c r="Q1056" s="51">
        <f>IF($G1056=0,0,IF(INDEX(Employees!$P$5:$P$29,$A1056)="Per pay period",(N(INDEX(Employees!$Q$5:$Q$29,$A1056)))/Settings!$B$13,IF(INDEX(Employees!$P$5:$P$29,$A1056)="Per hour worked",N(INDEX(Employees!$R$5:$R$29,$A1056))*$I1056,IF(INDEX(Employees!$P$5:$P$29,$A1056)="Front-loaded",IF(OR($B1056=1,N($G1055)=0),N(INDEX(Employees!$Q$5:$Q$29,$A1056)),0),0))))</f>
        <v/>
      </c>
      <c r="R1056" s="51">
        <f>IF($F1056=0,0,SUMIFS('Time Off Log'!$H$5:$H$504,'Time Off Log'!$A$5:$A$504,$C1056,'Time Off Log'!$B$5:$B$504,"Sick",'Time Off Log'!$E$5:$E$504,"Approved",'Time Off Log'!$C$5:$C$504,"&gt;="&amp;INDEX(Periods!$E$5:$E$57,$B1056),'Time Off Log'!$C$5:$C$504,"&lt;="&amp;INDEX(Periods!$F$5:$F$57,$B1056)))</f>
        <v/>
      </c>
      <c r="S1056" s="51">
        <f>IF($B1056=1,N(INDEX(Employees!$T$5:$T$29,$A1056)),V1055)</f>
        <v/>
      </c>
      <c r="T1056" s="51">
        <f>IF(INDEX(Employees!$S$5:$S$29,$A1056)="",Q1056,MAX(0,MIN(Q1056,INDEX(Employees!$S$5:$S$29,$A1056)-(S1056-R1056))))</f>
        <v/>
      </c>
      <c r="U1056" s="51">
        <f>Q1056-T1056</f>
        <v/>
      </c>
      <c r="V1056" s="51">
        <f>S1056-R1056+T1056</f>
        <v/>
      </c>
    </row>
    <row r="1057">
      <c r="A1057" s="50" t="n">
        <v>20</v>
      </c>
      <c r="B1057" s="50" t="n">
        <v>46</v>
      </c>
      <c r="C1057" s="51">
        <f>INDEX(Employees!$B$5:$B$29,$A1057)&amp;""</f>
        <v/>
      </c>
      <c r="D1057" s="52">
        <f>INDEX(Periods!$B$5:$B$57,$B1057)</f>
        <v/>
      </c>
      <c r="E1057" s="52">
        <f>INDEX(Periods!$C$5:$C$57,$B1057)</f>
        <v/>
      </c>
      <c r="F1057" s="50">
        <f>IF(AND($C1057&lt;&gt;"",INDEX(Periods!$D$5:$D$57,$B1057)=1),1,0)</f>
        <v/>
      </c>
      <c r="G1057" s="50">
        <f>IF($F1057=0,0,IF(AND(OR(INDEX(Employees!$D$5:$D$29,$A1057)="",$E1057&gt;=INDEX(Employees!$D$5:$D$29,$A1057)+N(INDEX(Employees!$U$5:$U$29,$A1057))),OR(INDEX(Employees!$E$5:$E$29,$A1057)="",$D1057&lt;=INDEX(Employees!$E$5:$E$29,$A1057))),1,0))</f>
        <v/>
      </c>
      <c r="H1057" s="50">
        <f>IF($G1057=0,0,IF(INDEX(Employees!$D$5:$D$29,$A1057)="",0,DATEDIF(INDEX(Employees!$D$5:$D$29,$A1057),$E1057,"y")))</f>
        <v/>
      </c>
      <c r="I1057" s="51">
        <f>IF($G1057=0,0,IF(INDEX('Hours Worked'!$D$5:$BD$29,$A1057,$B1057)="",N(INDEX(Employees!$H$5:$H$29,$A1057)),INDEX('Hours Worked'!$D$5:$BD$29,$A1057,$B1057)))</f>
        <v/>
      </c>
      <c r="J1057" s="51">
        <f>IF(OR($G1057=0,INDEX(Employees!$O$5:$O$29,$A1057)&lt;&gt;"Yes"),0,IF(COUNTIF(Settings!$D$4:$D$9,"&lt;="&amp;$H1057)=0,0,INDEX(Settings!$E$4:$E$9,COUNTIF(Settings!$D$4:$D$9,"&lt;="&amp;$H1057))))</f>
        <v/>
      </c>
      <c r="K1057" s="51">
        <f>IF($G1057=0,0,IF(INDEX(Employees!$I$5:$I$29,$A1057)="Per pay period",(N(INDEX(Employees!$J$5:$J$29,$A1057))+$J1057)/Settings!$B$13,IF(INDEX(Employees!$I$5:$I$29,$A1057)="Per hour worked",N(INDEX(Employees!$K$5:$K$29,$A1057))*$I1057,IF(INDEX(Employees!$I$5:$I$29,$A1057)="Front-loaded",IF(OR($B1057=1,N($G1056)=0),N(INDEX(Employees!$J$5:$J$29,$A1057))+$J1057,0),0))))</f>
        <v/>
      </c>
      <c r="L1057" s="51">
        <f>IF($F1057=0,0,SUMIFS('Time Off Log'!$H$5:$H$504,'Time Off Log'!$A$5:$A$504,$C1057,'Time Off Log'!$B$5:$B$504,"PTO",'Time Off Log'!$E$5:$E$504,"Approved",'Time Off Log'!$C$5:$C$504,"&gt;="&amp;INDEX(Periods!$E$5:$E$57,$B1057),'Time Off Log'!$C$5:$C$504,"&lt;="&amp;INDEX(Periods!$F$5:$F$57,$B1057)))</f>
        <v/>
      </c>
      <c r="M1057" s="51">
        <f>IF($B1057=1,N(INDEX(Employees!$N$5:$N$29,$A1057)),P1056)</f>
        <v/>
      </c>
      <c r="N1057" s="51">
        <f>IF(INDEX(Employees!$L$5:$L$29,$A1057)="",K1057,MAX(0,MIN(K1057,INDEX(Employees!$L$5:$L$29,$A1057)-(M1057-L1057))))</f>
        <v/>
      </c>
      <c r="O1057" s="51">
        <f>K1057-N1057</f>
        <v/>
      </c>
      <c r="P1057" s="51">
        <f>M1057-L1057+N1057</f>
        <v/>
      </c>
      <c r="Q1057" s="51">
        <f>IF($G1057=0,0,IF(INDEX(Employees!$P$5:$P$29,$A1057)="Per pay period",(N(INDEX(Employees!$Q$5:$Q$29,$A1057)))/Settings!$B$13,IF(INDEX(Employees!$P$5:$P$29,$A1057)="Per hour worked",N(INDEX(Employees!$R$5:$R$29,$A1057))*$I1057,IF(INDEX(Employees!$P$5:$P$29,$A1057)="Front-loaded",IF(OR($B1057=1,N($G1056)=0),N(INDEX(Employees!$Q$5:$Q$29,$A1057)),0),0))))</f>
        <v/>
      </c>
      <c r="R1057" s="51">
        <f>IF($F1057=0,0,SUMIFS('Time Off Log'!$H$5:$H$504,'Time Off Log'!$A$5:$A$504,$C1057,'Time Off Log'!$B$5:$B$504,"Sick",'Time Off Log'!$E$5:$E$504,"Approved",'Time Off Log'!$C$5:$C$504,"&gt;="&amp;INDEX(Periods!$E$5:$E$57,$B1057),'Time Off Log'!$C$5:$C$504,"&lt;="&amp;INDEX(Periods!$F$5:$F$57,$B1057)))</f>
        <v/>
      </c>
      <c r="S1057" s="51">
        <f>IF($B1057=1,N(INDEX(Employees!$T$5:$T$29,$A1057)),V1056)</f>
        <v/>
      </c>
      <c r="T1057" s="51">
        <f>IF(INDEX(Employees!$S$5:$S$29,$A1057)="",Q1057,MAX(0,MIN(Q1057,INDEX(Employees!$S$5:$S$29,$A1057)-(S1057-R1057))))</f>
        <v/>
      </c>
      <c r="U1057" s="51">
        <f>Q1057-T1057</f>
        <v/>
      </c>
      <c r="V1057" s="51">
        <f>S1057-R1057+T1057</f>
        <v/>
      </c>
    </row>
    <row r="1058">
      <c r="A1058" s="50" t="n">
        <v>20</v>
      </c>
      <c r="B1058" s="50" t="n">
        <v>47</v>
      </c>
      <c r="C1058" s="51">
        <f>INDEX(Employees!$B$5:$B$29,$A1058)&amp;""</f>
        <v/>
      </c>
      <c r="D1058" s="52">
        <f>INDEX(Periods!$B$5:$B$57,$B1058)</f>
        <v/>
      </c>
      <c r="E1058" s="52">
        <f>INDEX(Periods!$C$5:$C$57,$B1058)</f>
        <v/>
      </c>
      <c r="F1058" s="50">
        <f>IF(AND($C1058&lt;&gt;"",INDEX(Periods!$D$5:$D$57,$B1058)=1),1,0)</f>
        <v/>
      </c>
      <c r="G1058" s="50">
        <f>IF($F1058=0,0,IF(AND(OR(INDEX(Employees!$D$5:$D$29,$A1058)="",$E1058&gt;=INDEX(Employees!$D$5:$D$29,$A1058)+N(INDEX(Employees!$U$5:$U$29,$A1058))),OR(INDEX(Employees!$E$5:$E$29,$A1058)="",$D1058&lt;=INDEX(Employees!$E$5:$E$29,$A1058))),1,0))</f>
        <v/>
      </c>
      <c r="H1058" s="50">
        <f>IF($G1058=0,0,IF(INDEX(Employees!$D$5:$D$29,$A1058)="",0,DATEDIF(INDEX(Employees!$D$5:$D$29,$A1058),$E1058,"y")))</f>
        <v/>
      </c>
      <c r="I1058" s="51">
        <f>IF($G1058=0,0,IF(INDEX('Hours Worked'!$D$5:$BD$29,$A1058,$B1058)="",N(INDEX(Employees!$H$5:$H$29,$A1058)),INDEX('Hours Worked'!$D$5:$BD$29,$A1058,$B1058)))</f>
        <v/>
      </c>
      <c r="J1058" s="51">
        <f>IF(OR($G1058=0,INDEX(Employees!$O$5:$O$29,$A1058)&lt;&gt;"Yes"),0,IF(COUNTIF(Settings!$D$4:$D$9,"&lt;="&amp;$H1058)=0,0,INDEX(Settings!$E$4:$E$9,COUNTIF(Settings!$D$4:$D$9,"&lt;="&amp;$H1058))))</f>
        <v/>
      </c>
      <c r="K1058" s="51">
        <f>IF($G1058=0,0,IF(INDEX(Employees!$I$5:$I$29,$A1058)="Per pay period",(N(INDEX(Employees!$J$5:$J$29,$A1058))+$J1058)/Settings!$B$13,IF(INDEX(Employees!$I$5:$I$29,$A1058)="Per hour worked",N(INDEX(Employees!$K$5:$K$29,$A1058))*$I1058,IF(INDEX(Employees!$I$5:$I$29,$A1058)="Front-loaded",IF(OR($B1058=1,N($G1057)=0),N(INDEX(Employees!$J$5:$J$29,$A1058))+$J1058,0),0))))</f>
        <v/>
      </c>
      <c r="L1058" s="51">
        <f>IF($F1058=0,0,SUMIFS('Time Off Log'!$H$5:$H$504,'Time Off Log'!$A$5:$A$504,$C1058,'Time Off Log'!$B$5:$B$504,"PTO",'Time Off Log'!$E$5:$E$504,"Approved",'Time Off Log'!$C$5:$C$504,"&gt;="&amp;INDEX(Periods!$E$5:$E$57,$B1058),'Time Off Log'!$C$5:$C$504,"&lt;="&amp;INDEX(Periods!$F$5:$F$57,$B1058)))</f>
        <v/>
      </c>
      <c r="M1058" s="51">
        <f>IF($B1058=1,N(INDEX(Employees!$N$5:$N$29,$A1058)),P1057)</f>
        <v/>
      </c>
      <c r="N1058" s="51">
        <f>IF(INDEX(Employees!$L$5:$L$29,$A1058)="",K1058,MAX(0,MIN(K1058,INDEX(Employees!$L$5:$L$29,$A1058)-(M1058-L1058))))</f>
        <v/>
      </c>
      <c r="O1058" s="51">
        <f>K1058-N1058</f>
        <v/>
      </c>
      <c r="P1058" s="51">
        <f>M1058-L1058+N1058</f>
        <v/>
      </c>
      <c r="Q1058" s="51">
        <f>IF($G1058=0,0,IF(INDEX(Employees!$P$5:$P$29,$A1058)="Per pay period",(N(INDEX(Employees!$Q$5:$Q$29,$A1058)))/Settings!$B$13,IF(INDEX(Employees!$P$5:$P$29,$A1058)="Per hour worked",N(INDEX(Employees!$R$5:$R$29,$A1058))*$I1058,IF(INDEX(Employees!$P$5:$P$29,$A1058)="Front-loaded",IF(OR($B1058=1,N($G1057)=0),N(INDEX(Employees!$Q$5:$Q$29,$A1058)),0),0))))</f>
        <v/>
      </c>
      <c r="R1058" s="51">
        <f>IF($F1058=0,0,SUMIFS('Time Off Log'!$H$5:$H$504,'Time Off Log'!$A$5:$A$504,$C1058,'Time Off Log'!$B$5:$B$504,"Sick",'Time Off Log'!$E$5:$E$504,"Approved",'Time Off Log'!$C$5:$C$504,"&gt;="&amp;INDEX(Periods!$E$5:$E$57,$B1058),'Time Off Log'!$C$5:$C$504,"&lt;="&amp;INDEX(Periods!$F$5:$F$57,$B1058)))</f>
        <v/>
      </c>
      <c r="S1058" s="51">
        <f>IF($B1058=1,N(INDEX(Employees!$T$5:$T$29,$A1058)),V1057)</f>
        <v/>
      </c>
      <c r="T1058" s="51">
        <f>IF(INDEX(Employees!$S$5:$S$29,$A1058)="",Q1058,MAX(0,MIN(Q1058,INDEX(Employees!$S$5:$S$29,$A1058)-(S1058-R1058))))</f>
        <v/>
      </c>
      <c r="U1058" s="51">
        <f>Q1058-T1058</f>
        <v/>
      </c>
      <c r="V1058" s="51">
        <f>S1058-R1058+T1058</f>
        <v/>
      </c>
    </row>
    <row r="1059">
      <c r="A1059" s="50" t="n">
        <v>20</v>
      </c>
      <c r="B1059" s="50" t="n">
        <v>48</v>
      </c>
      <c r="C1059" s="51">
        <f>INDEX(Employees!$B$5:$B$29,$A1059)&amp;""</f>
        <v/>
      </c>
      <c r="D1059" s="52">
        <f>INDEX(Periods!$B$5:$B$57,$B1059)</f>
        <v/>
      </c>
      <c r="E1059" s="52">
        <f>INDEX(Periods!$C$5:$C$57,$B1059)</f>
        <v/>
      </c>
      <c r="F1059" s="50">
        <f>IF(AND($C1059&lt;&gt;"",INDEX(Periods!$D$5:$D$57,$B1059)=1),1,0)</f>
        <v/>
      </c>
      <c r="G1059" s="50">
        <f>IF($F1059=0,0,IF(AND(OR(INDEX(Employees!$D$5:$D$29,$A1059)="",$E1059&gt;=INDEX(Employees!$D$5:$D$29,$A1059)+N(INDEX(Employees!$U$5:$U$29,$A1059))),OR(INDEX(Employees!$E$5:$E$29,$A1059)="",$D1059&lt;=INDEX(Employees!$E$5:$E$29,$A1059))),1,0))</f>
        <v/>
      </c>
      <c r="H1059" s="50">
        <f>IF($G1059=0,0,IF(INDEX(Employees!$D$5:$D$29,$A1059)="",0,DATEDIF(INDEX(Employees!$D$5:$D$29,$A1059),$E1059,"y")))</f>
        <v/>
      </c>
      <c r="I1059" s="51">
        <f>IF($G1059=0,0,IF(INDEX('Hours Worked'!$D$5:$BD$29,$A1059,$B1059)="",N(INDEX(Employees!$H$5:$H$29,$A1059)),INDEX('Hours Worked'!$D$5:$BD$29,$A1059,$B1059)))</f>
        <v/>
      </c>
      <c r="J1059" s="51">
        <f>IF(OR($G1059=0,INDEX(Employees!$O$5:$O$29,$A1059)&lt;&gt;"Yes"),0,IF(COUNTIF(Settings!$D$4:$D$9,"&lt;="&amp;$H1059)=0,0,INDEX(Settings!$E$4:$E$9,COUNTIF(Settings!$D$4:$D$9,"&lt;="&amp;$H1059))))</f>
        <v/>
      </c>
      <c r="K1059" s="51">
        <f>IF($G1059=0,0,IF(INDEX(Employees!$I$5:$I$29,$A1059)="Per pay period",(N(INDEX(Employees!$J$5:$J$29,$A1059))+$J1059)/Settings!$B$13,IF(INDEX(Employees!$I$5:$I$29,$A1059)="Per hour worked",N(INDEX(Employees!$K$5:$K$29,$A1059))*$I1059,IF(INDEX(Employees!$I$5:$I$29,$A1059)="Front-loaded",IF(OR($B1059=1,N($G1058)=0),N(INDEX(Employees!$J$5:$J$29,$A1059))+$J1059,0),0))))</f>
        <v/>
      </c>
      <c r="L1059" s="51">
        <f>IF($F1059=0,0,SUMIFS('Time Off Log'!$H$5:$H$504,'Time Off Log'!$A$5:$A$504,$C1059,'Time Off Log'!$B$5:$B$504,"PTO",'Time Off Log'!$E$5:$E$504,"Approved",'Time Off Log'!$C$5:$C$504,"&gt;="&amp;INDEX(Periods!$E$5:$E$57,$B1059),'Time Off Log'!$C$5:$C$504,"&lt;="&amp;INDEX(Periods!$F$5:$F$57,$B1059)))</f>
        <v/>
      </c>
      <c r="M1059" s="51">
        <f>IF($B1059=1,N(INDEX(Employees!$N$5:$N$29,$A1059)),P1058)</f>
        <v/>
      </c>
      <c r="N1059" s="51">
        <f>IF(INDEX(Employees!$L$5:$L$29,$A1059)="",K1059,MAX(0,MIN(K1059,INDEX(Employees!$L$5:$L$29,$A1059)-(M1059-L1059))))</f>
        <v/>
      </c>
      <c r="O1059" s="51">
        <f>K1059-N1059</f>
        <v/>
      </c>
      <c r="P1059" s="51">
        <f>M1059-L1059+N1059</f>
        <v/>
      </c>
      <c r="Q1059" s="51">
        <f>IF($G1059=0,0,IF(INDEX(Employees!$P$5:$P$29,$A1059)="Per pay period",(N(INDEX(Employees!$Q$5:$Q$29,$A1059)))/Settings!$B$13,IF(INDEX(Employees!$P$5:$P$29,$A1059)="Per hour worked",N(INDEX(Employees!$R$5:$R$29,$A1059))*$I1059,IF(INDEX(Employees!$P$5:$P$29,$A1059)="Front-loaded",IF(OR($B1059=1,N($G1058)=0),N(INDEX(Employees!$Q$5:$Q$29,$A1059)),0),0))))</f>
        <v/>
      </c>
      <c r="R1059" s="51">
        <f>IF($F1059=0,0,SUMIFS('Time Off Log'!$H$5:$H$504,'Time Off Log'!$A$5:$A$504,$C1059,'Time Off Log'!$B$5:$B$504,"Sick",'Time Off Log'!$E$5:$E$504,"Approved",'Time Off Log'!$C$5:$C$504,"&gt;="&amp;INDEX(Periods!$E$5:$E$57,$B1059),'Time Off Log'!$C$5:$C$504,"&lt;="&amp;INDEX(Periods!$F$5:$F$57,$B1059)))</f>
        <v/>
      </c>
      <c r="S1059" s="51">
        <f>IF($B1059=1,N(INDEX(Employees!$T$5:$T$29,$A1059)),V1058)</f>
        <v/>
      </c>
      <c r="T1059" s="51">
        <f>IF(INDEX(Employees!$S$5:$S$29,$A1059)="",Q1059,MAX(0,MIN(Q1059,INDEX(Employees!$S$5:$S$29,$A1059)-(S1059-R1059))))</f>
        <v/>
      </c>
      <c r="U1059" s="51">
        <f>Q1059-T1059</f>
        <v/>
      </c>
      <c r="V1059" s="51">
        <f>S1059-R1059+T1059</f>
        <v/>
      </c>
    </row>
    <row r="1060">
      <c r="A1060" s="50" t="n">
        <v>20</v>
      </c>
      <c r="B1060" s="50" t="n">
        <v>49</v>
      </c>
      <c r="C1060" s="51">
        <f>INDEX(Employees!$B$5:$B$29,$A1060)&amp;""</f>
        <v/>
      </c>
      <c r="D1060" s="52">
        <f>INDEX(Periods!$B$5:$B$57,$B1060)</f>
        <v/>
      </c>
      <c r="E1060" s="52">
        <f>INDEX(Periods!$C$5:$C$57,$B1060)</f>
        <v/>
      </c>
      <c r="F1060" s="50">
        <f>IF(AND($C1060&lt;&gt;"",INDEX(Periods!$D$5:$D$57,$B1060)=1),1,0)</f>
        <v/>
      </c>
      <c r="G1060" s="50">
        <f>IF($F1060=0,0,IF(AND(OR(INDEX(Employees!$D$5:$D$29,$A1060)="",$E1060&gt;=INDEX(Employees!$D$5:$D$29,$A1060)+N(INDEX(Employees!$U$5:$U$29,$A1060))),OR(INDEX(Employees!$E$5:$E$29,$A1060)="",$D1060&lt;=INDEX(Employees!$E$5:$E$29,$A1060))),1,0))</f>
        <v/>
      </c>
      <c r="H1060" s="50">
        <f>IF($G1060=0,0,IF(INDEX(Employees!$D$5:$D$29,$A1060)="",0,DATEDIF(INDEX(Employees!$D$5:$D$29,$A1060),$E1060,"y")))</f>
        <v/>
      </c>
      <c r="I1060" s="51">
        <f>IF($G1060=0,0,IF(INDEX('Hours Worked'!$D$5:$BD$29,$A1060,$B1060)="",N(INDEX(Employees!$H$5:$H$29,$A1060)),INDEX('Hours Worked'!$D$5:$BD$29,$A1060,$B1060)))</f>
        <v/>
      </c>
      <c r="J1060" s="51">
        <f>IF(OR($G1060=0,INDEX(Employees!$O$5:$O$29,$A1060)&lt;&gt;"Yes"),0,IF(COUNTIF(Settings!$D$4:$D$9,"&lt;="&amp;$H1060)=0,0,INDEX(Settings!$E$4:$E$9,COUNTIF(Settings!$D$4:$D$9,"&lt;="&amp;$H1060))))</f>
        <v/>
      </c>
      <c r="K1060" s="51">
        <f>IF($G1060=0,0,IF(INDEX(Employees!$I$5:$I$29,$A1060)="Per pay period",(N(INDEX(Employees!$J$5:$J$29,$A1060))+$J1060)/Settings!$B$13,IF(INDEX(Employees!$I$5:$I$29,$A1060)="Per hour worked",N(INDEX(Employees!$K$5:$K$29,$A1060))*$I1060,IF(INDEX(Employees!$I$5:$I$29,$A1060)="Front-loaded",IF(OR($B1060=1,N($G1059)=0),N(INDEX(Employees!$J$5:$J$29,$A1060))+$J1060,0),0))))</f>
        <v/>
      </c>
      <c r="L1060" s="51">
        <f>IF($F1060=0,0,SUMIFS('Time Off Log'!$H$5:$H$504,'Time Off Log'!$A$5:$A$504,$C1060,'Time Off Log'!$B$5:$B$504,"PTO",'Time Off Log'!$E$5:$E$504,"Approved",'Time Off Log'!$C$5:$C$504,"&gt;="&amp;INDEX(Periods!$E$5:$E$57,$B1060),'Time Off Log'!$C$5:$C$504,"&lt;="&amp;INDEX(Periods!$F$5:$F$57,$B1060)))</f>
        <v/>
      </c>
      <c r="M1060" s="51">
        <f>IF($B1060=1,N(INDEX(Employees!$N$5:$N$29,$A1060)),P1059)</f>
        <v/>
      </c>
      <c r="N1060" s="51">
        <f>IF(INDEX(Employees!$L$5:$L$29,$A1060)="",K1060,MAX(0,MIN(K1060,INDEX(Employees!$L$5:$L$29,$A1060)-(M1060-L1060))))</f>
        <v/>
      </c>
      <c r="O1060" s="51">
        <f>K1060-N1060</f>
        <v/>
      </c>
      <c r="P1060" s="51">
        <f>M1060-L1060+N1060</f>
        <v/>
      </c>
      <c r="Q1060" s="51">
        <f>IF($G1060=0,0,IF(INDEX(Employees!$P$5:$P$29,$A1060)="Per pay period",(N(INDEX(Employees!$Q$5:$Q$29,$A1060)))/Settings!$B$13,IF(INDEX(Employees!$P$5:$P$29,$A1060)="Per hour worked",N(INDEX(Employees!$R$5:$R$29,$A1060))*$I1060,IF(INDEX(Employees!$P$5:$P$29,$A1060)="Front-loaded",IF(OR($B1060=1,N($G1059)=0),N(INDEX(Employees!$Q$5:$Q$29,$A1060)),0),0))))</f>
        <v/>
      </c>
      <c r="R1060" s="51">
        <f>IF($F1060=0,0,SUMIFS('Time Off Log'!$H$5:$H$504,'Time Off Log'!$A$5:$A$504,$C1060,'Time Off Log'!$B$5:$B$504,"Sick",'Time Off Log'!$E$5:$E$504,"Approved",'Time Off Log'!$C$5:$C$504,"&gt;="&amp;INDEX(Periods!$E$5:$E$57,$B1060),'Time Off Log'!$C$5:$C$504,"&lt;="&amp;INDEX(Periods!$F$5:$F$57,$B1060)))</f>
        <v/>
      </c>
      <c r="S1060" s="51">
        <f>IF($B1060=1,N(INDEX(Employees!$T$5:$T$29,$A1060)),V1059)</f>
        <v/>
      </c>
      <c r="T1060" s="51">
        <f>IF(INDEX(Employees!$S$5:$S$29,$A1060)="",Q1060,MAX(0,MIN(Q1060,INDEX(Employees!$S$5:$S$29,$A1060)-(S1060-R1060))))</f>
        <v/>
      </c>
      <c r="U1060" s="51">
        <f>Q1060-T1060</f>
        <v/>
      </c>
      <c r="V1060" s="51">
        <f>S1060-R1060+T1060</f>
        <v/>
      </c>
    </row>
    <row r="1061">
      <c r="A1061" s="50" t="n">
        <v>20</v>
      </c>
      <c r="B1061" s="50" t="n">
        <v>50</v>
      </c>
      <c r="C1061" s="51">
        <f>INDEX(Employees!$B$5:$B$29,$A1061)&amp;""</f>
        <v/>
      </c>
      <c r="D1061" s="52">
        <f>INDEX(Periods!$B$5:$B$57,$B1061)</f>
        <v/>
      </c>
      <c r="E1061" s="52">
        <f>INDEX(Periods!$C$5:$C$57,$B1061)</f>
        <v/>
      </c>
      <c r="F1061" s="50">
        <f>IF(AND($C1061&lt;&gt;"",INDEX(Periods!$D$5:$D$57,$B1061)=1),1,0)</f>
        <v/>
      </c>
      <c r="G1061" s="50">
        <f>IF($F1061=0,0,IF(AND(OR(INDEX(Employees!$D$5:$D$29,$A1061)="",$E1061&gt;=INDEX(Employees!$D$5:$D$29,$A1061)+N(INDEX(Employees!$U$5:$U$29,$A1061))),OR(INDEX(Employees!$E$5:$E$29,$A1061)="",$D1061&lt;=INDEX(Employees!$E$5:$E$29,$A1061))),1,0))</f>
        <v/>
      </c>
      <c r="H1061" s="50">
        <f>IF($G1061=0,0,IF(INDEX(Employees!$D$5:$D$29,$A1061)="",0,DATEDIF(INDEX(Employees!$D$5:$D$29,$A1061),$E1061,"y")))</f>
        <v/>
      </c>
      <c r="I1061" s="51">
        <f>IF($G1061=0,0,IF(INDEX('Hours Worked'!$D$5:$BD$29,$A1061,$B1061)="",N(INDEX(Employees!$H$5:$H$29,$A1061)),INDEX('Hours Worked'!$D$5:$BD$29,$A1061,$B1061)))</f>
        <v/>
      </c>
      <c r="J1061" s="51">
        <f>IF(OR($G1061=0,INDEX(Employees!$O$5:$O$29,$A1061)&lt;&gt;"Yes"),0,IF(COUNTIF(Settings!$D$4:$D$9,"&lt;="&amp;$H1061)=0,0,INDEX(Settings!$E$4:$E$9,COUNTIF(Settings!$D$4:$D$9,"&lt;="&amp;$H1061))))</f>
        <v/>
      </c>
      <c r="K1061" s="51">
        <f>IF($G1061=0,0,IF(INDEX(Employees!$I$5:$I$29,$A1061)="Per pay period",(N(INDEX(Employees!$J$5:$J$29,$A1061))+$J1061)/Settings!$B$13,IF(INDEX(Employees!$I$5:$I$29,$A1061)="Per hour worked",N(INDEX(Employees!$K$5:$K$29,$A1061))*$I1061,IF(INDEX(Employees!$I$5:$I$29,$A1061)="Front-loaded",IF(OR($B1061=1,N($G1060)=0),N(INDEX(Employees!$J$5:$J$29,$A1061))+$J1061,0),0))))</f>
        <v/>
      </c>
      <c r="L1061" s="51">
        <f>IF($F1061=0,0,SUMIFS('Time Off Log'!$H$5:$H$504,'Time Off Log'!$A$5:$A$504,$C1061,'Time Off Log'!$B$5:$B$504,"PTO",'Time Off Log'!$E$5:$E$504,"Approved",'Time Off Log'!$C$5:$C$504,"&gt;="&amp;INDEX(Periods!$E$5:$E$57,$B1061),'Time Off Log'!$C$5:$C$504,"&lt;="&amp;INDEX(Periods!$F$5:$F$57,$B1061)))</f>
        <v/>
      </c>
      <c r="M1061" s="51">
        <f>IF($B1061=1,N(INDEX(Employees!$N$5:$N$29,$A1061)),P1060)</f>
        <v/>
      </c>
      <c r="N1061" s="51">
        <f>IF(INDEX(Employees!$L$5:$L$29,$A1061)="",K1061,MAX(0,MIN(K1061,INDEX(Employees!$L$5:$L$29,$A1061)-(M1061-L1061))))</f>
        <v/>
      </c>
      <c r="O1061" s="51">
        <f>K1061-N1061</f>
        <v/>
      </c>
      <c r="P1061" s="51">
        <f>M1061-L1061+N1061</f>
        <v/>
      </c>
      <c r="Q1061" s="51">
        <f>IF($G1061=0,0,IF(INDEX(Employees!$P$5:$P$29,$A1061)="Per pay period",(N(INDEX(Employees!$Q$5:$Q$29,$A1061)))/Settings!$B$13,IF(INDEX(Employees!$P$5:$P$29,$A1061)="Per hour worked",N(INDEX(Employees!$R$5:$R$29,$A1061))*$I1061,IF(INDEX(Employees!$P$5:$P$29,$A1061)="Front-loaded",IF(OR($B1061=1,N($G1060)=0),N(INDEX(Employees!$Q$5:$Q$29,$A1061)),0),0))))</f>
        <v/>
      </c>
      <c r="R1061" s="51">
        <f>IF($F1061=0,0,SUMIFS('Time Off Log'!$H$5:$H$504,'Time Off Log'!$A$5:$A$504,$C1061,'Time Off Log'!$B$5:$B$504,"Sick",'Time Off Log'!$E$5:$E$504,"Approved",'Time Off Log'!$C$5:$C$504,"&gt;="&amp;INDEX(Periods!$E$5:$E$57,$B1061),'Time Off Log'!$C$5:$C$504,"&lt;="&amp;INDEX(Periods!$F$5:$F$57,$B1061)))</f>
        <v/>
      </c>
      <c r="S1061" s="51">
        <f>IF($B1061=1,N(INDEX(Employees!$T$5:$T$29,$A1061)),V1060)</f>
        <v/>
      </c>
      <c r="T1061" s="51">
        <f>IF(INDEX(Employees!$S$5:$S$29,$A1061)="",Q1061,MAX(0,MIN(Q1061,INDEX(Employees!$S$5:$S$29,$A1061)-(S1061-R1061))))</f>
        <v/>
      </c>
      <c r="U1061" s="51">
        <f>Q1061-T1061</f>
        <v/>
      </c>
      <c r="V1061" s="51">
        <f>S1061-R1061+T1061</f>
        <v/>
      </c>
    </row>
    <row r="1062">
      <c r="A1062" s="50" t="n">
        <v>20</v>
      </c>
      <c r="B1062" s="50" t="n">
        <v>51</v>
      </c>
      <c r="C1062" s="51">
        <f>INDEX(Employees!$B$5:$B$29,$A1062)&amp;""</f>
        <v/>
      </c>
      <c r="D1062" s="52">
        <f>INDEX(Periods!$B$5:$B$57,$B1062)</f>
        <v/>
      </c>
      <c r="E1062" s="52">
        <f>INDEX(Periods!$C$5:$C$57,$B1062)</f>
        <v/>
      </c>
      <c r="F1062" s="50">
        <f>IF(AND($C1062&lt;&gt;"",INDEX(Periods!$D$5:$D$57,$B1062)=1),1,0)</f>
        <v/>
      </c>
      <c r="G1062" s="50">
        <f>IF($F1062=0,0,IF(AND(OR(INDEX(Employees!$D$5:$D$29,$A1062)="",$E1062&gt;=INDEX(Employees!$D$5:$D$29,$A1062)+N(INDEX(Employees!$U$5:$U$29,$A1062))),OR(INDEX(Employees!$E$5:$E$29,$A1062)="",$D1062&lt;=INDEX(Employees!$E$5:$E$29,$A1062))),1,0))</f>
        <v/>
      </c>
      <c r="H1062" s="50">
        <f>IF($G1062=0,0,IF(INDEX(Employees!$D$5:$D$29,$A1062)="",0,DATEDIF(INDEX(Employees!$D$5:$D$29,$A1062),$E1062,"y")))</f>
        <v/>
      </c>
      <c r="I1062" s="51">
        <f>IF($G1062=0,0,IF(INDEX('Hours Worked'!$D$5:$BD$29,$A1062,$B1062)="",N(INDEX(Employees!$H$5:$H$29,$A1062)),INDEX('Hours Worked'!$D$5:$BD$29,$A1062,$B1062)))</f>
        <v/>
      </c>
      <c r="J1062" s="51">
        <f>IF(OR($G1062=0,INDEX(Employees!$O$5:$O$29,$A1062)&lt;&gt;"Yes"),0,IF(COUNTIF(Settings!$D$4:$D$9,"&lt;="&amp;$H1062)=0,0,INDEX(Settings!$E$4:$E$9,COUNTIF(Settings!$D$4:$D$9,"&lt;="&amp;$H1062))))</f>
        <v/>
      </c>
      <c r="K1062" s="51">
        <f>IF($G1062=0,0,IF(INDEX(Employees!$I$5:$I$29,$A1062)="Per pay period",(N(INDEX(Employees!$J$5:$J$29,$A1062))+$J1062)/Settings!$B$13,IF(INDEX(Employees!$I$5:$I$29,$A1062)="Per hour worked",N(INDEX(Employees!$K$5:$K$29,$A1062))*$I1062,IF(INDEX(Employees!$I$5:$I$29,$A1062)="Front-loaded",IF(OR($B1062=1,N($G1061)=0),N(INDEX(Employees!$J$5:$J$29,$A1062))+$J1062,0),0))))</f>
        <v/>
      </c>
      <c r="L1062" s="51">
        <f>IF($F1062=0,0,SUMIFS('Time Off Log'!$H$5:$H$504,'Time Off Log'!$A$5:$A$504,$C1062,'Time Off Log'!$B$5:$B$504,"PTO",'Time Off Log'!$E$5:$E$504,"Approved",'Time Off Log'!$C$5:$C$504,"&gt;="&amp;INDEX(Periods!$E$5:$E$57,$B1062),'Time Off Log'!$C$5:$C$504,"&lt;="&amp;INDEX(Periods!$F$5:$F$57,$B1062)))</f>
        <v/>
      </c>
      <c r="M1062" s="51">
        <f>IF($B1062=1,N(INDEX(Employees!$N$5:$N$29,$A1062)),P1061)</f>
        <v/>
      </c>
      <c r="N1062" s="51">
        <f>IF(INDEX(Employees!$L$5:$L$29,$A1062)="",K1062,MAX(0,MIN(K1062,INDEX(Employees!$L$5:$L$29,$A1062)-(M1062-L1062))))</f>
        <v/>
      </c>
      <c r="O1062" s="51">
        <f>K1062-N1062</f>
        <v/>
      </c>
      <c r="P1062" s="51">
        <f>M1062-L1062+N1062</f>
        <v/>
      </c>
      <c r="Q1062" s="51">
        <f>IF($G1062=0,0,IF(INDEX(Employees!$P$5:$P$29,$A1062)="Per pay period",(N(INDEX(Employees!$Q$5:$Q$29,$A1062)))/Settings!$B$13,IF(INDEX(Employees!$P$5:$P$29,$A1062)="Per hour worked",N(INDEX(Employees!$R$5:$R$29,$A1062))*$I1062,IF(INDEX(Employees!$P$5:$P$29,$A1062)="Front-loaded",IF(OR($B1062=1,N($G1061)=0),N(INDEX(Employees!$Q$5:$Q$29,$A1062)),0),0))))</f>
        <v/>
      </c>
      <c r="R1062" s="51">
        <f>IF($F1062=0,0,SUMIFS('Time Off Log'!$H$5:$H$504,'Time Off Log'!$A$5:$A$504,$C1062,'Time Off Log'!$B$5:$B$504,"Sick",'Time Off Log'!$E$5:$E$504,"Approved",'Time Off Log'!$C$5:$C$504,"&gt;="&amp;INDEX(Periods!$E$5:$E$57,$B1062),'Time Off Log'!$C$5:$C$504,"&lt;="&amp;INDEX(Periods!$F$5:$F$57,$B1062)))</f>
        <v/>
      </c>
      <c r="S1062" s="51">
        <f>IF($B1062=1,N(INDEX(Employees!$T$5:$T$29,$A1062)),V1061)</f>
        <v/>
      </c>
      <c r="T1062" s="51">
        <f>IF(INDEX(Employees!$S$5:$S$29,$A1062)="",Q1062,MAX(0,MIN(Q1062,INDEX(Employees!$S$5:$S$29,$A1062)-(S1062-R1062))))</f>
        <v/>
      </c>
      <c r="U1062" s="51">
        <f>Q1062-T1062</f>
        <v/>
      </c>
      <c r="V1062" s="51">
        <f>S1062-R1062+T1062</f>
        <v/>
      </c>
    </row>
    <row r="1063">
      <c r="A1063" s="50" t="n">
        <v>20</v>
      </c>
      <c r="B1063" s="50" t="n">
        <v>52</v>
      </c>
      <c r="C1063" s="51">
        <f>INDEX(Employees!$B$5:$B$29,$A1063)&amp;""</f>
        <v/>
      </c>
      <c r="D1063" s="52">
        <f>INDEX(Periods!$B$5:$B$57,$B1063)</f>
        <v/>
      </c>
      <c r="E1063" s="52">
        <f>INDEX(Periods!$C$5:$C$57,$B1063)</f>
        <v/>
      </c>
      <c r="F1063" s="50">
        <f>IF(AND($C1063&lt;&gt;"",INDEX(Periods!$D$5:$D$57,$B1063)=1),1,0)</f>
        <v/>
      </c>
      <c r="G1063" s="50">
        <f>IF($F1063=0,0,IF(AND(OR(INDEX(Employees!$D$5:$D$29,$A1063)="",$E1063&gt;=INDEX(Employees!$D$5:$D$29,$A1063)+N(INDEX(Employees!$U$5:$U$29,$A1063))),OR(INDEX(Employees!$E$5:$E$29,$A1063)="",$D1063&lt;=INDEX(Employees!$E$5:$E$29,$A1063))),1,0))</f>
        <v/>
      </c>
      <c r="H1063" s="50">
        <f>IF($G1063=0,0,IF(INDEX(Employees!$D$5:$D$29,$A1063)="",0,DATEDIF(INDEX(Employees!$D$5:$D$29,$A1063),$E1063,"y")))</f>
        <v/>
      </c>
      <c r="I1063" s="51">
        <f>IF($G1063=0,0,IF(INDEX('Hours Worked'!$D$5:$BD$29,$A1063,$B1063)="",N(INDEX(Employees!$H$5:$H$29,$A1063)),INDEX('Hours Worked'!$D$5:$BD$29,$A1063,$B1063)))</f>
        <v/>
      </c>
      <c r="J1063" s="51">
        <f>IF(OR($G1063=0,INDEX(Employees!$O$5:$O$29,$A1063)&lt;&gt;"Yes"),0,IF(COUNTIF(Settings!$D$4:$D$9,"&lt;="&amp;$H1063)=0,0,INDEX(Settings!$E$4:$E$9,COUNTIF(Settings!$D$4:$D$9,"&lt;="&amp;$H1063))))</f>
        <v/>
      </c>
      <c r="K1063" s="51">
        <f>IF($G1063=0,0,IF(INDEX(Employees!$I$5:$I$29,$A1063)="Per pay period",(N(INDEX(Employees!$J$5:$J$29,$A1063))+$J1063)/Settings!$B$13,IF(INDEX(Employees!$I$5:$I$29,$A1063)="Per hour worked",N(INDEX(Employees!$K$5:$K$29,$A1063))*$I1063,IF(INDEX(Employees!$I$5:$I$29,$A1063)="Front-loaded",IF(OR($B1063=1,N($G1062)=0),N(INDEX(Employees!$J$5:$J$29,$A1063))+$J1063,0),0))))</f>
        <v/>
      </c>
      <c r="L1063" s="51">
        <f>IF($F1063=0,0,SUMIFS('Time Off Log'!$H$5:$H$504,'Time Off Log'!$A$5:$A$504,$C1063,'Time Off Log'!$B$5:$B$504,"PTO",'Time Off Log'!$E$5:$E$504,"Approved",'Time Off Log'!$C$5:$C$504,"&gt;="&amp;INDEX(Periods!$E$5:$E$57,$B1063),'Time Off Log'!$C$5:$C$504,"&lt;="&amp;INDEX(Periods!$F$5:$F$57,$B1063)))</f>
        <v/>
      </c>
      <c r="M1063" s="51">
        <f>IF($B1063=1,N(INDEX(Employees!$N$5:$N$29,$A1063)),P1062)</f>
        <v/>
      </c>
      <c r="N1063" s="51">
        <f>IF(INDEX(Employees!$L$5:$L$29,$A1063)="",K1063,MAX(0,MIN(K1063,INDEX(Employees!$L$5:$L$29,$A1063)-(M1063-L1063))))</f>
        <v/>
      </c>
      <c r="O1063" s="51">
        <f>K1063-N1063</f>
        <v/>
      </c>
      <c r="P1063" s="51">
        <f>M1063-L1063+N1063</f>
        <v/>
      </c>
      <c r="Q1063" s="51">
        <f>IF($G1063=0,0,IF(INDEX(Employees!$P$5:$P$29,$A1063)="Per pay period",(N(INDEX(Employees!$Q$5:$Q$29,$A1063)))/Settings!$B$13,IF(INDEX(Employees!$P$5:$P$29,$A1063)="Per hour worked",N(INDEX(Employees!$R$5:$R$29,$A1063))*$I1063,IF(INDEX(Employees!$P$5:$P$29,$A1063)="Front-loaded",IF(OR($B1063=1,N($G1062)=0),N(INDEX(Employees!$Q$5:$Q$29,$A1063)),0),0))))</f>
        <v/>
      </c>
      <c r="R1063" s="51">
        <f>IF($F1063=0,0,SUMIFS('Time Off Log'!$H$5:$H$504,'Time Off Log'!$A$5:$A$504,$C1063,'Time Off Log'!$B$5:$B$504,"Sick",'Time Off Log'!$E$5:$E$504,"Approved",'Time Off Log'!$C$5:$C$504,"&gt;="&amp;INDEX(Periods!$E$5:$E$57,$B1063),'Time Off Log'!$C$5:$C$504,"&lt;="&amp;INDEX(Periods!$F$5:$F$57,$B1063)))</f>
        <v/>
      </c>
      <c r="S1063" s="51">
        <f>IF($B1063=1,N(INDEX(Employees!$T$5:$T$29,$A1063)),V1062)</f>
        <v/>
      </c>
      <c r="T1063" s="51">
        <f>IF(INDEX(Employees!$S$5:$S$29,$A1063)="",Q1063,MAX(0,MIN(Q1063,INDEX(Employees!$S$5:$S$29,$A1063)-(S1063-R1063))))</f>
        <v/>
      </c>
      <c r="U1063" s="51">
        <f>Q1063-T1063</f>
        <v/>
      </c>
      <c r="V1063" s="51">
        <f>S1063-R1063+T1063</f>
        <v/>
      </c>
    </row>
    <row r="1064">
      <c r="A1064" s="50" t="n">
        <v>20</v>
      </c>
      <c r="B1064" s="50" t="n">
        <v>53</v>
      </c>
      <c r="C1064" s="51">
        <f>INDEX(Employees!$B$5:$B$29,$A1064)&amp;""</f>
        <v/>
      </c>
      <c r="D1064" s="52">
        <f>INDEX(Periods!$B$5:$B$57,$B1064)</f>
        <v/>
      </c>
      <c r="E1064" s="52">
        <f>INDEX(Periods!$C$5:$C$57,$B1064)</f>
        <v/>
      </c>
      <c r="F1064" s="50">
        <f>IF(AND($C1064&lt;&gt;"",INDEX(Periods!$D$5:$D$57,$B1064)=1),1,0)</f>
        <v/>
      </c>
      <c r="G1064" s="50">
        <f>IF($F1064=0,0,IF(AND(OR(INDEX(Employees!$D$5:$D$29,$A1064)="",$E1064&gt;=INDEX(Employees!$D$5:$D$29,$A1064)+N(INDEX(Employees!$U$5:$U$29,$A1064))),OR(INDEX(Employees!$E$5:$E$29,$A1064)="",$D1064&lt;=INDEX(Employees!$E$5:$E$29,$A1064))),1,0))</f>
        <v/>
      </c>
      <c r="H1064" s="50">
        <f>IF($G1064=0,0,IF(INDEX(Employees!$D$5:$D$29,$A1064)="",0,DATEDIF(INDEX(Employees!$D$5:$D$29,$A1064),$E1064,"y")))</f>
        <v/>
      </c>
      <c r="I1064" s="51">
        <f>IF($G1064=0,0,IF(INDEX('Hours Worked'!$D$5:$BD$29,$A1064,$B1064)="",N(INDEX(Employees!$H$5:$H$29,$A1064)),INDEX('Hours Worked'!$D$5:$BD$29,$A1064,$B1064)))</f>
        <v/>
      </c>
      <c r="J1064" s="51">
        <f>IF(OR($G1064=0,INDEX(Employees!$O$5:$O$29,$A1064)&lt;&gt;"Yes"),0,IF(COUNTIF(Settings!$D$4:$D$9,"&lt;="&amp;$H1064)=0,0,INDEX(Settings!$E$4:$E$9,COUNTIF(Settings!$D$4:$D$9,"&lt;="&amp;$H1064))))</f>
        <v/>
      </c>
      <c r="K1064" s="51">
        <f>IF($G1064=0,0,IF(INDEX(Employees!$I$5:$I$29,$A1064)="Per pay period",(N(INDEX(Employees!$J$5:$J$29,$A1064))+$J1064)/Settings!$B$13,IF(INDEX(Employees!$I$5:$I$29,$A1064)="Per hour worked",N(INDEX(Employees!$K$5:$K$29,$A1064))*$I1064,IF(INDEX(Employees!$I$5:$I$29,$A1064)="Front-loaded",IF(OR($B1064=1,N($G1063)=0),N(INDEX(Employees!$J$5:$J$29,$A1064))+$J1064,0),0))))</f>
        <v/>
      </c>
      <c r="L1064" s="51">
        <f>IF($F1064=0,0,SUMIFS('Time Off Log'!$H$5:$H$504,'Time Off Log'!$A$5:$A$504,$C1064,'Time Off Log'!$B$5:$B$504,"PTO",'Time Off Log'!$E$5:$E$504,"Approved",'Time Off Log'!$C$5:$C$504,"&gt;="&amp;INDEX(Periods!$E$5:$E$57,$B1064),'Time Off Log'!$C$5:$C$504,"&lt;="&amp;INDEX(Periods!$F$5:$F$57,$B1064)))</f>
        <v/>
      </c>
      <c r="M1064" s="51">
        <f>IF($B1064=1,N(INDEX(Employees!$N$5:$N$29,$A1064)),P1063)</f>
        <v/>
      </c>
      <c r="N1064" s="51">
        <f>IF(INDEX(Employees!$L$5:$L$29,$A1064)="",K1064,MAX(0,MIN(K1064,INDEX(Employees!$L$5:$L$29,$A1064)-(M1064-L1064))))</f>
        <v/>
      </c>
      <c r="O1064" s="51">
        <f>K1064-N1064</f>
        <v/>
      </c>
      <c r="P1064" s="51">
        <f>M1064-L1064+N1064</f>
        <v/>
      </c>
      <c r="Q1064" s="51">
        <f>IF($G1064=0,0,IF(INDEX(Employees!$P$5:$P$29,$A1064)="Per pay period",(N(INDEX(Employees!$Q$5:$Q$29,$A1064)))/Settings!$B$13,IF(INDEX(Employees!$P$5:$P$29,$A1064)="Per hour worked",N(INDEX(Employees!$R$5:$R$29,$A1064))*$I1064,IF(INDEX(Employees!$P$5:$P$29,$A1064)="Front-loaded",IF(OR($B1064=1,N($G1063)=0),N(INDEX(Employees!$Q$5:$Q$29,$A1064)),0),0))))</f>
        <v/>
      </c>
      <c r="R1064" s="51">
        <f>IF($F1064=0,0,SUMIFS('Time Off Log'!$H$5:$H$504,'Time Off Log'!$A$5:$A$504,$C1064,'Time Off Log'!$B$5:$B$504,"Sick",'Time Off Log'!$E$5:$E$504,"Approved",'Time Off Log'!$C$5:$C$504,"&gt;="&amp;INDEX(Periods!$E$5:$E$57,$B1064),'Time Off Log'!$C$5:$C$504,"&lt;="&amp;INDEX(Periods!$F$5:$F$57,$B1064)))</f>
        <v/>
      </c>
      <c r="S1064" s="51">
        <f>IF($B1064=1,N(INDEX(Employees!$T$5:$T$29,$A1064)),V1063)</f>
        <v/>
      </c>
      <c r="T1064" s="51">
        <f>IF(INDEX(Employees!$S$5:$S$29,$A1064)="",Q1064,MAX(0,MIN(Q1064,INDEX(Employees!$S$5:$S$29,$A1064)-(S1064-R1064))))</f>
        <v/>
      </c>
      <c r="U1064" s="51">
        <f>Q1064-T1064</f>
        <v/>
      </c>
      <c r="V1064" s="51">
        <f>S1064-R1064+T1064</f>
        <v/>
      </c>
    </row>
    <row r="1065">
      <c r="A1065" s="47" t="n">
        <v>21</v>
      </c>
      <c r="B1065" s="47" t="n">
        <v>1</v>
      </c>
      <c r="C1065" s="48">
        <f>INDEX(Employees!$B$5:$B$29,$A1065)&amp;""</f>
        <v/>
      </c>
      <c r="D1065" s="49">
        <f>INDEX(Periods!$B$5:$B$57,$B1065)</f>
        <v/>
      </c>
      <c r="E1065" s="49">
        <f>INDEX(Periods!$C$5:$C$57,$B1065)</f>
        <v/>
      </c>
      <c r="F1065" s="47">
        <f>IF(AND($C1065&lt;&gt;"",INDEX(Periods!$D$5:$D$57,$B1065)=1),1,0)</f>
        <v/>
      </c>
      <c r="G1065" s="47">
        <f>IF($F1065=0,0,IF(AND(OR(INDEX(Employees!$D$5:$D$29,$A1065)="",$E1065&gt;=INDEX(Employees!$D$5:$D$29,$A1065)+N(INDEX(Employees!$U$5:$U$29,$A1065))),OR(INDEX(Employees!$E$5:$E$29,$A1065)="",$D1065&lt;=INDEX(Employees!$E$5:$E$29,$A1065))),1,0))</f>
        <v/>
      </c>
      <c r="H1065" s="47">
        <f>IF($G1065=0,0,IF(INDEX(Employees!$D$5:$D$29,$A1065)="",0,DATEDIF(INDEX(Employees!$D$5:$D$29,$A1065),$E1065,"y")))</f>
        <v/>
      </c>
      <c r="I1065" s="48">
        <f>IF($G1065=0,0,IF(INDEX('Hours Worked'!$D$5:$BD$29,$A1065,$B1065)="",N(INDEX(Employees!$H$5:$H$29,$A1065)),INDEX('Hours Worked'!$D$5:$BD$29,$A1065,$B1065)))</f>
        <v/>
      </c>
      <c r="J1065" s="48">
        <f>IF(OR($G1065=0,INDEX(Employees!$O$5:$O$29,$A1065)&lt;&gt;"Yes"),0,IF(COUNTIF(Settings!$D$4:$D$9,"&lt;="&amp;$H1065)=0,0,INDEX(Settings!$E$4:$E$9,COUNTIF(Settings!$D$4:$D$9,"&lt;="&amp;$H1065))))</f>
        <v/>
      </c>
      <c r="K1065" s="48">
        <f>IF($G1065=0,0,IF(INDEX(Employees!$I$5:$I$29,$A1065)="Per pay period",(N(INDEX(Employees!$J$5:$J$29,$A1065))+$J1065)/Settings!$B$13,IF(INDEX(Employees!$I$5:$I$29,$A1065)="Per hour worked",N(INDEX(Employees!$K$5:$K$29,$A1065))*$I1065,IF(INDEX(Employees!$I$5:$I$29,$A1065)="Front-loaded",IF(OR($B1065=1,N($G1064)=0),N(INDEX(Employees!$J$5:$J$29,$A1065))+$J1065,0),0))))</f>
        <v/>
      </c>
      <c r="L1065" s="48">
        <f>IF($F1065=0,0,SUMIFS('Time Off Log'!$H$5:$H$504,'Time Off Log'!$A$5:$A$504,$C1065,'Time Off Log'!$B$5:$B$504,"PTO",'Time Off Log'!$E$5:$E$504,"Approved",'Time Off Log'!$C$5:$C$504,"&gt;="&amp;INDEX(Periods!$E$5:$E$57,$B1065),'Time Off Log'!$C$5:$C$504,"&lt;="&amp;INDEX(Periods!$F$5:$F$57,$B1065)))</f>
        <v/>
      </c>
      <c r="M1065" s="48">
        <f>N(INDEX(Employees!$N$5:$N$29,$A1065))</f>
        <v/>
      </c>
      <c r="N1065" s="48">
        <f>IF(INDEX(Employees!$L$5:$L$29,$A1065)="",K1065,MAX(0,MIN(K1065,INDEX(Employees!$L$5:$L$29,$A1065)-(M1065-L1065))))</f>
        <v/>
      </c>
      <c r="O1065" s="48">
        <f>K1065-N1065</f>
        <v/>
      </c>
      <c r="P1065" s="48">
        <f>M1065-L1065+N1065</f>
        <v/>
      </c>
      <c r="Q1065" s="48">
        <f>IF($G1065=0,0,IF(INDEX(Employees!$P$5:$P$29,$A1065)="Per pay period",(N(INDEX(Employees!$Q$5:$Q$29,$A1065)))/Settings!$B$13,IF(INDEX(Employees!$P$5:$P$29,$A1065)="Per hour worked",N(INDEX(Employees!$R$5:$R$29,$A1065))*$I1065,IF(INDEX(Employees!$P$5:$P$29,$A1065)="Front-loaded",IF(OR($B1065=1,N($G1064)=0),N(INDEX(Employees!$Q$5:$Q$29,$A1065)),0),0))))</f>
        <v/>
      </c>
      <c r="R1065" s="48">
        <f>IF($F1065=0,0,SUMIFS('Time Off Log'!$H$5:$H$504,'Time Off Log'!$A$5:$A$504,$C1065,'Time Off Log'!$B$5:$B$504,"Sick",'Time Off Log'!$E$5:$E$504,"Approved",'Time Off Log'!$C$5:$C$504,"&gt;="&amp;INDEX(Periods!$E$5:$E$57,$B1065),'Time Off Log'!$C$5:$C$504,"&lt;="&amp;INDEX(Periods!$F$5:$F$57,$B1065)))</f>
        <v/>
      </c>
      <c r="S1065" s="48">
        <f>N(INDEX(Employees!$T$5:$T$29,$A1065))</f>
        <v/>
      </c>
      <c r="T1065" s="48">
        <f>IF(INDEX(Employees!$S$5:$S$29,$A1065)="",Q1065,MAX(0,MIN(Q1065,INDEX(Employees!$S$5:$S$29,$A1065)-(S1065-R1065))))</f>
        <v/>
      </c>
      <c r="U1065" s="48">
        <f>Q1065-T1065</f>
        <v/>
      </c>
      <c r="V1065" s="48">
        <f>S1065-R1065+T1065</f>
        <v/>
      </c>
    </row>
    <row r="1066">
      <c r="A1066" s="47" t="n">
        <v>21</v>
      </c>
      <c r="B1066" s="47" t="n">
        <v>2</v>
      </c>
      <c r="C1066" s="48">
        <f>INDEX(Employees!$B$5:$B$29,$A1066)&amp;""</f>
        <v/>
      </c>
      <c r="D1066" s="49">
        <f>INDEX(Periods!$B$5:$B$57,$B1066)</f>
        <v/>
      </c>
      <c r="E1066" s="49">
        <f>INDEX(Periods!$C$5:$C$57,$B1066)</f>
        <v/>
      </c>
      <c r="F1066" s="47">
        <f>IF(AND($C1066&lt;&gt;"",INDEX(Periods!$D$5:$D$57,$B1066)=1),1,0)</f>
        <v/>
      </c>
      <c r="G1066" s="47">
        <f>IF($F1066=0,0,IF(AND(OR(INDEX(Employees!$D$5:$D$29,$A1066)="",$E1066&gt;=INDEX(Employees!$D$5:$D$29,$A1066)+N(INDEX(Employees!$U$5:$U$29,$A1066))),OR(INDEX(Employees!$E$5:$E$29,$A1066)="",$D1066&lt;=INDEX(Employees!$E$5:$E$29,$A1066))),1,0))</f>
        <v/>
      </c>
      <c r="H1066" s="47">
        <f>IF($G1066=0,0,IF(INDEX(Employees!$D$5:$D$29,$A1066)="",0,DATEDIF(INDEX(Employees!$D$5:$D$29,$A1066),$E1066,"y")))</f>
        <v/>
      </c>
      <c r="I1066" s="48">
        <f>IF($G1066=0,0,IF(INDEX('Hours Worked'!$D$5:$BD$29,$A1066,$B1066)="",N(INDEX(Employees!$H$5:$H$29,$A1066)),INDEX('Hours Worked'!$D$5:$BD$29,$A1066,$B1066)))</f>
        <v/>
      </c>
      <c r="J1066" s="48">
        <f>IF(OR($G1066=0,INDEX(Employees!$O$5:$O$29,$A1066)&lt;&gt;"Yes"),0,IF(COUNTIF(Settings!$D$4:$D$9,"&lt;="&amp;$H1066)=0,0,INDEX(Settings!$E$4:$E$9,COUNTIF(Settings!$D$4:$D$9,"&lt;="&amp;$H1066))))</f>
        <v/>
      </c>
      <c r="K1066" s="48">
        <f>IF($G1066=0,0,IF(INDEX(Employees!$I$5:$I$29,$A1066)="Per pay period",(N(INDEX(Employees!$J$5:$J$29,$A1066))+$J1066)/Settings!$B$13,IF(INDEX(Employees!$I$5:$I$29,$A1066)="Per hour worked",N(INDEX(Employees!$K$5:$K$29,$A1066))*$I1066,IF(INDEX(Employees!$I$5:$I$29,$A1066)="Front-loaded",IF(OR($B1066=1,N($G1065)=0),N(INDEX(Employees!$J$5:$J$29,$A1066))+$J1066,0),0))))</f>
        <v/>
      </c>
      <c r="L1066" s="48">
        <f>IF($F1066=0,0,SUMIFS('Time Off Log'!$H$5:$H$504,'Time Off Log'!$A$5:$A$504,$C1066,'Time Off Log'!$B$5:$B$504,"PTO",'Time Off Log'!$E$5:$E$504,"Approved",'Time Off Log'!$C$5:$C$504,"&gt;="&amp;INDEX(Periods!$E$5:$E$57,$B1066),'Time Off Log'!$C$5:$C$504,"&lt;="&amp;INDEX(Periods!$F$5:$F$57,$B1066)))</f>
        <v/>
      </c>
      <c r="M1066" s="48">
        <f>IF($B1066=1,N(INDEX(Employees!$N$5:$N$29,$A1066)),P1065)</f>
        <v/>
      </c>
      <c r="N1066" s="48">
        <f>IF(INDEX(Employees!$L$5:$L$29,$A1066)="",K1066,MAX(0,MIN(K1066,INDEX(Employees!$L$5:$L$29,$A1066)-(M1066-L1066))))</f>
        <v/>
      </c>
      <c r="O1066" s="48">
        <f>K1066-N1066</f>
        <v/>
      </c>
      <c r="P1066" s="48">
        <f>M1066-L1066+N1066</f>
        <v/>
      </c>
      <c r="Q1066" s="48">
        <f>IF($G1066=0,0,IF(INDEX(Employees!$P$5:$P$29,$A1066)="Per pay period",(N(INDEX(Employees!$Q$5:$Q$29,$A1066)))/Settings!$B$13,IF(INDEX(Employees!$P$5:$P$29,$A1066)="Per hour worked",N(INDEX(Employees!$R$5:$R$29,$A1066))*$I1066,IF(INDEX(Employees!$P$5:$P$29,$A1066)="Front-loaded",IF(OR($B1066=1,N($G1065)=0),N(INDEX(Employees!$Q$5:$Q$29,$A1066)),0),0))))</f>
        <v/>
      </c>
      <c r="R1066" s="48">
        <f>IF($F1066=0,0,SUMIFS('Time Off Log'!$H$5:$H$504,'Time Off Log'!$A$5:$A$504,$C1066,'Time Off Log'!$B$5:$B$504,"Sick",'Time Off Log'!$E$5:$E$504,"Approved",'Time Off Log'!$C$5:$C$504,"&gt;="&amp;INDEX(Periods!$E$5:$E$57,$B1066),'Time Off Log'!$C$5:$C$504,"&lt;="&amp;INDEX(Periods!$F$5:$F$57,$B1066)))</f>
        <v/>
      </c>
      <c r="S1066" s="48">
        <f>IF($B1066=1,N(INDEX(Employees!$T$5:$T$29,$A1066)),V1065)</f>
        <v/>
      </c>
      <c r="T1066" s="48">
        <f>IF(INDEX(Employees!$S$5:$S$29,$A1066)="",Q1066,MAX(0,MIN(Q1066,INDEX(Employees!$S$5:$S$29,$A1066)-(S1066-R1066))))</f>
        <v/>
      </c>
      <c r="U1066" s="48">
        <f>Q1066-T1066</f>
        <v/>
      </c>
      <c r="V1066" s="48">
        <f>S1066-R1066+T1066</f>
        <v/>
      </c>
    </row>
    <row r="1067">
      <c r="A1067" s="47" t="n">
        <v>21</v>
      </c>
      <c r="B1067" s="47" t="n">
        <v>3</v>
      </c>
      <c r="C1067" s="48">
        <f>INDEX(Employees!$B$5:$B$29,$A1067)&amp;""</f>
        <v/>
      </c>
      <c r="D1067" s="49">
        <f>INDEX(Periods!$B$5:$B$57,$B1067)</f>
        <v/>
      </c>
      <c r="E1067" s="49">
        <f>INDEX(Periods!$C$5:$C$57,$B1067)</f>
        <v/>
      </c>
      <c r="F1067" s="47">
        <f>IF(AND($C1067&lt;&gt;"",INDEX(Periods!$D$5:$D$57,$B1067)=1),1,0)</f>
        <v/>
      </c>
      <c r="G1067" s="47">
        <f>IF($F1067=0,0,IF(AND(OR(INDEX(Employees!$D$5:$D$29,$A1067)="",$E1067&gt;=INDEX(Employees!$D$5:$D$29,$A1067)+N(INDEX(Employees!$U$5:$U$29,$A1067))),OR(INDEX(Employees!$E$5:$E$29,$A1067)="",$D1067&lt;=INDEX(Employees!$E$5:$E$29,$A1067))),1,0))</f>
        <v/>
      </c>
      <c r="H1067" s="47">
        <f>IF($G1067=0,0,IF(INDEX(Employees!$D$5:$D$29,$A1067)="",0,DATEDIF(INDEX(Employees!$D$5:$D$29,$A1067),$E1067,"y")))</f>
        <v/>
      </c>
      <c r="I1067" s="48">
        <f>IF($G1067=0,0,IF(INDEX('Hours Worked'!$D$5:$BD$29,$A1067,$B1067)="",N(INDEX(Employees!$H$5:$H$29,$A1067)),INDEX('Hours Worked'!$D$5:$BD$29,$A1067,$B1067)))</f>
        <v/>
      </c>
      <c r="J1067" s="48">
        <f>IF(OR($G1067=0,INDEX(Employees!$O$5:$O$29,$A1067)&lt;&gt;"Yes"),0,IF(COUNTIF(Settings!$D$4:$D$9,"&lt;="&amp;$H1067)=0,0,INDEX(Settings!$E$4:$E$9,COUNTIF(Settings!$D$4:$D$9,"&lt;="&amp;$H1067))))</f>
        <v/>
      </c>
      <c r="K1067" s="48">
        <f>IF($G1067=0,0,IF(INDEX(Employees!$I$5:$I$29,$A1067)="Per pay period",(N(INDEX(Employees!$J$5:$J$29,$A1067))+$J1067)/Settings!$B$13,IF(INDEX(Employees!$I$5:$I$29,$A1067)="Per hour worked",N(INDEX(Employees!$K$5:$K$29,$A1067))*$I1067,IF(INDEX(Employees!$I$5:$I$29,$A1067)="Front-loaded",IF(OR($B1067=1,N($G1066)=0),N(INDEX(Employees!$J$5:$J$29,$A1067))+$J1067,0),0))))</f>
        <v/>
      </c>
      <c r="L1067" s="48">
        <f>IF($F1067=0,0,SUMIFS('Time Off Log'!$H$5:$H$504,'Time Off Log'!$A$5:$A$504,$C1067,'Time Off Log'!$B$5:$B$504,"PTO",'Time Off Log'!$E$5:$E$504,"Approved",'Time Off Log'!$C$5:$C$504,"&gt;="&amp;INDEX(Periods!$E$5:$E$57,$B1067),'Time Off Log'!$C$5:$C$504,"&lt;="&amp;INDEX(Periods!$F$5:$F$57,$B1067)))</f>
        <v/>
      </c>
      <c r="M1067" s="48">
        <f>IF($B1067=1,N(INDEX(Employees!$N$5:$N$29,$A1067)),P1066)</f>
        <v/>
      </c>
      <c r="N1067" s="48">
        <f>IF(INDEX(Employees!$L$5:$L$29,$A1067)="",K1067,MAX(0,MIN(K1067,INDEX(Employees!$L$5:$L$29,$A1067)-(M1067-L1067))))</f>
        <v/>
      </c>
      <c r="O1067" s="48">
        <f>K1067-N1067</f>
        <v/>
      </c>
      <c r="P1067" s="48">
        <f>M1067-L1067+N1067</f>
        <v/>
      </c>
      <c r="Q1067" s="48">
        <f>IF($G1067=0,0,IF(INDEX(Employees!$P$5:$P$29,$A1067)="Per pay period",(N(INDEX(Employees!$Q$5:$Q$29,$A1067)))/Settings!$B$13,IF(INDEX(Employees!$P$5:$P$29,$A1067)="Per hour worked",N(INDEX(Employees!$R$5:$R$29,$A1067))*$I1067,IF(INDEX(Employees!$P$5:$P$29,$A1067)="Front-loaded",IF(OR($B1067=1,N($G1066)=0),N(INDEX(Employees!$Q$5:$Q$29,$A1067)),0),0))))</f>
        <v/>
      </c>
      <c r="R1067" s="48">
        <f>IF($F1067=0,0,SUMIFS('Time Off Log'!$H$5:$H$504,'Time Off Log'!$A$5:$A$504,$C1067,'Time Off Log'!$B$5:$B$504,"Sick",'Time Off Log'!$E$5:$E$504,"Approved",'Time Off Log'!$C$5:$C$504,"&gt;="&amp;INDEX(Periods!$E$5:$E$57,$B1067),'Time Off Log'!$C$5:$C$504,"&lt;="&amp;INDEX(Periods!$F$5:$F$57,$B1067)))</f>
        <v/>
      </c>
      <c r="S1067" s="48">
        <f>IF($B1067=1,N(INDEX(Employees!$T$5:$T$29,$A1067)),V1066)</f>
        <v/>
      </c>
      <c r="T1067" s="48">
        <f>IF(INDEX(Employees!$S$5:$S$29,$A1067)="",Q1067,MAX(0,MIN(Q1067,INDEX(Employees!$S$5:$S$29,$A1067)-(S1067-R1067))))</f>
        <v/>
      </c>
      <c r="U1067" s="48">
        <f>Q1067-T1067</f>
        <v/>
      </c>
      <c r="V1067" s="48">
        <f>S1067-R1067+T1067</f>
        <v/>
      </c>
    </row>
    <row r="1068">
      <c r="A1068" s="47" t="n">
        <v>21</v>
      </c>
      <c r="B1068" s="47" t="n">
        <v>4</v>
      </c>
      <c r="C1068" s="48">
        <f>INDEX(Employees!$B$5:$B$29,$A1068)&amp;""</f>
        <v/>
      </c>
      <c r="D1068" s="49">
        <f>INDEX(Periods!$B$5:$B$57,$B1068)</f>
        <v/>
      </c>
      <c r="E1068" s="49">
        <f>INDEX(Periods!$C$5:$C$57,$B1068)</f>
        <v/>
      </c>
      <c r="F1068" s="47">
        <f>IF(AND($C1068&lt;&gt;"",INDEX(Periods!$D$5:$D$57,$B1068)=1),1,0)</f>
        <v/>
      </c>
      <c r="G1068" s="47">
        <f>IF($F1068=0,0,IF(AND(OR(INDEX(Employees!$D$5:$D$29,$A1068)="",$E1068&gt;=INDEX(Employees!$D$5:$D$29,$A1068)+N(INDEX(Employees!$U$5:$U$29,$A1068))),OR(INDEX(Employees!$E$5:$E$29,$A1068)="",$D1068&lt;=INDEX(Employees!$E$5:$E$29,$A1068))),1,0))</f>
        <v/>
      </c>
      <c r="H1068" s="47">
        <f>IF($G1068=0,0,IF(INDEX(Employees!$D$5:$D$29,$A1068)="",0,DATEDIF(INDEX(Employees!$D$5:$D$29,$A1068),$E1068,"y")))</f>
        <v/>
      </c>
      <c r="I1068" s="48">
        <f>IF($G1068=0,0,IF(INDEX('Hours Worked'!$D$5:$BD$29,$A1068,$B1068)="",N(INDEX(Employees!$H$5:$H$29,$A1068)),INDEX('Hours Worked'!$D$5:$BD$29,$A1068,$B1068)))</f>
        <v/>
      </c>
      <c r="J1068" s="48">
        <f>IF(OR($G1068=0,INDEX(Employees!$O$5:$O$29,$A1068)&lt;&gt;"Yes"),0,IF(COUNTIF(Settings!$D$4:$D$9,"&lt;="&amp;$H1068)=0,0,INDEX(Settings!$E$4:$E$9,COUNTIF(Settings!$D$4:$D$9,"&lt;="&amp;$H1068))))</f>
        <v/>
      </c>
      <c r="K1068" s="48">
        <f>IF($G1068=0,0,IF(INDEX(Employees!$I$5:$I$29,$A1068)="Per pay period",(N(INDEX(Employees!$J$5:$J$29,$A1068))+$J1068)/Settings!$B$13,IF(INDEX(Employees!$I$5:$I$29,$A1068)="Per hour worked",N(INDEX(Employees!$K$5:$K$29,$A1068))*$I1068,IF(INDEX(Employees!$I$5:$I$29,$A1068)="Front-loaded",IF(OR($B1068=1,N($G1067)=0),N(INDEX(Employees!$J$5:$J$29,$A1068))+$J1068,0),0))))</f>
        <v/>
      </c>
      <c r="L1068" s="48">
        <f>IF($F1068=0,0,SUMIFS('Time Off Log'!$H$5:$H$504,'Time Off Log'!$A$5:$A$504,$C1068,'Time Off Log'!$B$5:$B$504,"PTO",'Time Off Log'!$E$5:$E$504,"Approved",'Time Off Log'!$C$5:$C$504,"&gt;="&amp;INDEX(Periods!$E$5:$E$57,$B1068),'Time Off Log'!$C$5:$C$504,"&lt;="&amp;INDEX(Periods!$F$5:$F$57,$B1068)))</f>
        <v/>
      </c>
      <c r="M1068" s="48">
        <f>IF($B1068=1,N(INDEX(Employees!$N$5:$N$29,$A1068)),P1067)</f>
        <v/>
      </c>
      <c r="N1068" s="48">
        <f>IF(INDEX(Employees!$L$5:$L$29,$A1068)="",K1068,MAX(0,MIN(K1068,INDEX(Employees!$L$5:$L$29,$A1068)-(M1068-L1068))))</f>
        <v/>
      </c>
      <c r="O1068" s="48">
        <f>K1068-N1068</f>
        <v/>
      </c>
      <c r="P1068" s="48">
        <f>M1068-L1068+N1068</f>
        <v/>
      </c>
      <c r="Q1068" s="48">
        <f>IF($G1068=0,0,IF(INDEX(Employees!$P$5:$P$29,$A1068)="Per pay period",(N(INDEX(Employees!$Q$5:$Q$29,$A1068)))/Settings!$B$13,IF(INDEX(Employees!$P$5:$P$29,$A1068)="Per hour worked",N(INDEX(Employees!$R$5:$R$29,$A1068))*$I1068,IF(INDEX(Employees!$P$5:$P$29,$A1068)="Front-loaded",IF(OR($B1068=1,N($G1067)=0),N(INDEX(Employees!$Q$5:$Q$29,$A1068)),0),0))))</f>
        <v/>
      </c>
      <c r="R1068" s="48">
        <f>IF($F1068=0,0,SUMIFS('Time Off Log'!$H$5:$H$504,'Time Off Log'!$A$5:$A$504,$C1068,'Time Off Log'!$B$5:$B$504,"Sick",'Time Off Log'!$E$5:$E$504,"Approved",'Time Off Log'!$C$5:$C$504,"&gt;="&amp;INDEX(Periods!$E$5:$E$57,$B1068),'Time Off Log'!$C$5:$C$504,"&lt;="&amp;INDEX(Periods!$F$5:$F$57,$B1068)))</f>
        <v/>
      </c>
      <c r="S1068" s="48">
        <f>IF($B1068=1,N(INDEX(Employees!$T$5:$T$29,$A1068)),V1067)</f>
        <v/>
      </c>
      <c r="T1068" s="48">
        <f>IF(INDEX(Employees!$S$5:$S$29,$A1068)="",Q1068,MAX(0,MIN(Q1068,INDEX(Employees!$S$5:$S$29,$A1068)-(S1068-R1068))))</f>
        <v/>
      </c>
      <c r="U1068" s="48">
        <f>Q1068-T1068</f>
        <v/>
      </c>
      <c r="V1068" s="48">
        <f>S1068-R1068+T1068</f>
        <v/>
      </c>
    </row>
    <row r="1069">
      <c r="A1069" s="47" t="n">
        <v>21</v>
      </c>
      <c r="B1069" s="47" t="n">
        <v>5</v>
      </c>
      <c r="C1069" s="48">
        <f>INDEX(Employees!$B$5:$B$29,$A1069)&amp;""</f>
        <v/>
      </c>
      <c r="D1069" s="49">
        <f>INDEX(Periods!$B$5:$B$57,$B1069)</f>
        <v/>
      </c>
      <c r="E1069" s="49">
        <f>INDEX(Periods!$C$5:$C$57,$B1069)</f>
        <v/>
      </c>
      <c r="F1069" s="47">
        <f>IF(AND($C1069&lt;&gt;"",INDEX(Periods!$D$5:$D$57,$B1069)=1),1,0)</f>
        <v/>
      </c>
      <c r="G1069" s="47">
        <f>IF($F1069=0,0,IF(AND(OR(INDEX(Employees!$D$5:$D$29,$A1069)="",$E1069&gt;=INDEX(Employees!$D$5:$D$29,$A1069)+N(INDEX(Employees!$U$5:$U$29,$A1069))),OR(INDEX(Employees!$E$5:$E$29,$A1069)="",$D1069&lt;=INDEX(Employees!$E$5:$E$29,$A1069))),1,0))</f>
        <v/>
      </c>
      <c r="H1069" s="47">
        <f>IF($G1069=0,0,IF(INDEX(Employees!$D$5:$D$29,$A1069)="",0,DATEDIF(INDEX(Employees!$D$5:$D$29,$A1069),$E1069,"y")))</f>
        <v/>
      </c>
      <c r="I1069" s="48">
        <f>IF($G1069=0,0,IF(INDEX('Hours Worked'!$D$5:$BD$29,$A1069,$B1069)="",N(INDEX(Employees!$H$5:$H$29,$A1069)),INDEX('Hours Worked'!$D$5:$BD$29,$A1069,$B1069)))</f>
        <v/>
      </c>
      <c r="J1069" s="48">
        <f>IF(OR($G1069=0,INDEX(Employees!$O$5:$O$29,$A1069)&lt;&gt;"Yes"),0,IF(COUNTIF(Settings!$D$4:$D$9,"&lt;="&amp;$H1069)=0,0,INDEX(Settings!$E$4:$E$9,COUNTIF(Settings!$D$4:$D$9,"&lt;="&amp;$H1069))))</f>
        <v/>
      </c>
      <c r="K1069" s="48">
        <f>IF($G1069=0,0,IF(INDEX(Employees!$I$5:$I$29,$A1069)="Per pay period",(N(INDEX(Employees!$J$5:$J$29,$A1069))+$J1069)/Settings!$B$13,IF(INDEX(Employees!$I$5:$I$29,$A1069)="Per hour worked",N(INDEX(Employees!$K$5:$K$29,$A1069))*$I1069,IF(INDEX(Employees!$I$5:$I$29,$A1069)="Front-loaded",IF(OR($B1069=1,N($G1068)=0),N(INDEX(Employees!$J$5:$J$29,$A1069))+$J1069,0),0))))</f>
        <v/>
      </c>
      <c r="L1069" s="48">
        <f>IF($F1069=0,0,SUMIFS('Time Off Log'!$H$5:$H$504,'Time Off Log'!$A$5:$A$504,$C1069,'Time Off Log'!$B$5:$B$504,"PTO",'Time Off Log'!$E$5:$E$504,"Approved",'Time Off Log'!$C$5:$C$504,"&gt;="&amp;INDEX(Periods!$E$5:$E$57,$B1069),'Time Off Log'!$C$5:$C$504,"&lt;="&amp;INDEX(Periods!$F$5:$F$57,$B1069)))</f>
        <v/>
      </c>
      <c r="M1069" s="48">
        <f>IF($B1069=1,N(INDEX(Employees!$N$5:$N$29,$A1069)),P1068)</f>
        <v/>
      </c>
      <c r="N1069" s="48">
        <f>IF(INDEX(Employees!$L$5:$L$29,$A1069)="",K1069,MAX(0,MIN(K1069,INDEX(Employees!$L$5:$L$29,$A1069)-(M1069-L1069))))</f>
        <v/>
      </c>
      <c r="O1069" s="48">
        <f>K1069-N1069</f>
        <v/>
      </c>
      <c r="P1069" s="48">
        <f>M1069-L1069+N1069</f>
        <v/>
      </c>
      <c r="Q1069" s="48">
        <f>IF($G1069=0,0,IF(INDEX(Employees!$P$5:$P$29,$A1069)="Per pay period",(N(INDEX(Employees!$Q$5:$Q$29,$A1069)))/Settings!$B$13,IF(INDEX(Employees!$P$5:$P$29,$A1069)="Per hour worked",N(INDEX(Employees!$R$5:$R$29,$A1069))*$I1069,IF(INDEX(Employees!$P$5:$P$29,$A1069)="Front-loaded",IF(OR($B1069=1,N($G1068)=0),N(INDEX(Employees!$Q$5:$Q$29,$A1069)),0),0))))</f>
        <v/>
      </c>
      <c r="R1069" s="48">
        <f>IF($F1069=0,0,SUMIFS('Time Off Log'!$H$5:$H$504,'Time Off Log'!$A$5:$A$504,$C1069,'Time Off Log'!$B$5:$B$504,"Sick",'Time Off Log'!$E$5:$E$504,"Approved",'Time Off Log'!$C$5:$C$504,"&gt;="&amp;INDEX(Periods!$E$5:$E$57,$B1069),'Time Off Log'!$C$5:$C$504,"&lt;="&amp;INDEX(Periods!$F$5:$F$57,$B1069)))</f>
        <v/>
      </c>
      <c r="S1069" s="48">
        <f>IF($B1069=1,N(INDEX(Employees!$T$5:$T$29,$A1069)),V1068)</f>
        <v/>
      </c>
      <c r="T1069" s="48">
        <f>IF(INDEX(Employees!$S$5:$S$29,$A1069)="",Q1069,MAX(0,MIN(Q1069,INDEX(Employees!$S$5:$S$29,$A1069)-(S1069-R1069))))</f>
        <v/>
      </c>
      <c r="U1069" s="48">
        <f>Q1069-T1069</f>
        <v/>
      </c>
      <c r="V1069" s="48">
        <f>S1069-R1069+T1069</f>
        <v/>
      </c>
    </row>
    <row r="1070">
      <c r="A1070" s="47" t="n">
        <v>21</v>
      </c>
      <c r="B1070" s="47" t="n">
        <v>6</v>
      </c>
      <c r="C1070" s="48">
        <f>INDEX(Employees!$B$5:$B$29,$A1070)&amp;""</f>
        <v/>
      </c>
      <c r="D1070" s="49">
        <f>INDEX(Periods!$B$5:$B$57,$B1070)</f>
        <v/>
      </c>
      <c r="E1070" s="49">
        <f>INDEX(Periods!$C$5:$C$57,$B1070)</f>
        <v/>
      </c>
      <c r="F1070" s="47">
        <f>IF(AND($C1070&lt;&gt;"",INDEX(Periods!$D$5:$D$57,$B1070)=1),1,0)</f>
        <v/>
      </c>
      <c r="G1070" s="47">
        <f>IF($F1070=0,0,IF(AND(OR(INDEX(Employees!$D$5:$D$29,$A1070)="",$E1070&gt;=INDEX(Employees!$D$5:$D$29,$A1070)+N(INDEX(Employees!$U$5:$U$29,$A1070))),OR(INDEX(Employees!$E$5:$E$29,$A1070)="",$D1070&lt;=INDEX(Employees!$E$5:$E$29,$A1070))),1,0))</f>
        <v/>
      </c>
      <c r="H1070" s="47">
        <f>IF($G1070=0,0,IF(INDEX(Employees!$D$5:$D$29,$A1070)="",0,DATEDIF(INDEX(Employees!$D$5:$D$29,$A1070),$E1070,"y")))</f>
        <v/>
      </c>
      <c r="I1070" s="48">
        <f>IF($G1070=0,0,IF(INDEX('Hours Worked'!$D$5:$BD$29,$A1070,$B1070)="",N(INDEX(Employees!$H$5:$H$29,$A1070)),INDEX('Hours Worked'!$D$5:$BD$29,$A1070,$B1070)))</f>
        <v/>
      </c>
      <c r="J1070" s="48">
        <f>IF(OR($G1070=0,INDEX(Employees!$O$5:$O$29,$A1070)&lt;&gt;"Yes"),0,IF(COUNTIF(Settings!$D$4:$D$9,"&lt;="&amp;$H1070)=0,0,INDEX(Settings!$E$4:$E$9,COUNTIF(Settings!$D$4:$D$9,"&lt;="&amp;$H1070))))</f>
        <v/>
      </c>
      <c r="K1070" s="48">
        <f>IF($G1070=0,0,IF(INDEX(Employees!$I$5:$I$29,$A1070)="Per pay period",(N(INDEX(Employees!$J$5:$J$29,$A1070))+$J1070)/Settings!$B$13,IF(INDEX(Employees!$I$5:$I$29,$A1070)="Per hour worked",N(INDEX(Employees!$K$5:$K$29,$A1070))*$I1070,IF(INDEX(Employees!$I$5:$I$29,$A1070)="Front-loaded",IF(OR($B1070=1,N($G1069)=0),N(INDEX(Employees!$J$5:$J$29,$A1070))+$J1070,0),0))))</f>
        <v/>
      </c>
      <c r="L1070" s="48">
        <f>IF($F1070=0,0,SUMIFS('Time Off Log'!$H$5:$H$504,'Time Off Log'!$A$5:$A$504,$C1070,'Time Off Log'!$B$5:$B$504,"PTO",'Time Off Log'!$E$5:$E$504,"Approved",'Time Off Log'!$C$5:$C$504,"&gt;="&amp;INDEX(Periods!$E$5:$E$57,$B1070),'Time Off Log'!$C$5:$C$504,"&lt;="&amp;INDEX(Periods!$F$5:$F$57,$B1070)))</f>
        <v/>
      </c>
      <c r="M1070" s="48">
        <f>IF($B1070=1,N(INDEX(Employees!$N$5:$N$29,$A1070)),P1069)</f>
        <v/>
      </c>
      <c r="N1070" s="48">
        <f>IF(INDEX(Employees!$L$5:$L$29,$A1070)="",K1070,MAX(0,MIN(K1070,INDEX(Employees!$L$5:$L$29,$A1070)-(M1070-L1070))))</f>
        <v/>
      </c>
      <c r="O1070" s="48">
        <f>K1070-N1070</f>
        <v/>
      </c>
      <c r="P1070" s="48">
        <f>M1070-L1070+N1070</f>
        <v/>
      </c>
      <c r="Q1070" s="48">
        <f>IF($G1070=0,0,IF(INDEX(Employees!$P$5:$P$29,$A1070)="Per pay period",(N(INDEX(Employees!$Q$5:$Q$29,$A1070)))/Settings!$B$13,IF(INDEX(Employees!$P$5:$P$29,$A1070)="Per hour worked",N(INDEX(Employees!$R$5:$R$29,$A1070))*$I1070,IF(INDEX(Employees!$P$5:$P$29,$A1070)="Front-loaded",IF(OR($B1070=1,N($G1069)=0),N(INDEX(Employees!$Q$5:$Q$29,$A1070)),0),0))))</f>
        <v/>
      </c>
      <c r="R1070" s="48">
        <f>IF($F1070=0,0,SUMIFS('Time Off Log'!$H$5:$H$504,'Time Off Log'!$A$5:$A$504,$C1070,'Time Off Log'!$B$5:$B$504,"Sick",'Time Off Log'!$E$5:$E$504,"Approved",'Time Off Log'!$C$5:$C$504,"&gt;="&amp;INDEX(Periods!$E$5:$E$57,$B1070),'Time Off Log'!$C$5:$C$504,"&lt;="&amp;INDEX(Periods!$F$5:$F$57,$B1070)))</f>
        <v/>
      </c>
      <c r="S1070" s="48">
        <f>IF($B1070=1,N(INDEX(Employees!$T$5:$T$29,$A1070)),V1069)</f>
        <v/>
      </c>
      <c r="T1070" s="48">
        <f>IF(INDEX(Employees!$S$5:$S$29,$A1070)="",Q1070,MAX(0,MIN(Q1070,INDEX(Employees!$S$5:$S$29,$A1070)-(S1070-R1070))))</f>
        <v/>
      </c>
      <c r="U1070" s="48">
        <f>Q1070-T1070</f>
        <v/>
      </c>
      <c r="V1070" s="48">
        <f>S1070-R1070+T1070</f>
        <v/>
      </c>
    </row>
    <row r="1071">
      <c r="A1071" s="47" t="n">
        <v>21</v>
      </c>
      <c r="B1071" s="47" t="n">
        <v>7</v>
      </c>
      <c r="C1071" s="48">
        <f>INDEX(Employees!$B$5:$B$29,$A1071)&amp;""</f>
        <v/>
      </c>
      <c r="D1071" s="49">
        <f>INDEX(Periods!$B$5:$B$57,$B1071)</f>
        <v/>
      </c>
      <c r="E1071" s="49">
        <f>INDEX(Periods!$C$5:$C$57,$B1071)</f>
        <v/>
      </c>
      <c r="F1071" s="47">
        <f>IF(AND($C1071&lt;&gt;"",INDEX(Periods!$D$5:$D$57,$B1071)=1),1,0)</f>
        <v/>
      </c>
      <c r="G1071" s="47">
        <f>IF($F1071=0,0,IF(AND(OR(INDEX(Employees!$D$5:$D$29,$A1071)="",$E1071&gt;=INDEX(Employees!$D$5:$D$29,$A1071)+N(INDEX(Employees!$U$5:$U$29,$A1071))),OR(INDEX(Employees!$E$5:$E$29,$A1071)="",$D1071&lt;=INDEX(Employees!$E$5:$E$29,$A1071))),1,0))</f>
        <v/>
      </c>
      <c r="H1071" s="47">
        <f>IF($G1071=0,0,IF(INDEX(Employees!$D$5:$D$29,$A1071)="",0,DATEDIF(INDEX(Employees!$D$5:$D$29,$A1071),$E1071,"y")))</f>
        <v/>
      </c>
      <c r="I1071" s="48">
        <f>IF($G1071=0,0,IF(INDEX('Hours Worked'!$D$5:$BD$29,$A1071,$B1071)="",N(INDEX(Employees!$H$5:$H$29,$A1071)),INDEX('Hours Worked'!$D$5:$BD$29,$A1071,$B1071)))</f>
        <v/>
      </c>
      <c r="J1071" s="48">
        <f>IF(OR($G1071=0,INDEX(Employees!$O$5:$O$29,$A1071)&lt;&gt;"Yes"),0,IF(COUNTIF(Settings!$D$4:$D$9,"&lt;="&amp;$H1071)=0,0,INDEX(Settings!$E$4:$E$9,COUNTIF(Settings!$D$4:$D$9,"&lt;="&amp;$H1071))))</f>
        <v/>
      </c>
      <c r="K1071" s="48">
        <f>IF($G1071=0,0,IF(INDEX(Employees!$I$5:$I$29,$A1071)="Per pay period",(N(INDEX(Employees!$J$5:$J$29,$A1071))+$J1071)/Settings!$B$13,IF(INDEX(Employees!$I$5:$I$29,$A1071)="Per hour worked",N(INDEX(Employees!$K$5:$K$29,$A1071))*$I1071,IF(INDEX(Employees!$I$5:$I$29,$A1071)="Front-loaded",IF(OR($B1071=1,N($G1070)=0),N(INDEX(Employees!$J$5:$J$29,$A1071))+$J1071,0),0))))</f>
        <v/>
      </c>
      <c r="L1071" s="48">
        <f>IF($F1071=0,0,SUMIFS('Time Off Log'!$H$5:$H$504,'Time Off Log'!$A$5:$A$504,$C1071,'Time Off Log'!$B$5:$B$504,"PTO",'Time Off Log'!$E$5:$E$504,"Approved",'Time Off Log'!$C$5:$C$504,"&gt;="&amp;INDEX(Periods!$E$5:$E$57,$B1071),'Time Off Log'!$C$5:$C$504,"&lt;="&amp;INDEX(Periods!$F$5:$F$57,$B1071)))</f>
        <v/>
      </c>
      <c r="M1071" s="48">
        <f>IF($B1071=1,N(INDEX(Employees!$N$5:$N$29,$A1071)),P1070)</f>
        <v/>
      </c>
      <c r="N1071" s="48">
        <f>IF(INDEX(Employees!$L$5:$L$29,$A1071)="",K1071,MAX(0,MIN(K1071,INDEX(Employees!$L$5:$L$29,$A1071)-(M1071-L1071))))</f>
        <v/>
      </c>
      <c r="O1071" s="48">
        <f>K1071-N1071</f>
        <v/>
      </c>
      <c r="P1071" s="48">
        <f>M1071-L1071+N1071</f>
        <v/>
      </c>
      <c r="Q1071" s="48">
        <f>IF($G1071=0,0,IF(INDEX(Employees!$P$5:$P$29,$A1071)="Per pay period",(N(INDEX(Employees!$Q$5:$Q$29,$A1071)))/Settings!$B$13,IF(INDEX(Employees!$P$5:$P$29,$A1071)="Per hour worked",N(INDEX(Employees!$R$5:$R$29,$A1071))*$I1071,IF(INDEX(Employees!$P$5:$P$29,$A1071)="Front-loaded",IF(OR($B1071=1,N($G1070)=0),N(INDEX(Employees!$Q$5:$Q$29,$A1071)),0),0))))</f>
        <v/>
      </c>
      <c r="R1071" s="48">
        <f>IF($F1071=0,0,SUMIFS('Time Off Log'!$H$5:$H$504,'Time Off Log'!$A$5:$A$504,$C1071,'Time Off Log'!$B$5:$B$504,"Sick",'Time Off Log'!$E$5:$E$504,"Approved",'Time Off Log'!$C$5:$C$504,"&gt;="&amp;INDEX(Periods!$E$5:$E$57,$B1071),'Time Off Log'!$C$5:$C$504,"&lt;="&amp;INDEX(Periods!$F$5:$F$57,$B1071)))</f>
        <v/>
      </c>
      <c r="S1071" s="48">
        <f>IF($B1071=1,N(INDEX(Employees!$T$5:$T$29,$A1071)),V1070)</f>
        <v/>
      </c>
      <c r="T1071" s="48">
        <f>IF(INDEX(Employees!$S$5:$S$29,$A1071)="",Q1071,MAX(0,MIN(Q1071,INDEX(Employees!$S$5:$S$29,$A1071)-(S1071-R1071))))</f>
        <v/>
      </c>
      <c r="U1071" s="48">
        <f>Q1071-T1071</f>
        <v/>
      </c>
      <c r="V1071" s="48">
        <f>S1071-R1071+T1071</f>
        <v/>
      </c>
    </row>
    <row r="1072">
      <c r="A1072" s="47" t="n">
        <v>21</v>
      </c>
      <c r="B1072" s="47" t="n">
        <v>8</v>
      </c>
      <c r="C1072" s="48">
        <f>INDEX(Employees!$B$5:$B$29,$A1072)&amp;""</f>
        <v/>
      </c>
      <c r="D1072" s="49">
        <f>INDEX(Periods!$B$5:$B$57,$B1072)</f>
        <v/>
      </c>
      <c r="E1072" s="49">
        <f>INDEX(Periods!$C$5:$C$57,$B1072)</f>
        <v/>
      </c>
      <c r="F1072" s="47">
        <f>IF(AND($C1072&lt;&gt;"",INDEX(Periods!$D$5:$D$57,$B1072)=1),1,0)</f>
        <v/>
      </c>
      <c r="G1072" s="47">
        <f>IF($F1072=0,0,IF(AND(OR(INDEX(Employees!$D$5:$D$29,$A1072)="",$E1072&gt;=INDEX(Employees!$D$5:$D$29,$A1072)+N(INDEX(Employees!$U$5:$U$29,$A1072))),OR(INDEX(Employees!$E$5:$E$29,$A1072)="",$D1072&lt;=INDEX(Employees!$E$5:$E$29,$A1072))),1,0))</f>
        <v/>
      </c>
      <c r="H1072" s="47">
        <f>IF($G1072=0,0,IF(INDEX(Employees!$D$5:$D$29,$A1072)="",0,DATEDIF(INDEX(Employees!$D$5:$D$29,$A1072),$E1072,"y")))</f>
        <v/>
      </c>
      <c r="I1072" s="48">
        <f>IF($G1072=0,0,IF(INDEX('Hours Worked'!$D$5:$BD$29,$A1072,$B1072)="",N(INDEX(Employees!$H$5:$H$29,$A1072)),INDEX('Hours Worked'!$D$5:$BD$29,$A1072,$B1072)))</f>
        <v/>
      </c>
      <c r="J1072" s="48">
        <f>IF(OR($G1072=0,INDEX(Employees!$O$5:$O$29,$A1072)&lt;&gt;"Yes"),0,IF(COUNTIF(Settings!$D$4:$D$9,"&lt;="&amp;$H1072)=0,0,INDEX(Settings!$E$4:$E$9,COUNTIF(Settings!$D$4:$D$9,"&lt;="&amp;$H1072))))</f>
        <v/>
      </c>
      <c r="K1072" s="48">
        <f>IF($G1072=0,0,IF(INDEX(Employees!$I$5:$I$29,$A1072)="Per pay period",(N(INDEX(Employees!$J$5:$J$29,$A1072))+$J1072)/Settings!$B$13,IF(INDEX(Employees!$I$5:$I$29,$A1072)="Per hour worked",N(INDEX(Employees!$K$5:$K$29,$A1072))*$I1072,IF(INDEX(Employees!$I$5:$I$29,$A1072)="Front-loaded",IF(OR($B1072=1,N($G1071)=0),N(INDEX(Employees!$J$5:$J$29,$A1072))+$J1072,0),0))))</f>
        <v/>
      </c>
      <c r="L1072" s="48">
        <f>IF($F1072=0,0,SUMIFS('Time Off Log'!$H$5:$H$504,'Time Off Log'!$A$5:$A$504,$C1072,'Time Off Log'!$B$5:$B$504,"PTO",'Time Off Log'!$E$5:$E$504,"Approved",'Time Off Log'!$C$5:$C$504,"&gt;="&amp;INDEX(Periods!$E$5:$E$57,$B1072),'Time Off Log'!$C$5:$C$504,"&lt;="&amp;INDEX(Periods!$F$5:$F$57,$B1072)))</f>
        <v/>
      </c>
      <c r="M1072" s="48">
        <f>IF($B1072=1,N(INDEX(Employees!$N$5:$N$29,$A1072)),P1071)</f>
        <v/>
      </c>
      <c r="N1072" s="48">
        <f>IF(INDEX(Employees!$L$5:$L$29,$A1072)="",K1072,MAX(0,MIN(K1072,INDEX(Employees!$L$5:$L$29,$A1072)-(M1072-L1072))))</f>
        <v/>
      </c>
      <c r="O1072" s="48">
        <f>K1072-N1072</f>
        <v/>
      </c>
      <c r="P1072" s="48">
        <f>M1072-L1072+N1072</f>
        <v/>
      </c>
      <c r="Q1072" s="48">
        <f>IF($G1072=0,0,IF(INDEX(Employees!$P$5:$P$29,$A1072)="Per pay period",(N(INDEX(Employees!$Q$5:$Q$29,$A1072)))/Settings!$B$13,IF(INDEX(Employees!$P$5:$P$29,$A1072)="Per hour worked",N(INDEX(Employees!$R$5:$R$29,$A1072))*$I1072,IF(INDEX(Employees!$P$5:$P$29,$A1072)="Front-loaded",IF(OR($B1072=1,N($G1071)=0),N(INDEX(Employees!$Q$5:$Q$29,$A1072)),0),0))))</f>
        <v/>
      </c>
      <c r="R1072" s="48">
        <f>IF($F1072=0,0,SUMIFS('Time Off Log'!$H$5:$H$504,'Time Off Log'!$A$5:$A$504,$C1072,'Time Off Log'!$B$5:$B$504,"Sick",'Time Off Log'!$E$5:$E$504,"Approved",'Time Off Log'!$C$5:$C$504,"&gt;="&amp;INDEX(Periods!$E$5:$E$57,$B1072),'Time Off Log'!$C$5:$C$504,"&lt;="&amp;INDEX(Periods!$F$5:$F$57,$B1072)))</f>
        <v/>
      </c>
      <c r="S1072" s="48">
        <f>IF($B1072=1,N(INDEX(Employees!$T$5:$T$29,$A1072)),V1071)</f>
        <v/>
      </c>
      <c r="T1072" s="48">
        <f>IF(INDEX(Employees!$S$5:$S$29,$A1072)="",Q1072,MAX(0,MIN(Q1072,INDEX(Employees!$S$5:$S$29,$A1072)-(S1072-R1072))))</f>
        <v/>
      </c>
      <c r="U1072" s="48">
        <f>Q1072-T1072</f>
        <v/>
      </c>
      <c r="V1072" s="48">
        <f>S1072-R1072+T1072</f>
        <v/>
      </c>
    </row>
    <row r="1073">
      <c r="A1073" s="47" t="n">
        <v>21</v>
      </c>
      <c r="B1073" s="47" t="n">
        <v>9</v>
      </c>
      <c r="C1073" s="48">
        <f>INDEX(Employees!$B$5:$B$29,$A1073)&amp;""</f>
        <v/>
      </c>
      <c r="D1073" s="49">
        <f>INDEX(Periods!$B$5:$B$57,$B1073)</f>
        <v/>
      </c>
      <c r="E1073" s="49">
        <f>INDEX(Periods!$C$5:$C$57,$B1073)</f>
        <v/>
      </c>
      <c r="F1073" s="47">
        <f>IF(AND($C1073&lt;&gt;"",INDEX(Periods!$D$5:$D$57,$B1073)=1),1,0)</f>
        <v/>
      </c>
      <c r="G1073" s="47">
        <f>IF($F1073=0,0,IF(AND(OR(INDEX(Employees!$D$5:$D$29,$A1073)="",$E1073&gt;=INDEX(Employees!$D$5:$D$29,$A1073)+N(INDEX(Employees!$U$5:$U$29,$A1073))),OR(INDEX(Employees!$E$5:$E$29,$A1073)="",$D1073&lt;=INDEX(Employees!$E$5:$E$29,$A1073))),1,0))</f>
        <v/>
      </c>
      <c r="H1073" s="47">
        <f>IF($G1073=0,0,IF(INDEX(Employees!$D$5:$D$29,$A1073)="",0,DATEDIF(INDEX(Employees!$D$5:$D$29,$A1073),$E1073,"y")))</f>
        <v/>
      </c>
      <c r="I1073" s="48">
        <f>IF($G1073=0,0,IF(INDEX('Hours Worked'!$D$5:$BD$29,$A1073,$B1073)="",N(INDEX(Employees!$H$5:$H$29,$A1073)),INDEX('Hours Worked'!$D$5:$BD$29,$A1073,$B1073)))</f>
        <v/>
      </c>
      <c r="J1073" s="48">
        <f>IF(OR($G1073=0,INDEX(Employees!$O$5:$O$29,$A1073)&lt;&gt;"Yes"),0,IF(COUNTIF(Settings!$D$4:$D$9,"&lt;="&amp;$H1073)=0,0,INDEX(Settings!$E$4:$E$9,COUNTIF(Settings!$D$4:$D$9,"&lt;="&amp;$H1073))))</f>
        <v/>
      </c>
      <c r="K1073" s="48">
        <f>IF($G1073=0,0,IF(INDEX(Employees!$I$5:$I$29,$A1073)="Per pay period",(N(INDEX(Employees!$J$5:$J$29,$A1073))+$J1073)/Settings!$B$13,IF(INDEX(Employees!$I$5:$I$29,$A1073)="Per hour worked",N(INDEX(Employees!$K$5:$K$29,$A1073))*$I1073,IF(INDEX(Employees!$I$5:$I$29,$A1073)="Front-loaded",IF(OR($B1073=1,N($G1072)=0),N(INDEX(Employees!$J$5:$J$29,$A1073))+$J1073,0),0))))</f>
        <v/>
      </c>
      <c r="L1073" s="48">
        <f>IF($F1073=0,0,SUMIFS('Time Off Log'!$H$5:$H$504,'Time Off Log'!$A$5:$A$504,$C1073,'Time Off Log'!$B$5:$B$504,"PTO",'Time Off Log'!$E$5:$E$504,"Approved",'Time Off Log'!$C$5:$C$504,"&gt;="&amp;INDEX(Periods!$E$5:$E$57,$B1073),'Time Off Log'!$C$5:$C$504,"&lt;="&amp;INDEX(Periods!$F$5:$F$57,$B1073)))</f>
        <v/>
      </c>
      <c r="M1073" s="48">
        <f>IF($B1073=1,N(INDEX(Employees!$N$5:$N$29,$A1073)),P1072)</f>
        <v/>
      </c>
      <c r="N1073" s="48">
        <f>IF(INDEX(Employees!$L$5:$L$29,$A1073)="",K1073,MAX(0,MIN(K1073,INDEX(Employees!$L$5:$L$29,$A1073)-(M1073-L1073))))</f>
        <v/>
      </c>
      <c r="O1073" s="48">
        <f>K1073-N1073</f>
        <v/>
      </c>
      <c r="P1073" s="48">
        <f>M1073-L1073+N1073</f>
        <v/>
      </c>
      <c r="Q1073" s="48">
        <f>IF($G1073=0,0,IF(INDEX(Employees!$P$5:$P$29,$A1073)="Per pay period",(N(INDEX(Employees!$Q$5:$Q$29,$A1073)))/Settings!$B$13,IF(INDEX(Employees!$P$5:$P$29,$A1073)="Per hour worked",N(INDEX(Employees!$R$5:$R$29,$A1073))*$I1073,IF(INDEX(Employees!$P$5:$P$29,$A1073)="Front-loaded",IF(OR($B1073=1,N($G1072)=0),N(INDEX(Employees!$Q$5:$Q$29,$A1073)),0),0))))</f>
        <v/>
      </c>
      <c r="R1073" s="48">
        <f>IF($F1073=0,0,SUMIFS('Time Off Log'!$H$5:$H$504,'Time Off Log'!$A$5:$A$504,$C1073,'Time Off Log'!$B$5:$B$504,"Sick",'Time Off Log'!$E$5:$E$504,"Approved",'Time Off Log'!$C$5:$C$504,"&gt;="&amp;INDEX(Periods!$E$5:$E$57,$B1073),'Time Off Log'!$C$5:$C$504,"&lt;="&amp;INDEX(Periods!$F$5:$F$57,$B1073)))</f>
        <v/>
      </c>
      <c r="S1073" s="48">
        <f>IF($B1073=1,N(INDEX(Employees!$T$5:$T$29,$A1073)),V1072)</f>
        <v/>
      </c>
      <c r="T1073" s="48">
        <f>IF(INDEX(Employees!$S$5:$S$29,$A1073)="",Q1073,MAX(0,MIN(Q1073,INDEX(Employees!$S$5:$S$29,$A1073)-(S1073-R1073))))</f>
        <v/>
      </c>
      <c r="U1073" s="48">
        <f>Q1073-T1073</f>
        <v/>
      </c>
      <c r="V1073" s="48">
        <f>S1073-R1073+T1073</f>
        <v/>
      </c>
    </row>
    <row r="1074">
      <c r="A1074" s="47" t="n">
        <v>21</v>
      </c>
      <c r="B1074" s="47" t="n">
        <v>10</v>
      </c>
      <c r="C1074" s="48">
        <f>INDEX(Employees!$B$5:$B$29,$A1074)&amp;""</f>
        <v/>
      </c>
      <c r="D1074" s="49">
        <f>INDEX(Periods!$B$5:$B$57,$B1074)</f>
        <v/>
      </c>
      <c r="E1074" s="49">
        <f>INDEX(Periods!$C$5:$C$57,$B1074)</f>
        <v/>
      </c>
      <c r="F1074" s="47">
        <f>IF(AND($C1074&lt;&gt;"",INDEX(Periods!$D$5:$D$57,$B1074)=1),1,0)</f>
        <v/>
      </c>
      <c r="G1074" s="47">
        <f>IF($F1074=0,0,IF(AND(OR(INDEX(Employees!$D$5:$D$29,$A1074)="",$E1074&gt;=INDEX(Employees!$D$5:$D$29,$A1074)+N(INDEX(Employees!$U$5:$U$29,$A1074))),OR(INDEX(Employees!$E$5:$E$29,$A1074)="",$D1074&lt;=INDEX(Employees!$E$5:$E$29,$A1074))),1,0))</f>
        <v/>
      </c>
      <c r="H1074" s="47">
        <f>IF($G1074=0,0,IF(INDEX(Employees!$D$5:$D$29,$A1074)="",0,DATEDIF(INDEX(Employees!$D$5:$D$29,$A1074),$E1074,"y")))</f>
        <v/>
      </c>
      <c r="I1074" s="48">
        <f>IF($G1074=0,0,IF(INDEX('Hours Worked'!$D$5:$BD$29,$A1074,$B1074)="",N(INDEX(Employees!$H$5:$H$29,$A1074)),INDEX('Hours Worked'!$D$5:$BD$29,$A1074,$B1074)))</f>
        <v/>
      </c>
      <c r="J1074" s="48">
        <f>IF(OR($G1074=0,INDEX(Employees!$O$5:$O$29,$A1074)&lt;&gt;"Yes"),0,IF(COUNTIF(Settings!$D$4:$D$9,"&lt;="&amp;$H1074)=0,0,INDEX(Settings!$E$4:$E$9,COUNTIF(Settings!$D$4:$D$9,"&lt;="&amp;$H1074))))</f>
        <v/>
      </c>
      <c r="K1074" s="48">
        <f>IF($G1074=0,0,IF(INDEX(Employees!$I$5:$I$29,$A1074)="Per pay period",(N(INDEX(Employees!$J$5:$J$29,$A1074))+$J1074)/Settings!$B$13,IF(INDEX(Employees!$I$5:$I$29,$A1074)="Per hour worked",N(INDEX(Employees!$K$5:$K$29,$A1074))*$I1074,IF(INDEX(Employees!$I$5:$I$29,$A1074)="Front-loaded",IF(OR($B1074=1,N($G1073)=0),N(INDEX(Employees!$J$5:$J$29,$A1074))+$J1074,0),0))))</f>
        <v/>
      </c>
      <c r="L1074" s="48">
        <f>IF($F1074=0,0,SUMIFS('Time Off Log'!$H$5:$H$504,'Time Off Log'!$A$5:$A$504,$C1074,'Time Off Log'!$B$5:$B$504,"PTO",'Time Off Log'!$E$5:$E$504,"Approved",'Time Off Log'!$C$5:$C$504,"&gt;="&amp;INDEX(Periods!$E$5:$E$57,$B1074),'Time Off Log'!$C$5:$C$504,"&lt;="&amp;INDEX(Periods!$F$5:$F$57,$B1074)))</f>
        <v/>
      </c>
      <c r="M1074" s="48">
        <f>IF($B1074=1,N(INDEX(Employees!$N$5:$N$29,$A1074)),P1073)</f>
        <v/>
      </c>
      <c r="N1074" s="48">
        <f>IF(INDEX(Employees!$L$5:$L$29,$A1074)="",K1074,MAX(0,MIN(K1074,INDEX(Employees!$L$5:$L$29,$A1074)-(M1074-L1074))))</f>
        <v/>
      </c>
      <c r="O1074" s="48">
        <f>K1074-N1074</f>
        <v/>
      </c>
      <c r="P1074" s="48">
        <f>M1074-L1074+N1074</f>
        <v/>
      </c>
      <c r="Q1074" s="48">
        <f>IF($G1074=0,0,IF(INDEX(Employees!$P$5:$P$29,$A1074)="Per pay period",(N(INDEX(Employees!$Q$5:$Q$29,$A1074)))/Settings!$B$13,IF(INDEX(Employees!$P$5:$P$29,$A1074)="Per hour worked",N(INDEX(Employees!$R$5:$R$29,$A1074))*$I1074,IF(INDEX(Employees!$P$5:$P$29,$A1074)="Front-loaded",IF(OR($B1074=1,N($G1073)=0),N(INDEX(Employees!$Q$5:$Q$29,$A1074)),0),0))))</f>
        <v/>
      </c>
      <c r="R1074" s="48">
        <f>IF($F1074=0,0,SUMIFS('Time Off Log'!$H$5:$H$504,'Time Off Log'!$A$5:$A$504,$C1074,'Time Off Log'!$B$5:$B$504,"Sick",'Time Off Log'!$E$5:$E$504,"Approved",'Time Off Log'!$C$5:$C$504,"&gt;="&amp;INDEX(Periods!$E$5:$E$57,$B1074),'Time Off Log'!$C$5:$C$504,"&lt;="&amp;INDEX(Periods!$F$5:$F$57,$B1074)))</f>
        <v/>
      </c>
      <c r="S1074" s="48">
        <f>IF($B1074=1,N(INDEX(Employees!$T$5:$T$29,$A1074)),V1073)</f>
        <v/>
      </c>
      <c r="T1074" s="48">
        <f>IF(INDEX(Employees!$S$5:$S$29,$A1074)="",Q1074,MAX(0,MIN(Q1074,INDEX(Employees!$S$5:$S$29,$A1074)-(S1074-R1074))))</f>
        <v/>
      </c>
      <c r="U1074" s="48">
        <f>Q1074-T1074</f>
        <v/>
      </c>
      <c r="V1074" s="48">
        <f>S1074-R1074+T1074</f>
        <v/>
      </c>
    </row>
    <row r="1075">
      <c r="A1075" s="47" t="n">
        <v>21</v>
      </c>
      <c r="B1075" s="47" t="n">
        <v>11</v>
      </c>
      <c r="C1075" s="48">
        <f>INDEX(Employees!$B$5:$B$29,$A1075)&amp;""</f>
        <v/>
      </c>
      <c r="D1075" s="49">
        <f>INDEX(Periods!$B$5:$B$57,$B1075)</f>
        <v/>
      </c>
      <c r="E1075" s="49">
        <f>INDEX(Periods!$C$5:$C$57,$B1075)</f>
        <v/>
      </c>
      <c r="F1075" s="47">
        <f>IF(AND($C1075&lt;&gt;"",INDEX(Periods!$D$5:$D$57,$B1075)=1),1,0)</f>
        <v/>
      </c>
      <c r="G1075" s="47">
        <f>IF($F1075=0,0,IF(AND(OR(INDEX(Employees!$D$5:$D$29,$A1075)="",$E1075&gt;=INDEX(Employees!$D$5:$D$29,$A1075)+N(INDEX(Employees!$U$5:$U$29,$A1075))),OR(INDEX(Employees!$E$5:$E$29,$A1075)="",$D1075&lt;=INDEX(Employees!$E$5:$E$29,$A1075))),1,0))</f>
        <v/>
      </c>
      <c r="H1075" s="47">
        <f>IF($G1075=0,0,IF(INDEX(Employees!$D$5:$D$29,$A1075)="",0,DATEDIF(INDEX(Employees!$D$5:$D$29,$A1075),$E1075,"y")))</f>
        <v/>
      </c>
      <c r="I1075" s="48">
        <f>IF($G1075=0,0,IF(INDEX('Hours Worked'!$D$5:$BD$29,$A1075,$B1075)="",N(INDEX(Employees!$H$5:$H$29,$A1075)),INDEX('Hours Worked'!$D$5:$BD$29,$A1075,$B1075)))</f>
        <v/>
      </c>
      <c r="J1075" s="48">
        <f>IF(OR($G1075=0,INDEX(Employees!$O$5:$O$29,$A1075)&lt;&gt;"Yes"),0,IF(COUNTIF(Settings!$D$4:$D$9,"&lt;="&amp;$H1075)=0,0,INDEX(Settings!$E$4:$E$9,COUNTIF(Settings!$D$4:$D$9,"&lt;="&amp;$H1075))))</f>
        <v/>
      </c>
      <c r="K1075" s="48">
        <f>IF($G1075=0,0,IF(INDEX(Employees!$I$5:$I$29,$A1075)="Per pay period",(N(INDEX(Employees!$J$5:$J$29,$A1075))+$J1075)/Settings!$B$13,IF(INDEX(Employees!$I$5:$I$29,$A1075)="Per hour worked",N(INDEX(Employees!$K$5:$K$29,$A1075))*$I1075,IF(INDEX(Employees!$I$5:$I$29,$A1075)="Front-loaded",IF(OR($B1075=1,N($G1074)=0),N(INDEX(Employees!$J$5:$J$29,$A1075))+$J1075,0),0))))</f>
        <v/>
      </c>
      <c r="L1075" s="48">
        <f>IF($F1075=0,0,SUMIFS('Time Off Log'!$H$5:$H$504,'Time Off Log'!$A$5:$A$504,$C1075,'Time Off Log'!$B$5:$B$504,"PTO",'Time Off Log'!$E$5:$E$504,"Approved",'Time Off Log'!$C$5:$C$504,"&gt;="&amp;INDEX(Periods!$E$5:$E$57,$B1075),'Time Off Log'!$C$5:$C$504,"&lt;="&amp;INDEX(Periods!$F$5:$F$57,$B1075)))</f>
        <v/>
      </c>
      <c r="M1075" s="48">
        <f>IF($B1075=1,N(INDEX(Employees!$N$5:$N$29,$A1075)),P1074)</f>
        <v/>
      </c>
      <c r="N1075" s="48">
        <f>IF(INDEX(Employees!$L$5:$L$29,$A1075)="",K1075,MAX(0,MIN(K1075,INDEX(Employees!$L$5:$L$29,$A1075)-(M1075-L1075))))</f>
        <v/>
      </c>
      <c r="O1075" s="48">
        <f>K1075-N1075</f>
        <v/>
      </c>
      <c r="P1075" s="48">
        <f>M1075-L1075+N1075</f>
        <v/>
      </c>
      <c r="Q1075" s="48">
        <f>IF($G1075=0,0,IF(INDEX(Employees!$P$5:$P$29,$A1075)="Per pay period",(N(INDEX(Employees!$Q$5:$Q$29,$A1075)))/Settings!$B$13,IF(INDEX(Employees!$P$5:$P$29,$A1075)="Per hour worked",N(INDEX(Employees!$R$5:$R$29,$A1075))*$I1075,IF(INDEX(Employees!$P$5:$P$29,$A1075)="Front-loaded",IF(OR($B1075=1,N($G1074)=0),N(INDEX(Employees!$Q$5:$Q$29,$A1075)),0),0))))</f>
        <v/>
      </c>
      <c r="R1075" s="48">
        <f>IF($F1075=0,0,SUMIFS('Time Off Log'!$H$5:$H$504,'Time Off Log'!$A$5:$A$504,$C1075,'Time Off Log'!$B$5:$B$504,"Sick",'Time Off Log'!$E$5:$E$504,"Approved",'Time Off Log'!$C$5:$C$504,"&gt;="&amp;INDEX(Periods!$E$5:$E$57,$B1075),'Time Off Log'!$C$5:$C$504,"&lt;="&amp;INDEX(Periods!$F$5:$F$57,$B1075)))</f>
        <v/>
      </c>
      <c r="S1075" s="48">
        <f>IF($B1075=1,N(INDEX(Employees!$T$5:$T$29,$A1075)),V1074)</f>
        <v/>
      </c>
      <c r="T1075" s="48">
        <f>IF(INDEX(Employees!$S$5:$S$29,$A1075)="",Q1075,MAX(0,MIN(Q1075,INDEX(Employees!$S$5:$S$29,$A1075)-(S1075-R1075))))</f>
        <v/>
      </c>
      <c r="U1075" s="48">
        <f>Q1075-T1075</f>
        <v/>
      </c>
      <c r="V1075" s="48">
        <f>S1075-R1075+T1075</f>
        <v/>
      </c>
    </row>
    <row r="1076">
      <c r="A1076" s="47" t="n">
        <v>21</v>
      </c>
      <c r="B1076" s="47" t="n">
        <v>12</v>
      </c>
      <c r="C1076" s="48">
        <f>INDEX(Employees!$B$5:$B$29,$A1076)&amp;""</f>
        <v/>
      </c>
      <c r="D1076" s="49">
        <f>INDEX(Periods!$B$5:$B$57,$B1076)</f>
        <v/>
      </c>
      <c r="E1076" s="49">
        <f>INDEX(Periods!$C$5:$C$57,$B1076)</f>
        <v/>
      </c>
      <c r="F1076" s="47">
        <f>IF(AND($C1076&lt;&gt;"",INDEX(Periods!$D$5:$D$57,$B1076)=1),1,0)</f>
        <v/>
      </c>
      <c r="G1076" s="47">
        <f>IF($F1076=0,0,IF(AND(OR(INDEX(Employees!$D$5:$D$29,$A1076)="",$E1076&gt;=INDEX(Employees!$D$5:$D$29,$A1076)+N(INDEX(Employees!$U$5:$U$29,$A1076))),OR(INDEX(Employees!$E$5:$E$29,$A1076)="",$D1076&lt;=INDEX(Employees!$E$5:$E$29,$A1076))),1,0))</f>
        <v/>
      </c>
      <c r="H1076" s="47">
        <f>IF($G1076=0,0,IF(INDEX(Employees!$D$5:$D$29,$A1076)="",0,DATEDIF(INDEX(Employees!$D$5:$D$29,$A1076),$E1076,"y")))</f>
        <v/>
      </c>
      <c r="I1076" s="48">
        <f>IF($G1076=0,0,IF(INDEX('Hours Worked'!$D$5:$BD$29,$A1076,$B1076)="",N(INDEX(Employees!$H$5:$H$29,$A1076)),INDEX('Hours Worked'!$D$5:$BD$29,$A1076,$B1076)))</f>
        <v/>
      </c>
      <c r="J1076" s="48">
        <f>IF(OR($G1076=0,INDEX(Employees!$O$5:$O$29,$A1076)&lt;&gt;"Yes"),0,IF(COUNTIF(Settings!$D$4:$D$9,"&lt;="&amp;$H1076)=0,0,INDEX(Settings!$E$4:$E$9,COUNTIF(Settings!$D$4:$D$9,"&lt;="&amp;$H1076))))</f>
        <v/>
      </c>
      <c r="K1076" s="48">
        <f>IF($G1076=0,0,IF(INDEX(Employees!$I$5:$I$29,$A1076)="Per pay period",(N(INDEX(Employees!$J$5:$J$29,$A1076))+$J1076)/Settings!$B$13,IF(INDEX(Employees!$I$5:$I$29,$A1076)="Per hour worked",N(INDEX(Employees!$K$5:$K$29,$A1076))*$I1076,IF(INDEX(Employees!$I$5:$I$29,$A1076)="Front-loaded",IF(OR($B1076=1,N($G1075)=0),N(INDEX(Employees!$J$5:$J$29,$A1076))+$J1076,0),0))))</f>
        <v/>
      </c>
      <c r="L1076" s="48">
        <f>IF($F1076=0,0,SUMIFS('Time Off Log'!$H$5:$H$504,'Time Off Log'!$A$5:$A$504,$C1076,'Time Off Log'!$B$5:$B$504,"PTO",'Time Off Log'!$E$5:$E$504,"Approved",'Time Off Log'!$C$5:$C$504,"&gt;="&amp;INDEX(Periods!$E$5:$E$57,$B1076),'Time Off Log'!$C$5:$C$504,"&lt;="&amp;INDEX(Periods!$F$5:$F$57,$B1076)))</f>
        <v/>
      </c>
      <c r="M1076" s="48">
        <f>IF($B1076=1,N(INDEX(Employees!$N$5:$N$29,$A1076)),P1075)</f>
        <v/>
      </c>
      <c r="N1076" s="48">
        <f>IF(INDEX(Employees!$L$5:$L$29,$A1076)="",K1076,MAX(0,MIN(K1076,INDEX(Employees!$L$5:$L$29,$A1076)-(M1076-L1076))))</f>
        <v/>
      </c>
      <c r="O1076" s="48">
        <f>K1076-N1076</f>
        <v/>
      </c>
      <c r="P1076" s="48">
        <f>M1076-L1076+N1076</f>
        <v/>
      </c>
      <c r="Q1076" s="48">
        <f>IF($G1076=0,0,IF(INDEX(Employees!$P$5:$P$29,$A1076)="Per pay period",(N(INDEX(Employees!$Q$5:$Q$29,$A1076)))/Settings!$B$13,IF(INDEX(Employees!$P$5:$P$29,$A1076)="Per hour worked",N(INDEX(Employees!$R$5:$R$29,$A1076))*$I1076,IF(INDEX(Employees!$P$5:$P$29,$A1076)="Front-loaded",IF(OR($B1076=1,N($G1075)=0),N(INDEX(Employees!$Q$5:$Q$29,$A1076)),0),0))))</f>
        <v/>
      </c>
      <c r="R1076" s="48">
        <f>IF($F1076=0,0,SUMIFS('Time Off Log'!$H$5:$H$504,'Time Off Log'!$A$5:$A$504,$C1076,'Time Off Log'!$B$5:$B$504,"Sick",'Time Off Log'!$E$5:$E$504,"Approved",'Time Off Log'!$C$5:$C$504,"&gt;="&amp;INDEX(Periods!$E$5:$E$57,$B1076),'Time Off Log'!$C$5:$C$504,"&lt;="&amp;INDEX(Periods!$F$5:$F$57,$B1076)))</f>
        <v/>
      </c>
      <c r="S1076" s="48">
        <f>IF($B1076=1,N(INDEX(Employees!$T$5:$T$29,$A1076)),V1075)</f>
        <v/>
      </c>
      <c r="T1076" s="48">
        <f>IF(INDEX(Employees!$S$5:$S$29,$A1076)="",Q1076,MAX(0,MIN(Q1076,INDEX(Employees!$S$5:$S$29,$A1076)-(S1076-R1076))))</f>
        <v/>
      </c>
      <c r="U1076" s="48">
        <f>Q1076-T1076</f>
        <v/>
      </c>
      <c r="V1076" s="48">
        <f>S1076-R1076+T1076</f>
        <v/>
      </c>
    </row>
    <row r="1077">
      <c r="A1077" s="47" t="n">
        <v>21</v>
      </c>
      <c r="B1077" s="47" t="n">
        <v>13</v>
      </c>
      <c r="C1077" s="48">
        <f>INDEX(Employees!$B$5:$B$29,$A1077)&amp;""</f>
        <v/>
      </c>
      <c r="D1077" s="49">
        <f>INDEX(Periods!$B$5:$B$57,$B1077)</f>
        <v/>
      </c>
      <c r="E1077" s="49">
        <f>INDEX(Periods!$C$5:$C$57,$B1077)</f>
        <v/>
      </c>
      <c r="F1077" s="47">
        <f>IF(AND($C1077&lt;&gt;"",INDEX(Periods!$D$5:$D$57,$B1077)=1),1,0)</f>
        <v/>
      </c>
      <c r="G1077" s="47">
        <f>IF($F1077=0,0,IF(AND(OR(INDEX(Employees!$D$5:$D$29,$A1077)="",$E1077&gt;=INDEX(Employees!$D$5:$D$29,$A1077)+N(INDEX(Employees!$U$5:$U$29,$A1077))),OR(INDEX(Employees!$E$5:$E$29,$A1077)="",$D1077&lt;=INDEX(Employees!$E$5:$E$29,$A1077))),1,0))</f>
        <v/>
      </c>
      <c r="H1077" s="47">
        <f>IF($G1077=0,0,IF(INDEX(Employees!$D$5:$D$29,$A1077)="",0,DATEDIF(INDEX(Employees!$D$5:$D$29,$A1077),$E1077,"y")))</f>
        <v/>
      </c>
      <c r="I1077" s="48">
        <f>IF($G1077=0,0,IF(INDEX('Hours Worked'!$D$5:$BD$29,$A1077,$B1077)="",N(INDEX(Employees!$H$5:$H$29,$A1077)),INDEX('Hours Worked'!$D$5:$BD$29,$A1077,$B1077)))</f>
        <v/>
      </c>
      <c r="J1077" s="48">
        <f>IF(OR($G1077=0,INDEX(Employees!$O$5:$O$29,$A1077)&lt;&gt;"Yes"),0,IF(COUNTIF(Settings!$D$4:$D$9,"&lt;="&amp;$H1077)=0,0,INDEX(Settings!$E$4:$E$9,COUNTIF(Settings!$D$4:$D$9,"&lt;="&amp;$H1077))))</f>
        <v/>
      </c>
      <c r="K1077" s="48">
        <f>IF($G1077=0,0,IF(INDEX(Employees!$I$5:$I$29,$A1077)="Per pay period",(N(INDEX(Employees!$J$5:$J$29,$A1077))+$J1077)/Settings!$B$13,IF(INDEX(Employees!$I$5:$I$29,$A1077)="Per hour worked",N(INDEX(Employees!$K$5:$K$29,$A1077))*$I1077,IF(INDEX(Employees!$I$5:$I$29,$A1077)="Front-loaded",IF(OR($B1077=1,N($G1076)=0),N(INDEX(Employees!$J$5:$J$29,$A1077))+$J1077,0),0))))</f>
        <v/>
      </c>
      <c r="L1077" s="48">
        <f>IF($F1077=0,0,SUMIFS('Time Off Log'!$H$5:$H$504,'Time Off Log'!$A$5:$A$504,$C1077,'Time Off Log'!$B$5:$B$504,"PTO",'Time Off Log'!$E$5:$E$504,"Approved",'Time Off Log'!$C$5:$C$504,"&gt;="&amp;INDEX(Periods!$E$5:$E$57,$B1077),'Time Off Log'!$C$5:$C$504,"&lt;="&amp;INDEX(Periods!$F$5:$F$57,$B1077)))</f>
        <v/>
      </c>
      <c r="M1077" s="48">
        <f>IF($B1077=1,N(INDEX(Employees!$N$5:$N$29,$A1077)),P1076)</f>
        <v/>
      </c>
      <c r="N1077" s="48">
        <f>IF(INDEX(Employees!$L$5:$L$29,$A1077)="",K1077,MAX(0,MIN(K1077,INDEX(Employees!$L$5:$L$29,$A1077)-(M1077-L1077))))</f>
        <v/>
      </c>
      <c r="O1077" s="48">
        <f>K1077-N1077</f>
        <v/>
      </c>
      <c r="P1077" s="48">
        <f>M1077-L1077+N1077</f>
        <v/>
      </c>
      <c r="Q1077" s="48">
        <f>IF($G1077=0,0,IF(INDEX(Employees!$P$5:$P$29,$A1077)="Per pay period",(N(INDEX(Employees!$Q$5:$Q$29,$A1077)))/Settings!$B$13,IF(INDEX(Employees!$P$5:$P$29,$A1077)="Per hour worked",N(INDEX(Employees!$R$5:$R$29,$A1077))*$I1077,IF(INDEX(Employees!$P$5:$P$29,$A1077)="Front-loaded",IF(OR($B1077=1,N($G1076)=0),N(INDEX(Employees!$Q$5:$Q$29,$A1077)),0),0))))</f>
        <v/>
      </c>
      <c r="R1077" s="48">
        <f>IF($F1077=0,0,SUMIFS('Time Off Log'!$H$5:$H$504,'Time Off Log'!$A$5:$A$504,$C1077,'Time Off Log'!$B$5:$B$504,"Sick",'Time Off Log'!$E$5:$E$504,"Approved",'Time Off Log'!$C$5:$C$504,"&gt;="&amp;INDEX(Periods!$E$5:$E$57,$B1077),'Time Off Log'!$C$5:$C$504,"&lt;="&amp;INDEX(Periods!$F$5:$F$57,$B1077)))</f>
        <v/>
      </c>
      <c r="S1077" s="48">
        <f>IF($B1077=1,N(INDEX(Employees!$T$5:$T$29,$A1077)),V1076)</f>
        <v/>
      </c>
      <c r="T1077" s="48">
        <f>IF(INDEX(Employees!$S$5:$S$29,$A1077)="",Q1077,MAX(0,MIN(Q1077,INDEX(Employees!$S$5:$S$29,$A1077)-(S1077-R1077))))</f>
        <v/>
      </c>
      <c r="U1077" s="48">
        <f>Q1077-T1077</f>
        <v/>
      </c>
      <c r="V1077" s="48">
        <f>S1077-R1077+T1077</f>
        <v/>
      </c>
    </row>
    <row r="1078">
      <c r="A1078" s="47" t="n">
        <v>21</v>
      </c>
      <c r="B1078" s="47" t="n">
        <v>14</v>
      </c>
      <c r="C1078" s="48">
        <f>INDEX(Employees!$B$5:$B$29,$A1078)&amp;""</f>
        <v/>
      </c>
      <c r="D1078" s="49">
        <f>INDEX(Periods!$B$5:$B$57,$B1078)</f>
        <v/>
      </c>
      <c r="E1078" s="49">
        <f>INDEX(Periods!$C$5:$C$57,$B1078)</f>
        <v/>
      </c>
      <c r="F1078" s="47">
        <f>IF(AND($C1078&lt;&gt;"",INDEX(Periods!$D$5:$D$57,$B1078)=1),1,0)</f>
        <v/>
      </c>
      <c r="G1078" s="47">
        <f>IF($F1078=0,0,IF(AND(OR(INDEX(Employees!$D$5:$D$29,$A1078)="",$E1078&gt;=INDEX(Employees!$D$5:$D$29,$A1078)+N(INDEX(Employees!$U$5:$U$29,$A1078))),OR(INDEX(Employees!$E$5:$E$29,$A1078)="",$D1078&lt;=INDEX(Employees!$E$5:$E$29,$A1078))),1,0))</f>
        <v/>
      </c>
      <c r="H1078" s="47">
        <f>IF($G1078=0,0,IF(INDEX(Employees!$D$5:$D$29,$A1078)="",0,DATEDIF(INDEX(Employees!$D$5:$D$29,$A1078),$E1078,"y")))</f>
        <v/>
      </c>
      <c r="I1078" s="48">
        <f>IF($G1078=0,0,IF(INDEX('Hours Worked'!$D$5:$BD$29,$A1078,$B1078)="",N(INDEX(Employees!$H$5:$H$29,$A1078)),INDEX('Hours Worked'!$D$5:$BD$29,$A1078,$B1078)))</f>
        <v/>
      </c>
      <c r="J1078" s="48">
        <f>IF(OR($G1078=0,INDEX(Employees!$O$5:$O$29,$A1078)&lt;&gt;"Yes"),0,IF(COUNTIF(Settings!$D$4:$D$9,"&lt;="&amp;$H1078)=0,0,INDEX(Settings!$E$4:$E$9,COUNTIF(Settings!$D$4:$D$9,"&lt;="&amp;$H1078))))</f>
        <v/>
      </c>
      <c r="K1078" s="48">
        <f>IF($G1078=0,0,IF(INDEX(Employees!$I$5:$I$29,$A1078)="Per pay period",(N(INDEX(Employees!$J$5:$J$29,$A1078))+$J1078)/Settings!$B$13,IF(INDEX(Employees!$I$5:$I$29,$A1078)="Per hour worked",N(INDEX(Employees!$K$5:$K$29,$A1078))*$I1078,IF(INDEX(Employees!$I$5:$I$29,$A1078)="Front-loaded",IF(OR($B1078=1,N($G1077)=0),N(INDEX(Employees!$J$5:$J$29,$A1078))+$J1078,0),0))))</f>
        <v/>
      </c>
      <c r="L1078" s="48">
        <f>IF($F1078=0,0,SUMIFS('Time Off Log'!$H$5:$H$504,'Time Off Log'!$A$5:$A$504,$C1078,'Time Off Log'!$B$5:$B$504,"PTO",'Time Off Log'!$E$5:$E$504,"Approved",'Time Off Log'!$C$5:$C$504,"&gt;="&amp;INDEX(Periods!$E$5:$E$57,$B1078),'Time Off Log'!$C$5:$C$504,"&lt;="&amp;INDEX(Periods!$F$5:$F$57,$B1078)))</f>
        <v/>
      </c>
      <c r="M1078" s="48">
        <f>IF($B1078=1,N(INDEX(Employees!$N$5:$N$29,$A1078)),P1077)</f>
        <v/>
      </c>
      <c r="N1078" s="48">
        <f>IF(INDEX(Employees!$L$5:$L$29,$A1078)="",K1078,MAX(0,MIN(K1078,INDEX(Employees!$L$5:$L$29,$A1078)-(M1078-L1078))))</f>
        <v/>
      </c>
      <c r="O1078" s="48">
        <f>K1078-N1078</f>
        <v/>
      </c>
      <c r="P1078" s="48">
        <f>M1078-L1078+N1078</f>
        <v/>
      </c>
      <c r="Q1078" s="48">
        <f>IF($G1078=0,0,IF(INDEX(Employees!$P$5:$P$29,$A1078)="Per pay period",(N(INDEX(Employees!$Q$5:$Q$29,$A1078)))/Settings!$B$13,IF(INDEX(Employees!$P$5:$P$29,$A1078)="Per hour worked",N(INDEX(Employees!$R$5:$R$29,$A1078))*$I1078,IF(INDEX(Employees!$P$5:$P$29,$A1078)="Front-loaded",IF(OR($B1078=1,N($G1077)=0),N(INDEX(Employees!$Q$5:$Q$29,$A1078)),0),0))))</f>
        <v/>
      </c>
      <c r="R1078" s="48">
        <f>IF($F1078=0,0,SUMIFS('Time Off Log'!$H$5:$H$504,'Time Off Log'!$A$5:$A$504,$C1078,'Time Off Log'!$B$5:$B$504,"Sick",'Time Off Log'!$E$5:$E$504,"Approved",'Time Off Log'!$C$5:$C$504,"&gt;="&amp;INDEX(Periods!$E$5:$E$57,$B1078),'Time Off Log'!$C$5:$C$504,"&lt;="&amp;INDEX(Periods!$F$5:$F$57,$B1078)))</f>
        <v/>
      </c>
      <c r="S1078" s="48">
        <f>IF($B1078=1,N(INDEX(Employees!$T$5:$T$29,$A1078)),V1077)</f>
        <v/>
      </c>
      <c r="T1078" s="48">
        <f>IF(INDEX(Employees!$S$5:$S$29,$A1078)="",Q1078,MAX(0,MIN(Q1078,INDEX(Employees!$S$5:$S$29,$A1078)-(S1078-R1078))))</f>
        <v/>
      </c>
      <c r="U1078" s="48">
        <f>Q1078-T1078</f>
        <v/>
      </c>
      <c r="V1078" s="48">
        <f>S1078-R1078+T1078</f>
        <v/>
      </c>
    </row>
    <row r="1079">
      <c r="A1079" s="47" t="n">
        <v>21</v>
      </c>
      <c r="B1079" s="47" t="n">
        <v>15</v>
      </c>
      <c r="C1079" s="48">
        <f>INDEX(Employees!$B$5:$B$29,$A1079)&amp;""</f>
        <v/>
      </c>
      <c r="D1079" s="49">
        <f>INDEX(Periods!$B$5:$B$57,$B1079)</f>
        <v/>
      </c>
      <c r="E1079" s="49">
        <f>INDEX(Periods!$C$5:$C$57,$B1079)</f>
        <v/>
      </c>
      <c r="F1079" s="47">
        <f>IF(AND($C1079&lt;&gt;"",INDEX(Periods!$D$5:$D$57,$B1079)=1),1,0)</f>
        <v/>
      </c>
      <c r="G1079" s="47">
        <f>IF($F1079=0,0,IF(AND(OR(INDEX(Employees!$D$5:$D$29,$A1079)="",$E1079&gt;=INDEX(Employees!$D$5:$D$29,$A1079)+N(INDEX(Employees!$U$5:$U$29,$A1079))),OR(INDEX(Employees!$E$5:$E$29,$A1079)="",$D1079&lt;=INDEX(Employees!$E$5:$E$29,$A1079))),1,0))</f>
        <v/>
      </c>
      <c r="H1079" s="47">
        <f>IF($G1079=0,0,IF(INDEX(Employees!$D$5:$D$29,$A1079)="",0,DATEDIF(INDEX(Employees!$D$5:$D$29,$A1079),$E1079,"y")))</f>
        <v/>
      </c>
      <c r="I1079" s="48">
        <f>IF($G1079=0,0,IF(INDEX('Hours Worked'!$D$5:$BD$29,$A1079,$B1079)="",N(INDEX(Employees!$H$5:$H$29,$A1079)),INDEX('Hours Worked'!$D$5:$BD$29,$A1079,$B1079)))</f>
        <v/>
      </c>
      <c r="J1079" s="48">
        <f>IF(OR($G1079=0,INDEX(Employees!$O$5:$O$29,$A1079)&lt;&gt;"Yes"),0,IF(COUNTIF(Settings!$D$4:$D$9,"&lt;="&amp;$H1079)=0,0,INDEX(Settings!$E$4:$E$9,COUNTIF(Settings!$D$4:$D$9,"&lt;="&amp;$H1079))))</f>
        <v/>
      </c>
      <c r="K1079" s="48">
        <f>IF($G1079=0,0,IF(INDEX(Employees!$I$5:$I$29,$A1079)="Per pay period",(N(INDEX(Employees!$J$5:$J$29,$A1079))+$J1079)/Settings!$B$13,IF(INDEX(Employees!$I$5:$I$29,$A1079)="Per hour worked",N(INDEX(Employees!$K$5:$K$29,$A1079))*$I1079,IF(INDEX(Employees!$I$5:$I$29,$A1079)="Front-loaded",IF(OR($B1079=1,N($G1078)=0),N(INDEX(Employees!$J$5:$J$29,$A1079))+$J1079,0),0))))</f>
        <v/>
      </c>
      <c r="L1079" s="48">
        <f>IF($F1079=0,0,SUMIFS('Time Off Log'!$H$5:$H$504,'Time Off Log'!$A$5:$A$504,$C1079,'Time Off Log'!$B$5:$B$504,"PTO",'Time Off Log'!$E$5:$E$504,"Approved",'Time Off Log'!$C$5:$C$504,"&gt;="&amp;INDEX(Periods!$E$5:$E$57,$B1079),'Time Off Log'!$C$5:$C$504,"&lt;="&amp;INDEX(Periods!$F$5:$F$57,$B1079)))</f>
        <v/>
      </c>
      <c r="M1079" s="48">
        <f>IF($B1079=1,N(INDEX(Employees!$N$5:$N$29,$A1079)),P1078)</f>
        <v/>
      </c>
      <c r="N1079" s="48">
        <f>IF(INDEX(Employees!$L$5:$L$29,$A1079)="",K1079,MAX(0,MIN(K1079,INDEX(Employees!$L$5:$L$29,$A1079)-(M1079-L1079))))</f>
        <v/>
      </c>
      <c r="O1079" s="48">
        <f>K1079-N1079</f>
        <v/>
      </c>
      <c r="P1079" s="48">
        <f>M1079-L1079+N1079</f>
        <v/>
      </c>
      <c r="Q1079" s="48">
        <f>IF($G1079=0,0,IF(INDEX(Employees!$P$5:$P$29,$A1079)="Per pay period",(N(INDEX(Employees!$Q$5:$Q$29,$A1079)))/Settings!$B$13,IF(INDEX(Employees!$P$5:$P$29,$A1079)="Per hour worked",N(INDEX(Employees!$R$5:$R$29,$A1079))*$I1079,IF(INDEX(Employees!$P$5:$P$29,$A1079)="Front-loaded",IF(OR($B1079=1,N($G1078)=0),N(INDEX(Employees!$Q$5:$Q$29,$A1079)),0),0))))</f>
        <v/>
      </c>
      <c r="R1079" s="48">
        <f>IF($F1079=0,0,SUMIFS('Time Off Log'!$H$5:$H$504,'Time Off Log'!$A$5:$A$504,$C1079,'Time Off Log'!$B$5:$B$504,"Sick",'Time Off Log'!$E$5:$E$504,"Approved",'Time Off Log'!$C$5:$C$504,"&gt;="&amp;INDEX(Periods!$E$5:$E$57,$B1079),'Time Off Log'!$C$5:$C$504,"&lt;="&amp;INDEX(Periods!$F$5:$F$57,$B1079)))</f>
        <v/>
      </c>
      <c r="S1079" s="48">
        <f>IF($B1079=1,N(INDEX(Employees!$T$5:$T$29,$A1079)),V1078)</f>
        <v/>
      </c>
      <c r="T1079" s="48">
        <f>IF(INDEX(Employees!$S$5:$S$29,$A1079)="",Q1079,MAX(0,MIN(Q1079,INDEX(Employees!$S$5:$S$29,$A1079)-(S1079-R1079))))</f>
        <v/>
      </c>
      <c r="U1079" s="48">
        <f>Q1079-T1079</f>
        <v/>
      </c>
      <c r="V1079" s="48">
        <f>S1079-R1079+T1079</f>
        <v/>
      </c>
    </row>
    <row r="1080">
      <c r="A1080" s="47" t="n">
        <v>21</v>
      </c>
      <c r="B1080" s="47" t="n">
        <v>16</v>
      </c>
      <c r="C1080" s="48">
        <f>INDEX(Employees!$B$5:$B$29,$A1080)&amp;""</f>
        <v/>
      </c>
      <c r="D1080" s="49">
        <f>INDEX(Periods!$B$5:$B$57,$B1080)</f>
        <v/>
      </c>
      <c r="E1080" s="49">
        <f>INDEX(Periods!$C$5:$C$57,$B1080)</f>
        <v/>
      </c>
      <c r="F1080" s="47">
        <f>IF(AND($C1080&lt;&gt;"",INDEX(Periods!$D$5:$D$57,$B1080)=1),1,0)</f>
        <v/>
      </c>
      <c r="G1080" s="47">
        <f>IF($F1080=0,0,IF(AND(OR(INDEX(Employees!$D$5:$D$29,$A1080)="",$E1080&gt;=INDEX(Employees!$D$5:$D$29,$A1080)+N(INDEX(Employees!$U$5:$U$29,$A1080))),OR(INDEX(Employees!$E$5:$E$29,$A1080)="",$D1080&lt;=INDEX(Employees!$E$5:$E$29,$A1080))),1,0))</f>
        <v/>
      </c>
      <c r="H1080" s="47">
        <f>IF($G1080=0,0,IF(INDEX(Employees!$D$5:$D$29,$A1080)="",0,DATEDIF(INDEX(Employees!$D$5:$D$29,$A1080),$E1080,"y")))</f>
        <v/>
      </c>
      <c r="I1080" s="48">
        <f>IF($G1080=0,0,IF(INDEX('Hours Worked'!$D$5:$BD$29,$A1080,$B1080)="",N(INDEX(Employees!$H$5:$H$29,$A1080)),INDEX('Hours Worked'!$D$5:$BD$29,$A1080,$B1080)))</f>
        <v/>
      </c>
      <c r="J1080" s="48">
        <f>IF(OR($G1080=0,INDEX(Employees!$O$5:$O$29,$A1080)&lt;&gt;"Yes"),0,IF(COUNTIF(Settings!$D$4:$D$9,"&lt;="&amp;$H1080)=0,0,INDEX(Settings!$E$4:$E$9,COUNTIF(Settings!$D$4:$D$9,"&lt;="&amp;$H1080))))</f>
        <v/>
      </c>
      <c r="K1080" s="48">
        <f>IF($G1080=0,0,IF(INDEX(Employees!$I$5:$I$29,$A1080)="Per pay period",(N(INDEX(Employees!$J$5:$J$29,$A1080))+$J1080)/Settings!$B$13,IF(INDEX(Employees!$I$5:$I$29,$A1080)="Per hour worked",N(INDEX(Employees!$K$5:$K$29,$A1080))*$I1080,IF(INDEX(Employees!$I$5:$I$29,$A1080)="Front-loaded",IF(OR($B1080=1,N($G1079)=0),N(INDEX(Employees!$J$5:$J$29,$A1080))+$J1080,0),0))))</f>
        <v/>
      </c>
      <c r="L1080" s="48">
        <f>IF($F1080=0,0,SUMIFS('Time Off Log'!$H$5:$H$504,'Time Off Log'!$A$5:$A$504,$C1080,'Time Off Log'!$B$5:$B$504,"PTO",'Time Off Log'!$E$5:$E$504,"Approved",'Time Off Log'!$C$5:$C$504,"&gt;="&amp;INDEX(Periods!$E$5:$E$57,$B1080),'Time Off Log'!$C$5:$C$504,"&lt;="&amp;INDEX(Periods!$F$5:$F$57,$B1080)))</f>
        <v/>
      </c>
      <c r="M1080" s="48">
        <f>IF($B1080=1,N(INDEX(Employees!$N$5:$N$29,$A1080)),P1079)</f>
        <v/>
      </c>
      <c r="N1080" s="48">
        <f>IF(INDEX(Employees!$L$5:$L$29,$A1080)="",K1080,MAX(0,MIN(K1080,INDEX(Employees!$L$5:$L$29,$A1080)-(M1080-L1080))))</f>
        <v/>
      </c>
      <c r="O1080" s="48">
        <f>K1080-N1080</f>
        <v/>
      </c>
      <c r="P1080" s="48">
        <f>M1080-L1080+N1080</f>
        <v/>
      </c>
      <c r="Q1080" s="48">
        <f>IF($G1080=0,0,IF(INDEX(Employees!$P$5:$P$29,$A1080)="Per pay period",(N(INDEX(Employees!$Q$5:$Q$29,$A1080)))/Settings!$B$13,IF(INDEX(Employees!$P$5:$P$29,$A1080)="Per hour worked",N(INDEX(Employees!$R$5:$R$29,$A1080))*$I1080,IF(INDEX(Employees!$P$5:$P$29,$A1080)="Front-loaded",IF(OR($B1080=1,N($G1079)=0),N(INDEX(Employees!$Q$5:$Q$29,$A1080)),0),0))))</f>
        <v/>
      </c>
      <c r="R1080" s="48">
        <f>IF($F1080=0,0,SUMIFS('Time Off Log'!$H$5:$H$504,'Time Off Log'!$A$5:$A$504,$C1080,'Time Off Log'!$B$5:$B$504,"Sick",'Time Off Log'!$E$5:$E$504,"Approved",'Time Off Log'!$C$5:$C$504,"&gt;="&amp;INDEX(Periods!$E$5:$E$57,$B1080),'Time Off Log'!$C$5:$C$504,"&lt;="&amp;INDEX(Periods!$F$5:$F$57,$B1080)))</f>
        <v/>
      </c>
      <c r="S1080" s="48">
        <f>IF($B1080=1,N(INDEX(Employees!$T$5:$T$29,$A1080)),V1079)</f>
        <v/>
      </c>
      <c r="T1080" s="48">
        <f>IF(INDEX(Employees!$S$5:$S$29,$A1080)="",Q1080,MAX(0,MIN(Q1080,INDEX(Employees!$S$5:$S$29,$A1080)-(S1080-R1080))))</f>
        <v/>
      </c>
      <c r="U1080" s="48">
        <f>Q1080-T1080</f>
        <v/>
      </c>
      <c r="V1080" s="48">
        <f>S1080-R1080+T1080</f>
        <v/>
      </c>
    </row>
    <row r="1081">
      <c r="A1081" s="47" t="n">
        <v>21</v>
      </c>
      <c r="B1081" s="47" t="n">
        <v>17</v>
      </c>
      <c r="C1081" s="48">
        <f>INDEX(Employees!$B$5:$B$29,$A1081)&amp;""</f>
        <v/>
      </c>
      <c r="D1081" s="49">
        <f>INDEX(Periods!$B$5:$B$57,$B1081)</f>
        <v/>
      </c>
      <c r="E1081" s="49">
        <f>INDEX(Periods!$C$5:$C$57,$B1081)</f>
        <v/>
      </c>
      <c r="F1081" s="47">
        <f>IF(AND($C1081&lt;&gt;"",INDEX(Periods!$D$5:$D$57,$B1081)=1),1,0)</f>
        <v/>
      </c>
      <c r="G1081" s="47">
        <f>IF($F1081=0,0,IF(AND(OR(INDEX(Employees!$D$5:$D$29,$A1081)="",$E1081&gt;=INDEX(Employees!$D$5:$D$29,$A1081)+N(INDEX(Employees!$U$5:$U$29,$A1081))),OR(INDEX(Employees!$E$5:$E$29,$A1081)="",$D1081&lt;=INDEX(Employees!$E$5:$E$29,$A1081))),1,0))</f>
        <v/>
      </c>
      <c r="H1081" s="47">
        <f>IF($G1081=0,0,IF(INDEX(Employees!$D$5:$D$29,$A1081)="",0,DATEDIF(INDEX(Employees!$D$5:$D$29,$A1081),$E1081,"y")))</f>
        <v/>
      </c>
      <c r="I1081" s="48">
        <f>IF($G1081=0,0,IF(INDEX('Hours Worked'!$D$5:$BD$29,$A1081,$B1081)="",N(INDEX(Employees!$H$5:$H$29,$A1081)),INDEX('Hours Worked'!$D$5:$BD$29,$A1081,$B1081)))</f>
        <v/>
      </c>
      <c r="J1081" s="48">
        <f>IF(OR($G1081=0,INDEX(Employees!$O$5:$O$29,$A1081)&lt;&gt;"Yes"),0,IF(COUNTIF(Settings!$D$4:$D$9,"&lt;="&amp;$H1081)=0,0,INDEX(Settings!$E$4:$E$9,COUNTIF(Settings!$D$4:$D$9,"&lt;="&amp;$H1081))))</f>
        <v/>
      </c>
      <c r="K1081" s="48">
        <f>IF($G1081=0,0,IF(INDEX(Employees!$I$5:$I$29,$A1081)="Per pay period",(N(INDEX(Employees!$J$5:$J$29,$A1081))+$J1081)/Settings!$B$13,IF(INDEX(Employees!$I$5:$I$29,$A1081)="Per hour worked",N(INDEX(Employees!$K$5:$K$29,$A1081))*$I1081,IF(INDEX(Employees!$I$5:$I$29,$A1081)="Front-loaded",IF(OR($B1081=1,N($G1080)=0),N(INDEX(Employees!$J$5:$J$29,$A1081))+$J1081,0),0))))</f>
        <v/>
      </c>
      <c r="L1081" s="48">
        <f>IF($F1081=0,0,SUMIFS('Time Off Log'!$H$5:$H$504,'Time Off Log'!$A$5:$A$504,$C1081,'Time Off Log'!$B$5:$B$504,"PTO",'Time Off Log'!$E$5:$E$504,"Approved",'Time Off Log'!$C$5:$C$504,"&gt;="&amp;INDEX(Periods!$E$5:$E$57,$B1081),'Time Off Log'!$C$5:$C$504,"&lt;="&amp;INDEX(Periods!$F$5:$F$57,$B1081)))</f>
        <v/>
      </c>
      <c r="M1081" s="48">
        <f>IF($B1081=1,N(INDEX(Employees!$N$5:$N$29,$A1081)),P1080)</f>
        <v/>
      </c>
      <c r="N1081" s="48">
        <f>IF(INDEX(Employees!$L$5:$L$29,$A1081)="",K1081,MAX(0,MIN(K1081,INDEX(Employees!$L$5:$L$29,$A1081)-(M1081-L1081))))</f>
        <v/>
      </c>
      <c r="O1081" s="48">
        <f>K1081-N1081</f>
        <v/>
      </c>
      <c r="P1081" s="48">
        <f>M1081-L1081+N1081</f>
        <v/>
      </c>
      <c r="Q1081" s="48">
        <f>IF($G1081=0,0,IF(INDEX(Employees!$P$5:$P$29,$A1081)="Per pay period",(N(INDEX(Employees!$Q$5:$Q$29,$A1081)))/Settings!$B$13,IF(INDEX(Employees!$P$5:$P$29,$A1081)="Per hour worked",N(INDEX(Employees!$R$5:$R$29,$A1081))*$I1081,IF(INDEX(Employees!$P$5:$P$29,$A1081)="Front-loaded",IF(OR($B1081=1,N($G1080)=0),N(INDEX(Employees!$Q$5:$Q$29,$A1081)),0),0))))</f>
        <v/>
      </c>
      <c r="R1081" s="48">
        <f>IF($F1081=0,0,SUMIFS('Time Off Log'!$H$5:$H$504,'Time Off Log'!$A$5:$A$504,$C1081,'Time Off Log'!$B$5:$B$504,"Sick",'Time Off Log'!$E$5:$E$504,"Approved",'Time Off Log'!$C$5:$C$504,"&gt;="&amp;INDEX(Periods!$E$5:$E$57,$B1081),'Time Off Log'!$C$5:$C$504,"&lt;="&amp;INDEX(Periods!$F$5:$F$57,$B1081)))</f>
        <v/>
      </c>
      <c r="S1081" s="48">
        <f>IF($B1081=1,N(INDEX(Employees!$T$5:$T$29,$A1081)),V1080)</f>
        <v/>
      </c>
      <c r="T1081" s="48">
        <f>IF(INDEX(Employees!$S$5:$S$29,$A1081)="",Q1081,MAX(0,MIN(Q1081,INDEX(Employees!$S$5:$S$29,$A1081)-(S1081-R1081))))</f>
        <v/>
      </c>
      <c r="U1081" s="48">
        <f>Q1081-T1081</f>
        <v/>
      </c>
      <c r="V1081" s="48">
        <f>S1081-R1081+T1081</f>
        <v/>
      </c>
    </row>
    <row r="1082">
      <c r="A1082" s="47" t="n">
        <v>21</v>
      </c>
      <c r="B1082" s="47" t="n">
        <v>18</v>
      </c>
      <c r="C1082" s="48">
        <f>INDEX(Employees!$B$5:$B$29,$A1082)&amp;""</f>
        <v/>
      </c>
      <c r="D1082" s="49">
        <f>INDEX(Periods!$B$5:$B$57,$B1082)</f>
        <v/>
      </c>
      <c r="E1082" s="49">
        <f>INDEX(Periods!$C$5:$C$57,$B1082)</f>
        <v/>
      </c>
      <c r="F1082" s="47">
        <f>IF(AND($C1082&lt;&gt;"",INDEX(Periods!$D$5:$D$57,$B1082)=1),1,0)</f>
        <v/>
      </c>
      <c r="G1082" s="47">
        <f>IF($F1082=0,0,IF(AND(OR(INDEX(Employees!$D$5:$D$29,$A1082)="",$E1082&gt;=INDEX(Employees!$D$5:$D$29,$A1082)+N(INDEX(Employees!$U$5:$U$29,$A1082))),OR(INDEX(Employees!$E$5:$E$29,$A1082)="",$D1082&lt;=INDEX(Employees!$E$5:$E$29,$A1082))),1,0))</f>
        <v/>
      </c>
      <c r="H1082" s="47">
        <f>IF($G1082=0,0,IF(INDEX(Employees!$D$5:$D$29,$A1082)="",0,DATEDIF(INDEX(Employees!$D$5:$D$29,$A1082),$E1082,"y")))</f>
        <v/>
      </c>
      <c r="I1082" s="48">
        <f>IF($G1082=0,0,IF(INDEX('Hours Worked'!$D$5:$BD$29,$A1082,$B1082)="",N(INDEX(Employees!$H$5:$H$29,$A1082)),INDEX('Hours Worked'!$D$5:$BD$29,$A1082,$B1082)))</f>
        <v/>
      </c>
      <c r="J1082" s="48">
        <f>IF(OR($G1082=0,INDEX(Employees!$O$5:$O$29,$A1082)&lt;&gt;"Yes"),0,IF(COUNTIF(Settings!$D$4:$D$9,"&lt;="&amp;$H1082)=0,0,INDEX(Settings!$E$4:$E$9,COUNTIF(Settings!$D$4:$D$9,"&lt;="&amp;$H1082))))</f>
        <v/>
      </c>
      <c r="K1082" s="48">
        <f>IF($G1082=0,0,IF(INDEX(Employees!$I$5:$I$29,$A1082)="Per pay period",(N(INDEX(Employees!$J$5:$J$29,$A1082))+$J1082)/Settings!$B$13,IF(INDEX(Employees!$I$5:$I$29,$A1082)="Per hour worked",N(INDEX(Employees!$K$5:$K$29,$A1082))*$I1082,IF(INDEX(Employees!$I$5:$I$29,$A1082)="Front-loaded",IF(OR($B1082=1,N($G1081)=0),N(INDEX(Employees!$J$5:$J$29,$A1082))+$J1082,0),0))))</f>
        <v/>
      </c>
      <c r="L1082" s="48">
        <f>IF($F1082=0,0,SUMIFS('Time Off Log'!$H$5:$H$504,'Time Off Log'!$A$5:$A$504,$C1082,'Time Off Log'!$B$5:$B$504,"PTO",'Time Off Log'!$E$5:$E$504,"Approved",'Time Off Log'!$C$5:$C$504,"&gt;="&amp;INDEX(Periods!$E$5:$E$57,$B1082),'Time Off Log'!$C$5:$C$504,"&lt;="&amp;INDEX(Periods!$F$5:$F$57,$B1082)))</f>
        <v/>
      </c>
      <c r="M1082" s="48">
        <f>IF($B1082=1,N(INDEX(Employees!$N$5:$N$29,$A1082)),P1081)</f>
        <v/>
      </c>
      <c r="N1082" s="48">
        <f>IF(INDEX(Employees!$L$5:$L$29,$A1082)="",K1082,MAX(0,MIN(K1082,INDEX(Employees!$L$5:$L$29,$A1082)-(M1082-L1082))))</f>
        <v/>
      </c>
      <c r="O1082" s="48">
        <f>K1082-N1082</f>
        <v/>
      </c>
      <c r="P1082" s="48">
        <f>M1082-L1082+N1082</f>
        <v/>
      </c>
      <c r="Q1082" s="48">
        <f>IF($G1082=0,0,IF(INDEX(Employees!$P$5:$P$29,$A1082)="Per pay period",(N(INDEX(Employees!$Q$5:$Q$29,$A1082)))/Settings!$B$13,IF(INDEX(Employees!$P$5:$P$29,$A1082)="Per hour worked",N(INDEX(Employees!$R$5:$R$29,$A1082))*$I1082,IF(INDEX(Employees!$P$5:$P$29,$A1082)="Front-loaded",IF(OR($B1082=1,N($G1081)=0),N(INDEX(Employees!$Q$5:$Q$29,$A1082)),0),0))))</f>
        <v/>
      </c>
      <c r="R1082" s="48">
        <f>IF($F1082=0,0,SUMIFS('Time Off Log'!$H$5:$H$504,'Time Off Log'!$A$5:$A$504,$C1082,'Time Off Log'!$B$5:$B$504,"Sick",'Time Off Log'!$E$5:$E$504,"Approved",'Time Off Log'!$C$5:$C$504,"&gt;="&amp;INDEX(Periods!$E$5:$E$57,$B1082),'Time Off Log'!$C$5:$C$504,"&lt;="&amp;INDEX(Periods!$F$5:$F$57,$B1082)))</f>
        <v/>
      </c>
      <c r="S1082" s="48">
        <f>IF($B1082=1,N(INDEX(Employees!$T$5:$T$29,$A1082)),V1081)</f>
        <v/>
      </c>
      <c r="T1082" s="48">
        <f>IF(INDEX(Employees!$S$5:$S$29,$A1082)="",Q1082,MAX(0,MIN(Q1082,INDEX(Employees!$S$5:$S$29,$A1082)-(S1082-R1082))))</f>
        <v/>
      </c>
      <c r="U1082" s="48">
        <f>Q1082-T1082</f>
        <v/>
      </c>
      <c r="V1082" s="48">
        <f>S1082-R1082+T1082</f>
        <v/>
      </c>
    </row>
    <row r="1083">
      <c r="A1083" s="47" t="n">
        <v>21</v>
      </c>
      <c r="B1083" s="47" t="n">
        <v>19</v>
      </c>
      <c r="C1083" s="48">
        <f>INDEX(Employees!$B$5:$B$29,$A1083)&amp;""</f>
        <v/>
      </c>
      <c r="D1083" s="49">
        <f>INDEX(Periods!$B$5:$B$57,$B1083)</f>
        <v/>
      </c>
      <c r="E1083" s="49">
        <f>INDEX(Periods!$C$5:$C$57,$B1083)</f>
        <v/>
      </c>
      <c r="F1083" s="47">
        <f>IF(AND($C1083&lt;&gt;"",INDEX(Periods!$D$5:$D$57,$B1083)=1),1,0)</f>
        <v/>
      </c>
      <c r="G1083" s="47">
        <f>IF($F1083=0,0,IF(AND(OR(INDEX(Employees!$D$5:$D$29,$A1083)="",$E1083&gt;=INDEX(Employees!$D$5:$D$29,$A1083)+N(INDEX(Employees!$U$5:$U$29,$A1083))),OR(INDEX(Employees!$E$5:$E$29,$A1083)="",$D1083&lt;=INDEX(Employees!$E$5:$E$29,$A1083))),1,0))</f>
        <v/>
      </c>
      <c r="H1083" s="47">
        <f>IF($G1083=0,0,IF(INDEX(Employees!$D$5:$D$29,$A1083)="",0,DATEDIF(INDEX(Employees!$D$5:$D$29,$A1083),$E1083,"y")))</f>
        <v/>
      </c>
      <c r="I1083" s="48">
        <f>IF($G1083=0,0,IF(INDEX('Hours Worked'!$D$5:$BD$29,$A1083,$B1083)="",N(INDEX(Employees!$H$5:$H$29,$A1083)),INDEX('Hours Worked'!$D$5:$BD$29,$A1083,$B1083)))</f>
        <v/>
      </c>
      <c r="J1083" s="48">
        <f>IF(OR($G1083=0,INDEX(Employees!$O$5:$O$29,$A1083)&lt;&gt;"Yes"),0,IF(COUNTIF(Settings!$D$4:$D$9,"&lt;="&amp;$H1083)=0,0,INDEX(Settings!$E$4:$E$9,COUNTIF(Settings!$D$4:$D$9,"&lt;="&amp;$H1083))))</f>
        <v/>
      </c>
      <c r="K1083" s="48">
        <f>IF($G1083=0,0,IF(INDEX(Employees!$I$5:$I$29,$A1083)="Per pay period",(N(INDEX(Employees!$J$5:$J$29,$A1083))+$J1083)/Settings!$B$13,IF(INDEX(Employees!$I$5:$I$29,$A1083)="Per hour worked",N(INDEX(Employees!$K$5:$K$29,$A1083))*$I1083,IF(INDEX(Employees!$I$5:$I$29,$A1083)="Front-loaded",IF(OR($B1083=1,N($G1082)=0),N(INDEX(Employees!$J$5:$J$29,$A1083))+$J1083,0),0))))</f>
        <v/>
      </c>
      <c r="L1083" s="48">
        <f>IF($F1083=0,0,SUMIFS('Time Off Log'!$H$5:$H$504,'Time Off Log'!$A$5:$A$504,$C1083,'Time Off Log'!$B$5:$B$504,"PTO",'Time Off Log'!$E$5:$E$504,"Approved",'Time Off Log'!$C$5:$C$504,"&gt;="&amp;INDEX(Periods!$E$5:$E$57,$B1083),'Time Off Log'!$C$5:$C$504,"&lt;="&amp;INDEX(Periods!$F$5:$F$57,$B1083)))</f>
        <v/>
      </c>
      <c r="M1083" s="48">
        <f>IF($B1083=1,N(INDEX(Employees!$N$5:$N$29,$A1083)),P1082)</f>
        <v/>
      </c>
      <c r="N1083" s="48">
        <f>IF(INDEX(Employees!$L$5:$L$29,$A1083)="",K1083,MAX(0,MIN(K1083,INDEX(Employees!$L$5:$L$29,$A1083)-(M1083-L1083))))</f>
        <v/>
      </c>
      <c r="O1083" s="48">
        <f>K1083-N1083</f>
        <v/>
      </c>
      <c r="P1083" s="48">
        <f>M1083-L1083+N1083</f>
        <v/>
      </c>
      <c r="Q1083" s="48">
        <f>IF($G1083=0,0,IF(INDEX(Employees!$P$5:$P$29,$A1083)="Per pay period",(N(INDEX(Employees!$Q$5:$Q$29,$A1083)))/Settings!$B$13,IF(INDEX(Employees!$P$5:$P$29,$A1083)="Per hour worked",N(INDEX(Employees!$R$5:$R$29,$A1083))*$I1083,IF(INDEX(Employees!$P$5:$P$29,$A1083)="Front-loaded",IF(OR($B1083=1,N($G1082)=0),N(INDEX(Employees!$Q$5:$Q$29,$A1083)),0),0))))</f>
        <v/>
      </c>
      <c r="R1083" s="48">
        <f>IF($F1083=0,0,SUMIFS('Time Off Log'!$H$5:$H$504,'Time Off Log'!$A$5:$A$504,$C1083,'Time Off Log'!$B$5:$B$504,"Sick",'Time Off Log'!$E$5:$E$504,"Approved",'Time Off Log'!$C$5:$C$504,"&gt;="&amp;INDEX(Periods!$E$5:$E$57,$B1083),'Time Off Log'!$C$5:$C$504,"&lt;="&amp;INDEX(Periods!$F$5:$F$57,$B1083)))</f>
        <v/>
      </c>
      <c r="S1083" s="48">
        <f>IF($B1083=1,N(INDEX(Employees!$T$5:$T$29,$A1083)),V1082)</f>
        <v/>
      </c>
      <c r="T1083" s="48">
        <f>IF(INDEX(Employees!$S$5:$S$29,$A1083)="",Q1083,MAX(0,MIN(Q1083,INDEX(Employees!$S$5:$S$29,$A1083)-(S1083-R1083))))</f>
        <v/>
      </c>
      <c r="U1083" s="48">
        <f>Q1083-T1083</f>
        <v/>
      </c>
      <c r="V1083" s="48">
        <f>S1083-R1083+T1083</f>
        <v/>
      </c>
    </row>
    <row r="1084">
      <c r="A1084" s="47" t="n">
        <v>21</v>
      </c>
      <c r="B1084" s="47" t="n">
        <v>20</v>
      </c>
      <c r="C1084" s="48">
        <f>INDEX(Employees!$B$5:$B$29,$A1084)&amp;""</f>
        <v/>
      </c>
      <c r="D1084" s="49">
        <f>INDEX(Periods!$B$5:$B$57,$B1084)</f>
        <v/>
      </c>
      <c r="E1084" s="49">
        <f>INDEX(Periods!$C$5:$C$57,$B1084)</f>
        <v/>
      </c>
      <c r="F1084" s="47">
        <f>IF(AND($C1084&lt;&gt;"",INDEX(Periods!$D$5:$D$57,$B1084)=1),1,0)</f>
        <v/>
      </c>
      <c r="G1084" s="47">
        <f>IF($F1084=0,0,IF(AND(OR(INDEX(Employees!$D$5:$D$29,$A1084)="",$E1084&gt;=INDEX(Employees!$D$5:$D$29,$A1084)+N(INDEX(Employees!$U$5:$U$29,$A1084))),OR(INDEX(Employees!$E$5:$E$29,$A1084)="",$D1084&lt;=INDEX(Employees!$E$5:$E$29,$A1084))),1,0))</f>
        <v/>
      </c>
      <c r="H1084" s="47">
        <f>IF($G1084=0,0,IF(INDEX(Employees!$D$5:$D$29,$A1084)="",0,DATEDIF(INDEX(Employees!$D$5:$D$29,$A1084),$E1084,"y")))</f>
        <v/>
      </c>
      <c r="I1084" s="48">
        <f>IF($G1084=0,0,IF(INDEX('Hours Worked'!$D$5:$BD$29,$A1084,$B1084)="",N(INDEX(Employees!$H$5:$H$29,$A1084)),INDEX('Hours Worked'!$D$5:$BD$29,$A1084,$B1084)))</f>
        <v/>
      </c>
      <c r="J1084" s="48">
        <f>IF(OR($G1084=0,INDEX(Employees!$O$5:$O$29,$A1084)&lt;&gt;"Yes"),0,IF(COUNTIF(Settings!$D$4:$D$9,"&lt;="&amp;$H1084)=0,0,INDEX(Settings!$E$4:$E$9,COUNTIF(Settings!$D$4:$D$9,"&lt;="&amp;$H1084))))</f>
        <v/>
      </c>
      <c r="K1084" s="48">
        <f>IF($G1084=0,0,IF(INDEX(Employees!$I$5:$I$29,$A1084)="Per pay period",(N(INDEX(Employees!$J$5:$J$29,$A1084))+$J1084)/Settings!$B$13,IF(INDEX(Employees!$I$5:$I$29,$A1084)="Per hour worked",N(INDEX(Employees!$K$5:$K$29,$A1084))*$I1084,IF(INDEX(Employees!$I$5:$I$29,$A1084)="Front-loaded",IF(OR($B1084=1,N($G1083)=0),N(INDEX(Employees!$J$5:$J$29,$A1084))+$J1084,0),0))))</f>
        <v/>
      </c>
      <c r="L1084" s="48">
        <f>IF($F1084=0,0,SUMIFS('Time Off Log'!$H$5:$H$504,'Time Off Log'!$A$5:$A$504,$C1084,'Time Off Log'!$B$5:$B$504,"PTO",'Time Off Log'!$E$5:$E$504,"Approved",'Time Off Log'!$C$5:$C$504,"&gt;="&amp;INDEX(Periods!$E$5:$E$57,$B1084),'Time Off Log'!$C$5:$C$504,"&lt;="&amp;INDEX(Periods!$F$5:$F$57,$B1084)))</f>
        <v/>
      </c>
      <c r="M1084" s="48">
        <f>IF($B1084=1,N(INDEX(Employees!$N$5:$N$29,$A1084)),P1083)</f>
        <v/>
      </c>
      <c r="N1084" s="48">
        <f>IF(INDEX(Employees!$L$5:$L$29,$A1084)="",K1084,MAX(0,MIN(K1084,INDEX(Employees!$L$5:$L$29,$A1084)-(M1084-L1084))))</f>
        <v/>
      </c>
      <c r="O1084" s="48">
        <f>K1084-N1084</f>
        <v/>
      </c>
      <c r="P1084" s="48">
        <f>M1084-L1084+N1084</f>
        <v/>
      </c>
      <c r="Q1084" s="48">
        <f>IF($G1084=0,0,IF(INDEX(Employees!$P$5:$P$29,$A1084)="Per pay period",(N(INDEX(Employees!$Q$5:$Q$29,$A1084)))/Settings!$B$13,IF(INDEX(Employees!$P$5:$P$29,$A1084)="Per hour worked",N(INDEX(Employees!$R$5:$R$29,$A1084))*$I1084,IF(INDEX(Employees!$P$5:$P$29,$A1084)="Front-loaded",IF(OR($B1084=1,N($G1083)=0),N(INDEX(Employees!$Q$5:$Q$29,$A1084)),0),0))))</f>
        <v/>
      </c>
      <c r="R1084" s="48">
        <f>IF($F1084=0,0,SUMIFS('Time Off Log'!$H$5:$H$504,'Time Off Log'!$A$5:$A$504,$C1084,'Time Off Log'!$B$5:$B$504,"Sick",'Time Off Log'!$E$5:$E$504,"Approved",'Time Off Log'!$C$5:$C$504,"&gt;="&amp;INDEX(Periods!$E$5:$E$57,$B1084),'Time Off Log'!$C$5:$C$504,"&lt;="&amp;INDEX(Periods!$F$5:$F$57,$B1084)))</f>
        <v/>
      </c>
      <c r="S1084" s="48">
        <f>IF($B1084=1,N(INDEX(Employees!$T$5:$T$29,$A1084)),V1083)</f>
        <v/>
      </c>
      <c r="T1084" s="48">
        <f>IF(INDEX(Employees!$S$5:$S$29,$A1084)="",Q1084,MAX(0,MIN(Q1084,INDEX(Employees!$S$5:$S$29,$A1084)-(S1084-R1084))))</f>
        <v/>
      </c>
      <c r="U1084" s="48">
        <f>Q1084-T1084</f>
        <v/>
      </c>
      <c r="V1084" s="48">
        <f>S1084-R1084+T1084</f>
        <v/>
      </c>
    </row>
    <row r="1085">
      <c r="A1085" s="47" t="n">
        <v>21</v>
      </c>
      <c r="B1085" s="47" t="n">
        <v>21</v>
      </c>
      <c r="C1085" s="48">
        <f>INDEX(Employees!$B$5:$B$29,$A1085)&amp;""</f>
        <v/>
      </c>
      <c r="D1085" s="49">
        <f>INDEX(Periods!$B$5:$B$57,$B1085)</f>
        <v/>
      </c>
      <c r="E1085" s="49">
        <f>INDEX(Periods!$C$5:$C$57,$B1085)</f>
        <v/>
      </c>
      <c r="F1085" s="47">
        <f>IF(AND($C1085&lt;&gt;"",INDEX(Periods!$D$5:$D$57,$B1085)=1),1,0)</f>
        <v/>
      </c>
      <c r="G1085" s="47">
        <f>IF($F1085=0,0,IF(AND(OR(INDEX(Employees!$D$5:$D$29,$A1085)="",$E1085&gt;=INDEX(Employees!$D$5:$D$29,$A1085)+N(INDEX(Employees!$U$5:$U$29,$A1085))),OR(INDEX(Employees!$E$5:$E$29,$A1085)="",$D1085&lt;=INDEX(Employees!$E$5:$E$29,$A1085))),1,0))</f>
        <v/>
      </c>
      <c r="H1085" s="47">
        <f>IF($G1085=0,0,IF(INDEX(Employees!$D$5:$D$29,$A1085)="",0,DATEDIF(INDEX(Employees!$D$5:$D$29,$A1085),$E1085,"y")))</f>
        <v/>
      </c>
      <c r="I1085" s="48">
        <f>IF($G1085=0,0,IF(INDEX('Hours Worked'!$D$5:$BD$29,$A1085,$B1085)="",N(INDEX(Employees!$H$5:$H$29,$A1085)),INDEX('Hours Worked'!$D$5:$BD$29,$A1085,$B1085)))</f>
        <v/>
      </c>
      <c r="J1085" s="48">
        <f>IF(OR($G1085=0,INDEX(Employees!$O$5:$O$29,$A1085)&lt;&gt;"Yes"),0,IF(COUNTIF(Settings!$D$4:$D$9,"&lt;="&amp;$H1085)=0,0,INDEX(Settings!$E$4:$E$9,COUNTIF(Settings!$D$4:$D$9,"&lt;="&amp;$H1085))))</f>
        <v/>
      </c>
      <c r="K1085" s="48">
        <f>IF($G1085=0,0,IF(INDEX(Employees!$I$5:$I$29,$A1085)="Per pay period",(N(INDEX(Employees!$J$5:$J$29,$A1085))+$J1085)/Settings!$B$13,IF(INDEX(Employees!$I$5:$I$29,$A1085)="Per hour worked",N(INDEX(Employees!$K$5:$K$29,$A1085))*$I1085,IF(INDEX(Employees!$I$5:$I$29,$A1085)="Front-loaded",IF(OR($B1085=1,N($G1084)=0),N(INDEX(Employees!$J$5:$J$29,$A1085))+$J1085,0),0))))</f>
        <v/>
      </c>
      <c r="L1085" s="48">
        <f>IF($F1085=0,0,SUMIFS('Time Off Log'!$H$5:$H$504,'Time Off Log'!$A$5:$A$504,$C1085,'Time Off Log'!$B$5:$B$504,"PTO",'Time Off Log'!$E$5:$E$504,"Approved",'Time Off Log'!$C$5:$C$504,"&gt;="&amp;INDEX(Periods!$E$5:$E$57,$B1085),'Time Off Log'!$C$5:$C$504,"&lt;="&amp;INDEX(Periods!$F$5:$F$57,$B1085)))</f>
        <v/>
      </c>
      <c r="M1085" s="48">
        <f>IF($B1085=1,N(INDEX(Employees!$N$5:$N$29,$A1085)),P1084)</f>
        <v/>
      </c>
      <c r="N1085" s="48">
        <f>IF(INDEX(Employees!$L$5:$L$29,$A1085)="",K1085,MAX(0,MIN(K1085,INDEX(Employees!$L$5:$L$29,$A1085)-(M1085-L1085))))</f>
        <v/>
      </c>
      <c r="O1085" s="48">
        <f>K1085-N1085</f>
        <v/>
      </c>
      <c r="P1085" s="48">
        <f>M1085-L1085+N1085</f>
        <v/>
      </c>
      <c r="Q1085" s="48">
        <f>IF($G1085=0,0,IF(INDEX(Employees!$P$5:$P$29,$A1085)="Per pay period",(N(INDEX(Employees!$Q$5:$Q$29,$A1085)))/Settings!$B$13,IF(INDEX(Employees!$P$5:$P$29,$A1085)="Per hour worked",N(INDEX(Employees!$R$5:$R$29,$A1085))*$I1085,IF(INDEX(Employees!$P$5:$P$29,$A1085)="Front-loaded",IF(OR($B1085=1,N($G1084)=0),N(INDEX(Employees!$Q$5:$Q$29,$A1085)),0),0))))</f>
        <v/>
      </c>
      <c r="R1085" s="48">
        <f>IF($F1085=0,0,SUMIFS('Time Off Log'!$H$5:$H$504,'Time Off Log'!$A$5:$A$504,$C1085,'Time Off Log'!$B$5:$B$504,"Sick",'Time Off Log'!$E$5:$E$504,"Approved",'Time Off Log'!$C$5:$C$504,"&gt;="&amp;INDEX(Periods!$E$5:$E$57,$B1085),'Time Off Log'!$C$5:$C$504,"&lt;="&amp;INDEX(Periods!$F$5:$F$57,$B1085)))</f>
        <v/>
      </c>
      <c r="S1085" s="48">
        <f>IF($B1085=1,N(INDEX(Employees!$T$5:$T$29,$A1085)),V1084)</f>
        <v/>
      </c>
      <c r="T1085" s="48">
        <f>IF(INDEX(Employees!$S$5:$S$29,$A1085)="",Q1085,MAX(0,MIN(Q1085,INDEX(Employees!$S$5:$S$29,$A1085)-(S1085-R1085))))</f>
        <v/>
      </c>
      <c r="U1085" s="48">
        <f>Q1085-T1085</f>
        <v/>
      </c>
      <c r="V1085" s="48">
        <f>S1085-R1085+T1085</f>
        <v/>
      </c>
    </row>
    <row r="1086">
      <c r="A1086" s="47" t="n">
        <v>21</v>
      </c>
      <c r="B1086" s="47" t="n">
        <v>22</v>
      </c>
      <c r="C1086" s="48">
        <f>INDEX(Employees!$B$5:$B$29,$A1086)&amp;""</f>
        <v/>
      </c>
      <c r="D1086" s="49">
        <f>INDEX(Periods!$B$5:$B$57,$B1086)</f>
        <v/>
      </c>
      <c r="E1086" s="49">
        <f>INDEX(Periods!$C$5:$C$57,$B1086)</f>
        <v/>
      </c>
      <c r="F1086" s="47">
        <f>IF(AND($C1086&lt;&gt;"",INDEX(Periods!$D$5:$D$57,$B1086)=1),1,0)</f>
        <v/>
      </c>
      <c r="G1086" s="47">
        <f>IF($F1086=0,0,IF(AND(OR(INDEX(Employees!$D$5:$D$29,$A1086)="",$E1086&gt;=INDEX(Employees!$D$5:$D$29,$A1086)+N(INDEX(Employees!$U$5:$U$29,$A1086))),OR(INDEX(Employees!$E$5:$E$29,$A1086)="",$D1086&lt;=INDEX(Employees!$E$5:$E$29,$A1086))),1,0))</f>
        <v/>
      </c>
      <c r="H1086" s="47">
        <f>IF($G1086=0,0,IF(INDEX(Employees!$D$5:$D$29,$A1086)="",0,DATEDIF(INDEX(Employees!$D$5:$D$29,$A1086),$E1086,"y")))</f>
        <v/>
      </c>
      <c r="I1086" s="48">
        <f>IF($G1086=0,0,IF(INDEX('Hours Worked'!$D$5:$BD$29,$A1086,$B1086)="",N(INDEX(Employees!$H$5:$H$29,$A1086)),INDEX('Hours Worked'!$D$5:$BD$29,$A1086,$B1086)))</f>
        <v/>
      </c>
      <c r="J1086" s="48">
        <f>IF(OR($G1086=0,INDEX(Employees!$O$5:$O$29,$A1086)&lt;&gt;"Yes"),0,IF(COUNTIF(Settings!$D$4:$D$9,"&lt;="&amp;$H1086)=0,0,INDEX(Settings!$E$4:$E$9,COUNTIF(Settings!$D$4:$D$9,"&lt;="&amp;$H1086))))</f>
        <v/>
      </c>
      <c r="K1086" s="48">
        <f>IF($G1086=0,0,IF(INDEX(Employees!$I$5:$I$29,$A1086)="Per pay period",(N(INDEX(Employees!$J$5:$J$29,$A1086))+$J1086)/Settings!$B$13,IF(INDEX(Employees!$I$5:$I$29,$A1086)="Per hour worked",N(INDEX(Employees!$K$5:$K$29,$A1086))*$I1086,IF(INDEX(Employees!$I$5:$I$29,$A1086)="Front-loaded",IF(OR($B1086=1,N($G1085)=0),N(INDEX(Employees!$J$5:$J$29,$A1086))+$J1086,0),0))))</f>
        <v/>
      </c>
      <c r="L1086" s="48">
        <f>IF($F1086=0,0,SUMIFS('Time Off Log'!$H$5:$H$504,'Time Off Log'!$A$5:$A$504,$C1086,'Time Off Log'!$B$5:$B$504,"PTO",'Time Off Log'!$E$5:$E$504,"Approved",'Time Off Log'!$C$5:$C$504,"&gt;="&amp;INDEX(Periods!$E$5:$E$57,$B1086),'Time Off Log'!$C$5:$C$504,"&lt;="&amp;INDEX(Periods!$F$5:$F$57,$B1086)))</f>
        <v/>
      </c>
      <c r="M1086" s="48">
        <f>IF($B1086=1,N(INDEX(Employees!$N$5:$N$29,$A1086)),P1085)</f>
        <v/>
      </c>
      <c r="N1086" s="48">
        <f>IF(INDEX(Employees!$L$5:$L$29,$A1086)="",K1086,MAX(0,MIN(K1086,INDEX(Employees!$L$5:$L$29,$A1086)-(M1086-L1086))))</f>
        <v/>
      </c>
      <c r="O1086" s="48">
        <f>K1086-N1086</f>
        <v/>
      </c>
      <c r="P1086" s="48">
        <f>M1086-L1086+N1086</f>
        <v/>
      </c>
      <c r="Q1086" s="48">
        <f>IF($G1086=0,0,IF(INDEX(Employees!$P$5:$P$29,$A1086)="Per pay period",(N(INDEX(Employees!$Q$5:$Q$29,$A1086)))/Settings!$B$13,IF(INDEX(Employees!$P$5:$P$29,$A1086)="Per hour worked",N(INDEX(Employees!$R$5:$R$29,$A1086))*$I1086,IF(INDEX(Employees!$P$5:$P$29,$A1086)="Front-loaded",IF(OR($B1086=1,N($G1085)=0),N(INDEX(Employees!$Q$5:$Q$29,$A1086)),0),0))))</f>
        <v/>
      </c>
      <c r="R1086" s="48">
        <f>IF($F1086=0,0,SUMIFS('Time Off Log'!$H$5:$H$504,'Time Off Log'!$A$5:$A$504,$C1086,'Time Off Log'!$B$5:$B$504,"Sick",'Time Off Log'!$E$5:$E$504,"Approved",'Time Off Log'!$C$5:$C$504,"&gt;="&amp;INDEX(Periods!$E$5:$E$57,$B1086),'Time Off Log'!$C$5:$C$504,"&lt;="&amp;INDEX(Periods!$F$5:$F$57,$B1086)))</f>
        <v/>
      </c>
      <c r="S1086" s="48">
        <f>IF($B1086=1,N(INDEX(Employees!$T$5:$T$29,$A1086)),V1085)</f>
        <v/>
      </c>
      <c r="T1086" s="48">
        <f>IF(INDEX(Employees!$S$5:$S$29,$A1086)="",Q1086,MAX(0,MIN(Q1086,INDEX(Employees!$S$5:$S$29,$A1086)-(S1086-R1086))))</f>
        <v/>
      </c>
      <c r="U1086" s="48">
        <f>Q1086-T1086</f>
        <v/>
      </c>
      <c r="V1086" s="48">
        <f>S1086-R1086+T1086</f>
        <v/>
      </c>
    </row>
    <row r="1087">
      <c r="A1087" s="47" t="n">
        <v>21</v>
      </c>
      <c r="B1087" s="47" t="n">
        <v>23</v>
      </c>
      <c r="C1087" s="48">
        <f>INDEX(Employees!$B$5:$B$29,$A1087)&amp;""</f>
        <v/>
      </c>
      <c r="D1087" s="49">
        <f>INDEX(Periods!$B$5:$B$57,$B1087)</f>
        <v/>
      </c>
      <c r="E1087" s="49">
        <f>INDEX(Periods!$C$5:$C$57,$B1087)</f>
        <v/>
      </c>
      <c r="F1087" s="47">
        <f>IF(AND($C1087&lt;&gt;"",INDEX(Periods!$D$5:$D$57,$B1087)=1),1,0)</f>
        <v/>
      </c>
      <c r="G1087" s="47">
        <f>IF($F1087=0,0,IF(AND(OR(INDEX(Employees!$D$5:$D$29,$A1087)="",$E1087&gt;=INDEX(Employees!$D$5:$D$29,$A1087)+N(INDEX(Employees!$U$5:$U$29,$A1087))),OR(INDEX(Employees!$E$5:$E$29,$A1087)="",$D1087&lt;=INDEX(Employees!$E$5:$E$29,$A1087))),1,0))</f>
        <v/>
      </c>
      <c r="H1087" s="47">
        <f>IF($G1087=0,0,IF(INDEX(Employees!$D$5:$D$29,$A1087)="",0,DATEDIF(INDEX(Employees!$D$5:$D$29,$A1087),$E1087,"y")))</f>
        <v/>
      </c>
      <c r="I1087" s="48">
        <f>IF($G1087=0,0,IF(INDEX('Hours Worked'!$D$5:$BD$29,$A1087,$B1087)="",N(INDEX(Employees!$H$5:$H$29,$A1087)),INDEX('Hours Worked'!$D$5:$BD$29,$A1087,$B1087)))</f>
        <v/>
      </c>
      <c r="J1087" s="48">
        <f>IF(OR($G1087=0,INDEX(Employees!$O$5:$O$29,$A1087)&lt;&gt;"Yes"),0,IF(COUNTIF(Settings!$D$4:$D$9,"&lt;="&amp;$H1087)=0,0,INDEX(Settings!$E$4:$E$9,COUNTIF(Settings!$D$4:$D$9,"&lt;="&amp;$H1087))))</f>
        <v/>
      </c>
      <c r="K1087" s="48">
        <f>IF($G1087=0,0,IF(INDEX(Employees!$I$5:$I$29,$A1087)="Per pay period",(N(INDEX(Employees!$J$5:$J$29,$A1087))+$J1087)/Settings!$B$13,IF(INDEX(Employees!$I$5:$I$29,$A1087)="Per hour worked",N(INDEX(Employees!$K$5:$K$29,$A1087))*$I1087,IF(INDEX(Employees!$I$5:$I$29,$A1087)="Front-loaded",IF(OR($B1087=1,N($G1086)=0),N(INDEX(Employees!$J$5:$J$29,$A1087))+$J1087,0),0))))</f>
        <v/>
      </c>
      <c r="L1087" s="48">
        <f>IF($F1087=0,0,SUMIFS('Time Off Log'!$H$5:$H$504,'Time Off Log'!$A$5:$A$504,$C1087,'Time Off Log'!$B$5:$B$504,"PTO",'Time Off Log'!$E$5:$E$504,"Approved",'Time Off Log'!$C$5:$C$504,"&gt;="&amp;INDEX(Periods!$E$5:$E$57,$B1087),'Time Off Log'!$C$5:$C$504,"&lt;="&amp;INDEX(Periods!$F$5:$F$57,$B1087)))</f>
        <v/>
      </c>
      <c r="M1087" s="48">
        <f>IF($B1087=1,N(INDEX(Employees!$N$5:$N$29,$A1087)),P1086)</f>
        <v/>
      </c>
      <c r="N1087" s="48">
        <f>IF(INDEX(Employees!$L$5:$L$29,$A1087)="",K1087,MAX(0,MIN(K1087,INDEX(Employees!$L$5:$L$29,$A1087)-(M1087-L1087))))</f>
        <v/>
      </c>
      <c r="O1087" s="48">
        <f>K1087-N1087</f>
        <v/>
      </c>
      <c r="P1087" s="48">
        <f>M1087-L1087+N1087</f>
        <v/>
      </c>
      <c r="Q1087" s="48">
        <f>IF($G1087=0,0,IF(INDEX(Employees!$P$5:$P$29,$A1087)="Per pay period",(N(INDEX(Employees!$Q$5:$Q$29,$A1087)))/Settings!$B$13,IF(INDEX(Employees!$P$5:$P$29,$A1087)="Per hour worked",N(INDEX(Employees!$R$5:$R$29,$A1087))*$I1087,IF(INDEX(Employees!$P$5:$P$29,$A1087)="Front-loaded",IF(OR($B1087=1,N($G1086)=0),N(INDEX(Employees!$Q$5:$Q$29,$A1087)),0),0))))</f>
        <v/>
      </c>
      <c r="R1087" s="48">
        <f>IF($F1087=0,0,SUMIFS('Time Off Log'!$H$5:$H$504,'Time Off Log'!$A$5:$A$504,$C1087,'Time Off Log'!$B$5:$B$504,"Sick",'Time Off Log'!$E$5:$E$504,"Approved",'Time Off Log'!$C$5:$C$504,"&gt;="&amp;INDEX(Periods!$E$5:$E$57,$B1087),'Time Off Log'!$C$5:$C$504,"&lt;="&amp;INDEX(Periods!$F$5:$F$57,$B1087)))</f>
        <v/>
      </c>
      <c r="S1087" s="48">
        <f>IF($B1087=1,N(INDEX(Employees!$T$5:$T$29,$A1087)),V1086)</f>
        <v/>
      </c>
      <c r="T1087" s="48">
        <f>IF(INDEX(Employees!$S$5:$S$29,$A1087)="",Q1087,MAX(0,MIN(Q1087,INDEX(Employees!$S$5:$S$29,$A1087)-(S1087-R1087))))</f>
        <v/>
      </c>
      <c r="U1087" s="48">
        <f>Q1087-T1087</f>
        <v/>
      </c>
      <c r="V1087" s="48">
        <f>S1087-R1087+T1087</f>
        <v/>
      </c>
    </row>
    <row r="1088">
      <c r="A1088" s="47" t="n">
        <v>21</v>
      </c>
      <c r="B1088" s="47" t="n">
        <v>24</v>
      </c>
      <c r="C1088" s="48">
        <f>INDEX(Employees!$B$5:$B$29,$A1088)&amp;""</f>
        <v/>
      </c>
      <c r="D1088" s="49">
        <f>INDEX(Periods!$B$5:$B$57,$B1088)</f>
        <v/>
      </c>
      <c r="E1088" s="49">
        <f>INDEX(Periods!$C$5:$C$57,$B1088)</f>
        <v/>
      </c>
      <c r="F1088" s="47">
        <f>IF(AND($C1088&lt;&gt;"",INDEX(Periods!$D$5:$D$57,$B1088)=1),1,0)</f>
        <v/>
      </c>
      <c r="G1088" s="47">
        <f>IF($F1088=0,0,IF(AND(OR(INDEX(Employees!$D$5:$D$29,$A1088)="",$E1088&gt;=INDEX(Employees!$D$5:$D$29,$A1088)+N(INDEX(Employees!$U$5:$U$29,$A1088))),OR(INDEX(Employees!$E$5:$E$29,$A1088)="",$D1088&lt;=INDEX(Employees!$E$5:$E$29,$A1088))),1,0))</f>
        <v/>
      </c>
      <c r="H1088" s="47">
        <f>IF($G1088=0,0,IF(INDEX(Employees!$D$5:$D$29,$A1088)="",0,DATEDIF(INDEX(Employees!$D$5:$D$29,$A1088),$E1088,"y")))</f>
        <v/>
      </c>
      <c r="I1088" s="48">
        <f>IF($G1088=0,0,IF(INDEX('Hours Worked'!$D$5:$BD$29,$A1088,$B1088)="",N(INDEX(Employees!$H$5:$H$29,$A1088)),INDEX('Hours Worked'!$D$5:$BD$29,$A1088,$B1088)))</f>
        <v/>
      </c>
      <c r="J1088" s="48">
        <f>IF(OR($G1088=0,INDEX(Employees!$O$5:$O$29,$A1088)&lt;&gt;"Yes"),0,IF(COUNTIF(Settings!$D$4:$D$9,"&lt;="&amp;$H1088)=0,0,INDEX(Settings!$E$4:$E$9,COUNTIF(Settings!$D$4:$D$9,"&lt;="&amp;$H1088))))</f>
        <v/>
      </c>
      <c r="K1088" s="48">
        <f>IF($G1088=0,0,IF(INDEX(Employees!$I$5:$I$29,$A1088)="Per pay period",(N(INDEX(Employees!$J$5:$J$29,$A1088))+$J1088)/Settings!$B$13,IF(INDEX(Employees!$I$5:$I$29,$A1088)="Per hour worked",N(INDEX(Employees!$K$5:$K$29,$A1088))*$I1088,IF(INDEX(Employees!$I$5:$I$29,$A1088)="Front-loaded",IF(OR($B1088=1,N($G1087)=0),N(INDEX(Employees!$J$5:$J$29,$A1088))+$J1088,0),0))))</f>
        <v/>
      </c>
      <c r="L1088" s="48">
        <f>IF($F1088=0,0,SUMIFS('Time Off Log'!$H$5:$H$504,'Time Off Log'!$A$5:$A$504,$C1088,'Time Off Log'!$B$5:$B$504,"PTO",'Time Off Log'!$E$5:$E$504,"Approved",'Time Off Log'!$C$5:$C$504,"&gt;="&amp;INDEX(Periods!$E$5:$E$57,$B1088),'Time Off Log'!$C$5:$C$504,"&lt;="&amp;INDEX(Periods!$F$5:$F$57,$B1088)))</f>
        <v/>
      </c>
      <c r="M1088" s="48">
        <f>IF($B1088=1,N(INDEX(Employees!$N$5:$N$29,$A1088)),P1087)</f>
        <v/>
      </c>
      <c r="N1088" s="48">
        <f>IF(INDEX(Employees!$L$5:$L$29,$A1088)="",K1088,MAX(0,MIN(K1088,INDEX(Employees!$L$5:$L$29,$A1088)-(M1088-L1088))))</f>
        <v/>
      </c>
      <c r="O1088" s="48">
        <f>K1088-N1088</f>
        <v/>
      </c>
      <c r="P1088" s="48">
        <f>M1088-L1088+N1088</f>
        <v/>
      </c>
      <c r="Q1088" s="48">
        <f>IF($G1088=0,0,IF(INDEX(Employees!$P$5:$P$29,$A1088)="Per pay period",(N(INDEX(Employees!$Q$5:$Q$29,$A1088)))/Settings!$B$13,IF(INDEX(Employees!$P$5:$P$29,$A1088)="Per hour worked",N(INDEX(Employees!$R$5:$R$29,$A1088))*$I1088,IF(INDEX(Employees!$P$5:$P$29,$A1088)="Front-loaded",IF(OR($B1088=1,N($G1087)=0),N(INDEX(Employees!$Q$5:$Q$29,$A1088)),0),0))))</f>
        <v/>
      </c>
      <c r="R1088" s="48">
        <f>IF($F1088=0,0,SUMIFS('Time Off Log'!$H$5:$H$504,'Time Off Log'!$A$5:$A$504,$C1088,'Time Off Log'!$B$5:$B$504,"Sick",'Time Off Log'!$E$5:$E$504,"Approved",'Time Off Log'!$C$5:$C$504,"&gt;="&amp;INDEX(Periods!$E$5:$E$57,$B1088),'Time Off Log'!$C$5:$C$504,"&lt;="&amp;INDEX(Periods!$F$5:$F$57,$B1088)))</f>
        <v/>
      </c>
      <c r="S1088" s="48">
        <f>IF($B1088=1,N(INDEX(Employees!$T$5:$T$29,$A1088)),V1087)</f>
        <v/>
      </c>
      <c r="T1088" s="48">
        <f>IF(INDEX(Employees!$S$5:$S$29,$A1088)="",Q1088,MAX(0,MIN(Q1088,INDEX(Employees!$S$5:$S$29,$A1088)-(S1088-R1088))))</f>
        <v/>
      </c>
      <c r="U1088" s="48">
        <f>Q1088-T1088</f>
        <v/>
      </c>
      <c r="V1088" s="48">
        <f>S1088-R1088+T1088</f>
        <v/>
      </c>
    </row>
    <row r="1089">
      <c r="A1089" s="47" t="n">
        <v>21</v>
      </c>
      <c r="B1089" s="47" t="n">
        <v>25</v>
      </c>
      <c r="C1089" s="48">
        <f>INDEX(Employees!$B$5:$B$29,$A1089)&amp;""</f>
        <v/>
      </c>
      <c r="D1089" s="49">
        <f>INDEX(Periods!$B$5:$B$57,$B1089)</f>
        <v/>
      </c>
      <c r="E1089" s="49">
        <f>INDEX(Periods!$C$5:$C$57,$B1089)</f>
        <v/>
      </c>
      <c r="F1089" s="47">
        <f>IF(AND($C1089&lt;&gt;"",INDEX(Periods!$D$5:$D$57,$B1089)=1),1,0)</f>
        <v/>
      </c>
      <c r="G1089" s="47">
        <f>IF($F1089=0,0,IF(AND(OR(INDEX(Employees!$D$5:$D$29,$A1089)="",$E1089&gt;=INDEX(Employees!$D$5:$D$29,$A1089)+N(INDEX(Employees!$U$5:$U$29,$A1089))),OR(INDEX(Employees!$E$5:$E$29,$A1089)="",$D1089&lt;=INDEX(Employees!$E$5:$E$29,$A1089))),1,0))</f>
        <v/>
      </c>
      <c r="H1089" s="47">
        <f>IF($G1089=0,0,IF(INDEX(Employees!$D$5:$D$29,$A1089)="",0,DATEDIF(INDEX(Employees!$D$5:$D$29,$A1089),$E1089,"y")))</f>
        <v/>
      </c>
      <c r="I1089" s="48">
        <f>IF($G1089=0,0,IF(INDEX('Hours Worked'!$D$5:$BD$29,$A1089,$B1089)="",N(INDEX(Employees!$H$5:$H$29,$A1089)),INDEX('Hours Worked'!$D$5:$BD$29,$A1089,$B1089)))</f>
        <v/>
      </c>
      <c r="J1089" s="48">
        <f>IF(OR($G1089=0,INDEX(Employees!$O$5:$O$29,$A1089)&lt;&gt;"Yes"),0,IF(COUNTIF(Settings!$D$4:$D$9,"&lt;="&amp;$H1089)=0,0,INDEX(Settings!$E$4:$E$9,COUNTIF(Settings!$D$4:$D$9,"&lt;="&amp;$H1089))))</f>
        <v/>
      </c>
      <c r="K1089" s="48">
        <f>IF($G1089=0,0,IF(INDEX(Employees!$I$5:$I$29,$A1089)="Per pay period",(N(INDEX(Employees!$J$5:$J$29,$A1089))+$J1089)/Settings!$B$13,IF(INDEX(Employees!$I$5:$I$29,$A1089)="Per hour worked",N(INDEX(Employees!$K$5:$K$29,$A1089))*$I1089,IF(INDEX(Employees!$I$5:$I$29,$A1089)="Front-loaded",IF(OR($B1089=1,N($G1088)=0),N(INDEX(Employees!$J$5:$J$29,$A1089))+$J1089,0),0))))</f>
        <v/>
      </c>
      <c r="L1089" s="48">
        <f>IF($F1089=0,0,SUMIFS('Time Off Log'!$H$5:$H$504,'Time Off Log'!$A$5:$A$504,$C1089,'Time Off Log'!$B$5:$B$504,"PTO",'Time Off Log'!$E$5:$E$504,"Approved",'Time Off Log'!$C$5:$C$504,"&gt;="&amp;INDEX(Periods!$E$5:$E$57,$B1089),'Time Off Log'!$C$5:$C$504,"&lt;="&amp;INDEX(Periods!$F$5:$F$57,$B1089)))</f>
        <v/>
      </c>
      <c r="M1089" s="48">
        <f>IF($B1089=1,N(INDEX(Employees!$N$5:$N$29,$A1089)),P1088)</f>
        <v/>
      </c>
      <c r="N1089" s="48">
        <f>IF(INDEX(Employees!$L$5:$L$29,$A1089)="",K1089,MAX(0,MIN(K1089,INDEX(Employees!$L$5:$L$29,$A1089)-(M1089-L1089))))</f>
        <v/>
      </c>
      <c r="O1089" s="48">
        <f>K1089-N1089</f>
        <v/>
      </c>
      <c r="P1089" s="48">
        <f>M1089-L1089+N1089</f>
        <v/>
      </c>
      <c r="Q1089" s="48">
        <f>IF($G1089=0,0,IF(INDEX(Employees!$P$5:$P$29,$A1089)="Per pay period",(N(INDEX(Employees!$Q$5:$Q$29,$A1089)))/Settings!$B$13,IF(INDEX(Employees!$P$5:$P$29,$A1089)="Per hour worked",N(INDEX(Employees!$R$5:$R$29,$A1089))*$I1089,IF(INDEX(Employees!$P$5:$P$29,$A1089)="Front-loaded",IF(OR($B1089=1,N($G1088)=0),N(INDEX(Employees!$Q$5:$Q$29,$A1089)),0),0))))</f>
        <v/>
      </c>
      <c r="R1089" s="48">
        <f>IF($F1089=0,0,SUMIFS('Time Off Log'!$H$5:$H$504,'Time Off Log'!$A$5:$A$504,$C1089,'Time Off Log'!$B$5:$B$504,"Sick",'Time Off Log'!$E$5:$E$504,"Approved",'Time Off Log'!$C$5:$C$504,"&gt;="&amp;INDEX(Periods!$E$5:$E$57,$B1089),'Time Off Log'!$C$5:$C$504,"&lt;="&amp;INDEX(Periods!$F$5:$F$57,$B1089)))</f>
        <v/>
      </c>
      <c r="S1089" s="48">
        <f>IF($B1089=1,N(INDEX(Employees!$T$5:$T$29,$A1089)),V1088)</f>
        <v/>
      </c>
      <c r="T1089" s="48">
        <f>IF(INDEX(Employees!$S$5:$S$29,$A1089)="",Q1089,MAX(0,MIN(Q1089,INDEX(Employees!$S$5:$S$29,$A1089)-(S1089-R1089))))</f>
        <v/>
      </c>
      <c r="U1089" s="48">
        <f>Q1089-T1089</f>
        <v/>
      </c>
      <c r="V1089" s="48">
        <f>S1089-R1089+T1089</f>
        <v/>
      </c>
    </row>
    <row r="1090">
      <c r="A1090" s="47" t="n">
        <v>21</v>
      </c>
      <c r="B1090" s="47" t="n">
        <v>26</v>
      </c>
      <c r="C1090" s="48">
        <f>INDEX(Employees!$B$5:$B$29,$A1090)&amp;""</f>
        <v/>
      </c>
      <c r="D1090" s="49">
        <f>INDEX(Periods!$B$5:$B$57,$B1090)</f>
        <v/>
      </c>
      <c r="E1090" s="49">
        <f>INDEX(Periods!$C$5:$C$57,$B1090)</f>
        <v/>
      </c>
      <c r="F1090" s="47">
        <f>IF(AND($C1090&lt;&gt;"",INDEX(Periods!$D$5:$D$57,$B1090)=1),1,0)</f>
        <v/>
      </c>
      <c r="G1090" s="47">
        <f>IF($F1090=0,0,IF(AND(OR(INDEX(Employees!$D$5:$D$29,$A1090)="",$E1090&gt;=INDEX(Employees!$D$5:$D$29,$A1090)+N(INDEX(Employees!$U$5:$U$29,$A1090))),OR(INDEX(Employees!$E$5:$E$29,$A1090)="",$D1090&lt;=INDEX(Employees!$E$5:$E$29,$A1090))),1,0))</f>
        <v/>
      </c>
      <c r="H1090" s="47">
        <f>IF($G1090=0,0,IF(INDEX(Employees!$D$5:$D$29,$A1090)="",0,DATEDIF(INDEX(Employees!$D$5:$D$29,$A1090),$E1090,"y")))</f>
        <v/>
      </c>
      <c r="I1090" s="48">
        <f>IF($G1090=0,0,IF(INDEX('Hours Worked'!$D$5:$BD$29,$A1090,$B1090)="",N(INDEX(Employees!$H$5:$H$29,$A1090)),INDEX('Hours Worked'!$D$5:$BD$29,$A1090,$B1090)))</f>
        <v/>
      </c>
      <c r="J1090" s="48">
        <f>IF(OR($G1090=0,INDEX(Employees!$O$5:$O$29,$A1090)&lt;&gt;"Yes"),0,IF(COUNTIF(Settings!$D$4:$D$9,"&lt;="&amp;$H1090)=0,0,INDEX(Settings!$E$4:$E$9,COUNTIF(Settings!$D$4:$D$9,"&lt;="&amp;$H1090))))</f>
        <v/>
      </c>
      <c r="K1090" s="48">
        <f>IF($G1090=0,0,IF(INDEX(Employees!$I$5:$I$29,$A1090)="Per pay period",(N(INDEX(Employees!$J$5:$J$29,$A1090))+$J1090)/Settings!$B$13,IF(INDEX(Employees!$I$5:$I$29,$A1090)="Per hour worked",N(INDEX(Employees!$K$5:$K$29,$A1090))*$I1090,IF(INDEX(Employees!$I$5:$I$29,$A1090)="Front-loaded",IF(OR($B1090=1,N($G1089)=0),N(INDEX(Employees!$J$5:$J$29,$A1090))+$J1090,0),0))))</f>
        <v/>
      </c>
      <c r="L1090" s="48">
        <f>IF($F1090=0,0,SUMIFS('Time Off Log'!$H$5:$H$504,'Time Off Log'!$A$5:$A$504,$C1090,'Time Off Log'!$B$5:$B$504,"PTO",'Time Off Log'!$E$5:$E$504,"Approved",'Time Off Log'!$C$5:$C$504,"&gt;="&amp;INDEX(Periods!$E$5:$E$57,$B1090),'Time Off Log'!$C$5:$C$504,"&lt;="&amp;INDEX(Periods!$F$5:$F$57,$B1090)))</f>
        <v/>
      </c>
      <c r="M1090" s="48">
        <f>IF($B1090=1,N(INDEX(Employees!$N$5:$N$29,$A1090)),P1089)</f>
        <v/>
      </c>
      <c r="N1090" s="48">
        <f>IF(INDEX(Employees!$L$5:$L$29,$A1090)="",K1090,MAX(0,MIN(K1090,INDEX(Employees!$L$5:$L$29,$A1090)-(M1090-L1090))))</f>
        <v/>
      </c>
      <c r="O1090" s="48">
        <f>K1090-N1090</f>
        <v/>
      </c>
      <c r="P1090" s="48">
        <f>M1090-L1090+N1090</f>
        <v/>
      </c>
      <c r="Q1090" s="48">
        <f>IF($G1090=0,0,IF(INDEX(Employees!$P$5:$P$29,$A1090)="Per pay period",(N(INDEX(Employees!$Q$5:$Q$29,$A1090)))/Settings!$B$13,IF(INDEX(Employees!$P$5:$P$29,$A1090)="Per hour worked",N(INDEX(Employees!$R$5:$R$29,$A1090))*$I1090,IF(INDEX(Employees!$P$5:$P$29,$A1090)="Front-loaded",IF(OR($B1090=1,N($G1089)=0),N(INDEX(Employees!$Q$5:$Q$29,$A1090)),0),0))))</f>
        <v/>
      </c>
      <c r="R1090" s="48">
        <f>IF($F1090=0,0,SUMIFS('Time Off Log'!$H$5:$H$504,'Time Off Log'!$A$5:$A$504,$C1090,'Time Off Log'!$B$5:$B$504,"Sick",'Time Off Log'!$E$5:$E$504,"Approved",'Time Off Log'!$C$5:$C$504,"&gt;="&amp;INDEX(Periods!$E$5:$E$57,$B1090),'Time Off Log'!$C$5:$C$504,"&lt;="&amp;INDEX(Periods!$F$5:$F$57,$B1090)))</f>
        <v/>
      </c>
      <c r="S1090" s="48">
        <f>IF($B1090=1,N(INDEX(Employees!$T$5:$T$29,$A1090)),V1089)</f>
        <v/>
      </c>
      <c r="T1090" s="48">
        <f>IF(INDEX(Employees!$S$5:$S$29,$A1090)="",Q1090,MAX(0,MIN(Q1090,INDEX(Employees!$S$5:$S$29,$A1090)-(S1090-R1090))))</f>
        <v/>
      </c>
      <c r="U1090" s="48">
        <f>Q1090-T1090</f>
        <v/>
      </c>
      <c r="V1090" s="48">
        <f>S1090-R1090+T1090</f>
        <v/>
      </c>
    </row>
    <row r="1091">
      <c r="A1091" s="47" t="n">
        <v>21</v>
      </c>
      <c r="B1091" s="47" t="n">
        <v>27</v>
      </c>
      <c r="C1091" s="48">
        <f>INDEX(Employees!$B$5:$B$29,$A1091)&amp;""</f>
        <v/>
      </c>
      <c r="D1091" s="49">
        <f>INDEX(Periods!$B$5:$B$57,$B1091)</f>
        <v/>
      </c>
      <c r="E1091" s="49">
        <f>INDEX(Periods!$C$5:$C$57,$B1091)</f>
        <v/>
      </c>
      <c r="F1091" s="47">
        <f>IF(AND($C1091&lt;&gt;"",INDEX(Periods!$D$5:$D$57,$B1091)=1),1,0)</f>
        <v/>
      </c>
      <c r="G1091" s="47">
        <f>IF($F1091=0,0,IF(AND(OR(INDEX(Employees!$D$5:$D$29,$A1091)="",$E1091&gt;=INDEX(Employees!$D$5:$D$29,$A1091)+N(INDEX(Employees!$U$5:$U$29,$A1091))),OR(INDEX(Employees!$E$5:$E$29,$A1091)="",$D1091&lt;=INDEX(Employees!$E$5:$E$29,$A1091))),1,0))</f>
        <v/>
      </c>
      <c r="H1091" s="47">
        <f>IF($G1091=0,0,IF(INDEX(Employees!$D$5:$D$29,$A1091)="",0,DATEDIF(INDEX(Employees!$D$5:$D$29,$A1091),$E1091,"y")))</f>
        <v/>
      </c>
      <c r="I1091" s="48">
        <f>IF($G1091=0,0,IF(INDEX('Hours Worked'!$D$5:$BD$29,$A1091,$B1091)="",N(INDEX(Employees!$H$5:$H$29,$A1091)),INDEX('Hours Worked'!$D$5:$BD$29,$A1091,$B1091)))</f>
        <v/>
      </c>
      <c r="J1091" s="48">
        <f>IF(OR($G1091=0,INDEX(Employees!$O$5:$O$29,$A1091)&lt;&gt;"Yes"),0,IF(COUNTIF(Settings!$D$4:$D$9,"&lt;="&amp;$H1091)=0,0,INDEX(Settings!$E$4:$E$9,COUNTIF(Settings!$D$4:$D$9,"&lt;="&amp;$H1091))))</f>
        <v/>
      </c>
      <c r="K1091" s="48">
        <f>IF($G1091=0,0,IF(INDEX(Employees!$I$5:$I$29,$A1091)="Per pay period",(N(INDEX(Employees!$J$5:$J$29,$A1091))+$J1091)/Settings!$B$13,IF(INDEX(Employees!$I$5:$I$29,$A1091)="Per hour worked",N(INDEX(Employees!$K$5:$K$29,$A1091))*$I1091,IF(INDEX(Employees!$I$5:$I$29,$A1091)="Front-loaded",IF(OR($B1091=1,N($G1090)=0),N(INDEX(Employees!$J$5:$J$29,$A1091))+$J1091,0),0))))</f>
        <v/>
      </c>
      <c r="L1091" s="48">
        <f>IF($F1091=0,0,SUMIFS('Time Off Log'!$H$5:$H$504,'Time Off Log'!$A$5:$A$504,$C1091,'Time Off Log'!$B$5:$B$504,"PTO",'Time Off Log'!$E$5:$E$504,"Approved",'Time Off Log'!$C$5:$C$504,"&gt;="&amp;INDEX(Periods!$E$5:$E$57,$B1091),'Time Off Log'!$C$5:$C$504,"&lt;="&amp;INDEX(Periods!$F$5:$F$57,$B1091)))</f>
        <v/>
      </c>
      <c r="M1091" s="48">
        <f>IF($B1091=1,N(INDEX(Employees!$N$5:$N$29,$A1091)),P1090)</f>
        <v/>
      </c>
      <c r="N1091" s="48">
        <f>IF(INDEX(Employees!$L$5:$L$29,$A1091)="",K1091,MAX(0,MIN(K1091,INDEX(Employees!$L$5:$L$29,$A1091)-(M1091-L1091))))</f>
        <v/>
      </c>
      <c r="O1091" s="48">
        <f>K1091-N1091</f>
        <v/>
      </c>
      <c r="P1091" s="48">
        <f>M1091-L1091+N1091</f>
        <v/>
      </c>
      <c r="Q1091" s="48">
        <f>IF($G1091=0,0,IF(INDEX(Employees!$P$5:$P$29,$A1091)="Per pay period",(N(INDEX(Employees!$Q$5:$Q$29,$A1091)))/Settings!$B$13,IF(INDEX(Employees!$P$5:$P$29,$A1091)="Per hour worked",N(INDEX(Employees!$R$5:$R$29,$A1091))*$I1091,IF(INDEX(Employees!$P$5:$P$29,$A1091)="Front-loaded",IF(OR($B1091=1,N($G1090)=0),N(INDEX(Employees!$Q$5:$Q$29,$A1091)),0),0))))</f>
        <v/>
      </c>
      <c r="R1091" s="48">
        <f>IF($F1091=0,0,SUMIFS('Time Off Log'!$H$5:$H$504,'Time Off Log'!$A$5:$A$504,$C1091,'Time Off Log'!$B$5:$B$504,"Sick",'Time Off Log'!$E$5:$E$504,"Approved",'Time Off Log'!$C$5:$C$504,"&gt;="&amp;INDEX(Periods!$E$5:$E$57,$B1091),'Time Off Log'!$C$5:$C$504,"&lt;="&amp;INDEX(Periods!$F$5:$F$57,$B1091)))</f>
        <v/>
      </c>
      <c r="S1091" s="48">
        <f>IF($B1091=1,N(INDEX(Employees!$T$5:$T$29,$A1091)),V1090)</f>
        <v/>
      </c>
      <c r="T1091" s="48">
        <f>IF(INDEX(Employees!$S$5:$S$29,$A1091)="",Q1091,MAX(0,MIN(Q1091,INDEX(Employees!$S$5:$S$29,$A1091)-(S1091-R1091))))</f>
        <v/>
      </c>
      <c r="U1091" s="48">
        <f>Q1091-T1091</f>
        <v/>
      </c>
      <c r="V1091" s="48">
        <f>S1091-R1091+T1091</f>
        <v/>
      </c>
    </row>
    <row r="1092">
      <c r="A1092" s="47" t="n">
        <v>21</v>
      </c>
      <c r="B1092" s="47" t="n">
        <v>28</v>
      </c>
      <c r="C1092" s="48">
        <f>INDEX(Employees!$B$5:$B$29,$A1092)&amp;""</f>
        <v/>
      </c>
      <c r="D1092" s="49">
        <f>INDEX(Periods!$B$5:$B$57,$B1092)</f>
        <v/>
      </c>
      <c r="E1092" s="49">
        <f>INDEX(Periods!$C$5:$C$57,$B1092)</f>
        <v/>
      </c>
      <c r="F1092" s="47">
        <f>IF(AND($C1092&lt;&gt;"",INDEX(Periods!$D$5:$D$57,$B1092)=1),1,0)</f>
        <v/>
      </c>
      <c r="G1092" s="47">
        <f>IF($F1092=0,0,IF(AND(OR(INDEX(Employees!$D$5:$D$29,$A1092)="",$E1092&gt;=INDEX(Employees!$D$5:$D$29,$A1092)+N(INDEX(Employees!$U$5:$U$29,$A1092))),OR(INDEX(Employees!$E$5:$E$29,$A1092)="",$D1092&lt;=INDEX(Employees!$E$5:$E$29,$A1092))),1,0))</f>
        <v/>
      </c>
      <c r="H1092" s="47">
        <f>IF($G1092=0,0,IF(INDEX(Employees!$D$5:$D$29,$A1092)="",0,DATEDIF(INDEX(Employees!$D$5:$D$29,$A1092),$E1092,"y")))</f>
        <v/>
      </c>
      <c r="I1092" s="48">
        <f>IF($G1092=0,0,IF(INDEX('Hours Worked'!$D$5:$BD$29,$A1092,$B1092)="",N(INDEX(Employees!$H$5:$H$29,$A1092)),INDEX('Hours Worked'!$D$5:$BD$29,$A1092,$B1092)))</f>
        <v/>
      </c>
      <c r="J1092" s="48">
        <f>IF(OR($G1092=0,INDEX(Employees!$O$5:$O$29,$A1092)&lt;&gt;"Yes"),0,IF(COUNTIF(Settings!$D$4:$D$9,"&lt;="&amp;$H1092)=0,0,INDEX(Settings!$E$4:$E$9,COUNTIF(Settings!$D$4:$D$9,"&lt;="&amp;$H1092))))</f>
        <v/>
      </c>
      <c r="K1092" s="48">
        <f>IF($G1092=0,0,IF(INDEX(Employees!$I$5:$I$29,$A1092)="Per pay period",(N(INDEX(Employees!$J$5:$J$29,$A1092))+$J1092)/Settings!$B$13,IF(INDEX(Employees!$I$5:$I$29,$A1092)="Per hour worked",N(INDEX(Employees!$K$5:$K$29,$A1092))*$I1092,IF(INDEX(Employees!$I$5:$I$29,$A1092)="Front-loaded",IF(OR($B1092=1,N($G1091)=0),N(INDEX(Employees!$J$5:$J$29,$A1092))+$J1092,0),0))))</f>
        <v/>
      </c>
      <c r="L1092" s="48">
        <f>IF($F1092=0,0,SUMIFS('Time Off Log'!$H$5:$H$504,'Time Off Log'!$A$5:$A$504,$C1092,'Time Off Log'!$B$5:$B$504,"PTO",'Time Off Log'!$E$5:$E$504,"Approved",'Time Off Log'!$C$5:$C$504,"&gt;="&amp;INDEX(Periods!$E$5:$E$57,$B1092),'Time Off Log'!$C$5:$C$504,"&lt;="&amp;INDEX(Periods!$F$5:$F$57,$B1092)))</f>
        <v/>
      </c>
      <c r="M1092" s="48">
        <f>IF($B1092=1,N(INDEX(Employees!$N$5:$N$29,$A1092)),P1091)</f>
        <v/>
      </c>
      <c r="N1092" s="48">
        <f>IF(INDEX(Employees!$L$5:$L$29,$A1092)="",K1092,MAX(0,MIN(K1092,INDEX(Employees!$L$5:$L$29,$A1092)-(M1092-L1092))))</f>
        <v/>
      </c>
      <c r="O1092" s="48">
        <f>K1092-N1092</f>
        <v/>
      </c>
      <c r="P1092" s="48">
        <f>M1092-L1092+N1092</f>
        <v/>
      </c>
      <c r="Q1092" s="48">
        <f>IF($G1092=0,0,IF(INDEX(Employees!$P$5:$P$29,$A1092)="Per pay period",(N(INDEX(Employees!$Q$5:$Q$29,$A1092)))/Settings!$B$13,IF(INDEX(Employees!$P$5:$P$29,$A1092)="Per hour worked",N(INDEX(Employees!$R$5:$R$29,$A1092))*$I1092,IF(INDEX(Employees!$P$5:$P$29,$A1092)="Front-loaded",IF(OR($B1092=1,N($G1091)=0),N(INDEX(Employees!$Q$5:$Q$29,$A1092)),0),0))))</f>
        <v/>
      </c>
      <c r="R1092" s="48">
        <f>IF($F1092=0,0,SUMIFS('Time Off Log'!$H$5:$H$504,'Time Off Log'!$A$5:$A$504,$C1092,'Time Off Log'!$B$5:$B$504,"Sick",'Time Off Log'!$E$5:$E$504,"Approved",'Time Off Log'!$C$5:$C$504,"&gt;="&amp;INDEX(Periods!$E$5:$E$57,$B1092),'Time Off Log'!$C$5:$C$504,"&lt;="&amp;INDEX(Periods!$F$5:$F$57,$B1092)))</f>
        <v/>
      </c>
      <c r="S1092" s="48">
        <f>IF($B1092=1,N(INDEX(Employees!$T$5:$T$29,$A1092)),V1091)</f>
        <v/>
      </c>
      <c r="T1092" s="48">
        <f>IF(INDEX(Employees!$S$5:$S$29,$A1092)="",Q1092,MAX(0,MIN(Q1092,INDEX(Employees!$S$5:$S$29,$A1092)-(S1092-R1092))))</f>
        <v/>
      </c>
      <c r="U1092" s="48">
        <f>Q1092-T1092</f>
        <v/>
      </c>
      <c r="V1092" s="48">
        <f>S1092-R1092+T1092</f>
        <v/>
      </c>
    </row>
    <row r="1093">
      <c r="A1093" s="47" t="n">
        <v>21</v>
      </c>
      <c r="B1093" s="47" t="n">
        <v>29</v>
      </c>
      <c r="C1093" s="48">
        <f>INDEX(Employees!$B$5:$B$29,$A1093)&amp;""</f>
        <v/>
      </c>
      <c r="D1093" s="49">
        <f>INDEX(Periods!$B$5:$B$57,$B1093)</f>
        <v/>
      </c>
      <c r="E1093" s="49">
        <f>INDEX(Periods!$C$5:$C$57,$B1093)</f>
        <v/>
      </c>
      <c r="F1093" s="47">
        <f>IF(AND($C1093&lt;&gt;"",INDEX(Periods!$D$5:$D$57,$B1093)=1),1,0)</f>
        <v/>
      </c>
      <c r="G1093" s="47">
        <f>IF($F1093=0,0,IF(AND(OR(INDEX(Employees!$D$5:$D$29,$A1093)="",$E1093&gt;=INDEX(Employees!$D$5:$D$29,$A1093)+N(INDEX(Employees!$U$5:$U$29,$A1093))),OR(INDEX(Employees!$E$5:$E$29,$A1093)="",$D1093&lt;=INDEX(Employees!$E$5:$E$29,$A1093))),1,0))</f>
        <v/>
      </c>
      <c r="H1093" s="47">
        <f>IF($G1093=0,0,IF(INDEX(Employees!$D$5:$D$29,$A1093)="",0,DATEDIF(INDEX(Employees!$D$5:$D$29,$A1093),$E1093,"y")))</f>
        <v/>
      </c>
      <c r="I1093" s="48">
        <f>IF($G1093=0,0,IF(INDEX('Hours Worked'!$D$5:$BD$29,$A1093,$B1093)="",N(INDEX(Employees!$H$5:$H$29,$A1093)),INDEX('Hours Worked'!$D$5:$BD$29,$A1093,$B1093)))</f>
        <v/>
      </c>
      <c r="J1093" s="48">
        <f>IF(OR($G1093=0,INDEX(Employees!$O$5:$O$29,$A1093)&lt;&gt;"Yes"),0,IF(COUNTIF(Settings!$D$4:$D$9,"&lt;="&amp;$H1093)=0,0,INDEX(Settings!$E$4:$E$9,COUNTIF(Settings!$D$4:$D$9,"&lt;="&amp;$H1093))))</f>
        <v/>
      </c>
      <c r="K1093" s="48">
        <f>IF($G1093=0,0,IF(INDEX(Employees!$I$5:$I$29,$A1093)="Per pay period",(N(INDEX(Employees!$J$5:$J$29,$A1093))+$J1093)/Settings!$B$13,IF(INDEX(Employees!$I$5:$I$29,$A1093)="Per hour worked",N(INDEX(Employees!$K$5:$K$29,$A1093))*$I1093,IF(INDEX(Employees!$I$5:$I$29,$A1093)="Front-loaded",IF(OR($B1093=1,N($G1092)=0),N(INDEX(Employees!$J$5:$J$29,$A1093))+$J1093,0),0))))</f>
        <v/>
      </c>
      <c r="L1093" s="48">
        <f>IF($F1093=0,0,SUMIFS('Time Off Log'!$H$5:$H$504,'Time Off Log'!$A$5:$A$504,$C1093,'Time Off Log'!$B$5:$B$504,"PTO",'Time Off Log'!$E$5:$E$504,"Approved",'Time Off Log'!$C$5:$C$504,"&gt;="&amp;INDEX(Periods!$E$5:$E$57,$B1093),'Time Off Log'!$C$5:$C$504,"&lt;="&amp;INDEX(Periods!$F$5:$F$57,$B1093)))</f>
        <v/>
      </c>
      <c r="M1093" s="48">
        <f>IF($B1093=1,N(INDEX(Employees!$N$5:$N$29,$A1093)),P1092)</f>
        <v/>
      </c>
      <c r="N1093" s="48">
        <f>IF(INDEX(Employees!$L$5:$L$29,$A1093)="",K1093,MAX(0,MIN(K1093,INDEX(Employees!$L$5:$L$29,$A1093)-(M1093-L1093))))</f>
        <v/>
      </c>
      <c r="O1093" s="48">
        <f>K1093-N1093</f>
        <v/>
      </c>
      <c r="P1093" s="48">
        <f>M1093-L1093+N1093</f>
        <v/>
      </c>
      <c r="Q1093" s="48">
        <f>IF($G1093=0,0,IF(INDEX(Employees!$P$5:$P$29,$A1093)="Per pay period",(N(INDEX(Employees!$Q$5:$Q$29,$A1093)))/Settings!$B$13,IF(INDEX(Employees!$P$5:$P$29,$A1093)="Per hour worked",N(INDEX(Employees!$R$5:$R$29,$A1093))*$I1093,IF(INDEX(Employees!$P$5:$P$29,$A1093)="Front-loaded",IF(OR($B1093=1,N($G1092)=0),N(INDEX(Employees!$Q$5:$Q$29,$A1093)),0),0))))</f>
        <v/>
      </c>
      <c r="R1093" s="48">
        <f>IF($F1093=0,0,SUMIFS('Time Off Log'!$H$5:$H$504,'Time Off Log'!$A$5:$A$504,$C1093,'Time Off Log'!$B$5:$B$504,"Sick",'Time Off Log'!$E$5:$E$504,"Approved",'Time Off Log'!$C$5:$C$504,"&gt;="&amp;INDEX(Periods!$E$5:$E$57,$B1093),'Time Off Log'!$C$5:$C$504,"&lt;="&amp;INDEX(Periods!$F$5:$F$57,$B1093)))</f>
        <v/>
      </c>
      <c r="S1093" s="48">
        <f>IF($B1093=1,N(INDEX(Employees!$T$5:$T$29,$A1093)),V1092)</f>
        <v/>
      </c>
      <c r="T1093" s="48">
        <f>IF(INDEX(Employees!$S$5:$S$29,$A1093)="",Q1093,MAX(0,MIN(Q1093,INDEX(Employees!$S$5:$S$29,$A1093)-(S1093-R1093))))</f>
        <v/>
      </c>
      <c r="U1093" s="48">
        <f>Q1093-T1093</f>
        <v/>
      </c>
      <c r="V1093" s="48">
        <f>S1093-R1093+T1093</f>
        <v/>
      </c>
    </row>
    <row r="1094">
      <c r="A1094" s="47" t="n">
        <v>21</v>
      </c>
      <c r="B1094" s="47" t="n">
        <v>30</v>
      </c>
      <c r="C1094" s="48">
        <f>INDEX(Employees!$B$5:$B$29,$A1094)&amp;""</f>
        <v/>
      </c>
      <c r="D1094" s="49">
        <f>INDEX(Periods!$B$5:$B$57,$B1094)</f>
        <v/>
      </c>
      <c r="E1094" s="49">
        <f>INDEX(Periods!$C$5:$C$57,$B1094)</f>
        <v/>
      </c>
      <c r="F1094" s="47">
        <f>IF(AND($C1094&lt;&gt;"",INDEX(Periods!$D$5:$D$57,$B1094)=1),1,0)</f>
        <v/>
      </c>
      <c r="G1094" s="47">
        <f>IF($F1094=0,0,IF(AND(OR(INDEX(Employees!$D$5:$D$29,$A1094)="",$E1094&gt;=INDEX(Employees!$D$5:$D$29,$A1094)+N(INDEX(Employees!$U$5:$U$29,$A1094))),OR(INDEX(Employees!$E$5:$E$29,$A1094)="",$D1094&lt;=INDEX(Employees!$E$5:$E$29,$A1094))),1,0))</f>
        <v/>
      </c>
      <c r="H1094" s="47">
        <f>IF($G1094=0,0,IF(INDEX(Employees!$D$5:$D$29,$A1094)="",0,DATEDIF(INDEX(Employees!$D$5:$D$29,$A1094),$E1094,"y")))</f>
        <v/>
      </c>
      <c r="I1094" s="48">
        <f>IF($G1094=0,0,IF(INDEX('Hours Worked'!$D$5:$BD$29,$A1094,$B1094)="",N(INDEX(Employees!$H$5:$H$29,$A1094)),INDEX('Hours Worked'!$D$5:$BD$29,$A1094,$B1094)))</f>
        <v/>
      </c>
      <c r="J1094" s="48">
        <f>IF(OR($G1094=0,INDEX(Employees!$O$5:$O$29,$A1094)&lt;&gt;"Yes"),0,IF(COUNTIF(Settings!$D$4:$D$9,"&lt;="&amp;$H1094)=0,0,INDEX(Settings!$E$4:$E$9,COUNTIF(Settings!$D$4:$D$9,"&lt;="&amp;$H1094))))</f>
        <v/>
      </c>
      <c r="K1094" s="48">
        <f>IF($G1094=0,0,IF(INDEX(Employees!$I$5:$I$29,$A1094)="Per pay period",(N(INDEX(Employees!$J$5:$J$29,$A1094))+$J1094)/Settings!$B$13,IF(INDEX(Employees!$I$5:$I$29,$A1094)="Per hour worked",N(INDEX(Employees!$K$5:$K$29,$A1094))*$I1094,IF(INDEX(Employees!$I$5:$I$29,$A1094)="Front-loaded",IF(OR($B1094=1,N($G1093)=0),N(INDEX(Employees!$J$5:$J$29,$A1094))+$J1094,0),0))))</f>
        <v/>
      </c>
      <c r="L1094" s="48">
        <f>IF($F1094=0,0,SUMIFS('Time Off Log'!$H$5:$H$504,'Time Off Log'!$A$5:$A$504,$C1094,'Time Off Log'!$B$5:$B$504,"PTO",'Time Off Log'!$E$5:$E$504,"Approved",'Time Off Log'!$C$5:$C$504,"&gt;="&amp;INDEX(Periods!$E$5:$E$57,$B1094),'Time Off Log'!$C$5:$C$504,"&lt;="&amp;INDEX(Periods!$F$5:$F$57,$B1094)))</f>
        <v/>
      </c>
      <c r="M1094" s="48">
        <f>IF($B1094=1,N(INDEX(Employees!$N$5:$N$29,$A1094)),P1093)</f>
        <v/>
      </c>
      <c r="N1094" s="48">
        <f>IF(INDEX(Employees!$L$5:$L$29,$A1094)="",K1094,MAX(0,MIN(K1094,INDEX(Employees!$L$5:$L$29,$A1094)-(M1094-L1094))))</f>
        <v/>
      </c>
      <c r="O1094" s="48">
        <f>K1094-N1094</f>
        <v/>
      </c>
      <c r="P1094" s="48">
        <f>M1094-L1094+N1094</f>
        <v/>
      </c>
      <c r="Q1094" s="48">
        <f>IF($G1094=0,0,IF(INDEX(Employees!$P$5:$P$29,$A1094)="Per pay period",(N(INDEX(Employees!$Q$5:$Q$29,$A1094)))/Settings!$B$13,IF(INDEX(Employees!$P$5:$P$29,$A1094)="Per hour worked",N(INDEX(Employees!$R$5:$R$29,$A1094))*$I1094,IF(INDEX(Employees!$P$5:$P$29,$A1094)="Front-loaded",IF(OR($B1094=1,N($G1093)=0),N(INDEX(Employees!$Q$5:$Q$29,$A1094)),0),0))))</f>
        <v/>
      </c>
      <c r="R1094" s="48">
        <f>IF($F1094=0,0,SUMIFS('Time Off Log'!$H$5:$H$504,'Time Off Log'!$A$5:$A$504,$C1094,'Time Off Log'!$B$5:$B$504,"Sick",'Time Off Log'!$E$5:$E$504,"Approved",'Time Off Log'!$C$5:$C$504,"&gt;="&amp;INDEX(Periods!$E$5:$E$57,$B1094),'Time Off Log'!$C$5:$C$504,"&lt;="&amp;INDEX(Periods!$F$5:$F$57,$B1094)))</f>
        <v/>
      </c>
      <c r="S1094" s="48">
        <f>IF($B1094=1,N(INDEX(Employees!$T$5:$T$29,$A1094)),V1093)</f>
        <v/>
      </c>
      <c r="T1094" s="48">
        <f>IF(INDEX(Employees!$S$5:$S$29,$A1094)="",Q1094,MAX(0,MIN(Q1094,INDEX(Employees!$S$5:$S$29,$A1094)-(S1094-R1094))))</f>
        <v/>
      </c>
      <c r="U1094" s="48">
        <f>Q1094-T1094</f>
        <v/>
      </c>
      <c r="V1094" s="48">
        <f>S1094-R1094+T1094</f>
        <v/>
      </c>
    </row>
    <row r="1095">
      <c r="A1095" s="47" t="n">
        <v>21</v>
      </c>
      <c r="B1095" s="47" t="n">
        <v>31</v>
      </c>
      <c r="C1095" s="48">
        <f>INDEX(Employees!$B$5:$B$29,$A1095)&amp;""</f>
        <v/>
      </c>
      <c r="D1095" s="49">
        <f>INDEX(Periods!$B$5:$B$57,$B1095)</f>
        <v/>
      </c>
      <c r="E1095" s="49">
        <f>INDEX(Periods!$C$5:$C$57,$B1095)</f>
        <v/>
      </c>
      <c r="F1095" s="47">
        <f>IF(AND($C1095&lt;&gt;"",INDEX(Periods!$D$5:$D$57,$B1095)=1),1,0)</f>
        <v/>
      </c>
      <c r="G1095" s="47">
        <f>IF($F1095=0,0,IF(AND(OR(INDEX(Employees!$D$5:$D$29,$A1095)="",$E1095&gt;=INDEX(Employees!$D$5:$D$29,$A1095)+N(INDEX(Employees!$U$5:$U$29,$A1095))),OR(INDEX(Employees!$E$5:$E$29,$A1095)="",$D1095&lt;=INDEX(Employees!$E$5:$E$29,$A1095))),1,0))</f>
        <v/>
      </c>
      <c r="H1095" s="47">
        <f>IF($G1095=0,0,IF(INDEX(Employees!$D$5:$D$29,$A1095)="",0,DATEDIF(INDEX(Employees!$D$5:$D$29,$A1095),$E1095,"y")))</f>
        <v/>
      </c>
      <c r="I1095" s="48">
        <f>IF($G1095=0,0,IF(INDEX('Hours Worked'!$D$5:$BD$29,$A1095,$B1095)="",N(INDEX(Employees!$H$5:$H$29,$A1095)),INDEX('Hours Worked'!$D$5:$BD$29,$A1095,$B1095)))</f>
        <v/>
      </c>
      <c r="J1095" s="48">
        <f>IF(OR($G1095=0,INDEX(Employees!$O$5:$O$29,$A1095)&lt;&gt;"Yes"),0,IF(COUNTIF(Settings!$D$4:$D$9,"&lt;="&amp;$H1095)=0,0,INDEX(Settings!$E$4:$E$9,COUNTIF(Settings!$D$4:$D$9,"&lt;="&amp;$H1095))))</f>
        <v/>
      </c>
      <c r="K1095" s="48">
        <f>IF($G1095=0,0,IF(INDEX(Employees!$I$5:$I$29,$A1095)="Per pay period",(N(INDEX(Employees!$J$5:$J$29,$A1095))+$J1095)/Settings!$B$13,IF(INDEX(Employees!$I$5:$I$29,$A1095)="Per hour worked",N(INDEX(Employees!$K$5:$K$29,$A1095))*$I1095,IF(INDEX(Employees!$I$5:$I$29,$A1095)="Front-loaded",IF(OR($B1095=1,N($G1094)=0),N(INDEX(Employees!$J$5:$J$29,$A1095))+$J1095,0),0))))</f>
        <v/>
      </c>
      <c r="L1095" s="48">
        <f>IF($F1095=0,0,SUMIFS('Time Off Log'!$H$5:$H$504,'Time Off Log'!$A$5:$A$504,$C1095,'Time Off Log'!$B$5:$B$504,"PTO",'Time Off Log'!$E$5:$E$504,"Approved",'Time Off Log'!$C$5:$C$504,"&gt;="&amp;INDEX(Periods!$E$5:$E$57,$B1095),'Time Off Log'!$C$5:$C$504,"&lt;="&amp;INDEX(Periods!$F$5:$F$57,$B1095)))</f>
        <v/>
      </c>
      <c r="M1095" s="48">
        <f>IF($B1095=1,N(INDEX(Employees!$N$5:$N$29,$A1095)),P1094)</f>
        <v/>
      </c>
      <c r="N1095" s="48">
        <f>IF(INDEX(Employees!$L$5:$L$29,$A1095)="",K1095,MAX(0,MIN(K1095,INDEX(Employees!$L$5:$L$29,$A1095)-(M1095-L1095))))</f>
        <v/>
      </c>
      <c r="O1095" s="48">
        <f>K1095-N1095</f>
        <v/>
      </c>
      <c r="P1095" s="48">
        <f>M1095-L1095+N1095</f>
        <v/>
      </c>
      <c r="Q1095" s="48">
        <f>IF($G1095=0,0,IF(INDEX(Employees!$P$5:$P$29,$A1095)="Per pay period",(N(INDEX(Employees!$Q$5:$Q$29,$A1095)))/Settings!$B$13,IF(INDEX(Employees!$P$5:$P$29,$A1095)="Per hour worked",N(INDEX(Employees!$R$5:$R$29,$A1095))*$I1095,IF(INDEX(Employees!$P$5:$P$29,$A1095)="Front-loaded",IF(OR($B1095=1,N($G1094)=0),N(INDEX(Employees!$Q$5:$Q$29,$A1095)),0),0))))</f>
        <v/>
      </c>
      <c r="R1095" s="48">
        <f>IF($F1095=0,0,SUMIFS('Time Off Log'!$H$5:$H$504,'Time Off Log'!$A$5:$A$504,$C1095,'Time Off Log'!$B$5:$B$504,"Sick",'Time Off Log'!$E$5:$E$504,"Approved",'Time Off Log'!$C$5:$C$504,"&gt;="&amp;INDEX(Periods!$E$5:$E$57,$B1095),'Time Off Log'!$C$5:$C$504,"&lt;="&amp;INDEX(Periods!$F$5:$F$57,$B1095)))</f>
        <v/>
      </c>
      <c r="S1095" s="48">
        <f>IF($B1095=1,N(INDEX(Employees!$T$5:$T$29,$A1095)),V1094)</f>
        <v/>
      </c>
      <c r="T1095" s="48">
        <f>IF(INDEX(Employees!$S$5:$S$29,$A1095)="",Q1095,MAX(0,MIN(Q1095,INDEX(Employees!$S$5:$S$29,$A1095)-(S1095-R1095))))</f>
        <v/>
      </c>
      <c r="U1095" s="48">
        <f>Q1095-T1095</f>
        <v/>
      </c>
      <c r="V1095" s="48">
        <f>S1095-R1095+T1095</f>
        <v/>
      </c>
    </row>
    <row r="1096">
      <c r="A1096" s="47" t="n">
        <v>21</v>
      </c>
      <c r="B1096" s="47" t="n">
        <v>32</v>
      </c>
      <c r="C1096" s="48">
        <f>INDEX(Employees!$B$5:$B$29,$A1096)&amp;""</f>
        <v/>
      </c>
      <c r="D1096" s="49">
        <f>INDEX(Periods!$B$5:$B$57,$B1096)</f>
        <v/>
      </c>
      <c r="E1096" s="49">
        <f>INDEX(Periods!$C$5:$C$57,$B1096)</f>
        <v/>
      </c>
      <c r="F1096" s="47">
        <f>IF(AND($C1096&lt;&gt;"",INDEX(Periods!$D$5:$D$57,$B1096)=1),1,0)</f>
        <v/>
      </c>
      <c r="G1096" s="47">
        <f>IF($F1096=0,0,IF(AND(OR(INDEX(Employees!$D$5:$D$29,$A1096)="",$E1096&gt;=INDEX(Employees!$D$5:$D$29,$A1096)+N(INDEX(Employees!$U$5:$U$29,$A1096))),OR(INDEX(Employees!$E$5:$E$29,$A1096)="",$D1096&lt;=INDEX(Employees!$E$5:$E$29,$A1096))),1,0))</f>
        <v/>
      </c>
      <c r="H1096" s="47">
        <f>IF($G1096=0,0,IF(INDEX(Employees!$D$5:$D$29,$A1096)="",0,DATEDIF(INDEX(Employees!$D$5:$D$29,$A1096),$E1096,"y")))</f>
        <v/>
      </c>
      <c r="I1096" s="48">
        <f>IF($G1096=0,0,IF(INDEX('Hours Worked'!$D$5:$BD$29,$A1096,$B1096)="",N(INDEX(Employees!$H$5:$H$29,$A1096)),INDEX('Hours Worked'!$D$5:$BD$29,$A1096,$B1096)))</f>
        <v/>
      </c>
      <c r="J1096" s="48">
        <f>IF(OR($G1096=0,INDEX(Employees!$O$5:$O$29,$A1096)&lt;&gt;"Yes"),0,IF(COUNTIF(Settings!$D$4:$D$9,"&lt;="&amp;$H1096)=0,0,INDEX(Settings!$E$4:$E$9,COUNTIF(Settings!$D$4:$D$9,"&lt;="&amp;$H1096))))</f>
        <v/>
      </c>
      <c r="K1096" s="48">
        <f>IF($G1096=0,0,IF(INDEX(Employees!$I$5:$I$29,$A1096)="Per pay period",(N(INDEX(Employees!$J$5:$J$29,$A1096))+$J1096)/Settings!$B$13,IF(INDEX(Employees!$I$5:$I$29,$A1096)="Per hour worked",N(INDEX(Employees!$K$5:$K$29,$A1096))*$I1096,IF(INDEX(Employees!$I$5:$I$29,$A1096)="Front-loaded",IF(OR($B1096=1,N($G1095)=0),N(INDEX(Employees!$J$5:$J$29,$A1096))+$J1096,0),0))))</f>
        <v/>
      </c>
      <c r="L1096" s="48">
        <f>IF($F1096=0,0,SUMIFS('Time Off Log'!$H$5:$H$504,'Time Off Log'!$A$5:$A$504,$C1096,'Time Off Log'!$B$5:$B$504,"PTO",'Time Off Log'!$E$5:$E$504,"Approved",'Time Off Log'!$C$5:$C$504,"&gt;="&amp;INDEX(Periods!$E$5:$E$57,$B1096),'Time Off Log'!$C$5:$C$504,"&lt;="&amp;INDEX(Periods!$F$5:$F$57,$B1096)))</f>
        <v/>
      </c>
      <c r="M1096" s="48">
        <f>IF($B1096=1,N(INDEX(Employees!$N$5:$N$29,$A1096)),P1095)</f>
        <v/>
      </c>
      <c r="N1096" s="48">
        <f>IF(INDEX(Employees!$L$5:$L$29,$A1096)="",K1096,MAX(0,MIN(K1096,INDEX(Employees!$L$5:$L$29,$A1096)-(M1096-L1096))))</f>
        <v/>
      </c>
      <c r="O1096" s="48">
        <f>K1096-N1096</f>
        <v/>
      </c>
      <c r="P1096" s="48">
        <f>M1096-L1096+N1096</f>
        <v/>
      </c>
      <c r="Q1096" s="48">
        <f>IF($G1096=0,0,IF(INDEX(Employees!$P$5:$P$29,$A1096)="Per pay period",(N(INDEX(Employees!$Q$5:$Q$29,$A1096)))/Settings!$B$13,IF(INDEX(Employees!$P$5:$P$29,$A1096)="Per hour worked",N(INDEX(Employees!$R$5:$R$29,$A1096))*$I1096,IF(INDEX(Employees!$P$5:$P$29,$A1096)="Front-loaded",IF(OR($B1096=1,N($G1095)=0),N(INDEX(Employees!$Q$5:$Q$29,$A1096)),0),0))))</f>
        <v/>
      </c>
      <c r="R1096" s="48">
        <f>IF($F1096=0,0,SUMIFS('Time Off Log'!$H$5:$H$504,'Time Off Log'!$A$5:$A$504,$C1096,'Time Off Log'!$B$5:$B$504,"Sick",'Time Off Log'!$E$5:$E$504,"Approved",'Time Off Log'!$C$5:$C$504,"&gt;="&amp;INDEX(Periods!$E$5:$E$57,$B1096),'Time Off Log'!$C$5:$C$504,"&lt;="&amp;INDEX(Periods!$F$5:$F$57,$B1096)))</f>
        <v/>
      </c>
      <c r="S1096" s="48">
        <f>IF($B1096=1,N(INDEX(Employees!$T$5:$T$29,$A1096)),V1095)</f>
        <v/>
      </c>
      <c r="T1096" s="48">
        <f>IF(INDEX(Employees!$S$5:$S$29,$A1096)="",Q1096,MAX(0,MIN(Q1096,INDEX(Employees!$S$5:$S$29,$A1096)-(S1096-R1096))))</f>
        <v/>
      </c>
      <c r="U1096" s="48">
        <f>Q1096-T1096</f>
        <v/>
      </c>
      <c r="V1096" s="48">
        <f>S1096-R1096+T1096</f>
        <v/>
      </c>
    </row>
    <row r="1097">
      <c r="A1097" s="47" t="n">
        <v>21</v>
      </c>
      <c r="B1097" s="47" t="n">
        <v>33</v>
      </c>
      <c r="C1097" s="48">
        <f>INDEX(Employees!$B$5:$B$29,$A1097)&amp;""</f>
        <v/>
      </c>
      <c r="D1097" s="49">
        <f>INDEX(Periods!$B$5:$B$57,$B1097)</f>
        <v/>
      </c>
      <c r="E1097" s="49">
        <f>INDEX(Periods!$C$5:$C$57,$B1097)</f>
        <v/>
      </c>
      <c r="F1097" s="47">
        <f>IF(AND($C1097&lt;&gt;"",INDEX(Periods!$D$5:$D$57,$B1097)=1),1,0)</f>
        <v/>
      </c>
      <c r="G1097" s="47">
        <f>IF($F1097=0,0,IF(AND(OR(INDEX(Employees!$D$5:$D$29,$A1097)="",$E1097&gt;=INDEX(Employees!$D$5:$D$29,$A1097)+N(INDEX(Employees!$U$5:$U$29,$A1097))),OR(INDEX(Employees!$E$5:$E$29,$A1097)="",$D1097&lt;=INDEX(Employees!$E$5:$E$29,$A1097))),1,0))</f>
        <v/>
      </c>
      <c r="H1097" s="47">
        <f>IF($G1097=0,0,IF(INDEX(Employees!$D$5:$D$29,$A1097)="",0,DATEDIF(INDEX(Employees!$D$5:$D$29,$A1097),$E1097,"y")))</f>
        <v/>
      </c>
      <c r="I1097" s="48">
        <f>IF($G1097=0,0,IF(INDEX('Hours Worked'!$D$5:$BD$29,$A1097,$B1097)="",N(INDEX(Employees!$H$5:$H$29,$A1097)),INDEX('Hours Worked'!$D$5:$BD$29,$A1097,$B1097)))</f>
        <v/>
      </c>
      <c r="J1097" s="48">
        <f>IF(OR($G1097=0,INDEX(Employees!$O$5:$O$29,$A1097)&lt;&gt;"Yes"),0,IF(COUNTIF(Settings!$D$4:$D$9,"&lt;="&amp;$H1097)=0,0,INDEX(Settings!$E$4:$E$9,COUNTIF(Settings!$D$4:$D$9,"&lt;="&amp;$H1097))))</f>
        <v/>
      </c>
      <c r="K1097" s="48">
        <f>IF($G1097=0,0,IF(INDEX(Employees!$I$5:$I$29,$A1097)="Per pay period",(N(INDEX(Employees!$J$5:$J$29,$A1097))+$J1097)/Settings!$B$13,IF(INDEX(Employees!$I$5:$I$29,$A1097)="Per hour worked",N(INDEX(Employees!$K$5:$K$29,$A1097))*$I1097,IF(INDEX(Employees!$I$5:$I$29,$A1097)="Front-loaded",IF(OR($B1097=1,N($G1096)=0),N(INDEX(Employees!$J$5:$J$29,$A1097))+$J1097,0),0))))</f>
        <v/>
      </c>
      <c r="L1097" s="48">
        <f>IF($F1097=0,0,SUMIFS('Time Off Log'!$H$5:$H$504,'Time Off Log'!$A$5:$A$504,$C1097,'Time Off Log'!$B$5:$B$504,"PTO",'Time Off Log'!$E$5:$E$504,"Approved",'Time Off Log'!$C$5:$C$504,"&gt;="&amp;INDEX(Periods!$E$5:$E$57,$B1097),'Time Off Log'!$C$5:$C$504,"&lt;="&amp;INDEX(Periods!$F$5:$F$57,$B1097)))</f>
        <v/>
      </c>
      <c r="M1097" s="48">
        <f>IF($B1097=1,N(INDEX(Employees!$N$5:$N$29,$A1097)),P1096)</f>
        <v/>
      </c>
      <c r="N1097" s="48">
        <f>IF(INDEX(Employees!$L$5:$L$29,$A1097)="",K1097,MAX(0,MIN(K1097,INDEX(Employees!$L$5:$L$29,$A1097)-(M1097-L1097))))</f>
        <v/>
      </c>
      <c r="O1097" s="48">
        <f>K1097-N1097</f>
        <v/>
      </c>
      <c r="P1097" s="48">
        <f>M1097-L1097+N1097</f>
        <v/>
      </c>
      <c r="Q1097" s="48">
        <f>IF($G1097=0,0,IF(INDEX(Employees!$P$5:$P$29,$A1097)="Per pay period",(N(INDEX(Employees!$Q$5:$Q$29,$A1097)))/Settings!$B$13,IF(INDEX(Employees!$P$5:$P$29,$A1097)="Per hour worked",N(INDEX(Employees!$R$5:$R$29,$A1097))*$I1097,IF(INDEX(Employees!$P$5:$P$29,$A1097)="Front-loaded",IF(OR($B1097=1,N($G1096)=0),N(INDEX(Employees!$Q$5:$Q$29,$A1097)),0),0))))</f>
        <v/>
      </c>
      <c r="R1097" s="48">
        <f>IF($F1097=0,0,SUMIFS('Time Off Log'!$H$5:$H$504,'Time Off Log'!$A$5:$A$504,$C1097,'Time Off Log'!$B$5:$B$504,"Sick",'Time Off Log'!$E$5:$E$504,"Approved",'Time Off Log'!$C$5:$C$504,"&gt;="&amp;INDEX(Periods!$E$5:$E$57,$B1097),'Time Off Log'!$C$5:$C$504,"&lt;="&amp;INDEX(Periods!$F$5:$F$57,$B1097)))</f>
        <v/>
      </c>
      <c r="S1097" s="48">
        <f>IF($B1097=1,N(INDEX(Employees!$T$5:$T$29,$A1097)),V1096)</f>
        <v/>
      </c>
      <c r="T1097" s="48">
        <f>IF(INDEX(Employees!$S$5:$S$29,$A1097)="",Q1097,MAX(0,MIN(Q1097,INDEX(Employees!$S$5:$S$29,$A1097)-(S1097-R1097))))</f>
        <v/>
      </c>
      <c r="U1097" s="48">
        <f>Q1097-T1097</f>
        <v/>
      </c>
      <c r="V1097" s="48">
        <f>S1097-R1097+T1097</f>
        <v/>
      </c>
    </row>
    <row r="1098">
      <c r="A1098" s="47" t="n">
        <v>21</v>
      </c>
      <c r="B1098" s="47" t="n">
        <v>34</v>
      </c>
      <c r="C1098" s="48">
        <f>INDEX(Employees!$B$5:$B$29,$A1098)&amp;""</f>
        <v/>
      </c>
      <c r="D1098" s="49">
        <f>INDEX(Periods!$B$5:$B$57,$B1098)</f>
        <v/>
      </c>
      <c r="E1098" s="49">
        <f>INDEX(Periods!$C$5:$C$57,$B1098)</f>
        <v/>
      </c>
      <c r="F1098" s="47">
        <f>IF(AND($C1098&lt;&gt;"",INDEX(Periods!$D$5:$D$57,$B1098)=1),1,0)</f>
        <v/>
      </c>
      <c r="G1098" s="47">
        <f>IF($F1098=0,0,IF(AND(OR(INDEX(Employees!$D$5:$D$29,$A1098)="",$E1098&gt;=INDEX(Employees!$D$5:$D$29,$A1098)+N(INDEX(Employees!$U$5:$U$29,$A1098))),OR(INDEX(Employees!$E$5:$E$29,$A1098)="",$D1098&lt;=INDEX(Employees!$E$5:$E$29,$A1098))),1,0))</f>
        <v/>
      </c>
      <c r="H1098" s="47">
        <f>IF($G1098=0,0,IF(INDEX(Employees!$D$5:$D$29,$A1098)="",0,DATEDIF(INDEX(Employees!$D$5:$D$29,$A1098),$E1098,"y")))</f>
        <v/>
      </c>
      <c r="I1098" s="48">
        <f>IF($G1098=0,0,IF(INDEX('Hours Worked'!$D$5:$BD$29,$A1098,$B1098)="",N(INDEX(Employees!$H$5:$H$29,$A1098)),INDEX('Hours Worked'!$D$5:$BD$29,$A1098,$B1098)))</f>
        <v/>
      </c>
      <c r="J1098" s="48">
        <f>IF(OR($G1098=0,INDEX(Employees!$O$5:$O$29,$A1098)&lt;&gt;"Yes"),0,IF(COUNTIF(Settings!$D$4:$D$9,"&lt;="&amp;$H1098)=0,0,INDEX(Settings!$E$4:$E$9,COUNTIF(Settings!$D$4:$D$9,"&lt;="&amp;$H1098))))</f>
        <v/>
      </c>
      <c r="K1098" s="48">
        <f>IF($G1098=0,0,IF(INDEX(Employees!$I$5:$I$29,$A1098)="Per pay period",(N(INDEX(Employees!$J$5:$J$29,$A1098))+$J1098)/Settings!$B$13,IF(INDEX(Employees!$I$5:$I$29,$A1098)="Per hour worked",N(INDEX(Employees!$K$5:$K$29,$A1098))*$I1098,IF(INDEX(Employees!$I$5:$I$29,$A1098)="Front-loaded",IF(OR($B1098=1,N($G1097)=0),N(INDEX(Employees!$J$5:$J$29,$A1098))+$J1098,0),0))))</f>
        <v/>
      </c>
      <c r="L1098" s="48">
        <f>IF($F1098=0,0,SUMIFS('Time Off Log'!$H$5:$H$504,'Time Off Log'!$A$5:$A$504,$C1098,'Time Off Log'!$B$5:$B$504,"PTO",'Time Off Log'!$E$5:$E$504,"Approved",'Time Off Log'!$C$5:$C$504,"&gt;="&amp;INDEX(Periods!$E$5:$E$57,$B1098),'Time Off Log'!$C$5:$C$504,"&lt;="&amp;INDEX(Periods!$F$5:$F$57,$B1098)))</f>
        <v/>
      </c>
      <c r="M1098" s="48">
        <f>IF($B1098=1,N(INDEX(Employees!$N$5:$N$29,$A1098)),P1097)</f>
        <v/>
      </c>
      <c r="N1098" s="48">
        <f>IF(INDEX(Employees!$L$5:$L$29,$A1098)="",K1098,MAX(0,MIN(K1098,INDEX(Employees!$L$5:$L$29,$A1098)-(M1098-L1098))))</f>
        <v/>
      </c>
      <c r="O1098" s="48">
        <f>K1098-N1098</f>
        <v/>
      </c>
      <c r="P1098" s="48">
        <f>M1098-L1098+N1098</f>
        <v/>
      </c>
      <c r="Q1098" s="48">
        <f>IF($G1098=0,0,IF(INDEX(Employees!$P$5:$P$29,$A1098)="Per pay period",(N(INDEX(Employees!$Q$5:$Q$29,$A1098)))/Settings!$B$13,IF(INDEX(Employees!$P$5:$P$29,$A1098)="Per hour worked",N(INDEX(Employees!$R$5:$R$29,$A1098))*$I1098,IF(INDEX(Employees!$P$5:$P$29,$A1098)="Front-loaded",IF(OR($B1098=1,N($G1097)=0),N(INDEX(Employees!$Q$5:$Q$29,$A1098)),0),0))))</f>
        <v/>
      </c>
      <c r="R1098" s="48">
        <f>IF($F1098=0,0,SUMIFS('Time Off Log'!$H$5:$H$504,'Time Off Log'!$A$5:$A$504,$C1098,'Time Off Log'!$B$5:$B$504,"Sick",'Time Off Log'!$E$5:$E$504,"Approved",'Time Off Log'!$C$5:$C$504,"&gt;="&amp;INDEX(Periods!$E$5:$E$57,$B1098),'Time Off Log'!$C$5:$C$504,"&lt;="&amp;INDEX(Periods!$F$5:$F$57,$B1098)))</f>
        <v/>
      </c>
      <c r="S1098" s="48">
        <f>IF($B1098=1,N(INDEX(Employees!$T$5:$T$29,$A1098)),V1097)</f>
        <v/>
      </c>
      <c r="T1098" s="48">
        <f>IF(INDEX(Employees!$S$5:$S$29,$A1098)="",Q1098,MAX(0,MIN(Q1098,INDEX(Employees!$S$5:$S$29,$A1098)-(S1098-R1098))))</f>
        <v/>
      </c>
      <c r="U1098" s="48">
        <f>Q1098-T1098</f>
        <v/>
      </c>
      <c r="V1098" s="48">
        <f>S1098-R1098+T1098</f>
        <v/>
      </c>
    </row>
    <row r="1099">
      <c r="A1099" s="47" t="n">
        <v>21</v>
      </c>
      <c r="B1099" s="47" t="n">
        <v>35</v>
      </c>
      <c r="C1099" s="48">
        <f>INDEX(Employees!$B$5:$B$29,$A1099)&amp;""</f>
        <v/>
      </c>
      <c r="D1099" s="49">
        <f>INDEX(Periods!$B$5:$B$57,$B1099)</f>
        <v/>
      </c>
      <c r="E1099" s="49">
        <f>INDEX(Periods!$C$5:$C$57,$B1099)</f>
        <v/>
      </c>
      <c r="F1099" s="47">
        <f>IF(AND($C1099&lt;&gt;"",INDEX(Periods!$D$5:$D$57,$B1099)=1),1,0)</f>
        <v/>
      </c>
      <c r="G1099" s="47">
        <f>IF($F1099=0,0,IF(AND(OR(INDEX(Employees!$D$5:$D$29,$A1099)="",$E1099&gt;=INDEX(Employees!$D$5:$D$29,$A1099)+N(INDEX(Employees!$U$5:$U$29,$A1099))),OR(INDEX(Employees!$E$5:$E$29,$A1099)="",$D1099&lt;=INDEX(Employees!$E$5:$E$29,$A1099))),1,0))</f>
        <v/>
      </c>
      <c r="H1099" s="47">
        <f>IF($G1099=0,0,IF(INDEX(Employees!$D$5:$D$29,$A1099)="",0,DATEDIF(INDEX(Employees!$D$5:$D$29,$A1099),$E1099,"y")))</f>
        <v/>
      </c>
      <c r="I1099" s="48">
        <f>IF($G1099=0,0,IF(INDEX('Hours Worked'!$D$5:$BD$29,$A1099,$B1099)="",N(INDEX(Employees!$H$5:$H$29,$A1099)),INDEX('Hours Worked'!$D$5:$BD$29,$A1099,$B1099)))</f>
        <v/>
      </c>
      <c r="J1099" s="48">
        <f>IF(OR($G1099=0,INDEX(Employees!$O$5:$O$29,$A1099)&lt;&gt;"Yes"),0,IF(COUNTIF(Settings!$D$4:$D$9,"&lt;="&amp;$H1099)=0,0,INDEX(Settings!$E$4:$E$9,COUNTIF(Settings!$D$4:$D$9,"&lt;="&amp;$H1099))))</f>
        <v/>
      </c>
      <c r="K1099" s="48">
        <f>IF($G1099=0,0,IF(INDEX(Employees!$I$5:$I$29,$A1099)="Per pay period",(N(INDEX(Employees!$J$5:$J$29,$A1099))+$J1099)/Settings!$B$13,IF(INDEX(Employees!$I$5:$I$29,$A1099)="Per hour worked",N(INDEX(Employees!$K$5:$K$29,$A1099))*$I1099,IF(INDEX(Employees!$I$5:$I$29,$A1099)="Front-loaded",IF(OR($B1099=1,N($G1098)=0),N(INDEX(Employees!$J$5:$J$29,$A1099))+$J1099,0),0))))</f>
        <v/>
      </c>
      <c r="L1099" s="48">
        <f>IF($F1099=0,0,SUMIFS('Time Off Log'!$H$5:$H$504,'Time Off Log'!$A$5:$A$504,$C1099,'Time Off Log'!$B$5:$B$504,"PTO",'Time Off Log'!$E$5:$E$504,"Approved",'Time Off Log'!$C$5:$C$504,"&gt;="&amp;INDEX(Periods!$E$5:$E$57,$B1099),'Time Off Log'!$C$5:$C$504,"&lt;="&amp;INDEX(Periods!$F$5:$F$57,$B1099)))</f>
        <v/>
      </c>
      <c r="M1099" s="48">
        <f>IF($B1099=1,N(INDEX(Employees!$N$5:$N$29,$A1099)),P1098)</f>
        <v/>
      </c>
      <c r="N1099" s="48">
        <f>IF(INDEX(Employees!$L$5:$L$29,$A1099)="",K1099,MAX(0,MIN(K1099,INDEX(Employees!$L$5:$L$29,$A1099)-(M1099-L1099))))</f>
        <v/>
      </c>
      <c r="O1099" s="48">
        <f>K1099-N1099</f>
        <v/>
      </c>
      <c r="P1099" s="48">
        <f>M1099-L1099+N1099</f>
        <v/>
      </c>
      <c r="Q1099" s="48">
        <f>IF($G1099=0,0,IF(INDEX(Employees!$P$5:$P$29,$A1099)="Per pay period",(N(INDEX(Employees!$Q$5:$Q$29,$A1099)))/Settings!$B$13,IF(INDEX(Employees!$P$5:$P$29,$A1099)="Per hour worked",N(INDEX(Employees!$R$5:$R$29,$A1099))*$I1099,IF(INDEX(Employees!$P$5:$P$29,$A1099)="Front-loaded",IF(OR($B1099=1,N($G1098)=0),N(INDEX(Employees!$Q$5:$Q$29,$A1099)),0),0))))</f>
        <v/>
      </c>
      <c r="R1099" s="48">
        <f>IF($F1099=0,0,SUMIFS('Time Off Log'!$H$5:$H$504,'Time Off Log'!$A$5:$A$504,$C1099,'Time Off Log'!$B$5:$B$504,"Sick",'Time Off Log'!$E$5:$E$504,"Approved",'Time Off Log'!$C$5:$C$504,"&gt;="&amp;INDEX(Periods!$E$5:$E$57,$B1099),'Time Off Log'!$C$5:$C$504,"&lt;="&amp;INDEX(Periods!$F$5:$F$57,$B1099)))</f>
        <v/>
      </c>
      <c r="S1099" s="48">
        <f>IF($B1099=1,N(INDEX(Employees!$T$5:$T$29,$A1099)),V1098)</f>
        <v/>
      </c>
      <c r="T1099" s="48">
        <f>IF(INDEX(Employees!$S$5:$S$29,$A1099)="",Q1099,MAX(0,MIN(Q1099,INDEX(Employees!$S$5:$S$29,$A1099)-(S1099-R1099))))</f>
        <v/>
      </c>
      <c r="U1099" s="48">
        <f>Q1099-T1099</f>
        <v/>
      </c>
      <c r="V1099" s="48">
        <f>S1099-R1099+T1099</f>
        <v/>
      </c>
    </row>
    <row r="1100">
      <c r="A1100" s="47" t="n">
        <v>21</v>
      </c>
      <c r="B1100" s="47" t="n">
        <v>36</v>
      </c>
      <c r="C1100" s="48">
        <f>INDEX(Employees!$B$5:$B$29,$A1100)&amp;""</f>
        <v/>
      </c>
      <c r="D1100" s="49">
        <f>INDEX(Periods!$B$5:$B$57,$B1100)</f>
        <v/>
      </c>
      <c r="E1100" s="49">
        <f>INDEX(Periods!$C$5:$C$57,$B1100)</f>
        <v/>
      </c>
      <c r="F1100" s="47">
        <f>IF(AND($C1100&lt;&gt;"",INDEX(Periods!$D$5:$D$57,$B1100)=1),1,0)</f>
        <v/>
      </c>
      <c r="G1100" s="47">
        <f>IF($F1100=0,0,IF(AND(OR(INDEX(Employees!$D$5:$D$29,$A1100)="",$E1100&gt;=INDEX(Employees!$D$5:$D$29,$A1100)+N(INDEX(Employees!$U$5:$U$29,$A1100))),OR(INDEX(Employees!$E$5:$E$29,$A1100)="",$D1100&lt;=INDEX(Employees!$E$5:$E$29,$A1100))),1,0))</f>
        <v/>
      </c>
      <c r="H1100" s="47">
        <f>IF($G1100=0,0,IF(INDEX(Employees!$D$5:$D$29,$A1100)="",0,DATEDIF(INDEX(Employees!$D$5:$D$29,$A1100),$E1100,"y")))</f>
        <v/>
      </c>
      <c r="I1100" s="48">
        <f>IF($G1100=0,0,IF(INDEX('Hours Worked'!$D$5:$BD$29,$A1100,$B1100)="",N(INDEX(Employees!$H$5:$H$29,$A1100)),INDEX('Hours Worked'!$D$5:$BD$29,$A1100,$B1100)))</f>
        <v/>
      </c>
      <c r="J1100" s="48">
        <f>IF(OR($G1100=0,INDEX(Employees!$O$5:$O$29,$A1100)&lt;&gt;"Yes"),0,IF(COUNTIF(Settings!$D$4:$D$9,"&lt;="&amp;$H1100)=0,0,INDEX(Settings!$E$4:$E$9,COUNTIF(Settings!$D$4:$D$9,"&lt;="&amp;$H1100))))</f>
        <v/>
      </c>
      <c r="K1100" s="48">
        <f>IF($G1100=0,0,IF(INDEX(Employees!$I$5:$I$29,$A1100)="Per pay period",(N(INDEX(Employees!$J$5:$J$29,$A1100))+$J1100)/Settings!$B$13,IF(INDEX(Employees!$I$5:$I$29,$A1100)="Per hour worked",N(INDEX(Employees!$K$5:$K$29,$A1100))*$I1100,IF(INDEX(Employees!$I$5:$I$29,$A1100)="Front-loaded",IF(OR($B1100=1,N($G1099)=0),N(INDEX(Employees!$J$5:$J$29,$A1100))+$J1100,0),0))))</f>
        <v/>
      </c>
      <c r="L1100" s="48">
        <f>IF($F1100=0,0,SUMIFS('Time Off Log'!$H$5:$H$504,'Time Off Log'!$A$5:$A$504,$C1100,'Time Off Log'!$B$5:$B$504,"PTO",'Time Off Log'!$E$5:$E$504,"Approved",'Time Off Log'!$C$5:$C$504,"&gt;="&amp;INDEX(Periods!$E$5:$E$57,$B1100),'Time Off Log'!$C$5:$C$504,"&lt;="&amp;INDEX(Periods!$F$5:$F$57,$B1100)))</f>
        <v/>
      </c>
      <c r="M1100" s="48">
        <f>IF($B1100=1,N(INDEX(Employees!$N$5:$N$29,$A1100)),P1099)</f>
        <v/>
      </c>
      <c r="N1100" s="48">
        <f>IF(INDEX(Employees!$L$5:$L$29,$A1100)="",K1100,MAX(0,MIN(K1100,INDEX(Employees!$L$5:$L$29,$A1100)-(M1100-L1100))))</f>
        <v/>
      </c>
      <c r="O1100" s="48">
        <f>K1100-N1100</f>
        <v/>
      </c>
      <c r="P1100" s="48">
        <f>M1100-L1100+N1100</f>
        <v/>
      </c>
      <c r="Q1100" s="48">
        <f>IF($G1100=0,0,IF(INDEX(Employees!$P$5:$P$29,$A1100)="Per pay period",(N(INDEX(Employees!$Q$5:$Q$29,$A1100)))/Settings!$B$13,IF(INDEX(Employees!$P$5:$P$29,$A1100)="Per hour worked",N(INDEX(Employees!$R$5:$R$29,$A1100))*$I1100,IF(INDEX(Employees!$P$5:$P$29,$A1100)="Front-loaded",IF(OR($B1100=1,N($G1099)=0),N(INDEX(Employees!$Q$5:$Q$29,$A1100)),0),0))))</f>
        <v/>
      </c>
      <c r="R1100" s="48">
        <f>IF($F1100=0,0,SUMIFS('Time Off Log'!$H$5:$H$504,'Time Off Log'!$A$5:$A$504,$C1100,'Time Off Log'!$B$5:$B$504,"Sick",'Time Off Log'!$E$5:$E$504,"Approved",'Time Off Log'!$C$5:$C$504,"&gt;="&amp;INDEX(Periods!$E$5:$E$57,$B1100),'Time Off Log'!$C$5:$C$504,"&lt;="&amp;INDEX(Periods!$F$5:$F$57,$B1100)))</f>
        <v/>
      </c>
      <c r="S1100" s="48">
        <f>IF($B1100=1,N(INDEX(Employees!$T$5:$T$29,$A1100)),V1099)</f>
        <v/>
      </c>
      <c r="T1100" s="48">
        <f>IF(INDEX(Employees!$S$5:$S$29,$A1100)="",Q1100,MAX(0,MIN(Q1100,INDEX(Employees!$S$5:$S$29,$A1100)-(S1100-R1100))))</f>
        <v/>
      </c>
      <c r="U1100" s="48">
        <f>Q1100-T1100</f>
        <v/>
      </c>
      <c r="V1100" s="48">
        <f>S1100-R1100+T1100</f>
        <v/>
      </c>
    </row>
    <row r="1101">
      <c r="A1101" s="47" t="n">
        <v>21</v>
      </c>
      <c r="B1101" s="47" t="n">
        <v>37</v>
      </c>
      <c r="C1101" s="48">
        <f>INDEX(Employees!$B$5:$B$29,$A1101)&amp;""</f>
        <v/>
      </c>
      <c r="D1101" s="49">
        <f>INDEX(Periods!$B$5:$B$57,$B1101)</f>
        <v/>
      </c>
      <c r="E1101" s="49">
        <f>INDEX(Periods!$C$5:$C$57,$B1101)</f>
        <v/>
      </c>
      <c r="F1101" s="47">
        <f>IF(AND($C1101&lt;&gt;"",INDEX(Periods!$D$5:$D$57,$B1101)=1),1,0)</f>
        <v/>
      </c>
      <c r="G1101" s="47">
        <f>IF($F1101=0,0,IF(AND(OR(INDEX(Employees!$D$5:$D$29,$A1101)="",$E1101&gt;=INDEX(Employees!$D$5:$D$29,$A1101)+N(INDEX(Employees!$U$5:$U$29,$A1101))),OR(INDEX(Employees!$E$5:$E$29,$A1101)="",$D1101&lt;=INDEX(Employees!$E$5:$E$29,$A1101))),1,0))</f>
        <v/>
      </c>
      <c r="H1101" s="47">
        <f>IF($G1101=0,0,IF(INDEX(Employees!$D$5:$D$29,$A1101)="",0,DATEDIF(INDEX(Employees!$D$5:$D$29,$A1101),$E1101,"y")))</f>
        <v/>
      </c>
      <c r="I1101" s="48">
        <f>IF($G1101=0,0,IF(INDEX('Hours Worked'!$D$5:$BD$29,$A1101,$B1101)="",N(INDEX(Employees!$H$5:$H$29,$A1101)),INDEX('Hours Worked'!$D$5:$BD$29,$A1101,$B1101)))</f>
        <v/>
      </c>
      <c r="J1101" s="48">
        <f>IF(OR($G1101=0,INDEX(Employees!$O$5:$O$29,$A1101)&lt;&gt;"Yes"),0,IF(COUNTIF(Settings!$D$4:$D$9,"&lt;="&amp;$H1101)=0,0,INDEX(Settings!$E$4:$E$9,COUNTIF(Settings!$D$4:$D$9,"&lt;="&amp;$H1101))))</f>
        <v/>
      </c>
      <c r="K1101" s="48">
        <f>IF($G1101=0,0,IF(INDEX(Employees!$I$5:$I$29,$A1101)="Per pay period",(N(INDEX(Employees!$J$5:$J$29,$A1101))+$J1101)/Settings!$B$13,IF(INDEX(Employees!$I$5:$I$29,$A1101)="Per hour worked",N(INDEX(Employees!$K$5:$K$29,$A1101))*$I1101,IF(INDEX(Employees!$I$5:$I$29,$A1101)="Front-loaded",IF(OR($B1101=1,N($G1100)=0),N(INDEX(Employees!$J$5:$J$29,$A1101))+$J1101,0),0))))</f>
        <v/>
      </c>
      <c r="L1101" s="48">
        <f>IF($F1101=0,0,SUMIFS('Time Off Log'!$H$5:$H$504,'Time Off Log'!$A$5:$A$504,$C1101,'Time Off Log'!$B$5:$B$504,"PTO",'Time Off Log'!$E$5:$E$504,"Approved",'Time Off Log'!$C$5:$C$504,"&gt;="&amp;INDEX(Periods!$E$5:$E$57,$B1101),'Time Off Log'!$C$5:$C$504,"&lt;="&amp;INDEX(Periods!$F$5:$F$57,$B1101)))</f>
        <v/>
      </c>
      <c r="M1101" s="48">
        <f>IF($B1101=1,N(INDEX(Employees!$N$5:$N$29,$A1101)),P1100)</f>
        <v/>
      </c>
      <c r="N1101" s="48">
        <f>IF(INDEX(Employees!$L$5:$L$29,$A1101)="",K1101,MAX(0,MIN(K1101,INDEX(Employees!$L$5:$L$29,$A1101)-(M1101-L1101))))</f>
        <v/>
      </c>
      <c r="O1101" s="48">
        <f>K1101-N1101</f>
        <v/>
      </c>
      <c r="P1101" s="48">
        <f>M1101-L1101+N1101</f>
        <v/>
      </c>
      <c r="Q1101" s="48">
        <f>IF($G1101=0,0,IF(INDEX(Employees!$P$5:$P$29,$A1101)="Per pay period",(N(INDEX(Employees!$Q$5:$Q$29,$A1101)))/Settings!$B$13,IF(INDEX(Employees!$P$5:$P$29,$A1101)="Per hour worked",N(INDEX(Employees!$R$5:$R$29,$A1101))*$I1101,IF(INDEX(Employees!$P$5:$P$29,$A1101)="Front-loaded",IF(OR($B1101=1,N($G1100)=0),N(INDEX(Employees!$Q$5:$Q$29,$A1101)),0),0))))</f>
        <v/>
      </c>
      <c r="R1101" s="48">
        <f>IF($F1101=0,0,SUMIFS('Time Off Log'!$H$5:$H$504,'Time Off Log'!$A$5:$A$504,$C1101,'Time Off Log'!$B$5:$B$504,"Sick",'Time Off Log'!$E$5:$E$504,"Approved",'Time Off Log'!$C$5:$C$504,"&gt;="&amp;INDEX(Periods!$E$5:$E$57,$B1101),'Time Off Log'!$C$5:$C$504,"&lt;="&amp;INDEX(Periods!$F$5:$F$57,$B1101)))</f>
        <v/>
      </c>
      <c r="S1101" s="48">
        <f>IF($B1101=1,N(INDEX(Employees!$T$5:$T$29,$A1101)),V1100)</f>
        <v/>
      </c>
      <c r="T1101" s="48">
        <f>IF(INDEX(Employees!$S$5:$S$29,$A1101)="",Q1101,MAX(0,MIN(Q1101,INDEX(Employees!$S$5:$S$29,$A1101)-(S1101-R1101))))</f>
        <v/>
      </c>
      <c r="U1101" s="48">
        <f>Q1101-T1101</f>
        <v/>
      </c>
      <c r="V1101" s="48">
        <f>S1101-R1101+T1101</f>
        <v/>
      </c>
    </row>
    <row r="1102">
      <c r="A1102" s="47" t="n">
        <v>21</v>
      </c>
      <c r="B1102" s="47" t="n">
        <v>38</v>
      </c>
      <c r="C1102" s="48">
        <f>INDEX(Employees!$B$5:$B$29,$A1102)&amp;""</f>
        <v/>
      </c>
      <c r="D1102" s="49">
        <f>INDEX(Periods!$B$5:$B$57,$B1102)</f>
        <v/>
      </c>
      <c r="E1102" s="49">
        <f>INDEX(Periods!$C$5:$C$57,$B1102)</f>
        <v/>
      </c>
      <c r="F1102" s="47">
        <f>IF(AND($C1102&lt;&gt;"",INDEX(Periods!$D$5:$D$57,$B1102)=1),1,0)</f>
        <v/>
      </c>
      <c r="G1102" s="47">
        <f>IF($F1102=0,0,IF(AND(OR(INDEX(Employees!$D$5:$D$29,$A1102)="",$E1102&gt;=INDEX(Employees!$D$5:$D$29,$A1102)+N(INDEX(Employees!$U$5:$U$29,$A1102))),OR(INDEX(Employees!$E$5:$E$29,$A1102)="",$D1102&lt;=INDEX(Employees!$E$5:$E$29,$A1102))),1,0))</f>
        <v/>
      </c>
      <c r="H1102" s="47">
        <f>IF($G1102=0,0,IF(INDEX(Employees!$D$5:$D$29,$A1102)="",0,DATEDIF(INDEX(Employees!$D$5:$D$29,$A1102),$E1102,"y")))</f>
        <v/>
      </c>
      <c r="I1102" s="48">
        <f>IF($G1102=0,0,IF(INDEX('Hours Worked'!$D$5:$BD$29,$A1102,$B1102)="",N(INDEX(Employees!$H$5:$H$29,$A1102)),INDEX('Hours Worked'!$D$5:$BD$29,$A1102,$B1102)))</f>
        <v/>
      </c>
      <c r="J1102" s="48">
        <f>IF(OR($G1102=0,INDEX(Employees!$O$5:$O$29,$A1102)&lt;&gt;"Yes"),0,IF(COUNTIF(Settings!$D$4:$D$9,"&lt;="&amp;$H1102)=0,0,INDEX(Settings!$E$4:$E$9,COUNTIF(Settings!$D$4:$D$9,"&lt;="&amp;$H1102))))</f>
        <v/>
      </c>
      <c r="K1102" s="48">
        <f>IF($G1102=0,0,IF(INDEX(Employees!$I$5:$I$29,$A1102)="Per pay period",(N(INDEX(Employees!$J$5:$J$29,$A1102))+$J1102)/Settings!$B$13,IF(INDEX(Employees!$I$5:$I$29,$A1102)="Per hour worked",N(INDEX(Employees!$K$5:$K$29,$A1102))*$I1102,IF(INDEX(Employees!$I$5:$I$29,$A1102)="Front-loaded",IF(OR($B1102=1,N($G1101)=0),N(INDEX(Employees!$J$5:$J$29,$A1102))+$J1102,0),0))))</f>
        <v/>
      </c>
      <c r="L1102" s="48">
        <f>IF($F1102=0,0,SUMIFS('Time Off Log'!$H$5:$H$504,'Time Off Log'!$A$5:$A$504,$C1102,'Time Off Log'!$B$5:$B$504,"PTO",'Time Off Log'!$E$5:$E$504,"Approved",'Time Off Log'!$C$5:$C$504,"&gt;="&amp;INDEX(Periods!$E$5:$E$57,$B1102),'Time Off Log'!$C$5:$C$504,"&lt;="&amp;INDEX(Periods!$F$5:$F$57,$B1102)))</f>
        <v/>
      </c>
      <c r="M1102" s="48">
        <f>IF($B1102=1,N(INDEX(Employees!$N$5:$N$29,$A1102)),P1101)</f>
        <v/>
      </c>
      <c r="N1102" s="48">
        <f>IF(INDEX(Employees!$L$5:$L$29,$A1102)="",K1102,MAX(0,MIN(K1102,INDEX(Employees!$L$5:$L$29,$A1102)-(M1102-L1102))))</f>
        <v/>
      </c>
      <c r="O1102" s="48">
        <f>K1102-N1102</f>
        <v/>
      </c>
      <c r="P1102" s="48">
        <f>M1102-L1102+N1102</f>
        <v/>
      </c>
      <c r="Q1102" s="48">
        <f>IF($G1102=0,0,IF(INDEX(Employees!$P$5:$P$29,$A1102)="Per pay period",(N(INDEX(Employees!$Q$5:$Q$29,$A1102)))/Settings!$B$13,IF(INDEX(Employees!$P$5:$P$29,$A1102)="Per hour worked",N(INDEX(Employees!$R$5:$R$29,$A1102))*$I1102,IF(INDEX(Employees!$P$5:$P$29,$A1102)="Front-loaded",IF(OR($B1102=1,N($G1101)=0),N(INDEX(Employees!$Q$5:$Q$29,$A1102)),0),0))))</f>
        <v/>
      </c>
      <c r="R1102" s="48">
        <f>IF($F1102=0,0,SUMIFS('Time Off Log'!$H$5:$H$504,'Time Off Log'!$A$5:$A$504,$C1102,'Time Off Log'!$B$5:$B$504,"Sick",'Time Off Log'!$E$5:$E$504,"Approved",'Time Off Log'!$C$5:$C$504,"&gt;="&amp;INDEX(Periods!$E$5:$E$57,$B1102),'Time Off Log'!$C$5:$C$504,"&lt;="&amp;INDEX(Periods!$F$5:$F$57,$B1102)))</f>
        <v/>
      </c>
      <c r="S1102" s="48">
        <f>IF($B1102=1,N(INDEX(Employees!$T$5:$T$29,$A1102)),V1101)</f>
        <v/>
      </c>
      <c r="T1102" s="48">
        <f>IF(INDEX(Employees!$S$5:$S$29,$A1102)="",Q1102,MAX(0,MIN(Q1102,INDEX(Employees!$S$5:$S$29,$A1102)-(S1102-R1102))))</f>
        <v/>
      </c>
      <c r="U1102" s="48">
        <f>Q1102-T1102</f>
        <v/>
      </c>
      <c r="V1102" s="48">
        <f>S1102-R1102+T1102</f>
        <v/>
      </c>
    </row>
    <row r="1103">
      <c r="A1103" s="47" t="n">
        <v>21</v>
      </c>
      <c r="B1103" s="47" t="n">
        <v>39</v>
      </c>
      <c r="C1103" s="48">
        <f>INDEX(Employees!$B$5:$B$29,$A1103)&amp;""</f>
        <v/>
      </c>
      <c r="D1103" s="49">
        <f>INDEX(Periods!$B$5:$B$57,$B1103)</f>
        <v/>
      </c>
      <c r="E1103" s="49">
        <f>INDEX(Periods!$C$5:$C$57,$B1103)</f>
        <v/>
      </c>
      <c r="F1103" s="47">
        <f>IF(AND($C1103&lt;&gt;"",INDEX(Periods!$D$5:$D$57,$B1103)=1),1,0)</f>
        <v/>
      </c>
      <c r="G1103" s="47">
        <f>IF($F1103=0,0,IF(AND(OR(INDEX(Employees!$D$5:$D$29,$A1103)="",$E1103&gt;=INDEX(Employees!$D$5:$D$29,$A1103)+N(INDEX(Employees!$U$5:$U$29,$A1103))),OR(INDEX(Employees!$E$5:$E$29,$A1103)="",$D1103&lt;=INDEX(Employees!$E$5:$E$29,$A1103))),1,0))</f>
        <v/>
      </c>
      <c r="H1103" s="47">
        <f>IF($G1103=0,0,IF(INDEX(Employees!$D$5:$D$29,$A1103)="",0,DATEDIF(INDEX(Employees!$D$5:$D$29,$A1103),$E1103,"y")))</f>
        <v/>
      </c>
      <c r="I1103" s="48">
        <f>IF($G1103=0,0,IF(INDEX('Hours Worked'!$D$5:$BD$29,$A1103,$B1103)="",N(INDEX(Employees!$H$5:$H$29,$A1103)),INDEX('Hours Worked'!$D$5:$BD$29,$A1103,$B1103)))</f>
        <v/>
      </c>
      <c r="J1103" s="48">
        <f>IF(OR($G1103=0,INDEX(Employees!$O$5:$O$29,$A1103)&lt;&gt;"Yes"),0,IF(COUNTIF(Settings!$D$4:$D$9,"&lt;="&amp;$H1103)=0,0,INDEX(Settings!$E$4:$E$9,COUNTIF(Settings!$D$4:$D$9,"&lt;="&amp;$H1103))))</f>
        <v/>
      </c>
      <c r="K1103" s="48">
        <f>IF($G1103=0,0,IF(INDEX(Employees!$I$5:$I$29,$A1103)="Per pay period",(N(INDEX(Employees!$J$5:$J$29,$A1103))+$J1103)/Settings!$B$13,IF(INDEX(Employees!$I$5:$I$29,$A1103)="Per hour worked",N(INDEX(Employees!$K$5:$K$29,$A1103))*$I1103,IF(INDEX(Employees!$I$5:$I$29,$A1103)="Front-loaded",IF(OR($B1103=1,N($G1102)=0),N(INDEX(Employees!$J$5:$J$29,$A1103))+$J1103,0),0))))</f>
        <v/>
      </c>
      <c r="L1103" s="48">
        <f>IF($F1103=0,0,SUMIFS('Time Off Log'!$H$5:$H$504,'Time Off Log'!$A$5:$A$504,$C1103,'Time Off Log'!$B$5:$B$504,"PTO",'Time Off Log'!$E$5:$E$504,"Approved",'Time Off Log'!$C$5:$C$504,"&gt;="&amp;INDEX(Periods!$E$5:$E$57,$B1103),'Time Off Log'!$C$5:$C$504,"&lt;="&amp;INDEX(Periods!$F$5:$F$57,$B1103)))</f>
        <v/>
      </c>
      <c r="M1103" s="48">
        <f>IF($B1103=1,N(INDEX(Employees!$N$5:$N$29,$A1103)),P1102)</f>
        <v/>
      </c>
      <c r="N1103" s="48">
        <f>IF(INDEX(Employees!$L$5:$L$29,$A1103)="",K1103,MAX(0,MIN(K1103,INDEX(Employees!$L$5:$L$29,$A1103)-(M1103-L1103))))</f>
        <v/>
      </c>
      <c r="O1103" s="48">
        <f>K1103-N1103</f>
        <v/>
      </c>
      <c r="P1103" s="48">
        <f>M1103-L1103+N1103</f>
        <v/>
      </c>
      <c r="Q1103" s="48">
        <f>IF($G1103=0,0,IF(INDEX(Employees!$P$5:$P$29,$A1103)="Per pay period",(N(INDEX(Employees!$Q$5:$Q$29,$A1103)))/Settings!$B$13,IF(INDEX(Employees!$P$5:$P$29,$A1103)="Per hour worked",N(INDEX(Employees!$R$5:$R$29,$A1103))*$I1103,IF(INDEX(Employees!$P$5:$P$29,$A1103)="Front-loaded",IF(OR($B1103=1,N($G1102)=0),N(INDEX(Employees!$Q$5:$Q$29,$A1103)),0),0))))</f>
        <v/>
      </c>
      <c r="R1103" s="48">
        <f>IF($F1103=0,0,SUMIFS('Time Off Log'!$H$5:$H$504,'Time Off Log'!$A$5:$A$504,$C1103,'Time Off Log'!$B$5:$B$504,"Sick",'Time Off Log'!$E$5:$E$504,"Approved",'Time Off Log'!$C$5:$C$504,"&gt;="&amp;INDEX(Periods!$E$5:$E$57,$B1103),'Time Off Log'!$C$5:$C$504,"&lt;="&amp;INDEX(Periods!$F$5:$F$57,$B1103)))</f>
        <v/>
      </c>
      <c r="S1103" s="48">
        <f>IF($B1103=1,N(INDEX(Employees!$T$5:$T$29,$A1103)),V1102)</f>
        <v/>
      </c>
      <c r="T1103" s="48">
        <f>IF(INDEX(Employees!$S$5:$S$29,$A1103)="",Q1103,MAX(0,MIN(Q1103,INDEX(Employees!$S$5:$S$29,$A1103)-(S1103-R1103))))</f>
        <v/>
      </c>
      <c r="U1103" s="48">
        <f>Q1103-T1103</f>
        <v/>
      </c>
      <c r="V1103" s="48">
        <f>S1103-R1103+T1103</f>
        <v/>
      </c>
    </row>
    <row r="1104">
      <c r="A1104" s="47" t="n">
        <v>21</v>
      </c>
      <c r="B1104" s="47" t="n">
        <v>40</v>
      </c>
      <c r="C1104" s="48">
        <f>INDEX(Employees!$B$5:$B$29,$A1104)&amp;""</f>
        <v/>
      </c>
      <c r="D1104" s="49">
        <f>INDEX(Periods!$B$5:$B$57,$B1104)</f>
        <v/>
      </c>
      <c r="E1104" s="49">
        <f>INDEX(Periods!$C$5:$C$57,$B1104)</f>
        <v/>
      </c>
      <c r="F1104" s="47">
        <f>IF(AND($C1104&lt;&gt;"",INDEX(Periods!$D$5:$D$57,$B1104)=1),1,0)</f>
        <v/>
      </c>
      <c r="G1104" s="47">
        <f>IF($F1104=0,0,IF(AND(OR(INDEX(Employees!$D$5:$D$29,$A1104)="",$E1104&gt;=INDEX(Employees!$D$5:$D$29,$A1104)+N(INDEX(Employees!$U$5:$U$29,$A1104))),OR(INDEX(Employees!$E$5:$E$29,$A1104)="",$D1104&lt;=INDEX(Employees!$E$5:$E$29,$A1104))),1,0))</f>
        <v/>
      </c>
      <c r="H1104" s="47">
        <f>IF($G1104=0,0,IF(INDEX(Employees!$D$5:$D$29,$A1104)="",0,DATEDIF(INDEX(Employees!$D$5:$D$29,$A1104),$E1104,"y")))</f>
        <v/>
      </c>
      <c r="I1104" s="48">
        <f>IF($G1104=0,0,IF(INDEX('Hours Worked'!$D$5:$BD$29,$A1104,$B1104)="",N(INDEX(Employees!$H$5:$H$29,$A1104)),INDEX('Hours Worked'!$D$5:$BD$29,$A1104,$B1104)))</f>
        <v/>
      </c>
      <c r="J1104" s="48">
        <f>IF(OR($G1104=0,INDEX(Employees!$O$5:$O$29,$A1104)&lt;&gt;"Yes"),0,IF(COUNTIF(Settings!$D$4:$D$9,"&lt;="&amp;$H1104)=0,0,INDEX(Settings!$E$4:$E$9,COUNTIF(Settings!$D$4:$D$9,"&lt;="&amp;$H1104))))</f>
        <v/>
      </c>
      <c r="K1104" s="48">
        <f>IF($G1104=0,0,IF(INDEX(Employees!$I$5:$I$29,$A1104)="Per pay period",(N(INDEX(Employees!$J$5:$J$29,$A1104))+$J1104)/Settings!$B$13,IF(INDEX(Employees!$I$5:$I$29,$A1104)="Per hour worked",N(INDEX(Employees!$K$5:$K$29,$A1104))*$I1104,IF(INDEX(Employees!$I$5:$I$29,$A1104)="Front-loaded",IF(OR($B1104=1,N($G1103)=0),N(INDEX(Employees!$J$5:$J$29,$A1104))+$J1104,0),0))))</f>
        <v/>
      </c>
      <c r="L1104" s="48">
        <f>IF($F1104=0,0,SUMIFS('Time Off Log'!$H$5:$H$504,'Time Off Log'!$A$5:$A$504,$C1104,'Time Off Log'!$B$5:$B$504,"PTO",'Time Off Log'!$E$5:$E$504,"Approved",'Time Off Log'!$C$5:$C$504,"&gt;="&amp;INDEX(Periods!$E$5:$E$57,$B1104),'Time Off Log'!$C$5:$C$504,"&lt;="&amp;INDEX(Periods!$F$5:$F$57,$B1104)))</f>
        <v/>
      </c>
      <c r="M1104" s="48">
        <f>IF($B1104=1,N(INDEX(Employees!$N$5:$N$29,$A1104)),P1103)</f>
        <v/>
      </c>
      <c r="N1104" s="48">
        <f>IF(INDEX(Employees!$L$5:$L$29,$A1104)="",K1104,MAX(0,MIN(K1104,INDEX(Employees!$L$5:$L$29,$A1104)-(M1104-L1104))))</f>
        <v/>
      </c>
      <c r="O1104" s="48">
        <f>K1104-N1104</f>
        <v/>
      </c>
      <c r="P1104" s="48">
        <f>M1104-L1104+N1104</f>
        <v/>
      </c>
      <c r="Q1104" s="48">
        <f>IF($G1104=0,0,IF(INDEX(Employees!$P$5:$P$29,$A1104)="Per pay period",(N(INDEX(Employees!$Q$5:$Q$29,$A1104)))/Settings!$B$13,IF(INDEX(Employees!$P$5:$P$29,$A1104)="Per hour worked",N(INDEX(Employees!$R$5:$R$29,$A1104))*$I1104,IF(INDEX(Employees!$P$5:$P$29,$A1104)="Front-loaded",IF(OR($B1104=1,N($G1103)=0),N(INDEX(Employees!$Q$5:$Q$29,$A1104)),0),0))))</f>
        <v/>
      </c>
      <c r="R1104" s="48">
        <f>IF($F1104=0,0,SUMIFS('Time Off Log'!$H$5:$H$504,'Time Off Log'!$A$5:$A$504,$C1104,'Time Off Log'!$B$5:$B$504,"Sick",'Time Off Log'!$E$5:$E$504,"Approved",'Time Off Log'!$C$5:$C$504,"&gt;="&amp;INDEX(Periods!$E$5:$E$57,$B1104),'Time Off Log'!$C$5:$C$504,"&lt;="&amp;INDEX(Periods!$F$5:$F$57,$B1104)))</f>
        <v/>
      </c>
      <c r="S1104" s="48">
        <f>IF($B1104=1,N(INDEX(Employees!$T$5:$T$29,$A1104)),V1103)</f>
        <v/>
      </c>
      <c r="T1104" s="48">
        <f>IF(INDEX(Employees!$S$5:$S$29,$A1104)="",Q1104,MAX(0,MIN(Q1104,INDEX(Employees!$S$5:$S$29,$A1104)-(S1104-R1104))))</f>
        <v/>
      </c>
      <c r="U1104" s="48">
        <f>Q1104-T1104</f>
        <v/>
      </c>
      <c r="V1104" s="48">
        <f>S1104-R1104+T1104</f>
        <v/>
      </c>
    </row>
    <row r="1105">
      <c r="A1105" s="47" t="n">
        <v>21</v>
      </c>
      <c r="B1105" s="47" t="n">
        <v>41</v>
      </c>
      <c r="C1105" s="48">
        <f>INDEX(Employees!$B$5:$B$29,$A1105)&amp;""</f>
        <v/>
      </c>
      <c r="D1105" s="49">
        <f>INDEX(Periods!$B$5:$B$57,$B1105)</f>
        <v/>
      </c>
      <c r="E1105" s="49">
        <f>INDEX(Periods!$C$5:$C$57,$B1105)</f>
        <v/>
      </c>
      <c r="F1105" s="47">
        <f>IF(AND($C1105&lt;&gt;"",INDEX(Periods!$D$5:$D$57,$B1105)=1),1,0)</f>
        <v/>
      </c>
      <c r="G1105" s="47">
        <f>IF($F1105=0,0,IF(AND(OR(INDEX(Employees!$D$5:$D$29,$A1105)="",$E1105&gt;=INDEX(Employees!$D$5:$D$29,$A1105)+N(INDEX(Employees!$U$5:$U$29,$A1105))),OR(INDEX(Employees!$E$5:$E$29,$A1105)="",$D1105&lt;=INDEX(Employees!$E$5:$E$29,$A1105))),1,0))</f>
        <v/>
      </c>
      <c r="H1105" s="47">
        <f>IF($G1105=0,0,IF(INDEX(Employees!$D$5:$D$29,$A1105)="",0,DATEDIF(INDEX(Employees!$D$5:$D$29,$A1105),$E1105,"y")))</f>
        <v/>
      </c>
      <c r="I1105" s="48">
        <f>IF($G1105=0,0,IF(INDEX('Hours Worked'!$D$5:$BD$29,$A1105,$B1105)="",N(INDEX(Employees!$H$5:$H$29,$A1105)),INDEX('Hours Worked'!$D$5:$BD$29,$A1105,$B1105)))</f>
        <v/>
      </c>
      <c r="J1105" s="48">
        <f>IF(OR($G1105=0,INDEX(Employees!$O$5:$O$29,$A1105)&lt;&gt;"Yes"),0,IF(COUNTIF(Settings!$D$4:$D$9,"&lt;="&amp;$H1105)=0,0,INDEX(Settings!$E$4:$E$9,COUNTIF(Settings!$D$4:$D$9,"&lt;="&amp;$H1105))))</f>
        <v/>
      </c>
      <c r="K1105" s="48">
        <f>IF($G1105=0,0,IF(INDEX(Employees!$I$5:$I$29,$A1105)="Per pay period",(N(INDEX(Employees!$J$5:$J$29,$A1105))+$J1105)/Settings!$B$13,IF(INDEX(Employees!$I$5:$I$29,$A1105)="Per hour worked",N(INDEX(Employees!$K$5:$K$29,$A1105))*$I1105,IF(INDEX(Employees!$I$5:$I$29,$A1105)="Front-loaded",IF(OR($B1105=1,N($G1104)=0),N(INDEX(Employees!$J$5:$J$29,$A1105))+$J1105,0),0))))</f>
        <v/>
      </c>
      <c r="L1105" s="48">
        <f>IF($F1105=0,0,SUMIFS('Time Off Log'!$H$5:$H$504,'Time Off Log'!$A$5:$A$504,$C1105,'Time Off Log'!$B$5:$B$504,"PTO",'Time Off Log'!$E$5:$E$504,"Approved",'Time Off Log'!$C$5:$C$504,"&gt;="&amp;INDEX(Periods!$E$5:$E$57,$B1105),'Time Off Log'!$C$5:$C$504,"&lt;="&amp;INDEX(Periods!$F$5:$F$57,$B1105)))</f>
        <v/>
      </c>
      <c r="M1105" s="48">
        <f>IF($B1105=1,N(INDEX(Employees!$N$5:$N$29,$A1105)),P1104)</f>
        <v/>
      </c>
      <c r="N1105" s="48">
        <f>IF(INDEX(Employees!$L$5:$L$29,$A1105)="",K1105,MAX(0,MIN(K1105,INDEX(Employees!$L$5:$L$29,$A1105)-(M1105-L1105))))</f>
        <v/>
      </c>
      <c r="O1105" s="48">
        <f>K1105-N1105</f>
        <v/>
      </c>
      <c r="P1105" s="48">
        <f>M1105-L1105+N1105</f>
        <v/>
      </c>
      <c r="Q1105" s="48">
        <f>IF($G1105=0,0,IF(INDEX(Employees!$P$5:$P$29,$A1105)="Per pay period",(N(INDEX(Employees!$Q$5:$Q$29,$A1105)))/Settings!$B$13,IF(INDEX(Employees!$P$5:$P$29,$A1105)="Per hour worked",N(INDEX(Employees!$R$5:$R$29,$A1105))*$I1105,IF(INDEX(Employees!$P$5:$P$29,$A1105)="Front-loaded",IF(OR($B1105=1,N($G1104)=0),N(INDEX(Employees!$Q$5:$Q$29,$A1105)),0),0))))</f>
        <v/>
      </c>
      <c r="R1105" s="48">
        <f>IF($F1105=0,0,SUMIFS('Time Off Log'!$H$5:$H$504,'Time Off Log'!$A$5:$A$504,$C1105,'Time Off Log'!$B$5:$B$504,"Sick",'Time Off Log'!$E$5:$E$504,"Approved",'Time Off Log'!$C$5:$C$504,"&gt;="&amp;INDEX(Periods!$E$5:$E$57,$B1105),'Time Off Log'!$C$5:$C$504,"&lt;="&amp;INDEX(Periods!$F$5:$F$57,$B1105)))</f>
        <v/>
      </c>
      <c r="S1105" s="48">
        <f>IF($B1105=1,N(INDEX(Employees!$T$5:$T$29,$A1105)),V1104)</f>
        <v/>
      </c>
      <c r="T1105" s="48">
        <f>IF(INDEX(Employees!$S$5:$S$29,$A1105)="",Q1105,MAX(0,MIN(Q1105,INDEX(Employees!$S$5:$S$29,$A1105)-(S1105-R1105))))</f>
        <v/>
      </c>
      <c r="U1105" s="48">
        <f>Q1105-T1105</f>
        <v/>
      </c>
      <c r="V1105" s="48">
        <f>S1105-R1105+T1105</f>
        <v/>
      </c>
    </row>
    <row r="1106">
      <c r="A1106" s="47" t="n">
        <v>21</v>
      </c>
      <c r="B1106" s="47" t="n">
        <v>42</v>
      </c>
      <c r="C1106" s="48">
        <f>INDEX(Employees!$B$5:$B$29,$A1106)&amp;""</f>
        <v/>
      </c>
      <c r="D1106" s="49">
        <f>INDEX(Periods!$B$5:$B$57,$B1106)</f>
        <v/>
      </c>
      <c r="E1106" s="49">
        <f>INDEX(Periods!$C$5:$C$57,$B1106)</f>
        <v/>
      </c>
      <c r="F1106" s="47">
        <f>IF(AND($C1106&lt;&gt;"",INDEX(Periods!$D$5:$D$57,$B1106)=1),1,0)</f>
        <v/>
      </c>
      <c r="G1106" s="47">
        <f>IF($F1106=0,0,IF(AND(OR(INDEX(Employees!$D$5:$D$29,$A1106)="",$E1106&gt;=INDEX(Employees!$D$5:$D$29,$A1106)+N(INDEX(Employees!$U$5:$U$29,$A1106))),OR(INDEX(Employees!$E$5:$E$29,$A1106)="",$D1106&lt;=INDEX(Employees!$E$5:$E$29,$A1106))),1,0))</f>
        <v/>
      </c>
      <c r="H1106" s="47">
        <f>IF($G1106=0,0,IF(INDEX(Employees!$D$5:$D$29,$A1106)="",0,DATEDIF(INDEX(Employees!$D$5:$D$29,$A1106),$E1106,"y")))</f>
        <v/>
      </c>
      <c r="I1106" s="48">
        <f>IF($G1106=0,0,IF(INDEX('Hours Worked'!$D$5:$BD$29,$A1106,$B1106)="",N(INDEX(Employees!$H$5:$H$29,$A1106)),INDEX('Hours Worked'!$D$5:$BD$29,$A1106,$B1106)))</f>
        <v/>
      </c>
      <c r="J1106" s="48">
        <f>IF(OR($G1106=0,INDEX(Employees!$O$5:$O$29,$A1106)&lt;&gt;"Yes"),0,IF(COUNTIF(Settings!$D$4:$D$9,"&lt;="&amp;$H1106)=0,0,INDEX(Settings!$E$4:$E$9,COUNTIF(Settings!$D$4:$D$9,"&lt;="&amp;$H1106))))</f>
        <v/>
      </c>
      <c r="K1106" s="48">
        <f>IF($G1106=0,0,IF(INDEX(Employees!$I$5:$I$29,$A1106)="Per pay period",(N(INDEX(Employees!$J$5:$J$29,$A1106))+$J1106)/Settings!$B$13,IF(INDEX(Employees!$I$5:$I$29,$A1106)="Per hour worked",N(INDEX(Employees!$K$5:$K$29,$A1106))*$I1106,IF(INDEX(Employees!$I$5:$I$29,$A1106)="Front-loaded",IF(OR($B1106=1,N($G1105)=0),N(INDEX(Employees!$J$5:$J$29,$A1106))+$J1106,0),0))))</f>
        <v/>
      </c>
      <c r="L1106" s="48">
        <f>IF($F1106=0,0,SUMIFS('Time Off Log'!$H$5:$H$504,'Time Off Log'!$A$5:$A$504,$C1106,'Time Off Log'!$B$5:$B$504,"PTO",'Time Off Log'!$E$5:$E$504,"Approved",'Time Off Log'!$C$5:$C$504,"&gt;="&amp;INDEX(Periods!$E$5:$E$57,$B1106),'Time Off Log'!$C$5:$C$504,"&lt;="&amp;INDEX(Periods!$F$5:$F$57,$B1106)))</f>
        <v/>
      </c>
      <c r="M1106" s="48">
        <f>IF($B1106=1,N(INDEX(Employees!$N$5:$N$29,$A1106)),P1105)</f>
        <v/>
      </c>
      <c r="N1106" s="48">
        <f>IF(INDEX(Employees!$L$5:$L$29,$A1106)="",K1106,MAX(0,MIN(K1106,INDEX(Employees!$L$5:$L$29,$A1106)-(M1106-L1106))))</f>
        <v/>
      </c>
      <c r="O1106" s="48">
        <f>K1106-N1106</f>
        <v/>
      </c>
      <c r="P1106" s="48">
        <f>M1106-L1106+N1106</f>
        <v/>
      </c>
      <c r="Q1106" s="48">
        <f>IF($G1106=0,0,IF(INDEX(Employees!$P$5:$P$29,$A1106)="Per pay period",(N(INDEX(Employees!$Q$5:$Q$29,$A1106)))/Settings!$B$13,IF(INDEX(Employees!$P$5:$P$29,$A1106)="Per hour worked",N(INDEX(Employees!$R$5:$R$29,$A1106))*$I1106,IF(INDEX(Employees!$P$5:$P$29,$A1106)="Front-loaded",IF(OR($B1106=1,N($G1105)=0),N(INDEX(Employees!$Q$5:$Q$29,$A1106)),0),0))))</f>
        <v/>
      </c>
      <c r="R1106" s="48">
        <f>IF($F1106=0,0,SUMIFS('Time Off Log'!$H$5:$H$504,'Time Off Log'!$A$5:$A$504,$C1106,'Time Off Log'!$B$5:$B$504,"Sick",'Time Off Log'!$E$5:$E$504,"Approved",'Time Off Log'!$C$5:$C$504,"&gt;="&amp;INDEX(Periods!$E$5:$E$57,$B1106),'Time Off Log'!$C$5:$C$504,"&lt;="&amp;INDEX(Periods!$F$5:$F$57,$B1106)))</f>
        <v/>
      </c>
      <c r="S1106" s="48">
        <f>IF($B1106=1,N(INDEX(Employees!$T$5:$T$29,$A1106)),V1105)</f>
        <v/>
      </c>
      <c r="T1106" s="48">
        <f>IF(INDEX(Employees!$S$5:$S$29,$A1106)="",Q1106,MAX(0,MIN(Q1106,INDEX(Employees!$S$5:$S$29,$A1106)-(S1106-R1106))))</f>
        <v/>
      </c>
      <c r="U1106" s="48">
        <f>Q1106-T1106</f>
        <v/>
      </c>
      <c r="V1106" s="48">
        <f>S1106-R1106+T1106</f>
        <v/>
      </c>
    </row>
    <row r="1107">
      <c r="A1107" s="47" t="n">
        <v>21</v>
      </c>
      <c r="B1107" s="47" t="n">
        <v>43</v>
      </c>
      <c r="C1107" s="48">
        <f>INDEX(Employees!$B$5:$B$29,$A1107)&amp;""</f>
        <v/>
      </c>
      <c r="D1107" s="49">
        <f>INDEX(Periods!$B$5:$B$57,$B1107)</f>
        <v/>
      </c>
      <c r="E1107" s="49">
        <f>INDEX(Periods!$C$5:$C$57,$B1107)</f>
        <v/>
      </c>
      <c r="F1107" s="47">
        <f>IF(AND($C1107&lt;&gt;"",INDEX(Periods!$D$5:$D$57,$B1107)=1),1,0)</f>
        <v/>
      </c>
      <c r="G1107" s="47">
        <f>IF($F1107=0,0,IF(AND(OR(INDEX(Employees!$D$5:$D$29,$A1107)="",$E1107&gt;=INDEX(Employees!$D$5:$D$29,$A1107)+N(INDEX(Employees!$U$5:$U$29,$A1107))),OR(INDEX(Employees!$E$5:$E$29,$A1107)="",$D1107&lt;=INDEX(Employees!$E$5:$E$29,$A1107))),1,0))</f>
        <v/>
      </c>
      <c r="H1107" s="47">
        <f>IF($G1107=0,0,IF(INDEX(Employees!$D$5:$D$29,$A1107)="",0,DATEDIF(INDEX(Employees!$D$5:$D$29,$A1107),$E1107,"y")))</f>
        <v/>
      </c>
      <c r="I1107" s="48">
        <f>IF($G1107=0,0,IF(INDEX('Hours Worked'!$D$5:$BD$29,$A1107,$B1107)="",N(INDEX(Employees!$H$5:$H$29,$A1107)),INDEX('Hours Worked'!$D$5:$BD$29,$A1107,$B1107)))</f>
        <v/>
      </c>
      <c r="J1107" s="48">
        <f>IF(OR($G1107=0,INDEX(Employees!$O$5:$O$29,$A1107)&lt;&gt;"Yes"),0,IF(COUNTIF(Settings!$D$4:$D$9,"&lt;="&amp;$H1107)=0,0,INDEX(Settings!$E$4:$E$9,COUNTIF(Settings!$D$4:$D$9,"&lt;="&amp;$H1107))))</f>
        <v/>
      </c>
      <c r="K1107" s="48">
        <f>IF($G1107=0,0,IF(INDEX(Employees!$I$5:$I$29,$A1107)="Per pay period",(N(INDEX(Employees!$J$5:$J$29,$A1107))+$J1107)/Settings!$B$13,IF(INDEX(Employees!$I$5:$I$29,$A1107)="Per hour worked",N(INDEX(Employees!$K$5:$K$29,$A1107))*$I1107,IF(INDEX(Employees!$I$5:$I$29,$A1107)="Front-loaded",IF(OR($B1107=1,N($G1106)=0),N(INDEX(Employees!$J$5:$J$29,$A1107))+$J1107,0),0))))</f>
        <v/>
      </c>
      <c r="L1107" s="48">
        <f>IF($F1107=0,0,SUMIFS('Time Off Log'!$H$5:$H$504,'Time Off Log'!$A$5:$A$504,$C1107,'Time Off Log'!$B$5:$B$504,"PTO",'Time Off Log'!$E$5:$E$504,"Approved",'Time Off Log'!$C$5:$C$504,"&gt;="&amp;INDEX(Periods!$E$5:$E$57,$B1107),'Time Off Log'!$C$5:$C$504,"&lt;="&amp;INDEX(Periods!$F$5:$F$57,$B1107)))</f>
        <v/>
      </c>
      <c r="M1107" s="48">
        <f>IF($B1107=1,N(INDEX(Employees!$N$5:$N$29,$A1107)),P1106)</f>
        <v/>
      </c>
      <c r="N1107" s="48">
        <f>IF(INDEX(Employees!$L$5:$L$29,$A1107)="",K1107,MAX(0,MIN(K1107,INDEX(Employees!$L$5:$L$29,$A1107)-(M1107-L1107))))</f>
        <v/>
      </c>
      <c r="O1107" s="48">
        <f>K1107-N1107</f>
        <v/>
      </c>
      <c r="P1107" s="48">
        <f>M1107-L1107+N1107</f>
        <v/>
      </c>
      <c r="Q1107" s="48">
        <f>IF($G1107=0,0,IF(INDEX(Employees!$P$5:$P$29,$A1107)="Per pay period",(N(INDEX(Employees!$Q$5:$Q$29,$A1107)))/Settings!$B$13,IF(INDEX(Employees!$P$5:$P$29,$A1107)="Per hour worked",N(INDEX(Employees!$R$5:$R$29,$A1107))*$I1107,IF(INDEX(Employees!$P$5:$P$29,$A1107)="Front-loaded",IF(OR($B1107=1,N($G1106)=0),N(INDEX(Employees!$Q$5:$Q$29,$A1107)),0),0))))</f>
        <v/>
      </c>
      <c r="R1107" s="48">
        <f>IF($F1107=0,0,SUMIFS('Time Off Log'!$H$5:$H$504,'Time Off Log'!$A$5:$A$504,$C1107,'Time Off Log'!$B$5:$B$504,"Sick",'Time Off Log'!$E$5:$E$504,"Approved",'Time Off Log'!$C$5:$C$504,"&gt;="&amp;INDEX(Periods!$E$5:$E$57,$B1107),'Time Off Log'!$C$5:$C$504,"&lt;="&amp;INDEX(Periods!$F$5:$F$57,$B1107)))</f>
        <v/>
      </c>
      <c r="S1107" s="48">
        <f>IF($B1107=1,N(INDEX(Employees!$T$5:$T$29,$A1107)),V1106)</f>
        <v/>
      </c>
      <c r="T1107" s="48">
        <f>IF(INDEX(Employees!$S$5:$S$29,$A1107)="",Q1107,MAX(0,MIN(Q1107,INDEX(Employees!$S$5:$S$29,$A1107)-(S1107-R1107))))</f>
        <v/>
      </c>
      <c r="U1107" s="48">
        <f>Q1107-T1107</f>
        <v/>
      </c>
      <c r="V1107" s="48">
        <f>S1107-R1107+T1107</f>
        <v/>
      </c>
    </row>
    <row r="1108">
      <c r="A1108" s="47" t="n">
        <v>21</v>
      </c>
      <c r="B1108" s="47" t="n">
        <v>44</v>
      </c>
      <c r="C1108" s="48">
        <f>INDEX(Employees!$B$5:$B$29,$A1108)&amp;""</f>
        <v/>
      </c>
      <c r="D1108" s="49">
        <f>INDEX(Periods!$B$5:$B$57,$B1108)</f>
        <v/>
      </c>
      <c r="E1108" s="49">
        <f>INDEX(Periods!$C$5:$C$57,$B1108)</f>
        <v/>
      </c>
      <c r="F1108" s="47">
        <f>IF(AND($C1108&lt;&gt;"",INDEX(Periods!$D$5:$D$57,$B1108)=1),1,0)</f>
        <v/>
      </c>
      <c r="G1108" s="47">
        <f>IF($F1108=0,0,IF(AND(OR(INDEX(Employees!$D$5:$D$29,$A1108)="",$E1108&gt;=INDEX(Employees!$D$5:$D$29,$A1108)+N(INDEX(Employees!$U$5:$U$29,$A1108))),OR(INDEX(Employees!$E$5:$E$29,$A1108)="",$D1108&lt;=INDEX(Employees!$E$5:$E$29,$A1108))),1,0))</f>
        <v/>
      </c>
      <c r="H1108" s="47">
        <f>IF($G1108=0,0,IF(INDEX(Employees!$D$5:$D$29,$A1108)="",0,DATEDIF(INDEX(Employees!$D$5:$D$29,$A1108),$E1108,"y")))</f>
        <v/>
      </c>
      <c r="I1108" s="48">
        <f>IF($G1108=0,0,IF(INDEX('Hours Worked'!$D$5:$BD$29,$A1108,$B1108)="",N(INDEX(Employees!$H$5:$H$29,$A1108)),INDEX('Hours Worked'!$D$5:$BD$29,$A1108,$B1108)))</f>
        <v/>
      </c>
      <c r="J1108" s="48">
        <f>IF(OR($G1108=0,INDEX(Employees!$O$5:$O$29,$A1108)&lt;&gt;"Yes"),0,IF(COUNTIF(Settings!$D$4:$D$9,"&lt;="&amp;$H1108)=0,0,INDEX(Settings!$E$4:$E$9,COUNTIF(Settings!$D$4:$D$9,"&lt;="&amp;$H1108))))</f>
        <v/>
      </c>
      <c r="K1108" s="48">
        <f>IF($G1108=0,0,IF(INDEX(Employees!$I$5:$I$29,$A1108)="Per pay period",(N(INDEX(Employees!$J$5:$J$29,$A1108))+$J1108)/Settings!$B$13,IF(INDEX(Employees!$I$5:$I$29,$A1108)="Per hour worked",N(INDEX(Employees!$K$5:$K$29,$A1108))*$I1108,IF(INDEX(Employees!$I$5:$I$29,$A1108)="Front-loaded",IF(OR($B1108=1,N($G1107)=0),N(INDEX(Employees!$J$5:$J$29,$A1108))+$J1108,0),0))))</f>
        <v/>
      </c>
      <c r="L1108" s="48">
        <f>IF($F1108=0,0,SUMIFS('Time Off Log'!$H$5:$H$504,'Time Off Log'!$A$5:$A$504,$C1108,'Time Off Log'!$B$5:$B$504,"PTO",'Time Off Log'!$E$5:$E$504,"Approved",'Time Off Log'!$C$5:$C$504,"&gt;="&amp;INDEX(Periods!$E$5:$E$57,$B1108),'Time Off Log'!$C$5:$C$504,"&lt;="&amp;INDEX(Periods!$F$5:$F$57,$B1108)))</f>
        <v/>
      </c>
      <c r="M1108" s="48">
        <f>IF($B1108=1,N(INDEX(Employees!$N$5:$N$29,$A1108)),P1107)</f>
        <v/>
      </c>
      <c r="N1108" s="48">
        <f>IF(INDEX(Employees!$L$5:$L$29,$A1108)="",K1108,MAX(0,MIN(K1108,INDEX(Employees!$L$5:$L$29,$A1108)-(M1108-L1108))))</f>
        <v/>
      </c>
      <c r="O1108" s="48">
        <f>K1108-N1108</f>
        <v/>
      </c>
      <c r="P1108" s="48">
        <f>M1108-L1108+N1108</f>
        <v/>
      </c>
      <c r="Q1108" s="48">
        <f>IF($G1108=0,0,IF(INDEX(Employees!$P$5:$P$29,$A1108)="Per pay period",(N(INDEX(Employees!$Q$5:$Q$29,$A1108)))/Settings!$B$13,IF(INDEX(Employees!$P$5:$P$29,$A1108)="Per hour worked",N(INDEX(Employees!$R$5:$R$29,$A1108))*$I1108,IF(INDEX(Employees!$P$5:$P$29,$A1108)="Front-loaded",IF(OR($B1108=1,N($G1107)=0),N(INDEX(Employees!$Q$5:$Q$29,$A1108)),0),0))))</f>
        <v/>
      </c>
      <c r="R1108" s="48">
        <f>IF($F1108=0,0,SUMIFS('Time Off Log'!$H$5:$H$504,'Time Off Log'!$A$5:$A$504,$C1108,'Time Off Log'!$B$5:$B$504,"Sick",'Time Off Log'!$E$5:$E$504,"Approved",'Time Off Log'!$C$5:$C$504,"&gt;="&amp;INDEX(Periods!$E$5:$E$57,$B1108),'Time Off Log'!$C$5:$C$504,"&lt;="&amp;INDEX(Periods!$F$5:$F$57,$B1108)))</f>
        <v/>
      </c>
      <c r="S1108" s="48">
        <f>IF($B1108=1,N(INDEX(Employees!$T$5:$T$29,$A1108)),V1107)</f>
        <v/>
      </c>
      <c r="T1108" s="48">
        <f>IF(INDEX(Employees!$S$5:$S$29,$A1108)="",Q1108,MAX(0,MIN(Q1108,INDEX(Employees!$S$5:$S$29,$A1108)-(S1108-R1108))))</f>
        <v/>
      </c>
      <c r="U1108" s="48">
        <f>Q1108-T1108</f>
        <v/>
      </c>
      <c r="V1108" s="48">
        <f>S1108-R1108+T1108</f>
        <v/>
      </c>
    </row>
    <row r="1109">
      <c r="A1109" s="47" t="n">
        <v>21</v>
      </c>
      <c r="B1109" s="47" t="n">
        <v>45</v>
      </c>
      <c r="C1109" s="48">
        <f>INDEX(Employees!$B$5:$B$29,$A1109)&amp;""</f>
        <v/>
      </c>
      <c r="D1109" s="49">
        <f>INDEX(Periods!$B$5:$B$57,$B1109)</f>
        <v/>
      </c>
      <c r="E1109" s="49">
        <f>INDEX(Periods!$C$5:$C$57,$B1109)</f>
        <v/>
      </c>
      <c r="F1109" s="47">
        <f>IF(AND($C1109&lt;&gt;"",INDEX(Periods!$D$5:$D$57,$B1109)=1),1,0)</f>
        <v/>
      </c>
      <c r="G1109" s="47">
        <f>IF($F1109=0,0,IF(AND(OR(INDEX(Employees!$D$5:$D$29,$A1109)="",$E1109&gt;=INDEX(Employees!$D$5:$D$29,$A1109)+N(INDEX(Employees!$U$5:$U$29,$A1109))),OR(INDEX(Employees!$E$5:$E$29,$A1109)="",$D1109&lt;=INDEX(Employees!$E$5:$E$29,$A1109))),1,0))</f>
        <v/>
      </c>
      <c r="H1109" s="47">
        <f>IF($G1109=0,0,IF(INDEX(Employees!$D$5:$D$29,$A1109)="",0,DATEDIF(INDEX(Employees!$D$5:$D$29,$A1109),$E1109,"y")))</f>
        <v/>
      </c>
      <c r="I1109" s="48">
        <f>IF($G1109=0,0,IF(INDEX('Hours Worked'!$D$5:$BD$29,$A1109,$B1109)="",N(INDEX(Employees!$H$5:$H$29,$A1109)),INDEX('Hours Worked'!$D$5:$BD$29,$A1109,$B1109)))</f>
        <v/>
      </c>
      <c r="J1109" s="48">
        <f>IF(OR($G1109=0,INDEX(Employees!$O$5:$O$29,$A1109)&lt;&gt;"Yes"),0,IF(COUNTIF(Settings!$D$4:$D$9,"&lt;="&amp;$H1109)=0,0,INDEX(Settings!$E$4:$E$9,COUNTIF(Settings!$D$4:$D$9,"&lt;="&amp;$H1109))))</f>
        <v/>
      </c>
      <c r="K1109" s="48">
        <f>IF($G1109=0,0,IF(INDEX(Employees!$I$5:$I$29,$A1109)="Per pay period",(N(INDEX(Employees!$J$5:$J$29,$A1109))+$J1109)/Settings!$B$13,IF(INDEX(Employees!$I$5:$I$29,$A1109)="Per hour worked",N(INDEX(Employees!$K$5:$K$29,$A1109))*$I1109,IF(INDEX(Employees!$I$5:$I$29,$A1109)="Front-loaded",IF(OR($B1109=1,N($G1108)=0),N(INDEX(Employees!$J$5:$J$29,$A1109))+$J1109,0),0))))</f>
        <v/>
      </c>
      <c r="L1109" s="48">
        <f>IF($F1109=0,0,SUMIFS('Time Off Log'!$H$5:$H$504,'Time Off Log'!$A$5:$A$504,$C1109,'Time Off Log'!$B$5:$B$504,"PTO",'Time Off Log'!$E$5:$E$504,"Approved",'Time Off Log'!$C$5:$C$504,"&gt;="&amp;INDEX(Periods!$E$5:$E$57,$B1109),'Time Off Log'!$C$5:$C$504,"&lt;="&amp;INDEX(Periods!$F$5:$F$57,$B1109)))</f>
        <v/>
      </c>
      <c r="M1109" s="48">
        <f>IF($B1109=1,N(INDEX(Employees!$N$5:$N$29,$A1109)),P1108)</f>
        <v/>
      </c>
      <c r="N1109" s="48">
        <f>IF(INDEX(Employees!$L$5:$L$29,$A1109)="",K1109,MAX(0,MIN(K1109,INDEX(Employees!$L$5:$L$29,$A1109)-(M1109-L1109))))</f>
        <v/>
      </c>
      <c r="O1109" s="48">
        <f>K1109-N1109</f>
        <v/>
      </c>
      <c r="P1109" s="48">
        <f>M1109-L1109+N1109</f>
        <v/>
      </c>
      <c r="Q1109" s="48">
        <f>IF($G1109=0,0,IF(INDEX(Employees!$P$5:$P$29,$A1109)="Per pay period",(N(INDEX(Employees!$Q$5:$Q$29,$A1109)))/Settings!$B$13,IF(INDEX(Employees!$P$5:$P$29,$A1109)="Per hour worked",N(INDEX(Employees!$R$5:$R$29,$A1109))*$I1109,IF(INDEX(Employees!$P$5:$P$29,$A1109)="Front-loaded",IF(OR($B1109=1,N($G1108)=0),N(INDEX(Employees!$Q$5:$Q$29,$A1109)),0),0))))</f>
        <v/>
      </c>
      <c r="R1109" s="48">
        <f>IF($F1109=0,0,SUMIFS('Time Off Log'!$H$5:$H$504,'Time Off Log'!$A$5:$A$504,$C1109,'Time Off Log'!$B$5:$B$504,"Sick",'Time Off Log'!$E$5:$E$504,"Approved",'Time Off Log'!$C$5:$C$504,"&gt;="&amp;INDEX(Periods!$E$5:$E$57,$B1109),'Time Off Log'!$C$5:$C$504,"&lt;="&amp;INDEX(Periods!$F$5:$F$57,$B1109)))</f>
        <v/>
      </c>
      <c r="S1109" s="48">
        <f>IF($B1109=1,N(INDEX(Employees!$T$5:$T$29,$A1109)),V1108)</f>
        <v/>
      </c>
      <c r="T1109" s="48">
        <f>IF(INDEX(Employees!$S$5:$S$29,$A1109)="",Q1109,MAX(0,MIN(Q1109,INDEX(Employees!$S$5:$S$29,$A1109)-(S1109-R1109))))</f>
        <v/>
      </c>
      <c r="U1109" s="48">
        <f>Q1109-T1109</f>
        <v/>
      </c>
      <c r="V1109" s="48">
        <f>S1109-R1109+T1109</f>
        <v/>
      </c>
    </row>
    <row r="1110">
      <c r="A1110" s="47" t="n">
        <v>21</v>
      </c>
      <c r="B1110" s="47" t="n">
        <v>46</v>
      </c>
      <c r="C1110" s="48">
        <f>INDEX(Employees!$B$5:$B$29,$A1110)&amp;""</f>
        <v/>
      </c>
      <c r="D1110" s="49">
        <f>INDEX(Periods!$B$5:$B$57,$B1110)</f>
        <v/>
      </c>
      <c r="E1110" s="49">
        <f>INDEX(Periods!$C$5:$C$57,$B1110)</f>
        <v/>
      </c>
      <c r="F1110" s="47">
        <f>IF(AND($C1110&lt;&gt;"",INDEX(Periods!$D$5:$D$57,$B1110)=1),1,0)</f>
        <v/>
      </c>
      <c r="G1110" s="47">
        <f>IF($F1110=0,0,IF(AND(OR(INDEX(Employees!$D$5:$D$29,$A1110)="",$E1110&gt;=INDEX(Employees!$D$5:$D$29,$A1110)+N(INDEX(Employees!$U$5:$U$29,$A1110))),OR(INDEX(Employees!$E$5:$E$29,$A1110)="",$D1110&lt;=INDEX(Employees!$E$5:$E$29,$A1110))),1,0))</f>
        <v/>
      </c>
      <c r="H1110" s="47">
        <f>IF($G1110=0,0,IF(INDEX(Employees!$D$5:$D$29,$A1110)="",0,DATEDIF(INDEX(Employees!$D$5:$D$29,$A1110),$E1110,"y")))</f>
        <v/>
      </c>
      <c r="I1110" s="48">
        <f>IF($G1110=0,0,IF(INDEX('Hours Worked'!$D$5:$BD$29,$A1110,$B1110)="",N(INDEX(Employees!$H$5:$H$29,$A1110)),INDEX('Hours Worked'!$D$5:$BD$29,$A1110,$B1110)))</f>
        <v/>
      </c>
      <c r="J1110" s="48">
        <f>IF(OR($G1110=0,INDEX(Employees!$O$5:$O$29,$A1110)&lt;&gt;"Yes"),0,IF(COUNTIF(Settings!$D$4:$D$9,"&lt;="&amp;$H1110)=0,0,INDEX(Settings!$E$4:$E$9,COUNTIF(Settings!$D$4:$D$9,"&lt;="&amp;$H1110))))</f>
        <v/>
      </c>
      <c r="K1110" s="48">
        <f>IF($G1110=0,0,IF(INDEX(Employees!$I$5:$I$29,$A1110)="Per pay period",(N(INDEX(Employees!$J$5:$J$29,$A1110))+$J1110)/Settings!$B$13,IF(INDEX(Employees!$I$5:$I$29,$A1110)="Per hour worked",N(INDEX(Employees!$K$5:$K$29,$A1110))*$I1110,IF(INDEX(Employees!$I$5:$I$29,$A1110)="Front-loaded",IF(OR($B1110=1,N($G1109)=0),N(INDEX(Employees!$J$5:$J$29,$A1110))+$J1110,0),0))))</f>
        <v/>
      </c>
      <c r="L1110" s="48">
        <f>IF($F1110=0,0,SUMIFS('Time Off Log'!$H$5:$H$504,'Time Off Log'!$A$5:$A$504,$C1110,'Time Off Log'!$B$5:$B$504,"PTO",'Time Off Log'!$E$5:$E$504,"Approved",'Time Off Log'!$C$5:$C$504,"&gt;="&amp;INDEX(Periods!$E$5:$E$57,$B1110),'Time Off Log'!$C$5:$C$504,"&lt;="&amp;INDEX(Periods!$F$5:$F$57,$B1110)))</f>
        <v/>
      </c>
      <c r="M1110" s="48">
        <f>IF($B1110=1,N(INDEX(Employees!$N$5:$N$29,$A1110)),P1109)</f>
        <v/>
      </c>
      <c r="N1110" s="48">
        <f>IF(INDEX(Employees!$L$5:$L$29,$A1110)="",K1110,MAX(0,MIN(K1110,INDEX(Employees!$L$5:$L$29,$A1110)-(M1110-L1110))))</f>
        <v/>
      </c>
      <c r="O1110" s="48">
        <f>K1110-N1110</f>
        <v/>
      </c>
      <c r="P1110" s="48">
        <f>M1110-L1110+N1110</f>
        <v/>
      </c>
      <c r="Q1110" s="48">
        <f>IF($G1110=0,0,IF(INDEX(Employees!$P$5:$P$29,$A1110)="Per pay period",(N(INDEX(Employees!$Q$5:$Q$29,$A1110)))/Settings!$B$13,IF(INDEX(Employees!$P$5:$P$29,$A1110)="Per hour worked",N(INDEX(Employees!$R$5:$R$29,$A1110))*$I1110,IF(INDEX(Employees!$P$5:$P$29,$A1110)="Front-loaded",IF(OR($B1110=1,N($G1109)=0),N(INDEX(Employees!$Q$5:$Q$29,$A1110)),0),0))))</f>
        <v/>
      </c>
      <c r="R1110" s="48">
        <f>IF($F1110=0,0,SUMIFS('Time Off Log'!$H$5:$H$504,'Time Off Log'!$A$5:$A$504,$C1110,'Time Off Log'!$B$5:$B$504,"Sick",'Time Off Log'!$E$5:$E$504,"Approved",'Time Off Log'!$C$5:$C$504,"&gt;="&amp;INDEX(Periods!$E$5:$E$57,$B1110),'Time Off Log'!$C$5:$C$504,"&lt;="&amp;INDEX(Periods!$F$5:$F$57,$B1110)))</f>
        <v/>
      </c>
      <c r="S1110" s="48">
        <f>IF($B1110=1,N(INDEX(Employees!$T$5:$T$29,$A1110)),V1109)</f>
        <v/>
      </c>
      <c r="T1110" s="48">
        <f>IF(INDEX(Employees!$S$5:$S$29,$A1110)="",Q1110,MAX(0,MIN(Q1110,INDEX(Employees!$S$5:$S$29,$A1110)-(S1110-R1110))))</f>
        <v/>
      </c>
      <c r="U1110" s="48">
        <f>Q1110-T1110</f>
        <v/>
      </c>
      <c r="V1110" s="48">
        <f>S1110-R1110+T1110</f>
        <v/>
      </c>
    </row>
    <row r="1111">
      <c r="A1111" s="47" t="n">
        <v>21</v>
      </c>
      <c r="B1111" s="47" t="n">
        <v>47</v>
      </c>
      <c r="C1111" s="48">
        <f>INDEX(Employees!$B$5:$B$29,$A1111)&amp;""</f>
        <v/>
      </c>
      <c r="D1111" s="49">
        <f>INDEX(Periods!$B$5:$B$57,$B1111)</f>
        <v/>
      </c>
      <c r="E1111" s="49">
        <f>INDEX(Periods!$C$5:$C$57,$B1111)</f>
        <v/>
      </c>
      <c r="F1111" s="47">
        <f>IF(AND($C1111&lt;&gt;"",INDEX(Periods!$D$5:$D$57,$B1111)=1),1,0)</f>
        <v/>
      </c>
      <c r="G1111" s="47">
        <f>IF($F1111=0,0,IF(AND(OR(INDEX(Employees!$D$5:$D$29,$A1111)="",$E1111&gt;=INDEX(Employees!$D$5:$D$29,$A1111)+N(INDEX(Employees!$U$5:$U$29,$A1111))),OR(INDEX(Employees!$E$5:$E$29,$A1111)="",$D1111&lt;=INDEX(Employees!$E$5:$E$29,$A1111))),1,0))</f>
        <v/>
      </c>
      <c r="H1111" s="47">
        <f>IF($G1111=0,0,IF(INDEX(Employees!$D$5:$D$29,$A1111)="",0,DATEDIF(INDEX(Employees!$D$5:$D$29,$A1111),$E1111,"y")))</f>
        <v/>
      </c>
      <c r="I1111" s="48">
        <f>IF($G1111=0,0,IF(INDEX('Hours Worked'!$D$5:$BD$29,$A1111,$B1111)="",N(INDEX(Employees!$H$5:$H$29,$A1111)),INDEX('Hours Worked'!$D$5:$BD$29,$A1111,$B1111)))</f>
        <v/>
      </c>
      <c r="J1111" s="48">
        <f>IF(OR($G1111=0,INDEX(Employees!$O$5:$O$29,$A1111)&lt;&gt;"Yes"),0,IF(COUNTIF(Settings!$D$4:$D$9,"&lt;="&amp;$H1111)=0,0,INDEX(Settings!$E$4:$E$9,COUNTIF(Settings!$D$4:$D$9,"&lt;="&amp;$H1111))))</f>
        <v/>
      </c>
      <c r="K1111" s="48">
        <f>IF($G1111=0,0,IF(INDEX(Employees!$I$5:$I$29,$A1111)="Per pay period",(N(INDEX(Employees!$J$5:$J$29,$A1111))+$J1111)/Settings!$B$13,IF(INDEX(Employees!$I$5:$I$29,$A1111)="Per hour worked",N(INDEX(Employees!$K$5:$K$29,$A1111))*$I1111,IF(INDEX(Employees!$I$5:$I$29,$A1111)="Front-loaded",IF(OR($B1111=1,N($G1110)=0),N(INDEX(Employees!$J$5:$J$29,$A1111))+$J1111,0),0))))</f>
        <v/>
      </c>
      <c r="L1111" s="48">
        <f>IF($F1111=0,0,SUMIFS('Time Off Log'!$H$5:$H$504,'Time Off Log'!$A$5:$A$504,$C1111,'Time Off Log'!$B$5:$B$504,"PTO",'Time Off Log'!$E$5:$E$504,"Approved",'Time Off Log'!$C$5:$C$504,"&gt;="&amp;INDEX(Periods!$E$5:$E$57,$B1111),'Time Off Log'!$C$5:$C$504,"&lt;="&amp;INDEX(Periods!$F$5:$F$57,$B1111)))</f>
        <v/>
      </c>
      <c r="M1111" s="48">
        <f>IF($B1111=1,N(INDEX(Employees!$N$5:$N$29,$A1111)),P1110)</f>
        <v/>
      </c>
      <c r="N1111" s="48">
        <f>IF(INDEX(Employees!$L$5:$L$29,$A1111)="",K1111,MAX(0,MIN(K1111,INDEX(Employees!$L$5:$L$29,$A1111)-(M1111-L1111))))</f>
        <v/>
      </c>
      <c r="O1111" s="48">
        <f>K1111-N1111</f>
        <v/>
      </c>
      <c r="P1111" s="48">
        <f>M1111-L1111+N1111</f>
        <v/>
      </c>
      <c r="Q1111" s="48">
        <f>IF($G1111=0,0,IF(INDEX(Employees!$P$5:$P$29,$A1111)="Per pay period",(N(INDEX(Employees!$Q$5:$Q$29,$A1111)))/Settings!$B$13,IF(INDEX(Employees!$P$5:$P$29,$A1111)="Per hour worked",N(INDEX(Employees!$R$5:$R$29,$A1111))*$I1111,IF(INDEX(Employees!$P$5:$P$29,$A1111)="Front-loaded",IF(OR($B1111=1,N($G1110)=0),N(INDEX(Employees!$Q$5:$Q$29,$A1111)),0),0))))</f>
        <v/>
      </c>
      <c r="R1111" s="48">
        <f>IF($F1111=0,0,SUMIFS('Time Off Log'!$H$5:$H$504,'Time Off Log'!$A$5:$A$504,$C1111,'Time Off Log'!$B$5:$B$504,"Sick",'Time Off Log'!$E$5:$E$504,"Approved",'Time Off Log'!$C$5:$C$504,"&gt;="&amp;INDEX(Periods!$E$5:$E$57,$B1111),'Time Off Log'!$C$5:$C$504,"&lt;="&amp;INDEX(Periods!$F$5:$F$57,$B1111)))</f>
        <v/>
      </c>
      <c r="S1111" s="48">
        <f>IF($B1111=1,N(INDEX(Employees!$T$5:$T$29,$A1111)),V1110)</f>
        <v/>
      </c>
      <c r="T1111" s="48">
        <f>IF(INDEX(Employees!$S$5:$S$29,$A1111)="",Q1111,MAX(0,MIN(Q1111,INDEX(Employees!$S$5:$S$29,$A1111)-(S1111-R1111))))</f>
        <v/>
      </c>
      <c r="U1111" s="48">
        <f>Q1111-T1111</f>
        <v/>
      </c>
      <c r="V1111" s="48">
        <f>S1111-R1111+T1111</f>
        <v/>
      </c>
    </row>
    <row r="1112">
      <c r="A1112" s="47" t="n">
        <v>21</v>
      </c>
      <c r="B1112" s="47" t="n">
        <v>48</v>
      </c>
      <c r="C1112" s="48">
        <f>INDEX(Employees!$B$5:$B$29,$A1112)&amp;""</f>
        <v/>
      </c>
      <c r="D1112" s="49">
        <f>INDEX(Periods!$B$5:$B$57,$B1112)</f>
        <v/>
      </c>
      <c r="E1112" s="49">
        <f>INDEX(Periods!$C$5:$C$57,$B1112)</f>
        <v/>
      </c>
      <c r="F1112" s="47">
        <f>IF(AND($C1112&lt;&gt;"",INDEX(Periods!$D$5:$D$57,$B1112)=1),1,0)</f>
        <v/>
      </c>
      <c r="G1112" s="47">
        <f>IF($F1112=0,0,IF(AND(OR(INDEX(Employees!$D$5:$D$29,$A1112)="",$E1112&gt;=INDEX(Employees!$D$5:$D$29,$A1112)+N(INDEX(Employees!$U$5:$U$29,$A1112))),OR(INDEX(Employees!$E$5:$E$29,$A1112)="",$D1112&lt;=INDEX(Employees!$E$5:$E$29,$A1112))),1,0))</f>
        <v/>
      </c>
      <c r="H1112" s="47">
        <f>IF($G1112=0,0,IF(INDEX(Employees!$D$5:$D$29,$A1112)="",0,DATEDIF(INDEX(Employees!$D$5:$D$29,$A1112),$E1112,"y")))</f>
        <v/>
      </c>
      <c r="I1112" s="48">
        <f>IF($G1112=0,0,IF(INDEX('Hours Worked'!$D$5:$BD$29,$A1112,$B1112)="",N(INDEX(Employees!$H$5:$H$29,$A1112)),INDEX('Hours Worked'!$D$5:$BD$29,$A1112,$B1112)))</f>
        <v/>
      </c>
      <c r="J1112" s="48">
        <f>IF(OR($G1112=0,INDEX(Employees!$O$5:$O$29,$A1112)&lt;&gt;"Yes"),0,IF(COUNTIF(Settings!$D$4:$D$9,"&lt;="&amp;$H1112)=0,0,INDEX(Settings!$E$4:$E$9,COUNTIF(Settings!$D$4:$D$9,"&lt;="&amp;$H1112))))</f>
        <v/>
      </c>
      <c r="K1112" s="48">
        <f>IF($G1112=0,0,IF(INDEX(Employees!$I$5:$I$29,$A1112)="Per pay period",(N(INDEX(Employees!$J$5:$J$29,$A1112))+$J1112)/Settings!$B$13,IF(INDEX(Employees!$I$5:$I$29,$A1112)="Per hour worked",N(INDEX(Employees!$K$5:$K$29,$A1112))*$I1112,IF(INDEX(Employees!$I$5:$I$29,$A1112)="Front-loaded",IF(OR($B1112=1,N($G1111)=0),N(INDEX(Employees!$J$5:$J$29,$A1112))+$J1112,0),0))))</f>
        <v/>
      </c>
      <c r="L1112" s="48">
        <f>IF($F1112=0,0,SUMIFS('Time Off Log'!$H$5:$H$504,'Time Off Log'!$A$5:$A$504,$C1112,'Time Off Log'!$B$5:$B$504,"PTO",'Time Off Log'!$E$5:$E$504,"Approved",'Time Off Log'!$C$5:$C$504,"&gt;="&amp;INDEX(Periods!$E$5:$E$57,$B1112),'Time Off Log'!$C$5:$C$504,"&lt;="&amp;INDEX(Periods!$F$5:$F$57,$B1112)))</f>
        <v/>
      </c>
      <c r="M1112" s="48">
        <f>IF($B1112=1,N(INDEX(Employees!$N$5:$N$29,$A1112)),P1111)</f>
        <v/>
      </c>
      <c r="N1112" s="48">
        <f>IF(INDEX(Employees!$L$5:$L$29,$A1112)="",K1112,MAX(0,MIN(K1112,INDEX(Employees!$L$5:$L$29,$A1112)-(M1112-L1112))))</f>
        <v/>
      </c>
      <c r="O1112" s="48">
        <f>K1112-N1112</f>
        <v/>
      </c>
      <c r="P1112" s="48">
        <f>M1112-L1112+N1112</f>
        <v/>
      </c>
      <c r="Q1112" s="48">
        <f>IF($G1112=0,0,IF(INDEX(Employees!$P$5:$P$29,$A1112)="Per pay period",(N(INDEX(Employees!$Q$5:$Q$29,$A1112)))/Settings!$B$13,IF(INDEX(Employees!$P$5:$P$29,$A1112)="Per hour worked",N(INDEX(Employees!$R$5:$R$29,$A1112))*$I1112,IF(INDEX(Employees!$P$5:$P$29,$A1112)="Front-loaded",IF(OR($B1112=1,N($G1111)=0),N(INDEX(Employees!$Q$5:$Q$29,$A1112)),0),0))))</f>
        <v/>
      </c>
      <c r="R1112" s="48">
        <f>IF($F1112=0,0,SUMIFS('Time Off Log'!$H$5:$H$504,'Time Off Log'!$A$5:$A$504,$C1112,'Time Off Log'!$B$5:$B$504,"Sick",'Time Off Log'!$E$5:$E$504,"Approved",'Time Off Log'!$C$5:$C$504,"&gt;="&amp;INDEX(Periods!$E$5:$E$57,$B1112),'Time Off Log'!$C$5:$C$504,"&lt;="&amp;INDEX(Periods!$F$5:$F$57,$B1112)))</f>
        <v/>
      </c>
      <c r="S1112" s="48">
        <f>IF($B1112=1,N(INDEX(Employees!$T$5:$T$29,$A1112)),V1111)</f>
        <v/>
      </c>
      <c r="T1112" s="48">
        <f>IF(INDEX(Employees!$S$5:$S$29,$A1112)="",Q1112,MAX(0,MIN(Q1112,INDEX(Employees!$S$5:$S$29,$A1112)-(S1112-R1112))))</f>
        <v/>
      </c>
      <c r="U1112" s="48">
        <f>Q1112-T1112</f>
        <v/>
      </c>
      <c r="V1112" s="48">
        <f>S1112-R1112+T1112</f>
        <v/>
      </c>
    </row>
    <row r="1113">
      <c r="A1113" s="47" t="n">
        <v>21</v>
      </c>
      <c r="B1113" s="47" t="n">
        <v>49</v>
      </c>
      <c r="C1113" s="48">
        <f>INDEX(Employees!$B$5:$B$29,$A1113)&amp;""</f>
        <v/>
      </c>
      <c r="D1113" s="49">
        <f>INDEX(Periods!$B$5:$B$57,$B1113)</f>
        <v/>
      </c>
      <c r="E1113" s="49">
        <f>INDEX(Periods!$C$5:$C$57,$B1113)</f>
        <v/>
      </c>
      <c r="F1113" s="47">
        <f>IF(AND($C1113&lt;&gt;"",INDEX(Periods!$D$5:$D$57,$B1113)=1),1,0)</f>
        <v/>
      </c>
      <c r="G1113" s="47">
        <f>IF($F1113=0,0,IF(AND(OR(INDEX(Employees!$D$5:$D$29,$A1113)="",$E1113&gt;=INDEX(Employees!$D$5:$D$29,$A1113)+N(INDEX(Employees!$U$5:$U$29,$A1113))),OR(INDEX(Employees!$E$5:$E$29,$A1113)="",$D1113&lt;=INDEX(Employees!$E$5:$E$29,$A1113))),1,0))</f>
        <v/>
      </c>
      <c r="H1113" s="47">
        <f>IF($G1113=0,0,IF(INDEX(Employees!$D$5:$D$29,$A1113)="",0,DATEDIF(INDEX(Employees!$D$5:$D$29,$A1113),$E1113,"y")))</f>
        <v/>
      </c>
      <c r="I1113" s="48">
        <f>IF($G1113=0,0,IF(INDEX('Hours Worked'!$D$5:$BD$29,$A1113,$B1113)="",N(INDEX(Employees!$H$5:$H$29,$A1113)),INDEX('Hours Worked'!$D$5:$BD$29,$A1113,$B1113)))</f>
        <v/>
      </c>
      <c r="J1113" s="48">
        <f>IF(OR($G1113=0,INDEX(Employees!$O$5:$O$29,$A1113)&lt;&gt;"Yes"),0,IF(COUNTIF(Settings!$D$4:$D$9,"&lt;="&amp;$H1113)=0,0,INDEX(Settings!$E$4:$E$9,COUNTIF(Settings!$D$4:$D$9,"&lt;="&amp;$H1113))))</f>
        <v/>
      </c>
      <c r="K1113" s="48">
        <f>IF($G1113=0,0,IF(INDEX(Employees!$I$5:$I$29,$A1113)="Per pay period",(N(INDEX(Employees!$J$5:$J$29,$A1113))+$J1113)/Settings!$B$13,IF(INDEX(Employees!$I$5:$I$29,$A1113)="Per hour worked",N(INDEX(Employees!$K$5:$K$29,$A1113))*$I1113,IF(INDEX(Employees!$I$5:$I$29,$A1113)="Front-loaded",IF(OR($B1113=1,N($G1112)=0),N(INDEX(Employees!$J$5:$J$29,$A1113))+$J1113,0),0))))</f>
        <v/>
      </c>
      <c r="L1113" s="48">
        <f>IF($F1113=0,0,SUMIFS('Time Off Log'!$H$5:$H$504,'Time Off Log'!$A$5:$A$504,$C1113,'Time Off Log'!$B$5:$B$504,"PTO",'Time Off Log'!$E$5:$E$504,"Approved",'Time Off Log'!$C$5:$C$504,"&gt;="&amp;INDEX(Periods!$E$5:$E$57,$B1113),'Time Off Log'!$C$5:$C$504,"&lt;="&amp;INDEX(Periods!$F$5:$F$57,$B1113)))</f>
        <v/>
      </c>
      <c r="M1113" s="48">
        <f>IF($B1113=1,N(INDEX(Employees!$N$5:$N$29,$A1113)),P1112)</f>
        <v/>
      </c>
      <c r="N1113" s="48">
        <f>IF(INDEX(Employees!$L$5:$L$29,$A1113)="",K1113,MAX(0,MIN(K1113,INDEX(Employees!$L$5:$L$29,$A1113)-(M1113-L1113))))</f>
        <v/>
      </c>
      <c r="O1113" s="48">
        <f>K1113-N1113</f>
        <v/>
      </c>
      <c r="P1113" s="48">
        <f>M1113-L1113+N1113</f>
        <v/>
      </c>
      <c r="Q1113" s="48">
        <f>IF($G1113=0,0,IF(INDEX(Employees!$P$5:$P$29,$A1113)="Per pay period",(N(INDEX(Employees!$Q$5:$Q$29,$A1113)))/Settings!$B$13,IF(INDEX(Employees!$P$5:$P$29,$A1113)="Per hour worked",N(INDEX(Employees!$R$5:$R$29,$A1113))*$I1113,IF(INDEX(Employees!$P$5:$P$29,$A1113)="Front-loaded",IF(OR($B1113=1,N($G1112)=0),N(INDEX(Employees!$Q$5:$Q$29,$A1113)),0),0))))</f>
        <v/>
      </c>
      <c r="R1113" s="48">
        <f>IF($F1113=0,0,SUMIFS('Time Off Log'!$H$5:$H$504,'Time Off Log'!$A$5:$A$504,$C1113,'Time Off Log'!$B$5:$B$504,"Sick",'Time Off Log'!$E$5:$E$504,"Approved",'Time Off Log'!$C$5:$C$504,"&gt;="&amp;INDEX(Periods!$E$5:$E$57,$B1113),'Time Off Log'!$C$5:$C$504,"&lt;="&amp;INDEX(Periods!$F$5:$F$57,$B1113)))</f>
        <v/>
      </c>
      <c r="S1113" s="48">
        <f>IF($B1113=1,N(INDEX(Employees!$T$5:$T$29,$A1113)),V1112)</f>
        <v/>
      </c>
      <c r="T1113" s="48">
        <f>IF(INDEX(Employees!$S$5:$S$29,$A1113)="",Q1113,MAX(0,MIN(Q1113,INDEX(Employees!$S$5:$S$29,$A1113)-(S1113-R1113))))</f>
        <v/>
      </c>
      <c r="U1113" s="48">
        <f>Q1113-T1113</f>
        <v/>
      </c>
      <c r="V1113" s="48">
        <f>S1113-R1113+T1113</f>
        <v/>
      </c>
    </row>
    <row r="1114">
      <c r="A1114" s="47" t="n">
        <v>21</v>
      </c>
      <c r="B1114" s="47" t="n">
        <v>50</v>
      </c>
      <c r="C1114" s="48">
        <f>INDEX(Employees!$B$5:$B$29,$A1114)&amp;""</f>
        <v/>
      </c>
      <c r="D1114" s="49">
        <f>INDEX(Periods!$B$5:$B$57,$B1114)</f>
        <v/>
      </c>
      <c r="E1114" s="49">
        <f>INDEX(Periods!$C$5:$C$57,$B1114)</f>
        <v/>
      </c>
      <c r="F1114" s="47">
        <f>IF(AND($C1114&lt;&gt;"",INDEX(Periods!$D$5:$D$57,$B1114)=1),1,0)</f>
        <v/>
      </c>
      <c r="G1114" s="47">
        <f>IF($F1114=0,0,IF(AND(OR(INDEX(Employees!$D$5:$D$29,$A1114)="",$E1114&gt;=INDEX(Employees!$D$5:$D$29,$A1114)+N(INDEX(Employees!$U$5:$U$29,$A1114))),OR(INDEX(Employees!$E$5:$E$29,$A1114)="",$D1114&lt;=INDEX(Employees!$E$5:$E$29,$A1114))),1,0))</f>
        <v/>
      </c>
      <c r="H1114" s="47">
        <f>IF($G1114=0,0,IF(INDEX(Employees!$D$5:$D$29,$A1114)="",0,DATEDIF(INDEX(Employees!$D$5:$D$29,$A1114),$E1114,"y")))</f>
        <v/>
      </c>
      <c r="I1114" s="48">
        <f>IF($G1114=0,0,IF(INDEX('Hours Worked'!$D$5:$BD$29,$A1114,$B1114)="",N(INDEX(Employees!$H$5:$H$29,$A1114)),INDEX('Hours Worked'!$D$5:$BD$29,$A1114,$B1114)))</f>
        <v/>
      </c>
      <c r="J1114" s="48">
        <f>IF(OR($G1114=0,INDEX(Employees!$O$5:$O$29,$A1114)&lt;&gt;"Yes"),0,IF(COUNTIF(Settings!$D$4:$D$9,"&lt;="&amp;$H1114)=0,0,INDEX(Settings!$E$4:$E$9,COUNTIF(Settings!$D$4:$D$9,"&lt;="&amp;$H1114))))</f>
        <v/>
      </c>
      <c r="K1114" s="48">
        <f>IF($G1114=0,0,IF(INDEX(Employees!$I$5:$I$29,$A1114)="Per pay period",(N(INDEX(Employees!$J$5:$J$29,$A1114))+$J1114)/Settings!$B$13,IF(INDEX(Employees!$I$5:$I$29,$A1114)="Per hour worked",N(INDEX(Employees!$K$5:$K$29,$A1114))*$I1114,IF(INDEX(Employees!$I$5:$I$29,$A1114)="Front-loaded",IF(OR($B1114=1,N($G1113)=0),N(INDEX(Employees!$J$5:$J$29,$A1114))+$J1114,0),0))))</f>
        <v/>
      </c>
      <c r="L1114" s="48">
        <f>IF($F1114=0,0,SUMIFS('Time Off Log'!$H$5:$H$504,'Time Off Log'!$A$5:$A$504,$C1114,'Time Off Log'!$B$5:$B$504,"PTO",'Time Off Log'!$E$5:$E$504,"Approved",'Time Off Log'!$C$5:$C$504,"&gt;="&amp;INDEX(Periods!$E$5:$E$57,$B1114),'Time Off Log'!$C$5:$C$504,"&lt;="&amp;INDEX(Periods!$F$5:$F$57,$B1114)))</f>
        <v/>
      </c>
      <c r="M1114" s="48">
        <f>IF($B1114=1,N(INDEX(Employees!$N$5:$N$29,$A1114)),P1113)</f>
        <v/>
      </c>
      <c r="N1114" s="48">
        <f>IF(INDEX(Employees!$L$5:$L$29,$A1114)="",K1114,MAX(0,MIN(K1114,INDEX(Employees!$L$5:$L$29,$A1114)-(M1114-L1114))))</f>
        <v/>
      </c>
      <c r="O1114" s="48">
        <f>K1114-N1114</f>
        <v/>
      </c>
      <c r="P1114" s="48">
        <f>M1114-L1114+N1114</f>
        <v/>
      </c>
      <c r="Q1114" s="48">
        <f>IF($G1114=0,0,IF(INDEX(Employees!$P$5:$P$29,$A1114)="Per pay period",(N(INDEX(Employees!$Q$5:$Q$29,$A1114)))/Settings!$B$13,IF(INDEX(Employees!$P$5:$P$29,$A1114)="Per hour worked",N(INDEX(Employees!$R$5:$R$29,$A1114))*$I1114,IF(INDEX(Employees!$P$5:$P$29,$A1114)="Front-loaded",IF(OR($B1114=1,N($G1113)=0),N(INDEX(Employees!$Q$5:$Q$29,$A1114)),0),0))))</f>
        <v/>
      </c>
      <c r="R1114" s="48">
        <f>IF($F1114=0,0,SUMIFS('Time Off Log'!$H$5:$H$504,'Time Off Log'!$A$5:$A$504,$C1114,'Time Off Log'!$B$5:$B$504,"Sick",'Time Off Log'!$E$5:$E$504,"Approved",'Time Off Log'!$C$5:$C$504,"&gt;="&amp;INDEX(Periods!$E$5:$E$57,$B1114),'Time Off Log'!$C$5:$C$504,"&lt;="&amp;INDEX(Periods!$F$5:$F$57,$B1114)))</f>
        <v/>
      </c>
      <c r="S1114" s="48">
        <f>IF($B1114=1,N(INDEX(Employees!$T$5:$T$29,$A1114)),V1113)</f>
        <v/>
      </c>
      <c r="T1114" s="48">
        <f>IF(INDEX(Employees!$S$5:$S$29,$A1114)="",Q1114,MAX(0,MIN(Q1114,INDEX(Employees!$S$5:$S$29,$A1114)-(S1114-R1114))))</f>
        <v/>
      </c>
      <c r="U1114" s="48">
        <f>Q1114-T1114</f>
        <v/>
      </c>
      <c r="V1114" s="48">
        <f>S1114-R1114+T1114</f>
        <v/>
      </c>
    </row>
    <row r="1115">
      <c r="A1115" s="47" t="n">
        <v>21</v>
      </c>
      <c r="B1115" s="47" t="n">
        <v>51</v>
      </c>
      <c r="C1115" s="48">
        <f>INDEX(Employees!$B$5:$B$29,$A1115)&amp;""</f>
        <v/>
      </c>
      <c r="D1115" s="49">
        <f>INDEX(Periods!$B$5:$B$57,$B1115)</f>
        <v/>
      </c>
      <c r="E1115" s="49">
        <f>INDEX(Periods!$C$5:$C$57,$B1115)</f>
        <v/>
      </c>
      <c r="F1115" s="47">
        <f>IF(AND($C1115&lt;&gt;"",INDEX(Periods!$D$5:$D$57,$B1115)=1),1,0)</f>
        <v/>
      </c>
      <c r="G1115" s="47">
        <f>IF($F1115=0,0,IF(AND(OR(INDEX(Employees!$D$5:$D$29,$A1115)="",$E1115&gt;=INDEX(Employees!$D$5:$D$29,$A1115)+N(INDEX(Employees!$U$5:$U$29,$A1115))),OR(INDEX(Employees!$E$5:$E$29,$A1115)="",$D1115&lt;=INDEX(Employees!$E$5:$E$29,$A1115))),1,0))</f>
        <v/>
      </c>
      <c r="H1115" s="47">
        <f>IF($G1115=0,0,IF(INDEX(Employees!$D$5:$D$29,$A1115)="",0,DATEDIF(INDEX(Employees!$D$5:$D$29,$A1115),$E1115,"y")))</f>
        <v/>
      </c>
      <c r="I1115" s="48">
        <f>IF($G1115=0,0,IF(INDEX('Hours Worked'!$D$5:$BD$29,$A1115,$B1115)="",N(INDEX(Employees!$H$5:$H$29,$A1115)),INDEX('Hours Worked'!$D$5:$BD$29,$A1115,$B1115)))</f>
        <v/>
      </c>
      <c r="J1115" s="48">
        <f>IF(OR($G1115=0,INDEX(Employees!$O$5:$O$29,$A1115)&lt;&gt;"Yes"),0,IF(COUNTIF(Settings!$D$4:$D$9,"&lt;="&amp;$H1115)=0,0,INDEX(Settings!$E$4:$E$9,COUNTIF(Settings!$D$4:$D$9,"&lt;="&amp;$H1115))))</f>
        <v/>
      </c>
      <c r="K1115" s="48">
        <f>IF($G1115=0,0,IF(INDEX(Employees!$I$5:$I$29,$A1115)="Per pay period",(N(INDEX(Employees!$J$5:$J$29,$A1115))+$J1115)/Settings!$B$13,IF(INDEX(Employees!$I$5:$I$29,$A1115)="Per hour worked",N(INDEX(Employees!$K$5:$K$29,$A1115))*$I1115,IF(INDEX(Employees!$I$5:$I$29,$A1115)="Front-loaded",IF(OR($B1115=1,N($G1114)=0),N(INDEX(Employees!$J$5:$J$29,$A1115))+$J1115,0),0))))</f>
        <v/>
      </c>
      <c r="L1115" s="48">
        <f>IF($F1115=0,0,SUMIFS('Time Off Log'!$H$5:$H$504,'Time Off Log'!$A$5:$A$504,$C1115,'Time Off Log'!$B$5:$B$504,"PTO",'Time Off Log'!$E$5:$E$504,"Approved",'Time Off Log'!$C$5:$C$504,"&gt;="&amp;INDEX(Periods!$E$5:$E$57,$B1115),'Time Off Log'!$C$5:$C$504,"&lt;="&amp;INDEX(Periods!$F$5:$F$57,$B1115)))</f>
        <v/>
      </c>
      <c r="M1115" s="48">
        <f>IF($B1115=1,N(INDEX(Employees!$N$5:$N$29,$A1115)),P1114)</f>
        <v/>
      </c>
      <c r="N1115" s="48">
        <f>IF(INDEX(Employees!$L$5:$L$29,$A1115)="",K1115,MAX(0,MIN(K1115,INDEX(Employees!$L$5:$L$29,$A1115)-(M1115-L1115))))</f>
        <v/>
      </c>
      <c r="O1115" s="48">
        <f>K1115-N1115</f>
        <v/>
      </c>
      <c r="P1115" s="48">
        <f>M1115-L1115+N1115</f>
        <v/>
      </c>
      <c r="Q1115" s="48">
        <f>IF($G1115=0,0,IF(INDEX(Employees!$P$5:$P$29,$A1115)="Per pay period",(N(INDEX(Employees!$Q$5:$Q$29,$A1115)))/Settings!$B$13,IF(INDEX(Employees!$P$5:$P$29,$A1115)="Per hour worked",N(INDEX(Employees!$R$5:$R$29,$A1115))*$I1115,IF(INDEX(Employees!$P$5:$P$29,$A1115)="Front-loaded",IF(OR($B1115=1,N($G1114)=0),N(INDEX(Employees!$Q$5:$Q$29,$A1115)),0),0))))</f>
        <v/>
      </c>
      <c r="R1115" s="48">
        <f>IF($F1115=0,0,SUMIFS('Time Off Log'!$H$5:$H$504,'Time Off Log'!$A$5:$A$504,$C1115,'Time Off Log'!$B$5:$B$504,"Sick",'Time Off Log'!$E$5:$E$504,"Approved",'Time Off Log'!$C$5:$C$504,"&gt;="&amp;INDEX(Periods!$E$5:$E$57,$B1115),'Time Off Log'!$C$5:$C$504,"&lt;="&amp;INDEX(Periods!$F$5:$F$57,$B1115)))</f>
        <v/>
      </c>
      <c r="S1115" s="48">
        <f>IF($B1115=1,N(INDEX(Employees!$T$5:$T$29,$A1115)),V1114)</f>
        <v/>
      </c>
      <c r="T1115" s="48">
        <f>IF(INDEX(Employees!$S$5:$S$29,$A1115)="",Q1115,MAX(0,MIN(Q1115,INDEX(Employees!$S$5:$S$29,$A1115)-(S1115-R1115))))</f>
        <v/>
      </c>
      <c r="U1115" s="48">
        <f>Q1115-T1115</f>
        <v/>
      </c>
      <c r="V1115" s="48">
        <f>S1115-R1115+T1115</f>
        <v/>
      </c>
    </row>
    <row r="1116">
      <c r="A1116" s="47" t="n">
        <v>21</v>
      </c>
      <c r="B1116" s="47" t="n">
        <v>52</v>
      </c>
      <c r="C1116" s="48">
        <f>INDEX(Employees!$B$5:$B$29,$A1116)&amp;""</f>
        <v/>
      </c>
      <c r="D1116" s="49">
        <f>INDEX(Periods!$B$5:$B$57,$B1116)</f>
        <v/>
      </c>
      <c r="E1116" s="49">
        <f>INDEX(Periods!$C$5:$C$57,$B1116)</f>
        <v/>
      </c>
      <c r="F1116" s="47">
        <f>IF(AND($C1116&lt;&gt;"",INDEX(Periods!$D$5:$D$57,$B1116)=1),1,0)</f>
        <v/>
      </c>
      <c r="G1116" s="47">
        <f>IF($F1116=0,0,IF(AND(OR(INDEX(Employees!$D$5:$D$29,$A1116)="",$E1116&gt;=INDEX(Employees!$D$5:$D$29,$A1116)+N(INDEX(Employees!$U$5:$U$29,$A1116))),OR(INDEX(Employees!$E$5:$E$29,$A1116)="",$D1116&lt;=INDEX(Employees!$E$5:$E$29,$A1116))),1,0))</f>
        <v/>
      </c>
      <c r="H1116" s="47">
        <f>IF($G1116=0,0,IF(INDEX(Employees!$D$5:$D$29,$A1116)="",0,DATEDIF(INDEX(Employees!$D$5:$D$29,$A1116),$E1116,"y")))</f>
        <v/>
      </c>
      <c r="I1116" s="48">
        <f>IF($G1116=0,0,IF(INDEX('Hours Worked'!$D$5:$BD$29,$A1116,$B1116)="",N(INDEX(Employees!$H$5:$H$29,$A1116)),INDEX('Hours Worked'!$D$5:$BD$29,$A1116,$B1116)))</f>
        <v/>
      </c>
      <c r="J1116" s="48">
        <f>IF(OR($G1116=0,INDEX(Employees!$O$5:$O$29,$A1116)&lt;&gt;"Yes"),0,IF(COUNTIF(Settings!$D$4:$D$9,"&lt;="&amp;$H1116)=0,0,INDEX(Settings!$E$4:$E$9,COUNTIF(Settings!$D$4:$D$9,"&lt;="&amp;$H1116))))</f>
        <v/>
      </c>
      <c r="K1116" s="48">
        <f>IF($G1116=0,0,IF(INDEX(Employees!$I$5:$I$29,$A1116)="Per pay period",(N(INDEX(Employees!$J$5:$J$29,$A1116))+$J1116)/Settings!$B$13,IF(INDEX(Employees!$I$5:$I$29,$A1116)="Per hour worked",N(INDEX(Employees!$K$5:$K$29,$A1116))*$I1116,IF(INDEX(Employees!$I$5:$I$29,$A1116)="Front-loaded",IF(OR($B1116=1,N($G1115)=0),N(INDEX(Employees!$J$5:$J$29,$A1116))+$J1116,0),0))))</f>
        <v/>
      </c>
      <c r="L1116" s="48">
        <f>IF($F1116=0,0,SUMIFS('Time Off Log'!$H$5:$H$504,'Time Off Log'!$A$5:$A$504,$C1116,'Time Off Log'!$B$5:$B$504,"PTO",'Time Off Log'!$E$5:$E$504,"Approved",'Time Off Log'!$C$5:$C$504,"&gt;="&amp;INDEX(Periods!$E$5:$E$57,$B1116),'Time Off Log'!$C$5:$C$504,"&lt;="&amp;INDEX(Periods!$F$5:$F$57,$B1116)))</f>
        <v/>
      </c>
      <c r="M1116" s="48">
        <f>IF($B1116=1,N(INDEX(Employees!$N$5:$N$29,$A1116)),P1115)</f>
        <v/>
      </c>
      <c r="N1116" s="48">
        <f>IF(INDEX(Employees!$L$5:$L$29,$A1116)="",K1116,MAX(0,MIN(K1116,INDEX(Employees!$L$5:$L$29,$A1116)-(M1116-L1116))))</f>
        <v/>
      </c>
      <c r="O1116" s="48">
        <f>K1116-N1116</f>
        <v/>
      </c>
      <c r="P1116" s="48">
        <f>M1116-L1116+N1116</f>
        <v/>
      </c>
      <c r="Q1116" s="48">
        <f>IF($G1116=0,0,IF(INDEX(Employees!$P$5:$P$29,$A1116)="Per pay period",(N(INDEX(Employees!$Q$5:$Q$29,$A1116)))/Settings!$B$13,IF(INDEX(Employees!$P$5:$P$29,$A1116)="Per hour worked",N(INDEX(Employees!$R$5:$R$29,$A1116))*$I1116,IF(INDEX(Employees!$P$5:$P$29,$A1116)="Front-loaded",IF(OR($B1116=1,N($G1115)=0),N(INDEX(Employees!$Q$5:$Q$29,$A1116)),0),0))))</f>
        <v/>
      </c>
      <c r="R1116" s="48">
        <f>IF($F1116=0,0,SUMIFS('Time Off Log'!$H$5:$H$504,'Time Off Log'!$A$5:$A$504,$C1116,'Time Off Log'!$B$5:$B$504,"Sick",'Time Off Log'!$E$5:$E$504,"Approved",'Time Off Log'!$C$5:$C$504,"&gt;="&amp;INDEX(Periods!$E$5:$E$57,$B1116),'Time Off Log'!$C$5:$C$504,"&lt;="&amp;INDEX(Periods!$F$5:$F$57,$B1116)))</f>
        <v/>
      </c>
      <c r="S1116" s="48">
        <f>IF($B1116=1,N(INDEX(Employees!$T$5:$T$29,$A1116)),V1115)</f>
        <v/>
      </c>
      <c r="T1116" s="48">
        <f>IF(INDEX(Employees!$S$5:$S$29,$A1116)="",Q1116,MAX(0,MIN(Q1116,INDEX(Employees!$S$5:$S$29,$A1116)-(S1116-R1116))))</f>
        <v/>
      </c>
      <c r="U1116" s="48">
        <f>Q1116-T1116</f>
        <v/>
      </c>
      <c r="V1116" s="48">
        <f>S1116-R1116+T1116</f>
        <v/>
      </c>
    </row>
    <row r="1117">
      <c r="A1117" s="47" t="n">
        <v>21</v>
      </c>
      <c r="B1117" s="47" t="n">
        <v>53</v>
      </c>
      <c r="C1117" s="48">
        <f>INDEX(Employees!$B$5:$B$29,$A1117)&amp;""</f>
        <v/>
      </c>
      <c r="D1117" s="49">
        <f>INDEX(Periods!$B$5:$B$57,$B1117)</f>
        <v/>
      </c>
      <c r="E1117" s="49">
        <f>INDEX(Periods!$C$5:$C$57,$B1117)</f>
        <v/>
      </c>
      <c r="F1117" s="47">
        <f>IF(AND($C1117&lt;&gt;"",INDEX(Periods!$D$5:$D$57,$B1117)=1),1,0)</f>
        <v/>
      </c>
      <c r="G1117" s="47">
        <f>IF($F1117=0,0,IF(AND(OR(INDEX(Employees!$D$5:$D$29,$A1117)="",$E1117&gt;=INDEX(Employees!$D$5:$D$29,$A1117)+N(INDEX(Employees!$U$5:$U$29,$A1117))),OR(INDEX(Employees!$E$5:$E$29,$A1117)="",$D1117&lt;=INDEX(Employees!$E$5:$E$29,$A1117))),1,0))</f>
        <v/>
      </c>
      <c r="H1117" s="47">
        <f>IF($G1117=0,0,IF(INDEX(Employees!$D$5:$D$29,$A1117)="",0,DATEDIF(INDEX(Employees!$D$5:$D$29,$A1117),$E1117,"y")))</f>
        <v/>
      </c>
      <c r="I1117" s="48">
        <f>IF($G1117=0,0,IF(INDEX('Hours Worked'!$D$5:$BD$29,$A1117,$B1117)="",N(INDEX(Employees!$H$5:$H$29,$A1117)),INDEX('Hours Worked'!$D$5:$BD$29,$A1117,$B1117)))</f>
        <v/>
      </c>
      <c r="J1117" s="48">
        <f>IF(OR($G1117=0,INDEX(Employees!$O$5:$O$29,$A1117)&lt;&gt;"Yes"),0,IF(COUNTIF(Settings!$D$4:$D$9,"&lt;="&amp;$H1117)=0,0,INDEX(Settings!$E$4:$E$9,COUNTIF(Settings!$D$4:$D$9,"&lt;="&amp;$H1117))))</f>
        <v/>
      </c>
      <c r="K1117" s="48">
        <f>IF($G1117=0,0,IF(INDEX(Employees!$I$5:$I$29,$A1117)="Per pay period",(N(INDEX(Employees!$J$5:$J$29,$A1117))+$J1117)/Settings!$B$13,IF(INDEX(Employees!$I$5:$I$29,$A1117)="Per hour worked",N(INDEX(Employees!$K$5:$K$29,$A1117))*$I1117,IF(INDEX(Employees!$I$5:$I$29,$A1117)="Front-loaded",IF(OR($B1117=1,N($G1116)=0),N(INDEX(Employees!$J$5:$J$29,$A1117))+$J1117,0),0))))</f>
        <v/>
      </c>
      <c r="L1117" s="48">
        <f>IF($F1117=0,0,SUMIFS('Time Off Log'!$H$5:$H$504,'Time Off Log'!$A$5:$A$504,$C1117,'Time Off Log'!$B$5:$B$504,"PTO",'Time Off Log'!$E$5:$E$504,"Approved",'Time Off Log'!$C$5:$C$504,"&gt;="&amp;INDEX(Periods!$E$5:$E$57,$B1117),'Time Off Log'!$C$5:$C$504,"&lt;="&amp;INDEX(Periods!$F$5:$F$57,$B1117)))</f>
        <v/>
      </c>
      <c r="M1117" s="48">
        <f>IF($B1117=1,N(INDEX(Employees!$N$5:$N$29,$A1117)),P1116)</f>
        <v/>
      </c>
      <c r="N1117" s="48">
        <f>IF(INDEX(Employees!$L$5:$L$29,$A1117)="",K1117,MAX(0,MIN(K1117,INDEX(Employees!$L$5:$L$29,$A1117)-(M1117-L1117))))</f>
        <v/>
      </c>
      <c r="O1117" s="48">
        <f>K1117-N1117</f>
        <v/>
      </c>
      <c r="P1117" s="48">
        <f>M1117-L1117+N1117</f>
        <v/>
      </c>
      <c r="Q1117" s="48">
        <f>IF($G1117=0,0,IF(INDEX(Employees!$P$5:$P$29,$A1117)="Per pay period",(N(INDEX(Employees!$Q$5:$Q$29,$A1117)))/Settings!$B$13,IF(INDEX(Employees!$P$5:$P$29,$A1117)="Per hour worked",N(INDEX(Employees!$R$5:$R$29,$A1117))*$I1117,IF(INDEX(Employees!$P$5:$P$29,$A1117)="Front-loaded",IF(OR($B1117=1,N($G1116)=0),N(INDEX(Employees!$Q$5:$Q$29,$A1117)),0),0))))</f>
        <v/>
      </c>
      <c r="R1117" s="48">
        <f>IF($F1117=0,0,SUMIFS('Time Off Log'!$H$5:$H$504,'Time Off Log'!$A$5:$A$504,$C1117,'Time Off Log'!$B$5:$B$504,"Sick",'Time Off Log'!$E$5:$E$504,"Approved",'Time Off Log'!$C$5:$C$504,"&gt;="&amp;INDEX(Periods!$E$5:$E$57,$B1117),'Time Off Log'!$C$5:$C$504,"&lt;="&amp;INDEX(Periods!$F$5:$F$57,$B1117)))</f>
        <v/>
      </c>
      <c r="S1117" s="48">
        <f>IF($B1117=1,N(INDEX(Employees!$T$5:$T$29,$A1117)),V1116)</f>
        <v/>
      </c>
      <c r="T1117" s="48">
        <f>IF(INDEX(Employees!$S$5:$S$29,$A1117)="",Q1117,MAX(0,MIN(Q1117,INDEX(Employees!$S$5:$S$29,$A1117)-(S1117-R1117))))</f>
        <v/>
      </c>
      <c r="U1117" s="48">
        <f>Q1117-T1117</f>
        <v/>
      </c>
      <c r="V1117" s="48">
        <f>S1117-R1117+T1117</f>
        <v/>
      </c>
    </row>
    <row r="1118">
      <c r="A1118" s="50" t="n">
        <v>22</v>
      </c>
      <c r="B1118" s="50" t="n">
        <v>1</v>
      </c>
      <c r="C1118" s="51">
        <f>INDEX(Employees!$B$5:$B$29,$A1118)&amp;""</f>
        <v/>
      </c>
      <c r="D1118" s="52">
        <f>INDEX(Periods!$B$5:$B$57,$B1118)</f>
        <v/>
      </c>
      <c r="E1118" s="52">
        <f>INDEX(Periods!$C$5:$C$57,$B1118)</f>
        <v/>
      </c>
      <c r="F1118" s="50">
        <f>IF(AND($C1118&lt;&gt;"",INDEX(Periods!$D$5:$D$57,$B1118)=1),1,0)</f>
        <v/>
      </c>
      <c r="G1118" s="50">
        <f>IF($F1118=0,0,IF(AND(OR(INDEX(Employees!$D$5:$D$29,$A1118)="",$E1118&gt;=INDEX(Employees!$D$5:$D$29,$A1118)+N(INDEX(Employees!$U$5:$U$29,$A1118))),OR(INDEX(Employees!$E$5:$E$29,$A1118)="",$D1118&lt;=INDEX(Employees!$E$5:$E$29,$A1118))),1,0))</f>
        <v/>
      </c>
      <c r="H1118" s="50">
        <f>IF($G1118=0,0,IF(INDEX(Employees!$D$5:$D$29,$A1118)="",0,DATEDIF(INDEX(Employees!$D$5:$D$29,$A1118),$E1118,"y")))</f>
        <v/>
      </c>
      <c r="I1118" s="51">
        <f>IF($G1118=0,0,IF(INDEX('Hours Worked'!$D$5:$BD$29,$A1118,$B1118)="",N(INDEX(Employees!$H$5:$H$29,$A1118)),INDEX('Hours Worked'!$D$5:$BD$29,$A1118,$B1118)))</f>
        <v/>
      </c>
      <c r="J1118" s="51">
        <f>IF(OR($G1118=0,INDEX(Employees!$O$5:$O$29,$A1118)&lt;&gt;"Yes"),0,IF(COUNTIF(Settings!$D$4:$D$9,"&lt;="&amp;$H1118)=0,0,INDEX(Settings!$E$4:$E$9,COUNTIF(Settings!$D$4:$D$9,"&lt;="&amp;$H1118))))</f>
        <v/>
      </c>
      <c r="K1118" s="51">
        <f>IF($G1118=0,0,IF(INDEX(Employees!$I$5:$I$29,$A1118)="Per pay period",(N(INDEX(Employees!$J$5:$J$29,$A1118))+$J1118)/Settings!$B$13,IF(INDEX(Employees!$I$5:$I$29,$A1118)="Per hour worked",N(INDEX(Employees!$K$5:$K$29,$A1118))*$I1118,IF(INDEX(Employees!$I$5:$I$29,$A1118)="Front-loaded",IF(OR($B1118=1,N($G1117)=0),N(INDEX(Employees!$J$5:$J$29,$A1118))+$J1118,0),0))))</f>
        <v/>
      </c>
      <c r="L1118" s="51">
        <f>IF($F1118=0,0,SUMIFS('Time Off Log'!$H$5:$H$504,'Time Off Log'!$A$5:$A$504,$C1118,'Time Off Log'!$B$5:$B$504,"PTO",'Time Off Log'!$E$5:$E$504,"Approved",'Time Off Log'!$C$5:$C$504,"&gt;="&amp;INDEX(Periods!$E$5:$E$57,$B1118),'Time Off Log'!$C$5:$C$504,"&lt;="&amp;INDEX(Periods!$F$5:$F$57,$B1118)))</f>
        <v/>
      </c>
      <c r="M1118" s="51">
        <f>N(INDEX(Employees!$N$5:$N$29,$A1118))</f>
        <v/>
      </c>
      <c r="N1118" s="51">
        <f>IF(INDEX(Employees!$L$5:$L$29,$A1118)="",K1118,MAX(0,MIN(K1118,INDEX(Employees!$L$5:$L$29,$A1118)-(M1118-L1118))))</f>
        <v/>
      </c>
      <c r="O1118" s="51">
        <f>K1118-N1118</f>
        <v/>
      </c>
      <c r="P1118" s="51">
        <f>M1118-L1118+N1118</f>
        <v/>
      </c>
      <c r="Q1118" s="51">
        <f>IF($G1118=0,0,IF(INDEX(Employees!$P$5:$P$29,$A1118)="Per pay period",(N(INDEX(Employees!$Q$5:$Q$29,$A1118)))/Settings!$B$13,IF(INDEX(Employees!$P$5:$P$29,$A1118)="Per hour worked",N(INDEX(Employees!$R$5:$R$29,$A1118))*$I1118,IF(INDEX(Employees!$P$5:$P$29,$A1118)="Front-loaded",IF(OR($B1118=1,N($G1117)=0),N(INDEX(Employees!$Q$5:$Q$29,$A1118)),0),0))))</f>
        <v/>
      </c>
      <c r="R1118" s="51">
        <f>IF($F1118=0,0,SUMIFS('Time Off Log'!$H$5:$H$504,'Time Off Log'!$A$5:$A$504,$C1118,'Time Off Log'!$B$5:$B$504,"Sick",'Time Off Log'!$E$5:$E$504,"Approved",'Time Off Log'!$C$5:$C$504,"&gt;="&amp;INDEX(Periods!$E$5:$E$57,$B1118),'Time Off Log'!$C$5:$C$504,"&lt;="&amp;INDEX(Periods!$F$5:$F$57,$B1118)))</f>
        <v/>
      </c>
      <c r="S1118" s="51">
        <f>N(INDEX(Employees!$T$5:$T$29,$A1118))</f>
        <v/>
      </c>
      <c r="T1118" s="51">
        <f>IF(INDEX(Employees!$S$5:$S$29,$A1118)="",Q1118,MAX(0,MIN(Q1118,INDEX(Employees!$S$5:$S$29,$A1118)-(S1118-R1118))))</f>
        <v/>
      </c>
      <c r="U1118" s="51">
        <f>Q1118-T1118</f>
        <v/>
      </c>
      <c r="V1118" s="51">
        <f>S1118-R1118+T1118</f>
        <v/>
      </c>
    </row>
    <row r="1119">
      <c r="A1119" s="50" t="n">
        <v>22</v>
      </c>
      <c r="B1119" s="50" t="n">
        <v>2</v>
      </c>
      <c r="C1119" s="51">
        <f>INDEX(Employees!$B$5:$B$29,$A1119)&amp;""</f>
        <v/>
      </c>
      <c r="D1119" s="52">
        <f>INDEX(Periods!$B$5:$B$57,$B1119)</f>
        <v/>
      </c>
      <c r="E1119" s="52">
        <f>INDEX(Periods!$C$5:$C$57,$B1119)</f>
        <v/>
      </c>
      <c r="F1119" s="50">
        <f>IF(AND($C1119&lt;&gt;"",INDEX(Periods!$D$5:$D$57,$B1119)=1),1,0)</f>
        <v/>
      </c>
      <c r="G1119" s="50">
        <f>IF($F1119=0,0,IF(AND(OR(INDEX(Employees!$D$5:$D$29,$A1119)="",$E1119&gt;=INDEX(Employees!$D$5:$D$29,$A1119)+N(INDEX(Employees!$U$5:$U$29,$A1119))),OR(INDEX(Employees!$E$5:$E$29,$A1119)="",$D1119&lt;=INDEX(Employees!$E$5:$E$29,$A1119))),1,0))</f>
        <v/>
      </c>
      <c r="H1119" s="50">
        <f>IF($G1119=0,0,IF(INDEX(Employees!$D$5:$D$29,$A1119)="",0,DATEDIF(INDEX(Employees!$D$5:$D$29,$A1119),$E1119,"y")))</f>
        <v/>
      </c>
      <c r="I1119" s="51">
        <f>IF($G1119=0,0,IF(INDEX('Hours Worked'!$D$5:$BD$29,$A1119,$B1119)="",N(INDEX(Employees!$H$5:$H$29,$A1119)),INDEX('Hours Worked'!$D$5:$BD$29,$A1119,$B1119)))</f>
        <v/>
      </c>
      <c r="J1119" s="51">
        <f>IF(OR($G1119=0,INDEX(Employees!$O$5:$O$29,$A1119)&lt;&gt;"Yes"),0,IF(COUNTIF(Settings!$D$4:$D$9,"&lt;="&amp;$H1119)=0,0,INDEX(Settings!$E$4:$E$9,COUNTIF(Settings!$D$4:$D$9,"&lt;="&amp;$H1119))))</f>
        <v/>
      </c>
      <c r="K1119" s="51">
        <f>IF($G1119=0,0,IF(INDEX(Employees!$I$5:$I$29,$A1119)="Per pay period",(N(INDEX(Employees!$J$5:$J$29,$A1119))+$J1119)/Settings!$B$13,IF(INDEX(Employees!$I$5:$I$29,$A1119)="Per hour worked",N(INDEX(Employees!$K$5:$K$29,$A1119))*$I1119,IF(INDEX(Employees!$I$5:$I$29,$A1119)="Front-loaded",IF(OR($B1119=1,N($G1118)=0),N(INDEX(Employees!$J$5:$J$29,$A1119))+$J1119,0),0))))</f>
        <v/>
      </c>
      <c r="L1119" s="51">
        <f>IF($F1119=0,0,SUMIFS('Time Off Log'!$H$5:$H$504,'Time Off Log'!$A$5:$A$504,$C1119,'Time Off Log'!$B$5:$B$504,"PTO",'Time Off Log'!$E$5:$E$504,"Approved",'Time Off Log'!$C$5:$C$504,"&gt;="&amp;INDEX(Periods!$E$5:$E$57,$B1119),'Time Off Log'!$C$5:$C$504,"&lt;="&amp;INDEX(Periods!$F$5:$F$57,$B1119)))</f>
        <v/>
      </c>
      <c r="M1119" s="51">
        <f>IF($B1119=1,N(INDEX(Employees!$N$5:$N$29,$A1119)),P1118)</f>
        <v/>
      </c>
      <c r="N1119" s="51">
        <f>IF(INDEX(Employees!$L$5:$L$29,$A1119)="",K1119,MAX(0,MIN(K1119,INDEX(Employees!$L$5:$L$29,$A1119)-(M1119-L1119))))</f>
        <v/>
      </c>
      <c r="O1119" s="51">
        <f>K1119-N1119</f>
        <v/>
      </c>
      <c r="P1119" s="51">
        <f>M1119-L1119+N1119</f>
        <v/>
      </c>
      <c r="Q1119" s="51">
        <f>IF($G1119=0,0,IF(INDEX(Employees!$P$5:$P$29,$A1119)="Per pay period",(N(INDEX(Employees!$Q$5:$Q$29,$A1119)))/Settings!$B$13,IF(INDEX(Employees!$P$5:$P$29,$A1119)="Per hour worked",N(INDEX(Employees!$R$5:$R$29,$A1119))*$I1119,IF(INDEX(Employees!$P$5:$P$29,$A1119)="Front-loaded",IF(OR($B1119=1,N($G1118)=0),N(INDEX(Employees!$Q$5:$Q$29,$A1119)),0),0))))</f>
        <v/>
      </c>
      <c r="R1119" s="51">
        <f>IF($F1119=0,0,SUMIFS('Time Off Log'!$H$5:$H$504,'Time Off Log'!$A$5:$A$504,$C1119,'Time Off Log'!$B$5:$B$504,"Sick",'Time Off Log'!$E$5:$E$504,"Approved",'Time Off Log'!$C$5:$C$504,"&gt;="&amp;INDEX(Periods!$E$5:$E$57,$B1119),'Time Off Log'!$C$5:$C$504,"&lt;="&amp;INDEX(Periods!$F$5:$F$57,$B1119)))</f>
        <v/>
      </c>
      <c r="S1119" s="51">
        <f>IF($B1119=1,N(INDEX(Employees!$T$5:$T$29,$A1119)),V1118)</f>
        <v/>
      </c>
      <c r="T1119" s="51">
        <f>IF(INDEX(Employees!$S$5:$S$29,$A1119)="",Q1119,MAX(0,MIN(Q1119,INDEX(Employees!$S$5:$S$29,$A1119)-(S1119-R1119))))</f>
        <v/>
      </c>
      <c r="U1119" s="51">
        <f>Q1119-T1119</f>
        <v/>
      </c>
      <c r="V1119" s="51">
        <f>S1119-R1119+T1119</f>
        <v/>
      </c>
    </row>
    <row r="1120">
      <c r="A1120" s="50" t="n">
        <v>22</v>
      </c>
      <c r="B1120" s="50" t="n">
        <v>3</v>
      </c>
      <c r="C1120" s="51">
        <f>INDEX(Employees!$B$5:$B$29,$A1120)&amp;""</f>
        <v/>
      </c>
      <c r="D1120" s="52">
        <f>INDEX(Periods!$B$5:$B$57,$B1120)</f>
        <v/>
      </c>
      <c r="E1120" s="52">
        <f>INDEX(Periods!$C$5:$C$57,$B1120)</f>
        <v/>
      </c>
      <c r="F1120" s="50">
        <f>IF(AND($C1120&lt;&gt;"",INDEX(Periods!$D$5:$D$57,$B1120)=1),1,0)</f>
        <v/>
      </c>
      <c r="G1120" s="50">
        <f>IF($F1120=0,0,IF(AND(OR(INDEX(Employees!$D$5:$D$29,$A1120)="",$E1120&gt;=INDEX(Employees!$D$5:$D$29,$A1120)+N(INDEX(Employees!$U$5:$U$29,$A1120))),OR(INDEX(Employees!$E$5:$E$29,$A1120)="",$D1120&lt;=INDEX(Employees!$E$5:$E$29,$A1120))),1,0))</f>
        <v/>
      </c>
      <c r="H1120" s="50">
        <f>IF($G1120=0,0,IF(INDEX(Employees!$D$5:$D$29,$A1120)="",0,DATEDIF(INDEX(Employees!$D$5:$D$29,$A1120),$E1120,"y")))</f>
        <v/>
      </c>
      <c r="I1120" s="51">
        <f>IF($G1120=0,0,IF(INDEX('Hours Worked'!$D$5:$BD$29,$A1120,$B1120)="",N(INDEX(Employees!$H$5:$H$29,$A1120)),INDEX('Hours Worked'!$D$5:$BD$29,$A1120,$B1120)))</f>
        <v/>
      </c>
      <c r="J1120" s="51">
        <f>IF(OR($G1120=0,INDEX(Employees!$O$5:$O$29,$A1120)&lt;&gt;"Yes"),0,IF(COUNTIF(Settings!$D$4:$D$9,"&lt;="&amp;$H1120)=0,0,INDEX(Settings!$E$4:$E$9,COUNTIF(Settings!$D$4:$D$9,"&lt;="&amp;$H1120))))</f>
        <v/>
      </c>
      <c r="K1120" s="51">
        <f>IF($G1120=0,0,IF(INDEX(Employees!$I$5:$I$29,$A1120)="Per pay period",(N(INDEX(Employees!$J$5:$J$29,$A1120))+$J1120)/Settings!$B$13,IF(INDEX(Employees!$I$5:$I$29,$A1120)="Per hour worked",N(INDEX(Employees!$K$5:$K$29,$A1120))*$I1120,IF(INDEX(Employees!$I$5:$I$29,$A1120)="Front-loaded",IF(OR($B1120=1,N($G1119)=0),N(INDEX(Employees!$J$5:$J$29,$A1120))+$J1120,0),0))))</f>
        <v/>
      </c>
      <c r="L1120" s="51">
        <f>IF($F1120=0,0,SUMIFS('Time Off Log'!$H$5:$H$504,'Time Off Log'!$A$5:$A$504,$C1120,'Time Off Log'!$B$5:$B$504,"PTO",'Time Off Log'!$E$5:$E$504,"Approved",'Time Off Log'!$C$5:$C$504,"&gt;="&amp;INDEX(Periods!$E$5:$E$57,$B1120),'Time Off Log'!$C$5:$C$504,"&lt;="&amp;INDEX(Periods!$F$5:$F$57,$B1120)))</f>
        <v/>
      </c>
      <c r="M1120" s="51">
        <f>IF($B1120=1,N(INDEX(Employees!$N$5:$N$29,$A1120)),P1119)</f>
        <v/>
      </c>
      <c r="N1120" s="51">
        <f>IF(INDEX(Employees!$L$5:$L$29,$A1120)="",K1120,MAX(0,MIN(K1120,INDEX(Employees!$L$5:$L$29,$A1120)-(M1120-L1120))))</f>
        <v/>
      </c>
      <c r="O1120" s="51">
        <f>K1120-N1120</f>
        <v/>
      </c>
      <c r="P1120" s="51">
        <f>M1120-L1120+N1120</f>
        <v/>
      </c>
      <c r="Q1120" s="51">
        <f>IF($G1120=0,0,IF(INDEX(Employees!$P$5:$P$29,$A1120)="Per pay period",(N(INDEX(Employees!$Q$5:$Q$29,$A1120)))/Settings!$B$13,IF(INDEX(Employees!$P$5:$P$29,$A1120)="Per hour worked",N(INDEX(Employees!$R$5:$R$29,$A1120))*$I1120,IF(INDEX(Employees!$P$5:$P$29,$A1120)="Front-loaded",IF(OR($B1120=1,N($G1119)=0),N(INDEX(Employees!$Q$5:$Q$29,$A1120)),0),0))))</f>
        <v/>
      </c>
      <c r="R1120" s="51">
        <f>IF($F1120=0,0,SUMIFS('Time Off Log'!$H$5:$H$504,'Time Off Log'!$A$5:$A$504,$C1120,'Time Off Log'!$B$5:$B$504,"Sick",'Time Off Log'!$E$5:$E$504,"Approved",'Time Off Log'!$C$5:$C$504,"&gt;="&amp;INDEX(Periods!$E$5:$E$57,$B1120),'Time Off Log'!$C$5:$C$504,"&lt;="&amp;INDEX(Periods!$F$5:$F$57,$B1120)))</f>
        <v/>
      </c>
      <c r="S1120" s="51">
        <f>IF($B1120=1,N(INDEX(Employees!$T$5:$T$29,$A1120)),V1119)</f>
        <v/>
      </c>
      <c r="T1120" s="51">
        <f>IF(INDEX(Employees!$S$5:$S$29,$A1120)="",Q1120,MAX(0,MIN(Q1120,INDEX(Employees!$S$5:$S$29,$A1120)-(S1120-R1120))))</f>
        <v/>
      </c>
      <c r="U1120" s="51">
        <f>Q1120-T1120</f>
        <v/>
      </c>
      <c r="V1120" s="51">
        <f>S1120-R1120+T1120</f>
        <v/>
      </c>
    </row>
    <row r="1121">
      <c r="A1121" s="50" t="n">
        <v>22</v>
      </c>
      <c r="B1121" s="50" t="n">
        <v>4</v>
      </c>
      <c r="C1121" s="51">
        <f>INDEX(Employees!$B$5:$B$29,$A1121)&amp;""</f>
        <v/>
      </c>
      <c r="D1121" s="52">
        <f>INDEX(Periods!$B$5:$B$57,$B1121)</f>
        <v/>
      </c>
      <c r="E1121" s="52">
        <f>INDEX(Periods!$C$5:$C$57,$B1121)</f>
        <v/>
      </c>
      <c r="F1121" s="50">
        <f>IF(AND($C1121&lt;&gt;"",INDEX(Periods!$D$5:$D$57,$B1121)=1),1,0)</f>
        <v/>
      </c>
      <c r="G1121" s="50">
        <f>IF($F1121=0,0,IF(AND(OR(INDEX(Employees!$D$5:$D$29,$A1121)="",$E1121&gt;=INDEX(Employees!$D$5:$D$29,$A1121)+N(INDEX(Employees!$U$5:$U$29,$A1121))),OR(INDEX(Employees!$E$5:$E$29,$A1121)="",$D1121&lt;=INDEX(Employees!$E$5:$E$29,$A1121))),1,0))</f>
        <v/>
      </c>
      <c r="H1121" s="50">
        <f>IF($G1121=0,0,IF(INDEX(Employees!$D$5:$D$29,$A1121)="",0,DATEDIF(INDEX(Employees!$D$5:$D$29,$A1121),$E1121,"y")))</f>
        <v/>
      </c>
      <c r="I1121" s="51">
        <f>IF($G1121=0,0,IF(INDEX('Hours Worked'!$D$5:$BD$29,$A1121,$B1121)="",N(INDEX(Employees!$H$5:$H$29,$A1121)),INDEX('Hours Worked'!$D$5:$BD$29,$A1121,$B1121)))</f>
        <v/>
      </c>
      <c r="J1121" s="51">
        <f>IF(OR($G1121=0,INDEX(Employees!$O$5:$O$29,$A1121)&lt;&gt;"Yes"),0,IF(COUNTIF(Settings!$D$4:$D$9,"&lt;="&amp;$H1121)=0,0,INDEX(Settings!$E$4:$E$9,COUNTIF(Settings!$D$4:$D$9,"&lt;="&amp;$H1121))))</f>
        <v/>
      </c>
      <c r="K1121" s="51">
        <f>IF($G1121=0,0,IF(INDEX(Employees!$I$5:$I$29,$A1121)="Per pay period",(N(INDEX(Employees!$J$5:$J$29,$A1121))+$J1121)/Settings!$B$13,IF(INDEX(Employees!$I$5:$I$29,$A1121)="Per hour worked",N(INDEX(Employees!$K$5:$K$29,$A1121))*$I1121,IF(INDEX(Employees!$I$5:$I$29,$A1121)="Front-loaded",IF(OR($B1121=1,N($G1120)=0),N(INDEX(Employees!$J$5:$J$29,$A1121))+$J1121,0),0))))</f>
        <v/>
      </c>
      <c r="L1121" s="51">
        <f>IF($F1121=0,0,SUMIFS('Time Off Log'!$H$5:$H$504,'Time Off Log'!$A$5:$A$504,$C1121,'Time Off Log'!$B$5:$B$504,"PTO",'Time Off Log'!$E$5:$E$504,"Approved",'Time Off Log'!$C$5:$C$504,"&gt;="&amp;INDEX(Periods!$E$5:$E$57,$B1121),'Time Off Log'!$C$5:$C$504,"&lt;="&amp;INDEX(Periods!$F$5:$F$57,$B1121)))</f>
        <v/>
      </c>
      <c r="M1121" s="51">
        <f>IF($B1121=1,N(INDEX(Employees!$N$5:$N$29,$A1121)),P1120)</f>
        <v/>
      </c>
      <c r="N1121" s="51">
        <f>IF(INDEX(Employees!$L$5:$L$29,$A1121)="",K1121,MAX(0,MIN(K1121,INDEX(Employees!$L$5:$L$29,$A1121)-(M1121-L1121))))</f>
        <v/>
      </c>
      <c r="O1121" s="51">
        <f>K1121-N1121</f>
        <v/>
      </c>
      <c r="P1121" s="51">
        <f>M1121-L1121+N1121</f>
        <v/>
      </c>
      <c r="Q1121" s="51">
        <f>IF($G1121=0,0,IF(INDEX(Employees!$P$5:$P$29,$A1121)="Per pay period",(N(INDEX(Employees!$Q$5:$Q$29,$A1121)))/Settings!$B$13,IF(INDEX(Employees!$P$5:$P$29,$A1121)="Per hour worked",N(INDEX(Employees!$R$5:$R$29,$A1121))*$I1121,IF(INDEX(Employees!$P$5:$P$29,$A1121)="Front-loaded",IF(OR($B1121=1,N($G1120)=0),N(INDEX(Employees!$Q$5:$Q$29,$A1121)),0),0))))</f>
        <v/>
      </c>
      <c r="R1121" s="51">
        <f>IF($F1121=0,0,SUMIFS('Time Off Log'!$H$5:$H$504,'Time Off Log'!$A$5:$A$504,$C1121,'Time Off Log'!$B$5:$B$504,"Sick",'Time Off Log'!$E$5:$E$504,"Approved",'Time Off Log'!$C$5:$C$504,"&gt;="&amp;INDEX(Periods!$E$5:$E$57,$B1121),'Time Off Log'!$C$5:$C$504,"&lt;="&amp;INDEX(Periods!$F$5:$F$57,$B1121)))</f>
        <v/>
      </c>
      <c r="S1121" s="51">
        <f>IF($B1121=1,N(INDEX(Employees!$T$5:$T$29,$A1121)),V1120)</f>
        <v/>
      </c>
      <c r="T1121" s="51">
        <f>IF(INDEX(Employees!$S$5:$S$29,$A1121)="",Q1121,MAX(0,MIN(Q1121,INDEX(Employees!$S$5:$S$29,$A1121)-(S1121-R1121))))</f>
        <v/>
      </c>
      <c r="U1121" s="51">
        <f>Q1121-T1121</f>
        <v/>
      </c>
      <c r="V1121" s="51">
        <f>S1121-R1121+T1121</f>
        <v/>
      </c>
    </row>
    <row r="1122">
      <c r="A1122" s="50" t="n">
        <v>22</v>
      </c>
      <c r="B1122" s="50" t="n">
        <v>5</v>
      </c>
      <c r="C1122" s="51">
        <f>INDEX(Employees!$B$5:$B$29,$A1122)&amp;""</f>
        <v/>
      </c>
      <c r="D1122" s="52">
        <f>INDEX(Periods!$B$5:$B$57,$B1122)</f>
        <v/>
      </c>
      <c r="E1122" s="52">
        <f>INDEX(Periods!$C$5:$C$57,$B1122)</f>
        <v/>
      </c>
      <c r="F1122" s="50">
        <f>IF(AND($C1122&lt;&gt;"",INDEX(Periods!$D$5:$D$57,$B1122)=1),1,0)</f>
        <v/>
      </c>
      <c r="G1122" s="50">
        <f>IF($F1122=0,0,IF(AND(OR(INDEX(Employees!$D$5:$D$29,$A1122)="",$E1122&gt;=INDEX(Employees!$D$5:$D$29,$A1122)+N(INDEX(Employees!$U$5:$U$29,$A1122))),OR(INDEX(Employees!$E$5:$E$29,$A1122)="",$D1122&lt;=INDEX(Employees!$E$5:$E$29,$A1122))),1,0))</f>
        <v/>
      </c>
      <c r="H1122" s="50">
        <f>IF($G1122=0,0,IF(INDEX(Employees!$D$5:$D$29,$A1122)="",0,DATEDIF(INDEX(Employees!$D$5:$D$29,$A1122),$E1122,"y")))</f>
        <v/>
      </c>
      <c r="I1122" s="51">
        <f>IF($G1122=0,0,IF(INDEX('Hours Worked'!$D$5:$BD$29,$A1122,$B1122)="",N(INDEX(Employees!$H$5:$H$29,$A1122)),INDEX('Hours Worked'!$D$5:$BD$29,$A1122,$B1122)))</f>
        <v/>
      </c>
      <c r="J1122" s="51">
        <f>IF(OR($G1122=0,INDEX(Employees!$O$5:$O$29,$A1122)&lt;&gt;"Yes"),0,IF(COUNTIF(Settings!$D$4:$D$9,"&lt;="&amp;$H1122)=0,0,INDEX(Settings!$E$4:$E$9,COUNTIF(Settings!$D$4:$D$9,"&lt;="&amp;$H1122))))</f>
        <v/>
      </c>
      <c r="K1122" s="51">
        <f>IF($G1122=0,0,IF(INDEX(Employees!$I$5:$I$29,$A1122)="Per pay period",(N(INDEX(Employees!$J$5:$J$29,$A1122))+$J1122)/Settings!$B$13,IF(INDEX(Employees!$I$5:$I$29,$A1122)="Per hour worked",N(INDEX(Employees!$K$5:$K$29,$A1122))*$I1122,IF(INDEX(Employees!$I$5:$I$29,$A1122)="Front-loaded",IF(OR($B1122=1,N($G1121)=0),N(INDEX(Employees!$J$5:$J$29,$A1122))+$J1122,0),0))))</f>
        <v/>
      </c>
      <c r="L1122" s="51">
        <f>IF($F1122=0,0,SUMIFS('Time Off Log'!$H$5:$H$504,'Time Off Log'!$A$5:$A$504,$C1122,'Time Off Log'!$B$5:$B$504,"PTO",'Time Off Log'!$E$5:$E$504,"Approved",'Time Off Log'!$C$5:$C$504,"&gt;="&amp;INDEX(Periods!$E$5:$E$57,$B1122),'Time Off Log'!$C$5:$C$504,"&lt;="&amp;INDEX(Periods!$F$5:$F$57,$B1122)))</f>
        <v/>
      </c>
      <c r="M1122" s="51">
        <f>IF($B1122=1,N(INDEX(Employees!$N$5:$N$29,$A1122)),P1121)</f>
        <v/>
      </c>
      <c r="N1122" s="51">
        <f>IF(INDEX(Employees!$L$5:$L$29,$A1122)="",K1122,MAX(0,MIN(K1122,INDEX(Employees!$L$5:$L$29,$A1122)-(M1122-L1122))))</f>
        <v/>
      </c>
      <c r="O1122" s="51">
        <f>K1122-N1122</f>
        <v/>
      </c>
      <c r="P1122" s="51">
        <f>M1122-L1122+N1122</f>
        <v/>
      </c>
      <c r="Q1122" s="51">
        <f>IF($G1122=0,0,IF(INDEX(Employees!$P$5:$P$29,$A1122)="Per pay period",(N(INDEX(Employees!$Q$5:$Q$29,$A1122)))/Settings!$B$13,IF(INDEX(Employees!$P$5:$P$29,$A1122)="Per hour worked",N(INDEX(Employees!$R$5:$R$29,$A1122))*$I1122,IF(INDEX(Employees!$P$5:$P$29,$A1122)="Front-loaded",IF(OR($B1122=1,N($G1121)=0),N(INDEX(Employees!$Q$5:$Q$29,$A1122)),0),0))))</f>
        <v/>
      </c>
      <c r="R1122" s="51">
        <f>IF($F1122=0,0,SUMIFS('Time Off Log'!$H$5:$H$504,'Time Off Log'!$A$5:$A$504,$C1122,'Time Off Log'!$B$5:$B$504,"Sick",'Time Off Log'!$E$5:$E$504,"Approved",'Time Off Log'!$C$5:$C$504,"&gt;="&amp;INDEX(Periods!$E$5:$E$57,$B1122),'Time Off Log'!$C$5:$C$504,"&lt;="&amp;INDEX(Periods!$F$5:$F$57,$B1122)))</f>
        <v/>
      </c>
      <c r="S1122" s="51">
        <f>IF($B1122=1,N(INDEX(Employees!$T$5:$T$29,$A1122)),V1121)</f>
        <v/>
      </c>
      <c r="T1122" s="51">
        <f>IF(INDEX(Employees!$S$5:$S$29,$A1122)="",Q1122,MAX(0,MIN(Q1122,INDEX(Employees!$S$5:$S$29,$A1122)-(S1122-R1122))))</f>
        <v/>
      </c>
      <c r="U1122" s="51">
        <f>Q1122-T1122</f>
        <v/>
      </c>
      <c r="V1122" s="51">
        <f>S1122-R1122+T1122</f>
        <v/>
      </c>
    </row>
    <row r="1123">
      <c r="A1123" s="50" t="n">
        <v>22</v>
      </c>
      <c r="B1123" s="50" t="n">
        <v>6</v>
      </c>
      <c r="C1123" s="51">
        <f>INDEX(Employees!$B$5:$B$29,$A1123)&amp;""</f>
        <v/>
      </c>
      <c r="D1123" s="52">
        <f>INDEX(Periods!$B$5:$B$57,$B1123)</f>
        <v/>
      </c>
      <c r="E1123" s="52">
        <f>INDEX(Periods!$C$5:$C$57,$B1123)</f>
        <v/>
      </c>
      <c r="F1123" s="50">
        <f>IF(AND($C1123&lt;&gt;"",INDEX(Periods!$D$5:$D$57,$B1123)=1),1,0)</f>
        <v/>
      </c>
      <c r="G1123" s="50">
        <f>IF($F1123=0,0,IF(AND(OR(INDEX(Employees!$D$5:$D$29,$A1123)="",$E1123&gt;=INDEX(Employees!$D$5:$D$29,$A1123)+N(INDEX(Employees!$U$5:$U$29,$A1123))),OR(INDEX(Employees!$E$5:$E$29,$A1123)="",$D1123&lt;=INDEX(Employees!$E$5:$E$29,$A1123))),1,0))</f>
        <v/>
      </c>
      <c r="H1123" s="50">
        <f>IF($G1123=0,0,IF(INDEX(Employees!$D$5:$D$29,$A1123)="",0,DATEDIF(INDEX(Employees!$D$5:$D$29,$A1123),$E1123,"y")))</f>
        <v/>
      </c>
      <c r="I1123" s="51">
        <f>IF($G1123=0,0,IF(INDEX('Hours Worked'!$D$5:$BD$29,$A1123,$B1123)="",N(INDEX(Employees!$H$5:$H$29,$A1123)),INDEX('Hours Worked'!$D$5:$BD$29,$A1123,$B1123)))</f>
        <v/>
      </c>
      <c r="J1123" s="51">
        <f>IF(OR($G1123=0,INDEX(Employees!$O$5:$O$29,$A1123)&lt;&gt;"Yes"),0,IF(COUNTIF(Settings!$D$4:$D$9,"&lt;="&amp;$H1123)=0,0,INDEX(Settings!$E$4:$E$9,COUNTIF(Settings!$D$4:$D$9,"&lt;="&amp;$H1123))))</f>
        <v/>
      </c>
      <c r="K1123" s="51">
        <f>IF($G1123=0,0,IF(INDEX(Employees!$I$5:$I$29,$A1123)="Per pay period",(N(INDEX(Employees!$J$5:$J$29,$A1123))+$J1123)/Settings!$B$13,IF(INDEX(Employees!$I$5:$I$29,$A1123)="Per hour worked",N(INDEX(Employees!$K$5:$K$29,$A1123))*$I1123,IF(INDEX(Employees!$I$5:$I$29,$A1123)="Front-loaded",IF(OR($B1123=1,N($G1122)=0),N(INDEX(Employees!$J$5:$J$29,$A1123))+$J1123,0),0))))</f>
        <v/>
      </c>
      <c r="L1123" s="51">
        <f>IF($F1123=0,0,SUMIFS('Time Off Log'!$H$5:$H$504,'Time Off Log'!$A$5:$A$504,$C1123,'Time Off Log'!$B$5:$B$504,"PTO",'Time Off Log'!$E$5:$E$504,"Approved",'Time Off Log'!$C$5:$C$504,"&gt;="&amp;INDEX(Periods!$E$5:$E$57,$B1123),'Time Off Log'!$C$5:$C$504,"&lt;="&amp;INDEX(Periods!$F$5:$F$57,$B1123)))</f>
        <v/>
      </c>
      <c r="M1123" s="51">
        <f>IF($B1123=1,N(INDEX(Employees!$N$5:$N$29,$A1123)),P1122)</f>
        <v/>
      </c>
      <c r="N1123" s="51">
        <f>IF(INDEX(Employees!$L$5:$L$29,$A1123)="",K1123,MAX(0,MIN(K1123,INDEX(Employees!$L$5:$L$29,$A1123)-(M1123-L1123))))</f>
        <v/>
      </c>
      <c r="O1123" s="51">
        <f>K1123-N1123</f>
        <v/>
      </c>
      <c r="P1123" s="51">
        <f>M1123-L1123+N1123</f>
        <v/>
      </c>
      <c r="Q1123" s="51">
        <f>IF($G1123=0,0,IF(INDEX(Employees!$P$5:$P$29,$A1123)="Per pay period",(N(INDEX(Employees!$Q$5:$Q$29,$A1123)))/Settings!$B$13,IF(INDEX(Employees!$P$5:$P$29,$A1123)="Per hour worked",N(INDEX(Employees!$R$5:$R$29,$A1123))*$I1123,IF(INDEX(Employees!$P$5:$P$29,$A1123)="Front-loaded",IF(OR($B1123=1,N($G1122)=0),N(INDEX(Employees!$Q$5:$Q$29,$A1123)),0),0))))</f>
        <v/>
      </c>
      <c r="R1123" s="51">
        <f>IF($F1123=0,0,SUMIFS('Time Off Log'!$H$5:$H$504,'Time Off Log'!$A$5:$A$504,$C1123,'Time Off Log'!$B$5:$B$504,"Sick",'Time Off Log'!$E$5:$E$504,"Approved",'Time Off Log'!$C$5:$C$504,"&gt;="&amp;INDEX(Periods!$E$5:$E$57,$B1123),'Time Off Log'!$C$5:$C$504,"&lt;="&amp;INDEX(Periods!$F$5:$F$57,$B1123)))</f>
        <v/>
      </c>
      <c r="S1123" s="51">
        <f>IF($B1123=1,N(INDEX(Employees!$T$5:$T$29,$A1123)),V1122)</f>
        <v/>
      </c>
      <c r="T1123" s="51">
        <f>IF(INDEX(Employees!$S$5:$S$29,$A1123)="",Q1123,MAX(0,MIN(Q1123,INDEX(Employees!$S$5:$S$29,$A1123)-(S1123-R1123))))</f>
        <v/>
      </c>
      <c r="U1123" s="51">
        <f>Q1123-T1123</f>
        <v/>
      </c>
      <c r="V1123" s="51">
        <f>S1123-R1123+T1123</f>
        <v/>
      </c>
    </row>
    <row r="1124">
      <c r="A1124" s="50" t="n">
        <v>22</v>
      </c>
      <c r="B1124" s="50" t="n">
        <v>7</v>
      </c>
      <c r="C1124" s="51">
        <f>INDEX(Employees!$B$5:$B$29,$A1124)&amp;""</f>
        <v/>
      </c>
      <c r="D1124" s="52">
        <f>INDEX(Periods!$B$5:$B$57,$B1124)</f>
        <v/>
      </c>
      <c r="E1124" s="52">
        <f>INDEX(Periods!$C$5:$C$57,$B1124)</f>
        <v/>
      </c>
      <c r="F1124" s="50">
        <f>IF(AND($C1124&lt;&gt;"",INDEX(Periods!$D$5:$D$57,$B1124)=1),1,0)</f>
        <v/>
      </c>
      <c r="G1124" s="50">
        <f>IF($F1124=0,0,IF(AND(OR(INDEX(Employees!$D$5:$D$29,$A1124)="",$E1124&gt;=INDEX(Employees!$D$5:$D$29,$A1124)+N(INDEX(Employees!$U$5:$U$29,$A1124))),OR(INDEX(Employees!$E$5:$E$29,$A1124)="",$D1124&lt;=INDEX(Employees!$E$5:$E$29,$A1124))),1,0))</f>
        <v/>
      </c>
      <c r="H1124" s="50">
        <f>IF($G1124=0,0,IF(INDEX(Employees!$D$5:$D$29,$A1124)="",0,DATEDIF(INDEX(Employees!$D$5:$D$29,$A1124),$E1124,"y")))</f>
        <v/>
      </c>
      <c r="I1124" s="51">
        <f>IF($G1124=0,0,IF(INDEX('Hours Worked'!$D$5:$BD$29,$A1124,$B1124)="",N(INDEX(Employees!$H$5:$H$29,$A1124)),INDEX('Hours Worked'!$D$5:$BD$29,$A1124,$B1124)))</f>
        <v/>
      </c>
      <c r="J1124" s="51">
        <f>IF(OR($G1124=0,INDEX(Employees!$O$5:$O$29,$A1124)&lt;&gt;"Yes"),0,IF(COUNTIF(Settings!$D$4:$D$9,"&lt;="&amp;$H1124)=0,0,INDEX(Settings!$E$4:$E$9,COUNTIF(Settings!$D$4:$D$9,"&lt;="&amp;$H1124))))</f>
        <v/>
      </c>
      <c r="K1124" s="51">
        <f>IF($G1124=0,0,IF(INDEX(Employees!$I$5:$I$29,$A1124)="Per pay period",(N(INDEX(Employees!$J$5:$J$29,$A1124))+$J1124)/Settings!$B$13,IF(INDEX(Employees!$I$5:$I$29,$A1124)="Per hour worked",N(INDEX(Employees!$K$5:$K$29,$A1124))*$I1124,IF(INDEX(Employees!$I$5:$I$29,$A1124)="Front-loaded",IF(OR($B1124=1,N($G1123)=0),N(INDEX(Employees!$J$5:$J$29,$A1124))+$J1124,0),0))))</f>
        <v/>
      </c>
      <c r="L1124" s="51">
        <f>IF($F1124=0,0,SUMIFS('Time Off Log'!$H$5:$H$504,'Time Off Log'!$A$5:$A$504,$C1124,'Time Off Log'!$B$5:$B$504,"PTO",'Time Off Log'!$E$5:$E$504,"Approved",'Time Off Log'!$C$5:$C$504,"&gt;="&amp;INDEX(Periods!$E$5:$E$57,$B1124),'Time Off Log'!$C$5:$C$504,"&lt;="&amp;INDEX(Periods!$F$5:$F$57,$B1124)))</f>
        <v/>
      </c>
      <c r="M1124" s="51">
        <f>IF($B1124=1,N(INDEX(Employees!$N$5:$N$29,$A1124)),P1123)</f>
        <v/>
      </c>
      <c r="N1124" s="51">
        <f>IF(INDEX(Employees!$L$5:$L$29,$A1124)="",K1124,MAX(0,MIN(K1124,INDEX(Employees!$L$5:$L$29,$A1124)-(M1124-L1124))))</f>
        <v/>
      </c>
      <c r="O1124" s="51">
        <f>K1124-N1124</f>
        <v/>
      </c>
      <c r="P1124" s="51">
        <f>M1124-L1124+N1124</f>
        <v/>
      </c>
      <c r="Q1124" s="51">
        <f>IF($G1124=0,0,IF(INDEX(Employees!$P$5:$P$29,$A1124)="Per pay period",(N(INDEX(Employees!$Q$5:$Q$29,$A1124)))/Settings!$B$13,IF(INDEX(Employees!$P$5:$P$29,$A1124)="Per hour worked",N(INDEX(Employees!$R$5:$R$29,$A1124))*$I1124,IF(INDEX(Employees!$P$5:$P$29,$A1124)="Front-loaded",IF(OR($B1124=1,N($G1123)=0),N(INDEX(Employees!$Q$5:$Q$29,$A1124)),0),0))))</f>
        <v/>
      </c>
      <c r="R1124" s="51">
        <f>IF($F1124=0,0,SUMIFS('Time Off Log'!$H$5:$H$504,'Time Off Log'!$A$5:$A$504,$C1124,'Time Off Log'!$B$5:$B$504,"Sick",'Time Off Log'!$E$5:$E$504,"Approved",'Time Off Log'!$C$5:$C$504,"&gt;="&amp;INDEX(Periods!$E$5:$E$57,$B1124),'Time Off Log'!$C$5:$C$504,"&lt;="&amp;INDEX(Periods!$F$5:$F$57,$B1124)))</f>
        <v/>
      </c>
      <c r="S1124" s="51">
        <f>IF($B1124=1,N(INDEX(Employees!$T$5:$T$29,$A1124)),V1123)</f>
        <v/>
      </c>
      <c r="T1124" s="51">
        <f>IF(INDEX(Employees!$S$5:$S$29,$A1124)="",Q1124,MAX(0,MIN(Q1124,INDEX(Employees!$S$5:$S$29,$A1124)-(S1124-R1124))))</f>
        <v/>
      </c>
      <c r="U1124" s="51">
        <f>Q1124-T1124</f>
        <v/>
      </c>
      <c r="V1124" s="51">
        <f>S1124-R1124+T1124</f>
        <v/>
      </c>
    </row>
    <row r="1125">
      <c r="A1125" s="50" t="n">
        <v>22</v>
      </c>
      <c r="B1125" s="50" t="n">
        <v>8</v>
      </c>
      <c r="C1125" s="51">
        <f>INDEX(Employees!$B$5:$B$29,$A1125)&amp;""</f>
        <v/>
      </c>
      <c r="D1125" s="52">
        <f>INDEX(Periods!$B$5:$B$57,$B1125)</f>
        <v/>
      </c>
      <c r="E1125" s="52">
        <f>INDEX(Periods!$C$5:$C$57,$B1125)</f>
        <v/>
      </c>
      <c r="F1125" s="50">
        <f>IF(AND($C1125&lt;&gt;"",INDEX(Periods!$D$5:$D$57,$B1125)=1),1,0)</f>
        <v/>
      </c>
      <c r="G1125" s="50">
        <f>IF($F1125=0,0,IF(AND(OR(INDEX(Employees!$D$5:$D$29,$A1125)="",$E1125&gt;=INDEX(Employees!$D$5:$D$29,$A1125)+N(INDEX(Employees!$U$5:$U$29,$A1125))),OR(INDEX(Employees!$E$5:$E$29,$A1125)="",$D1125&lt;=INDEX(Employees!$E$5:$E$29,$A1125))),1,0))</f>
        <v/>
      </c>
      <c r="H1125" s="50">
        <f>IF($G1125=0,0,IF(INDEX(Employees!$D$5:$D$29,$A1125)="",0,DATEDIF(INDEX(Employees!$D$5:$D$29,$A1125),$E1125,"y")))</f>
        <v/>
      </c>
      <c r="I1125" s="51">
        <f>IF($G1125=0,0,IF(INDEX('Hours Worked'!$D$5:$BD$29,$A1125,$B1125)="",N(INDEX(Employees!$H$5:$H$29,$A1125)),INDEX('Hours Worked'!$D$5:$BD$29,$A1125,$B1125)))</f>
        <v/>
      </c>
      <c r="J1125" s="51">
        <f>IF(OR($G1125=0,INDEX(Employees!$O$5:$O$29,$A1125)&lt;&gt;"Yes"),0,IF(COUNTIF(Settings!$D$4:$D$9,"&lt;="&amp;$H1125)=0,0,INDEX(Settings!$E$4:$E$9,COUNTIF(Settings!$D$4:$D$9,"&lt;="&amp;$H1125))))</f>
        <v/>
      </c>
      <c r="K1125" s="51">
        <f>IF($G1125=0,0,IF(INDEX(Employees!$I$5:$I$29,$A1125)="Per pay period",(N(INDEX(Employees!$J$5:$J$29,$A1125))+$J1125)/Settings!$B$13,IF(INDEX(Employees!$I$5:$I$29,$A1125)="Per hour worked",N(INDEX(Employees!$K$5:$K$29,$A1125))*$I1125,IF(INDEX(Employees!$I$5:$I$29,$A1125)="Front-loaded",IF(OR($B1125=1,N($G1124)=0),N(INDEX(Employees!$J$5:$J$29,$A1125))+$J1125,0),0))))</f>
        <v/>
      </c>
      <c r="L1125" s="51">
        <f>IF($F1125=0,0,SUMIFS('Time Off Log'!$H$5:$H$504,'Time Off Log'!$A$5:$A$504,$C1125,'Time Off Log'!$B$5:$B$504,"PTO",'Time Off Log'!$E$5:$E$504,"Approved",'Time Off Log'!$C$5:$C$504,"&gt;="&amp;INDEX(Periods!$E$5:$E$57,$B1125),'Time Off Log'!$C$5:$C$504,"&lt;="&amp;INDEX(Periods!$F$5:$F$57,$B1125)))</f>
        <v/>
      </c>
      <c r="M1125" s="51">
        <f>IF($B1125=1,N(INDEX(Employees!$N$5:$N$29,$A1125)),P1124)</f>
        <v/>
      </c>
      <c r="N1125" s="51">
        <f>IF(INDEX(Employees!$L$5:$L$29,$A1125)="",K1125,MAX(0,MIN(K1125,INDEX(Employees!$L$5:$L$29,$A1125)-(M1125-L1125))))</f>
        <v/>
      </c>
      <c r="O1125" s="51">
        <f>K1125-N1125</f>
        <v/>
      </c>
      <c r="P1125" s="51">
        <f>M1125-L1125+N1125</f>
        <v/>
      </c>
      <c r="Q1125" s="51">
        <f>IF($G1125=0,0,IF(INDEX(Employees!$P$5:$P$29,$A1125)="Per pay period",(N(INDEX(Employees!$Q$5:$Q$29,$A1125)))/Settings!$B$13,IF(INDEX(Employees!$P$5:$P$29,$A1125)="Per hour worked",N(INDEX(Employees!$R$5:$R$29,$A1125))*$I1125,IF(INDEX(Employees!$P$5:$P$29,$A1125)="Front-loaded",IF(OR($B1125=1,N($G1124)=0),N(INDEX(Employees!$Q$5:$Q$29,$A1125)),0),0))))</f>
        <v/>
      </c>
      <c r="R1125" s="51">
        <f>IF($F1125=0,0,SUMIFS('Time Off Log'!$H$5:$H$504,'Time Off Log'!$A$5:$A$504,$C1125,'Time Off Log'!$B$5:$B$504,"Sick",'Time Off Log'!$E$5:$E$504,"Approved",'Time Off Log'!$C$5:$C$504,"&gt;="&amp;INDEX(Periods!$E$5:$E$57,$B1125),'Time Off Log'!$C$5:$C$504,"&lt;="&amp;INDEX(Periods!$F$5:$F$57,$B1125)))</f>
        <v/>
      </c>
      <c r="S1125" s="51">
        <f>IF($B1125=1,N(INDEX(Employees!$T$5:$T$29,$A1125)),V1124)</f>
        <v/>
      </c>
      <c r="T1125" s="51">
        <f>IF(INDEX(Employees!$S$5:$S$29,$A1125)="",Q1125,MAX(0,MIN(Q1125,INDEX(Employees!$S$5:$S$29,$A1125)-(S1125-R1125))))</f>
        <v/>
      </c>
      <c r="U1125" s="51">
        <f>Q1125-T1125</f>
        <v/>
      </c>
      <c r="V1125" s="51">
        <f>S1125-R1125+T1125</f>
        <v/>
      </c>
    </row>
    <row r="1126">
      <c r="A1126" s="50" t="n">
        <v>22</v>
      </c>
      <c r="B1126" s="50" t="n">
        <v>9</v>
      </c>
      <c r="C1126" s="51">
        <f>INDEX(Employees!$B$5:$B$29,$A1126)&amp;""</f>
        <v/>
      </c>
      <c r="D1126" s="52">
        <f>INDEX(Periods!$B$5:$B$57,$B1126)</f>
        <v/>
      </c>
      <c r="E1126" s="52">
        <f>INDEX(Periods!$C$5:$C$57,$B1126)</f>
        <v/>
      </c>
      <c r="F1126" s="50">
        <f>IF(AND($C1126&lt;&gt;"",INDEX(Periods!$D$5:$D$57,$B1126)=1),1,0)</f>
        <v/>
      </c>
      <c r="G1126" s="50">
        <f>IF($F1126=0,0,IF(AND(OR(INDEX(Employees!$D$5:$D$29,$A1126)="",$E1126&gt;=INDEX(Employees!$D$5:$D$29,$A1126)+N(INDEX(Employees!$U$5:$U$29,$A1126))),OR(INDEX(Employees!$E$5:$E$29,$A1126)="",$D1126&lt;=INDEX(Employees!$E$5:$E$29,$A1126))),1,0))</f>
        <v/>
      </c>
      <c r="H1126" s="50">
        <f>IF($G1126=0,0,IF(INDEX(Employees!$D$5:$D$29,$A1126)="",0,DATEDIF(INDEX(Employees!$D$5:$D$29,$A1126),$E1126,"y")))</f>
        <v/>
      </c>
      <c r="I1126" s="51">
        <f>IF($G1126=0,0,IF(INDEX('Hours Worked'!$D$5:$BD$29,$A1126,$B1126)="",N(INDEX(Employees!$H$5:$H$29,$A1126)),INDEX('Hours Worked'!$D$5:$BD$29,$A1126,$B1126)))</f>
        <v/>
      </c>
      <c r="J1126" s="51">
        <f>IF(OR($G1126=0,INDEX(Employees!$O$5:$O$29,$A1126)&lt;&gt;"Yes"),0,IF(COUNTIF(Settings!$D$4:$D$9,"&lt;="&amp;$H1126)=0,0,INDEX(Settings!$E$4:$E$9,COUNTIF(Settings!$D$4:$D$9,"&lt;="&amp;$H1126))))</f>
        <v/>
      </c>
      <c r="K1126" s="51">
        <f>IF($G1126=0,0,IF(INDEX(Employees!$I$5:$I$29,$A1126)="Per pay period",(N(INDEX(Employees!$J$5:$J$29,$A1126))+$J1126)/Settings!$B$13,IF(INDEX(Employees!$I$5:$I$29,$A1126)="Per hour worked",N(INDEX(Employees!$K$5:$K$29,$A1126))*$I1126,IF(INDEX(Employees!$I$5:$I$29,$A1126)="Front-loaded",IF(OR($B1126=1,N($G1125)=0),N(INDEX(Employees!$J$5:$J$29,$A1126))+$J1126,0),0))))</f>
        <v/>
      </c>
      <c r="L1126" s="51">
        <f>IF($F1126=0,0,SUMIFS('Time Off Log'!$H$5:$H$504,'Time Off Log'!$A$5:$A$504,$C1126,'Time Off Log'!$B$5:$B$504,"PTO",'Time Off Log'!$E$5:$E$504,"Approved",'Time Off Log'!$C$5:$C$504,"&gt;="&amp;INDEX(Periods!$E$5:$E$57,$B1126),'Time Off Log'!$C$5:$C$504,"&lt;="&amp;INDEX(Periods!$F$5:$F$57,$B1126)))</f>
        <v/>
      </c>
      <c r="M1126" s="51">
        <f>IF($B1126=1,N(INDEX(Employees!$N$5:$N$29,$A1126)),P1125)</f>
        <v/>
      </c>
      <c r="N1126" s="51">
        <f>IF(INDEX(Employees!$L$5:$L$29,$A1126)="",K1126,MAX(0,MIN(K1126,INDEX(Employees!$L$5:$L$29,$A1126)-(M1126-L1126))))</f>
        <v/>
      </c>
      <c r="O1126" s="51">
        <f>K1126-N1126</f>
        <v/>
      </c>
      <c r="P1126" s="51">
        <f>M1126-L1126+N1126</f>
        <v/>
      </c>
      <c r="Q1126" s="51">
        <f>IF($G1126=0,0,IF(INDEX(Employees!$P$5:$P$29,$A1126)="Per pay period",(N(INDEX(Employees!$Q$5:$Q$29,$A1126)))/Settings!$B$13,IF(INDEX(Employees!$P$5:$P$29,$A1126)="Per hour worked",N(INDEX(Employees!$R$5:$R$29,$A1126))*$I1126,IF(INDEX(Employees!$P$5:$P$29,$A1126)="Front-loaded",IF(OR($B1126=1,N($G1125)=0),N(INDEX(Employees!$Q$5:$Q$29,$A1126)),0),0))))</f>
        <v/>
      </c>
      <c r="R1126" s="51">
        <f>IF($F1126=0,0,SUMIFS('Time Off Log'!$H$5:$H$504,'Time Off Log'!$A$5:$A$504,$C1126,'Time Off Log'!$B$5:$B$504,"Sick",'Time Off Log'!$E$5:$E$504,"Approved",'Time Off Log'!$C$5:$C$504,"&gt;="&amp;INDEX(Periods!$E$5:$E$57,$B1126),'Time Off Log'!$C$5:$C$504,"&lt;="&amp;INDEX(Periods!$F$5:$F$57,$B1126)))</f>
        <v/>
      </c>
      <c r="S1126" s="51">
        <f>IF($B1126=1,N(INDEX(Employees!$T$5:$T$29,$A1126)),V1125)</f>
        <v/>
      </c>
      <c r="T1126" s="51">
        <f>IF(INDEX(Employees!$S$5:$S$29,$A1126)="",Q1126,MAX(0,MIN(Q1126,INDEX(Employees!$S$5:$S$29,$A1126)-(S1126-R1126))))</f>
        <v/>
      </c>
      <c r="U1126" s="51">
        <f>Q1126-T1126</f>
        <v/>
      </c>
      <c r="V1126" s="51">
        <f>S1126-R1126+T1126</f>
        <v/>
      </c>
    </row>
    <row r="1127">
      <c r="A1127" s="50" t="n">
        <v>22</v>
      </c>
      <c r="B1127" s="50" t="n">
        <v>10</v>
      </c>
      <c r="C1127" s="51">
        <f>INDEX(Employees!$B$5:$B$29,$A1127)&amp;""</f>
        <v/>
      </c>
      <c r="D1127" s="52">
        <f>INDEX(Periods!$B$5:$B$57,$B1127)</f>
        <v/>
      </c>
      <c r="E1127" s="52">
        <f>INDEX(Periods!$C$5:$C$57,$B1127)</f>
        <v/>
      </c>
      <c r="F1127" s="50">
        <f>IF(AND($C1127&lt;&gt;"",INDEX(Periods!$D$5:$D$57,$B1127)=1),1,0)</f>
        <v/>
      </c>
      <c r="G1127" s="50">
        <f>IF($F1127=0,0,IF(AND(OR(INDEX(Employees!$D$5:$D$29,$A1127)="",$E1127&gt;=INDEX(Employees!$D$5:$D$29,$A1127)+N(INDEX(Employees!$U$5:$U$29,$A1127))),OR(INDEX(Employees!$E$5:$E$29,$A1127)="",$D1127&lt;=INDEX(Employees!$E$5:$E$29,$A1127))),1,0))</f>
        <v/>
      </c>
      <c r="H1127" s="50">
        <f>IF($G1127=0,0,IF(INDEX(Employees!$D$5:$D$29,$A1127)="",0,DATEDIF(INDEX(Employees!$D$5:$D$29,$A1127),$E1127,"y")))</f>
        <v/>
      </c>
      <c r="I1127" s="51">
        <f>IF($G1127=0,0,IF(INDEX('Hours Worked'!$D$5:$BD$29,$A1127,$B1127)="",N(INDEX(Employees!$H$5:$H$29,$A1127)),INDEX('Hours Worked'!$D$5:$BD$29,$A1127,$B1127)))</f>
        <v/>
      </c>
      <c r="J1127" s="51">
        <f>IF(OR($G1127=0,INDEX(Employees!$O$5:$O$29,$A1127)&lt;&gt;"Yes"),0,IF(COUNTIF(Settings!$D$4:$D$9,"&lt;="&amp;$H1127)=0,0,INDEX(Settings!$E$4:$E$9,COUNTIF(Settings!$D$4:$D$9,"&lt;="&amp;$H1127))))</f>
        <v/>
      </c>
      <c r="K1127" s="51">
        <f>IF($G1127=0,0,IF(INDEX(Employees!$I$5:$I$29,$A1127)="Per pay period",(N(INDEX(Employees!$J$5:$J$29,$A1127))+$J1127)/Settings!$B$13,IF(INDEX(Employees!$I$5:$I$29,$A1127)="Per hour worked",N(INDEX(Employees!$K$5:$K$29,$A1127))*$I1127,IF(INDEX(Employees!$I$5:$I$29,$A1127)="Front-loaded",IF(OR($B1127=1,N($G1126)=0),N(INDEX(Employees!$J$5:$J$29,$A1127))+$J1127,0),0))))</f>
        <v/>
      </c>
      <c r="L1127" s="51">
        <f>IF($F1127=0,0,SUMIFS('Time Off Log'!$H$5:$H$504,'Time Off Log'!$A$5:$A$504,$C1127,'Time Off Log'!$B$5:$B$504,"PTO",'Time Off Log'!$E$5:$E$504,"Approved",'Time Off Log'!$C$5:$C$504,"&gt;="&amp;INDEX(Periods!$E$5:$E$57,$B1127),'Time Off Log'!$C$5:$C$504,"&lt;="&amp;INDEX(Periods!$F$5:$F$57,$B1127)))</f>
        <v/>
      </c>
      <c r="M1127" s="51">
        <f>IF($B1127=1,N(INDEX(Employees!$N$5:$N$29,$A1127)),P1126)</f>
        <v/>
      </c>
      <c r="N1127" s="51">
        <f>IF(INDEX(Employees!$L$5:$L$29,$A1127)="",K1127,MAX(0,MIN(K1127,INDEX(Employees!$L$5:$L$29,$A1127)-(M1127-L1127))))</f>
        <v/>
      </c>
      <c r="O1127" s="51">
        <f>K1127-N1127</f>
        <v/>
      </c>
      <c r="P1127" s="51">
        <f>M1127-L1127+N1127</f>
        <v/>
      </c>
      <c r="Q1127" s="51">
        <f>IF($G1127=0,0,IF(INDEX(Employees!$P$5:$P$29,$A1127)="Per pay period",(N(INDEX(Employees!$Q$5:$Q$29,$A1127)))/Settings!$B$13,IF(INDEX(Employees!$P$5:$P$29,$A1127)="Per hour worked",N(INDEX(Employees!$R$5:$R$29,$A1127))*$I1127,IF(INDEX(Employees!$P$5:$P$29,$A1127)="Front-loaded",IF(OR($B1127=1,N($G1126)=0),N(INDEX(Employees!$Q$5:$Q$29,$A1127)),0),0))))</f>
        <v/>
      </c>
      <c r="R1127" s="51">
        <f>IF($F1127=0,0,SUMIFS('Time Off Log'!$H$5:$H$504,'Time Off Log'!$A$5:$A$504,$C1127,'Time Off Log'!$B$5:$B$504,"Sick",'Time Off Log'!$E$5:$E$504,"Approved",'Time Off Log'!$C$5:$C$504,"&gt;="&amp;INDEX(Periods!$E$5:$E$57,$B1127),'Time Off Log'!$C$5:$C$504,"&lt;="&amp;INDEX(Periods!$F$5:$F$57,$B1127)))</f>
        <v/>
      </c>
      <c r="S1127" s="51">
        <f>IF($B1127=1,N(INDEX(Employees!$T$5:$T$29,$A1127)),V1126)</f>
        <v/>
      </c>
      <c r="T1127" s="51">
        <f>IF(INDEX(Employees!$S$5:$S$29,$A1127)="",Q1127,MAX(0,MIN(Q1127,INDEX(Employees!$S$5:$S$29,$A1127)-(S1127-R1127))))</f>
        <v/>
      </c>
      <c r="U1127" s="51">
        <f>Q1127-T1127</f>
        <v/>
      </c>
      <c r="V1127" s="51">
        <f>S1127-R1127+T1127</f>
        <v/>
      </c>
    </row>
    <row r="1128">
      <c r="A1128" s="50" t="n">
        <v>22</v>
      </c>
      <c r="B1128" s="50" t="n">
        <v>11</v>
      </c>
      <c r="C1128" s="51">
        <f>INDEX(Employees!$B$5:$B$29,$A1128)&amp;""</f>
        <v/>
      </c>
      <c r="D1128" s="52">
        <f>INDEX(Periods!$B$5:$B$57,$B1128)</f>
        <v/>
      </c>
      <c r="E1128" s="52">
        <f>INDEX(Periods!$C$5:$C$57,$B1128)</f>
        <v/>
      </c>
      <c r="F1128" s="50">
        <f>IF(AND($C1128&lt;&gt;"",INDEX(Periods!$D$5:$D$57,$B1128)=1),1,0)</f>
        <v/>
      </c>
      <c r="G1128" s="50">
        <f>IF($F1128=0,0,IF(AND(OR(INDEX(Employees!$D$5:$D$29,$A1128)="",$E1128&gt;=INDEX(Employees!$D$5:$D$29,$A1128)+N(INDEX(Employees!$U$5:$U$29,$A1128))),OR(INDEX(Employees!$E$5:$E$29,$A1128)="",$D1128&lt;=INDEX(Employees!$E$5:$E$29,$A1128))),1,0))</f>
        <v/>
      </c>
      <c r="H1128" s="50">
        <f>IF($G1128=0,0,IF(INDEX(Employees!$D$5:$D$29,$A1128)="",0,DATEDIF(INDEX(Employees!$D$5:$D$29,$A1128),$E1128,"y")))</f>
        <v/>
      </c>
      <c r="I1128" s="51">
        <f>IF($G1128=0,0,IF(INDEX('Hours Worked'!$D$5:$BD$29,$A1128,$B1128)="",N(INDEX(Employees!$H$5:$H$29,$A1128)),INDEX('Hours Worked'!$D$5:$BD$29,$A1128,$B1128)))</f>
        <v/>
      </c>
      <c r="J1128" s="51">
        <f>IF(OR($G1128=0,INDEX(Employees!$O$5:$O$29,$A1128)&lt;&gt;"Yes"),0,IF(COUNTIF(Settings!$D$4:$D$9,"&lt;="&amp;$H1128)=0,0,INDEX(Settings!$E$4:$E$9,COUNTIF(Settings!$D$4:$D$9,"&lt;="&amp;$H1128))))</f>
        <v/>
      </c>
      <c r="K1128" s="51">
        <f>IF($G1128=0,0,IF(INDEX(Employees!$I$5:$I$29,$A1128)="Per pay period",(N(INDEX(Employees!$J$5:$J$29,$A1128))+$J1128)/Settings!$B$13,IF(INDEX(Employees!$I$5:$I$29,$A1128)="Per hour worked",N(INDEX(Employees!$K$5:$K$29,$A1128))*$I1128,IF(INDEX(Employees!$I$5:$I$29,$A1128)="Front-loaded",IF(OR($B1128=1,N($G1127)=0),N(INDEX(Employees!$J$5:$J$29,$A1128))+$J1128,0),0))))</f>
        <v/>
      </c>
      <c r="L1128" s="51">
        <f>IF($F1128=0,0,SUMIFS('Time Off Log'!$H$5:$H$504,'Time Off Log'!$A$5:$A$504,$C1128,'Time Off Log'!$B$5:$B$504,"PTO",'Time Off Log'!$E$5:$E$504,"Approved",'Time Off Log'!$C$5:$C$504,"&gt;="&amp;INDEX(Periods!$E$5:$E$57,$B1128),'Time Off Log'!$C$5:$C$504,"&lt;="&amp;INDEX(Periods!$F$5:$F$57,$B1128)))</f>
        <v/>
      </c>
      <c r="M1128" s="51">
        <f>IF($B1128=1,N(INDEX(Employees!$N$5:$N$29,$A1128)),P1127)</f>
        <v/>
      </c>
      <c r="N1128" s="51">
        <f>IF(INDEX(Employees!$L$5:$L$29,$A1128)="",K1128,MAX(0,MIN(K1128,INDEX(Employees!$L$5:$L$29,$A1128)-(M1128-L1128))))</f>
        <v/>
      </c>
      <c r="O1128" s="51">
        <f>K1128-N1128</f>
        <v/>
      </c>
      <c r="P1128" s="51">
        <f>M1128-L1128+N1128</f>
        <v/>
      </c>
      <c r="Q1128" s="51">
        <f>IF($G1128=0,0,IF(INDEX(Employees!$P$5:$P$29,$A1128)="Per pay period",(N(INDEX(Employees!$Q$5:$Q$29,$A1128)))/Settings!$B$13,IF(INDEX(Employees!$P$5:$P$29,$A1128)="Per hour worked",N(INDEX(Employees!$R$5:$R$29,$A1128))*$I1128,IF(INDEX(Employees!$P$5:$P$29,$A1128)="Front-loaded",IF(OR($B1128=1,N($G1127)=0),N(INDEX(Employees!$Q$5:$Q$29,$A1128)),0),0))))</f>
        <v/>
      </c>
      <c r="R1128" s="51">
        <f>IF($F1128=0,0,SUMIFS('Time Off Log'!$H$5:$H$504,'Time Off Log'!$A$5:$A$504,$C1128,'Time Off Log'!$B$5:$B$504,"Sick",'Time Off Log'!$E$5:$E$504,"Approved",'Time Off Log'!$C$5:$C$504,"&gt;="&amp;INDEX(Periods!$E$5:$E$57,$B1128),'Time Off Log'!$C$5:$C$504,"&lt;="&amp;INDEX(Periods!$F$5:$F$57,$B1128)))</f>
        <v/>
      </c>
      <c r="S1128" s="51">
        <f>IF($B1128=1,N(INDEX(Employees!$T$5:$T$29,$A1128)),V1127)</f>
        <v/>
      </c>
      <c r="T1128" s="51">
        <f>IF(INDEX(Employees!$S$5:$S$29,$A1128)="",Q1128,MAX(0,MIN(Q1128,INDEX(Employees!$S$5:$S$29,$A1128)-(S1128-R1128))))</f>
        <v/>
      </c>
      <c r="U1128" s="51">
        <f>Q1128-T1128</f>
        <v/>
      </c>
      <c r="V1128" s="51">
        <f>S1128-R1128+T1128</f>
        <v/>
      </c>
    </row>
    <row r="1129">
      <c r="A1129" s="50" t="n">
        <v>22</v>
      </c>
      <c r="B1129" s="50" t="n">
        <v>12</v>
      </c>
      <c r="C1129" s="51">
        <f>INDEX(Employees!$B$5:$B$29,$A1129)&amp;""</f>
        <v/>
      </c>
      <c r="D1129" s="52">
        <f>INDEX(Periods!$B$5:$B$57,$B1129)</f>
        <v/>
      </c>
      <c r="E1129" s="52">
        <f>INDEX(Periods!$C$5:$C$57,$B1129)</f>
        <v/>
      </c>
      <c r="F1129" s="50">
        <f>IF(AND($C1129&lt;&gt;"",INDEX(Periods!$D$5:$D$57,$B1129)=1),1,0)</f>
        <v/>
      </c>
      <c r="G1129" s="50">
        <f>IF($F1129=0,0,IF(AND(OR(INDEX(Employees!$D$5:$D$29,$A1129)="",$E1129&gt;=INDEX(Employees!$D$5:$D$29,$A1129)+N(INDEX(Employees!$U$5:$U$29,$A1129))),OR(INDEX(Employees!$E$5:$E$29,$A1129)="",$D1129&lt;=INDEX(Employees!$E$5:$E$29,$A1129))),1,0))</f>
        <v/>
      </c>
      <c r="H1129" s="50">
        <f>IF($G1129=0,0,IF(INDEX(Employees!$D$5:$D$29,$A1129)="",0,DATEDIF(INDEX(Employees!$D$5:$D$29,$A1129),$E1129,"y")))</f>
        <v/>
      </c>
      <c r="I1129" s="51">
        <f>IF($G1129=0,0,IF(INDEX('Hours Worked'!$D$5:$BD$29,$A1129,$B1129)="",N(INDEX(Employees!$H$5:$H$29,$A1129)),INDEX('Hours Worked'!$D$5:$BD$29,$A1129,$B1129)))</f>
        <v/>
      </c>
      <c r="J1129" s="51">
        <f>IF(OR($G1129=0,INDEX(Employees!$O$5:$O$29,$A1129)&lt;&gt;"Yes"),0,IF(COUNTIF(Settings!$D$4:$D$9,"&lt;="&amp;$H1129)=0,0,INDEX(Settings!$E$4:$E$9,COUNTIF(Settings!$D$4:$D$9,"&lt;="&amp;$H1129))))</f>
        <v/>
      </c>
      <c r="K1129" s="51">
        <f>IF($G1129=0,0,IF(INDEX(Employees!$I$5:$I$29,$A1129)="Per pay period",(N(INDEX(Employees!$J$5:$J$29,$A1129))+$J1129)/Settings!$B$13,IF(INDEX(Employees!$I$5:$I$29,$A1129)="Per hour worked",N(INDEX(Employees!$K$5:$K$29,$A1129))*$I1129,IF(INDEX(Employees!$I$5:$I$29,$A1129)="Front-loaded",IF(OR($B1129=1,N($G1128)=0),N(INDEX(Employees!$J$5:$J$29,$A1129))+$J1129,0),0))))</f>
        <v/>
      </c>
      <c r="L1129" s="51">
        <f>IF($F1129=0,0,SUMIFS('Time Off Log'!$H$5:$H$504,'Time Off Log'!$A$5:$A$504,$C1129,'Time Off Log'!$B$5:$B$504,"PTO",'Time Off Log'!$E$5:$E$504,"Approved",'Time Off Log'!$C$5:$C$504,"&gt;="&amp;INDEX(Periods!$E$5:$E$57,$B1129),'Time Off Log'!$C$5:$C$504,"&lt;="&amp;INDEX(Periods!$F$5:$F$57,$B1129)))</f>
        <v/>
      </c>
      <c r="M1129" s="51">
        <f>IF($B1129=1,N(INDEX(Employees!$N$5:$N$29,$A1129)),P1128)</f>
        <v/>
      </c>
      <c r="N1129" s="51">
        <f>IF(INDEX(Employees!$L$5:$L$29,$A1129)="",K1129,MAX(0,MIN(K1129,INDEX(Employees!$L$5:$L$29,$A1129)-(M1129-L1129))))</f>
        <v/>
      </c>
      <c r="O1129" s="51">
        <f>K1129-N1129</f>
        <v/>
      </c>
      <c r="P1129" s="51">
        <f>M1129-L1129+N1129</f>
        <v/>
      </c>
      <c r="Q1129" s="51">
        <f>IF($G1129=0,0,IF(INDEX(Employees!$P$5:$P$29,$A1129)="Per pay period",(N(INDEX(Employees!$Q$5:$Q$29,$A1129)))/Settings!$B$13,IF(INDEX(Employees!$P$5:$P$29,$A1129)="Per hour worked",N(INDEX(Employees!$R$5:$R$29,$A1129))*$I1129,IF(INDEX(Employees!$P$5:$P$29,$A1129)="Front-loaded",IF(OR($B1129=1,N($G1128)=0),N(INDEX(Employees!$Q$5:$Q$29,$A1129)),0),0))))</f>
        <v/>
      </c>
      <c r="R1129" s="51">
        <f>IF($F1129=0,0,SUMIFS('Time Off Log'!$H$5:$H$504,'Time Off Log'!$A$5:$A$504,$C1129,'Time Off Log'!$B$5:$B$504,"Sick",'Time Off Log'!$E$5:$E$504,"Approved",'Time Off Log'!$C$5:$C$504,"&gt;="&amp;INDEX(Periods!$E$5:$E$57,$B1129),'Time Off Log'!$C$5:$C$504,"&lt;="&amp;INDEX(Periods!$F$5:$F$57,$B1129)))</f>
        <v/>
      </c>
      <c r="S1129" s="51">
        <f>IF($B1129=1,N(INDEX(Employees!$T$5:$T$29,$A1129)),V1128)</f>
        <v/>
      </c>
      <c r="T1129" s="51">
        <f>IF(INDEX(Employees!$S$5:$S$29,$A1129)="",Q1129,MAX(0,MIN(Q1129,INDEX(Employees!$S$5:$S$29,$A1129)-(S1129-R1129))))</f>
        <v/>
      </c>
      <c r="U1129" s="51">
        <f>Q1129-T1129</f>
        <v/>
      </c>
      <c r="V1129" s="51">
        <f>S1129-R1129+T1129</f>
        <v/>
      </c>
    </row>
    <row r="1130">
      <c r="A1130" s="50" t="n">
        <v>22</v>
      </c>
      <c r="B1130" s="50" t="n">
        <v>13</v>
      </c>
      <c r="C1130" s="51">
        <f>INDEX(Employees!$B$5:$B$29,$A1130)&amp;""</f>
        <v/>
      </c>
      <c r="D1130" s="52">
        <f>INDEX(Periods!$B$5:$B$57,$B1130)</f>
        <v/>
      </c>
      <c r="E1130" s="52">
        <f>INDEX(Periods!$C$5:$C$57,$B1130)</f>
        <v/>
      </c>
      <c r="F1130" s="50">
        <f>IF(AND($C1130&lt;&gt;"",INDEX(Periods!$D$5:$D$57,$B1130)=1),1,0)</f>
        <v/>
      </c>
      <c r="G1130" s="50">
        <f>IF($F1130=0,0,IF(AND(OR(INDEX(Employees!$D$5:$D$29,$A1130)="",$E1130&gt;=INDEX(Employees!$D$5:$D$29,$A1130)+N(INDEX(Employees!$U$5:$U$29,$A1130))),OR(INDEX(Employees!$E$5:$E$29,$A1130)="",$D1130&lt;=INDEX(Employees!$E$5:$E$29,$A1130))),1,0))</f>
        <v/>
      </c>
      <c r="H1130" s="50">
        <f>IF($G1130=0,0,IF(INDEX(Employees!$D$5:$D$29,$A1130)="",0,DATEDIF(INDEX(Employees!$D$5:$D$29,$A1130),$E1130,"y")))</f>
        <v/>
      </c>
      <c r="I1130" s="51">
        <f>IF($G1130=0,0,IF(INDEX('Hours Worked'!$D$5:$BD$29,$A1130,$B1130)="",N(INDEX(Employees!$H$5:$H$29,$A1130)),INDEX('Hours Worked'!$D$5:$BD$29,$A1130,$B1130)))</f>
        <v/>
      </c>
      <c r="J1130" s="51">
        <f>IF(OR($G1130=0,INDEX(Employees!$O$5:$O$29,$A1130)&lt;&gt;"Yes"),0,IF(COUNTIF(Settings!$D$4:$D$9,"&lt;="&amp;$H1130)=0,0,INDEX(Settings!$E$4:$E$9,COUNTIF(Settings!$D$4:$D$9,"&lt;="&amp;$H1130))))</f>
        <v/>
      </c>
      <c r="K1130" s="51">
        <f>IF($G1130=0,0,IF(INDEX(Employees!$I$5:$I$29,$A1130)="Per pay period",(N(INDEX(Employees!$J$5:$J$29,$A1130))+$J1130)/Settings!$B$13,IF(INDEX(Employees!$I$5:$I$29,$A1130)="Per hour worked",N(INDEX(Employees!$K$5:$K$29,$A1130))*$I1130,IF(INDEX(Employees!$I$5:$I$29,$A1130)="Front-loaded",IF(OR($B1130=1,N($G1129)=0),N(INDEX(Employees!$J$5:$J$29,$A1130))+$J1130,0),0))))</f>
        <v/>
      </c>
      <c r="L1130" s="51">
        <f>IF($F1130=0,0,SUMIFS('Time Off Log'!$H$5:$H$504,'Time Off Log'!$A$5:$A$504,$C1130,'Time Off Log'!$B$5:$B$504,"PTO",'Time Off Log'!$E$5:$E$504,"Approved",'Time Off Log'!$C$5:$C$504,"&gt;="&amp;INDEX(Periods!$E$5:$E$57,$B1130),'Time Off Log'!$C$5:$C$504,"&lt;="&amp;INDEX(Periods!$F$5:$F$57,$B1130)))</f>
        <v/>
      </c>
      <c r="M1130" s="51">
        <f>IF($B1130=1,N(INDEX(Employees!$N$5:$N$29,$A1130)),P1129)</f>
        <v/>
      </c>
      <c r="N1130" s="51">
        <f>IF(INDEX(Employees!$L$5:$L$29,$A1130)="",K1130,MAX(0,MIN(K1130,INDEX(Employees!$L$5:$L$29,$A1130)-(M1130-L1130))))</f>
        <v/>
      </c>
      <c r="O1130" s="51">
        <f>K1130-N1130</f>
        <v/>
      </c>
      <c r="P1130" s="51">
        <f>M1130-L1130+N1130</f>
        <v/>
      </c>
      <c r="Q1130" s="51">
        <f>IF($G1130=0,0,IF(INDEX(Employees!$P$5:$P$29,$A1130)="Per pay period",(N(INDEX(Employees!$Q$5:$Q$29,$A1130)))/Settings!$B$13,IF(INDEX(Employees!$P$5:$P$29,$A1130)="Per hour worked",N(INDEX(Employees!$R$5:$R$29,$A1130))*$I1130,IF(INDEX(Employees!$P$5:$P$29,$A1130)="Front-loaded",IF(OR($B1130=1,N($G1129)=0),N(INDEX(Employees!$Q$5:$Q$29,$A1130)),0),0))))</f>
        <v/>
      </c>
      <c r="R1130" s="51">
        <f>IF($F1130=0,0,SUMIFS('Time Off Log'!$H$5:$H$504,'Time Off Log'!$A$5:$A$504,$C1130,'Time Off Log'!$B$5:$B$504,"Sick",'Time Off Log'!$E$5:$E$504,"Approved",'Time Off Log'!$C$5:$C$504,"&gt;="&amp;INDEX(Periods!$E$5:$E$57,$B1130),'Time Off Log'!$C$5:$C$504,"&lt;="&amp;INDEX(Periods!$F$5:$F$57,$B1130)))</f>
        <v/>
      </c>
      <c r="S1130" s="51">
        <f>IF($B1130=1,N(INDEX(Employees!$T$5:$T$29,$A1130)),V1129)</f>
        <v/>
      </c>
      <c r="T1130" s="51">
        <f>IF(INDEX(Employees!$S$5:$S$29,$A1130)="",Q1130,MAX(0,MIN(Q1130,INDEX(Employees!$S$5:$S$29,$A1130)-(S1130-R1130))))</f>
        <v/>
      </c>
      <c r="U1130" s="51">
        <f>Q1130-T1130</f>
        <v/>
      </c>
      <c r="V1130" s="51">
        <f>S1130-R1130+T1130</f>
        <v/>
      </c>
    </row>
    <row r="1131">
      <c r="A1131" s="50" t="n">
        <v>22</v>
      </c>
      <c r="B1131" s="50" t="n">
        <v>14</v>
      </c>
      <c r="C1131" s="51">
        <f>INDEX(Employees!$B$5:$B$29,$A1131)&amp;""</f>
        <v/>
      </c>
      <c r="D1131" s="52">
        <f>INDEX(Periods!$B$5:$B$57,$B1131)</f>
        <v/>
      </c>
      <c r="E1131" s="52">
        <f>INDEX(Periods!$C$5:$C$57,$B1131)</f>
        <v/>
      </c>
      <c r="F1131" s="50">
        <f>IF(AND($C1131&lt;&gt;"",INDEX(Periods!$D$5:$D$57,$B1131)=1),1,0)</f>
        <v/>
      </c>
      <c r="G1131" s="50">
        <f>IF($F1131=0,0,IF(AND(OR(INDEX(Employees!$D$5:$D$29,$A1131)="",$E1131&gt;=INDEX(Employees!$D$5:$D$29,$A1131)+N(INDEX(Employees!$U$5:$U$29,$A1131))),OR(INDEX(Employees!$E$5:$E$29,$A1131)="",$D1131&lt;=INDEX(Employees!$E$5:$E$29,$A1131))),1,0))</f>
        <v/>
      </c>
      <c r="H1131" s="50">
        <f>IF($G1131=0,0,IF(INDEX(Employees!$D$5:$D$29,$A1131)="",0,DATEDIF(INDEX(Employees!$D$5:$D$29,$A1131),$E1131,"y")))</f>
        <v/>
      </c>
      <c r="I1131" s="51">
        <f>IF($G1131=0,0,IF(INDEX('Hours Worked'!$D$5:$BD$29,$A1131,$B1131)="",N(INDEX(Employees!$H$5:$H$29,$A1131)),INDEX('Hours Worked'!$D$5:$BD$29,$A1131,$B1131)))</f>
        <v/>
      </c>
      <c r="J1131" s="51">
        <f>IF(OR($G1131=0,INDEX(Employees!$O$5:$O$29,$A1131)&lt;&gt;"Yes"),0,IF(COUNTIF(Settings!$D$4:$D$9,"&lt;="&amp;$H1131)=0,0,INDEX(Settings!$E$4:$E$9,COUNTIF(Settings!$D$4:$D$9,"&lt;="&amp;$H1131))))</f>
        <v/>
      </c>
      <c r="K1131" s="51">
        <f>IF($G1131=0,0,IF(INDEX(Employees!$I$5:$I$29,$A1131)="Per pay period",(N(INDEX(Employees!$J$5:$J$29,$A1131))+$J1131)/Settings!$B$13,IF(INDEX(Employees!$I$5:$I$29,$A1131)="Per hour worked",N(INDEX(Employees!$K$5:$K$29,$A1131))*$I1131,IF(INDEX(Employees!$I$5:$I$29,$A1131)="Front-loaded",IF(OR($B1131=1,N($G1130)=0),N(INDEX(Employees!$J$5:$J$29,$A1131))+$J1131,0),0))))</f>
        <v/>
      </c>
      <c r="L1131" s="51">
        <f>IF($F1131=0,0,SUMIFS('Time Off Log'!$H$5:$H$504,'Time Off Log'!$A$5:$A$504,$C1131,'Time Off Log'!$B$5:$B$504,"PTO",'Time Off Log'!$E$5:$E$504,"Approved",'Time Off Log'!$C$5:$C$504,"&gt;="&amp;INDEX(Periods!$E$5:$E$57,$B1131),'Time Off Log'!$C$5:$C$504,"&lt;="&amp;INDEX(Periods!$F$5:$F$57,$B1131)))</f>
        <v/>
      </c>
      <c r="M1131" s="51">
        <f>IF($B1131=1,N(INDEX(Employees!$N$5:$N$29,$A1131)),P1130)</f>
        <v/>
      </c>
      <c r="N1131" s="51">
        <f>IF(INDEX(Employees!$L$5:$L$29,$A1131)="",K1131,MAX(0,MIN(K1131,INDEX(Employees!$L$5:$L$29,$A1131)-(M1131-L1131))))</f>
        <v/>
      </c>
      <c r="O1131" s="51">
        <f>K1131-N1131</f>
        <v/>
      </c>
      <c r="P1131" s="51">
        <f>M1131-L1131+N1131</f>
        <v/>
      </c>
      <c r="Q1131" s="51">
        <f>IF($G1131=0,0,IF(INDEX(Employees!$P$5:$P$29,$A1131)="Per pay period",(N(INDEX(Employees!$Q$5:$Q$29,$A1131)))/Settings!$B$13,IF(INDEX(Employees!$P$5:$P$29,$A1131)="Per hour worked",N(INDEX(Employees!$R$5:$R$29,$A1131))*$I1131,IF(INDEX(Employees!$P$5:$P$29,$A1131)="Front-loaded",IF(OR($B1131=1,N($G1130)=0),N(INDEX(Employees!$Q$5:$Q$29,$A1131)),0),0))))</f>
        <v/>
      </c>
      <c r="R1131" s="51">
        <f>IF($F1131=0,0,SUMIFS('Time Off Log'!$H$5:$H$504,'Time Off Log'!$A$5:$A$504,$C1131,'Time Off Log'!$B$5:$B$504,"Sick",'Time Off Log'!$E$5:$E$504,"Approved",'Time Off Log'!$C$5:$C$504,"&gt;="&amp;INDEX(Periods!$E$5:$E$57,$B1131),'Time Off Log'!$C$5:$C$504,"&lt;="&amp;INDEX(Periods!$F$5:$F$57,$B1131)))</f>
        <v/>
      </c>
      <c r="S1131" s="51">
        <f>IF($B1131=1,N(INDEX(Employees!$T$5:$T$29,$A1131)),V1130)</f>
        <v/>
      </c>
      <c r="T1131" s="51">
        <f>IF(INDEX(Employees!$S$5:$S$29,$A1131)="",Q1131,MAX(0,MIN(Q1131,INDEX(Employees!$S$5:$S$29,$A1131)-(S1131-R1131))))</f>
        <v/>
      </c>
      <c r="U1131" s="51">
        <f>Q1131-T1131</f>
        <v/>
      </c>
      <c r="V1131" s="51">
        <f>S1131-R1131+T1131</f>
        <v/>
      </c>
    </row>
    <row r="1132">
      <c r="A1132" s="50" t="n">
        <v>22</v>
      </c>
      <c r="B1132" s="50" t="n">
        <v>15</v>
      </c>
      <c r="C1132" s="51">
        <f>INDEX(Employees!$B$5:$B$29,$A1132)&amp;""</f>
        <v/>
      </c>
      <c r="D1132" s="52">
        <f>INDEX(Periods!$B$5:$B$57,$B1132)</f>
        <v/>
      </c>
      <c r="E1132" s="52">
        <f>INDEX(Periods!$C$5:$C$57,$B1132)</f>
        <v/>
      </c>
      <c r="F1132" s="50">
        <f>IF(AND($C1132&lt;&gt;"",INDEX(Periods!$D$5:$D$57,$B1132)=1),1,0)</f>
        <v/>
      </c>
      <c r="G1132" s="50">
        <f>IF($F1132=0,0,IF(AND(OR(INDEX(Employees!$D$5:$D$29,$A1132)="",$E1132&gt;=INDEX(Employees!$D$5:$D$29,$A1132)+N(INDEX(Employees!$U$5:$U$29,$A1132))),OR(INDEX(Employees!$E$5:$E$29,$A1132)="",$D1132&lt;=INDEX(Employees!$E$5:$E$29,$A1132))),1,0))</f>
        <v/>
      </c>
      <c r="H1132" s="50">
        <f>IF($G1132=0,0,IF(INDEX(Employees!$D$5:$D$29,$A1132)="",0,DATEDIF(INDEX(Employees!$D$5:$D$29,$A1132),$E1132,"y")))</f>
        <v/>
      </c>
      <c r="I1132" s="51">
        <f>IF($G1132=0,0,IF(INDEX('Hours Worked'!$D$5:$BD$29,$A1132,$B1132)="",N(INDEX(Employees!$H$5:$H$29,$A1132)),INDEX('Hours Worked'!$D$5:$BD$29,$A1132,$B1132)))</f>
        <v/>
      </c>
      <c r="J1132" s="51">
        <f>IF(OR($G1132=0,INDEX(Employees!$O$5:$O$29,$A1132)&lt;&gt;"Yes"),0,IF(COUNTIF(Settings!$D$4:$D$9,"&lt;="&amp;$H1132)=0,0,INDEX(Settings!$E$4:$E$9,COUNTIF(Settings!$D$4:$D$9,"&lt;="&amp;$H1132))))</f>
        <v/>
      </c>
      <c r="K1132" s="51">
        <f>IF($G1132=0,0,IF(INDEX(Employees!$I$5:$I$29,$A1132)="Per pay period",(N(INDEX(Employees!$J$5:$J$29,$A1132))+$J1132)/Settings!$B$13,IF(INDEX(Employees!$I$5:$I$29,$A1132)="Per hour worked",N(INDEX(Employees!$K$5:$K$29,$A1132))*$I1132,IF(INDEX(Employees!$I$5:$I$29,$A1132)="Front-loaded",IF(OR($B1132=1,N($G1131)=0),N(INDEX(Employees!$J$5:$J$29,$A1132))+$J1132,0),0))))</f>
        <v/>
      </c>
      <c r="L1132" s="51">
        <f>IF($F1132=0,0,SUMIFS('Time Off Log'!$H$5:$H$504,'Time Off Log'!$A$5:$A$504,$C1132,'Time Off Log'!$B$5:$B$504,"PTO",'Time Off Log'!$E$5:$E$504,"Approved",'Time Off Log'!$C$5:$C$504,"&gt;="&amp;INDEX(Periods!$E$5:$E$57,$B1132),'Time Off Log'!$C$5:$C$504,"&lt;="&amp;INDEX(Periods!$F$5:$F$57,$B1132)))</f>
        <v/>
      </c>
      <c r="M1132" s="51">
        <f>IF($B1132=1,N(INDEX(Employees!$N$5:$N$29,$A1132)),P1131)</f>
        <v/>
      </c>
      <c r="N1132" s="51">
        <f>IF(INDEX(Employees!$L$5:$L$29,$A1132)="",K1132,MAX(0,MIN(K1132,INDEX(Employees!$L$5:$L$29,$A1132)-(M1132-L1132))))</f>
        <v/>
      </c>
      <c r="O1132" s="51">
        <f>K1132-N1132</f>
        <v/>
      </c>
      <c r="P1132" s="51">
        <f>M1132-L1132+N1132</f>
        <v/>
      </c>
      <c r="Q1132" s="51">
        <f>IF($G1132=0,0,IF(INDEX(Employees!$P$5:$P$29,$A1132)="Per pay period",(N(INDEX(Employees!$Q$5:$Q$29,$A1132)))/Settings!$B$13,IF(INDEX(Employees!$P$5:$P$29,$A1132)="Per hour worked",N(INDEX(Employees!$R$5:$R$29,$A1132))*$I1132,IF(INDEX(Employees!$P$5:$P$29,$A1132)="Front-loaded",IF(OR($B1132=1,N($G1131)=0),N(INDEX(Employees!$Q$5:$Q$29,$A1132)),0),0))))</f>
        <v/>
      </c>
      <c r="R1132" s="51">
        <f>IF($F1132=0,0,SUMIFS('Time Off Log'!$H$5:$H$504,'Time Off Log'!$A$5:$A$504,$C1132,'Time Off Log'!$B$5:$B$504,"Sick",'Time Off Log'!$E$5:$E$504,"Approved",'Time Off Log'!$C$5:$C$504,"&gt;="&amp;INDEX(Periods!$E$5:$E$57,$B1132),'Time Off Log'!$C$5:$C$504,"&lt;="&amp;INDEX(Periods!$F$5:$F$57,$B1132)))</f>
        <v/>
      </c>
      <c r="S1132" s="51">
        <f>IF($B1132=1,N(INDEX(Employees!$T$5:$T$29,$A1132)),V1131)</f>
        <v/>
      </c>
      <c r="T1132" s="51">
        <f>IF(INDEX(Employees!$S$5:$S$29,$A1132)="",Q1132,MAX(0,MIN(Q1132,INDEX(Employees!$S$5:$S$29,$A1132)-(S1132-R1132))))</f>
        <v/>
      </c>
      <c r="U1132" s="51">
        <f>Q1132-T1132</f>
        <v/>
      </c>
      <c r="V1132" s="51">
        <f>S1132-R1132+T1132</f>
        <v/>
      </c>
    </row>
    <row r="1133">
      <c r="A1133" s="50" t="n">
        <v>22</v>
      </c>
      <c r="B1133" s="50" t="n">
        <v>16</v>
      </c>
      <c r="C1133" s="51">
        <f>INDEX(Employees!$B$5:$B$29,$A1133)&amp;""</f>
        <v/>
      </c>
      <c r="D1133" s="52">
        <f>INDEX(Periods!$B$5:$B$57,$B1133)</f>
        <v/>
      </c>
      <c r="E1133" s="52">
        <f>INDEX(Periods!$C$5:$C$57,$B1133)</f>
        <v/>
      </c>
      <c r="F1133" s="50">
        <f>IF(AND($C1133&lt;&gt;"",INDEX(Periods!$D$5:$D$57,$B1133)=1),1,0)</f>
        <v/>
      </c>
      <c r="G1133" s="50">
        <f>IF($F1133=0,0,IF(AND(OR(INDEX(Employees!$D$5:$D$29,$A1133)="",$E1133&gt;=INDEX(Employees!$D$5:$D$29,$A1133)+N(INDEX(Employees!$U$5:$U$29,$A1133))),OR(INDEX(Employees!$E$5:$E$29,$A1133)="",$D1133&lt;=INDEX(Employees!$E$5:$E$29,$A1133))),1,0))</f>
        <v/>
      </c>
      <c r="H1133" s="50">
        <f>IF($G1133=0,0,IF(INDEX(Employees!$D$5:$D$29,$A1133)="",0,DATEDIF(INDEX(Employees!$D$5:$D$29,$A1133),$E1133,"y")))</f>
        <v/>
      </c>
      <c r="I1133" s="51">
        <f>IF($G1133=0,0,IF(INDEX('Hours Worked'!$D$5:$BD$29,$A1133,$B1133)="",N(INDEX(Employees!$H$5:$H$29,$A1133)),INDEX('Hours Worked'!$D$5:$BD$29,$A1133,$B1133)))</f>
        <v/>
      </c>
      <c r="J1133" s="51">
        <f>IF(OR($G1133=0,INDEX(Employees!$O$5:$O$29,$A1133)&lt;&gt;"Yes"),0,IF(COUNTIF(Settings!$D$4:$D$9,"&lt;="&amp;$H1133)=0,0,INDEX(Settings!$E$4:$E$9,COUNTIF(Settings!$D$4:$D$9,"&lt;="&amp;$H1133))))</f>
        <v/>
      </c>
      <c r="K1133" s="51">
        <f>IF($G1133=0,0,IF(INDEX(Employees!$I$5:$I$29,$A1133)="Per pay period",(N(INDEX(Employees!$J$5:$J$29,$A1133))+$J1133)/Settings!$B$13,IF(INDEX(Employees!$I$5:$I$29,$A1133)="Per hour worked",N(INDEX(Employees!$K$5:$K$29,$A1133))*$I1133,IF(INDEX(Employees!$I$5:$I$29,$A1133)="Front-loaded",IF(OR($B1133=1,N($G1132)=0),N(INDEX(Employees!$J$5:$J$29,$A1133))+$J1133,0),0))))</f>
        <v/>
      </c>
      <c r="L1133" s="51">
        <f>IF($F1133=0,0,SUMIFS('Time Off Log'!$H$5:$H$504,'Time Off Log'!$A$5:$A$504,$C1133,'Time Off Log'!$B$5:$B$504,"PTO",'Time Off Log'!$E$5:$E$504,"Approved",'Time Off Log'!$C$5:$C$504,"&gt;="&amp;INDEX(Periods!$E$5:$E$57,$B1133),'Time Off Log'!$C$5:$C$504,"&lt;="&amp;INDEX(Periods!$F$5:$F$57,$B1133)))</f>
        <v/>
      </c>
      <c r="M1133" s="51">
        <f>IF($B1133=1,N(INDEX(Employees!$N$5:$N$29,$A1133)),P1132)</f>
        <v/>
      </c>
      <c r="N1133" s="51">
        <f>IF(INDEX(Employees!$L$5:$L$29,$A1133)="",K1133,MAX(0,MIN(K1133,INDEX(Employees!$L$5:$L$29,$A1133)-(M1133-L1133))))</f>
        <v/>
      </c>
      <c r="O1133" s="51">
        <f>K1133-N1133</f>
        <v/>
      </c>
      <c r="P1133" s="51">
        <f>M1133-L1133+N1133</f>
        <v/>
      </c>
      <c r="Q1133" s="51">
        <f>IF($G1133=0,0,IF(INDEX(Employees!$P$5:$P$29,$A1133)="Per pay period",(N(INDEX(Employees!$Q$5:$Q$29,$A1133)))/Settings!$B$13,IF(INDEX(Employees!$P$5:$P$29,$A1133)="Per hour worked",N(INDEX(Employees!$R$5:$R$29,$A1133))*$I1133,IF(INDEX(Employees!$P$5:$P$29,$A1133)="Front-loaded",IF(OR($B1133=1,N($G1132)=0),N(INDEX(Employees!$Q$5:$Q$29,$A1133)),0),0))))</f>
        <v/>
      </c>
      <c r="R1133" s="51">
        <f>IF($F1133=0,0,SUMIFS('Time Off Log'!$H$5:$H$504,'Time Off Log'!$A$5:$A$504,$C1133,'Time Off Log'!$B$5:$B$504,"Sick",'Time Off Log'!$E$5:$E$504,"Approved",'Time Off Log'!$C$5:$C$504,"&gt;="&amp;INDEX(Periods!$E$5:$E$57,$B1133),'Time Off Log'!$C$5:$C$504,"&lt;="&amp;INDEX(Periods!$F$5:$F$57,$B1133)))</f>
        <v/>
      </c>
      <c r="S1133" s="51">
        <f>IF($B1133=1,N(INDEX(Employees!$T$5:$T$29,$A1133)),V1132)</f>
        <v/>
      </c>
      <c r="T1133" s="51">
        <f>IF(INDEX(Employees!$S$5:$S$29,$A1133)="",Q1133,MAX(0,MIN(Q1133,INDEX(Employees!$S$5:$S$29,$A1133)-(S1133-R1133))))</f>
        <v/>
      </c>
      <c r="U1133" s="51">
        <f>Q1133-T1133</f>
        <v/>
      </c>
      <c r="V1133" s="51">
        <f>S1133-R1133+T1133</f>
        <v/>
      </c>
    </row>
    <row r="1134">
      <c r="A1134" s="50" t="n">
        <v>22</v>
      </c>
      <c r="B1134" s="50" t="n">
        <v>17</v>
      </c>
      <c r="C1134" s="51">
        <f>INDEX(Employees!$B$5:$B$29,$A1134)&amp;""</f>
        <v/>
      </c>
      <c r="D1134" s="52">
        <f>INDEX(Periods!$B$5:$B$57,$B1134)</f>
        <v/>
      </c>
      <c r="E1134" s="52">
        <f>INDEX(Periods!$C$5:$C$57,$B1134)</f>
        <v/>
      </c>
      <c r="F1134" s="50">
        <f>IF(AND($C1134&lt;&gt;"",INDEX(Periods!$D$5:$D$57,$B1134)=1),1,0)</f>
        <v/>
      </c>
      <c r="G1134" s="50">
        <f>IF($F1134=0,0,IF(AND(OR(INDEX(Employees!$D$5:$D$29,$A1134)="",$E1134&gt;=INDEX(Employees!$D$5:$D$29,$A1134)+N(INDEX(Employees!$U$5:$U$29,$A1134))),OR(INDEX(Employees!$E$5:$E$29,$A1134)="",$D1134&lt;=INDEX(Employees!$E$5:$E$29,$A1134))),1,0))</f>
        <v/>
      </c>
      <c r="H1134" s="50">
        <f>IF($G1134=0,0,IF(INDEX(Employees!$D$5:$D$29,$A1134)="",0,DATEDIF(INDEX(Employees!$D$5:$D$29,$A1134),$E1134,"y")))</f>
        <v/>
      </c>
      <c r="I1134" s="51">
        <f>IF($G1134=0,0,IF(INDEX('Hours Worked'!$D$5:$BD$29,$A1134,$B1134)="",N(INDEX(Employees!$H$5:$H$29,$A1134)),INDEX('Hours Worked'!$D$5:$BD$29,$A1134,$B1134)))</f>
        <v/>
      </c>
      <c r="J1134" s="51">
        <f>IF(OR($G1134=0,INDEX(Employees!$O$5:$O$29,$A1134)&lt;&gt;"Yes"),0,IF(COUNTIF(Settings!$D$4:$D$9,"&lt;="&amp;$H1134)=0,0,INDEX(Settings!$E$4:$E$9,COUNTIF(Settings!$D$4:$D$9,"&lt;="&amp;$H1134))))</f>
        <v/>
      </c>
      <c r="K1134" s="51">
        <f>IF($G1134=0,0,IF(INDEX(Employees!$I$5:$I$29,$A1134)="Per pay period",(N(INDEX(Employees!$J$5:$J$29,$A1134))+$J1134)/Settings!$B$13,IF(INDEX(Employees!$I$5:$I$29,$A1134)="Per hour worked",N(INDEX(Employees!$K$5:$K$29,$A1134))*$I1134,IF(INDEX(Employees!$I$5:$I$29,$A1134)="Front-loaded",IF(OR($B1134=1,N($G1133)=0),N(INDEX(Employees!$J$5:$J$29,$A1134))+$J1134,0),0))))</f>
        <v/>
      </c>
      <c r="L1134" s="51">
        <f>IF($F1134=0,0,SUMIFS('Time Off Log'!$H$5:$H$504,'Time Off Log'!$A$5:$A$504,$C1134,'Time Off Log'!$B$5:$B$504,"PTO",'Time Off Log'!$E$5:$E$504,"Approved",'Time Off Log'!$C$5:$C$504,"&gt;="&amp;INDEX(Periods!$E$5:$E$57,$B1134),'Time Off Log'!$C$5:$C$504,"&lt;="&amp;INDEX(Periods!$F$5:$F$57,$B1134)))</f>
        <v/>
      </c>
      <c r="M1134" s="51">
        <f>IF($B1134=1,N(INDEX(Employees!$N$5:$N$29,$A1134)),P1133)</f>
        <v/>
      </c>
      <c r="N1134" s="51">
        <f>IF(INDEX(Employees!$L$5:$L$29,$A1134)="",K1134,MAX(0,MIN(K1134,INDEX(Employees!$L$5:$L$29,$A1134)-(M1134-L1134))))</f>
        <v/>
      </c>
      <c r="O1134" s="51">
        <f>K1134-N1134</f>
        <v/>
      </c>
      <c r="P1134" s="51">
        <f>M1134-L1134+N1134</f>
        <v/>
      </c>
      <c r="Q1134" s="51">
        <f>IF($G1134=0,0,IF(INDEX(Employees!$P$5:$P$29,$A1134)="Per pay period",(N(INDEX(Employees!$Q$5:$Q$29,$A1134)))/Settings!$B$13,IF(INDEX(Employees!$P$5:$P$29,$A1134)="Per hour worked",N(INDEX(Employees!$R$5:$R$29,$A1134))*$I1134,IF(INDEX(Employees!$P$5:$P$29,$A1134)="Front-loaded",IF(OR($B1134=1,N($G1133)=0),N(INDEX(Employees!$Q$5:$Q$29,$A1134)),0),0))))</f>
        <v/>
      </c>
      <c r="R1134" s="51">
        <f>IF($F1134=0,0,SUMIFS('Time Off Log'!$H$5:$H$504,'Time Off Log'!$A$5:$A$504,$C1134,'Time Off Log'!$B$5:$B$504,"Sick",'Time Off Log'!$E$5:$E$504,"Approved",'Time Off Log'!$C$5:$C$504,"&gt;="&amp;INDEX(Periods!$E$5:$E$57,$B1134),'Time Off Log'!$C$5:$C$504,"&lt;="&amp;INDEX(Periods!$F$5:$F$57,$B1134)))</f>
        <v/>
      </c>
      <c r="S1134" s="51">
        <f>IF($B1134=1,N(INDEX(Employees!$T$5:$T$29,$A1134)),V1133)</f>
        <v/>
      </c>
      <c r="T1134" s="51">
        <f>IF(INDEX(Employees!$S$5:$S$29,$A1134)="",Q1134,MAX(0,MIN(Q1134,INDEX(Employees!$S$5:$S$29,$A1134)-(S1134-R1134))))</f>
        <v/>
      </c>
      <c r="U1134" s="51">
        <f>Q1134-T1134</f>
        <v/>
      </c>
      <c r="V1134" s="51">
        <f>S1134-R1134+T1134</f>
        <v/>
      </c>
    </row>
    <row r="1135">
      <c r="A1135" s="50" t="n">
        <v>22</v>
      </c>
      <c r="B1135" s="50" t="n">
        <v>18</v>
      </c>
      <c r="C1135" s="51">
        <f>INDEX(Employees!$B$5:$B$29,$A1135)&amp;""</f>
        <v/>
      </c>
      <c r="D1135" s="52">
        <f>INDEX(Periods!$B$5:$B$57,$B1135)</f>
        <v/>
      </c>
      <c r="E1135" s="52">
        <f>INDEX(Periods!$C$5:$C$57,$B1135)</f>
        <v/>
      </c>
      <c r="F1135" s="50">
        <f>IF(AND($C1135&lt;&gt;"",INDEX(Periods!$D$5:$D$57,$B1135)=1),1,0)</f>
        <v/>
      </c>
      <c r="G1135" s="50">
        <f>IF($F1135=0,0,IF(AND(OR(INDEX(Employees!$D$5:$D$29,$A1135)="",$E1135&gt;=INDEX(Employees!$D$5:$D$29,$A1135)+N(INDEX(Employees!$U$5:$U$29,$A1135))),OR(INDEX(Employees!$E$5:$E$29,$A1135)="",$D1135&lt;=INDEX(Employees!$E$5:$E$29,$A1135))),1,0))</f>
        <v/>
      </c>
      <c r="H1135" s="50">
        <f>IF($G1135=0,0,IF(INDEX(Employees!$D$5:$D$29,$A1135)="",0,DATEDIF(INDEX(Employees!$D$5:$D$29,$A1135),$E1135,"y")))</f>
        <v/>
      </c>
      <c r="I1135" s="51">
        <f>IF($G1135=0,0,IF(INDEX('Hours Worked'!$D$5:$BD$29,$A1135,$B1135)="",N(INDEX(Employees!$H$5:$H$29,$A1135)),INDEX('Hours Worked'!$D$5:$BD$29,$A1135,$B1135)))</f>
        <v/>
      </c>
      <c r="J1135" s="51">
        <f>IF(OR($G1135=0,INDEX(Employees!$O$5:$O$29,$A1135)&lt;&gt;"Yes"),0,IF(COUNTIF(Settings!$D$4:$D$9,"&lt;="&amp;$H1135)=0,0,INDEX(Settings!$E$4:$E$9,COUNTIF(Settings!$D$4:$D$9,"&lt;="&amp;$H1135))))</f>
        <v/>
      </c>
      <c r="K1135" s="51">
        <f>IF($G1135=0,0,IF(INDEX(Employees!$I$5:$I$29,$A1135)="Per pay period",(N(INDEX(Employees!$J$5:$J$29,$A1135))+$J1135)/Settings!$B$13,IF(INDEX(Employees!$I$5:$I$29,$A1135)="Per hour worked",N(INDEX(Employees!$K$5:$K$29,$A1135))*$I1135,IF(INDEX(Employees!$I$5:$I$29,$A1135)="Front-loaded",IF(OR($B1135=1,N($G1134)=0),N(INDEX(Employees!$J$5:$J$29,$A1135))+$J1135,0),0))))</f>
        <v/>
      </c>
      <c r="L1135" s="51">
        <f>IF($F1135=0,0,SUMIFS('Time Off Log'!$H$5:$H$504,'Time Off Log'!$A$5:$A$504,$C1135,'Time Off Log'!$B$5:$B$504,"PTO",'Time Off Log'!$E$5:$E$504,"Approved",'Time Off Log'!$C$5:$C$504,"&gt;="&amp;INDEX(Periods!$E$5:$E$57,$B1135),'Time Off Log'!$C$5:$C$504,"&lt;="&amp;INDEX(Periods!$F$5:$F$57,$B1135)))</f>
        <v/>
      </c>
      <c r="M1135" s="51">
        <f>IF($B1135=1,N(INDEX(Employees!$N$5:$N$29,$A1135)),P1134)</f>
        <v/>
      </c>
      <c r="N1135" s="51">
        <f>IF(INDEX(Employees!$L$5:$L$29,$A1135)="",K1135,MAX(0,MIN(K1135,INDEX(Employees!$L$5:$L$29,$A1135)-(M1135-L1135))))</f>
        <v/>
      </c>
      <c r="O1135" s="51">
        <f>K1135-N1135</f>
        <v/>
      </c>
      <c r="P1135" s="51">
        <f>M1135-L1135+N1135</f>
        <v/>
      </c>
      <c r="Q1135" s="51">
        <f>IF($G1135=0,0,IF(INDEX(Employees!$P$5:$P$29,$A1135)="Per pay period",(N(INDEX(Employees!$Q$5:$Q$29,$A1135)))/Settings!$B$13,IF(INDEX(Employees!$P$5:$P$29,$A1135)="Per hour worked",N(INDEX(Employees!$R$5:$R$29,$A1135))*$I1135,IF(INDEX(Employees!$P$5:$P$29,$A1135)="Front-loaded",IF(OR($B1135=1,N($G1134)=0),N(INDEX(Employees!$Q$5:$Q$29,$A1135)),0),0))))</f>
        <v/>
      </c>
      <c r="R1135" s="51">
        <f>IF($F1135=0,0,SUMIFS('Time Off Log'!$H$5:$H$504,'Time Off Log'!$A$5:$A$504,$C1135,'Time Off Log'!$B$5:$B$504,"Sick",'Time Off Log'!$E$5:$E$504,"Approved",'Time Off Log'!$C$5:$C$504,"&gt;="&amp;INDEX(Periods!$E$5:$E$57,$B1135),'Time Off Log'!$C$5:$C$504,"&lt;="&amp;INDEX(Periods!$F$5:$F$57,$B1135)))</f>
        <v/>
      </c>
      <c r="S1135" s="51">
        <f>IF($B1135=1,N(INDEX(Employees!$T$5:$T$29,$A1135)),V1134)</f>
        <v/>
      </c>
      <c r="T1135" s="51">
        <f>IF(INDEX(Employees!$S$5:$S$29,$A1135)="",Q1135,MAX(0,MIN(Q1135,INDEX(Employees!$S$5:$S$29,$A1135)-(S1135-R1135))))</f>
        <v/>
      </c>
      <c r="U1135" s="51">
        <f>Q1135-T1135</f>
        <v/>
      </c>
      <c r="V1135" s="51">
        <f>S1135-R1135+T1135</f>
        <v/>
      </c>
    </row>
    <row r="1136">
      <c r="A1136" s="50" t="n">
        <v>22</v>
      </c>
      <c r="B1136" s="50" t="n">
        <v>19</v>
      </c>
      <c r="C1136" s="51">
        <f>INDEX(Employees!$B$5:$B$29,$A1136)&amp;""</f>
        <v/>
      </c>
      <c r="D1136" s="52">
        <f>INDEX(Periods!$B$5:$B$57,$B1136)</f>
        <v/>
      </c>
      <c r="E1136" s="52">
        <f>INDEX(Periods!$C$5:$C$57,$B1136)</f>
        <v/>
      </c>
      <c r="F1136" s="50">
        <f>IF(AND($C1136&lt;&gt;"",INDEX(Periods!$D$5:$D$57,$B1136)=1),1,0)</f>
        <v/>
      </c>
      <c r="G1136" s="50">
        <f>IF($F1136=0,0,IF(AND(OR(INDEX(Employees!$D$5:$D$29,$A1136)="",$E1136&gt;=INDEX(Employees!$D$5:$D$29,$A1136)+N(INDEX(Employees!$U$5:$U$29,$A1136))),OR(INDEX(Employees!$E$5:$E$29,$A1136)="",$D1136&lt;=INDEX(Employees!$E$5:$E$29,$A1136))),1,0))</f>
        <v/>
      </c>
      <c r="H1136" s="50">
        <f>IF($G1136=0,0,IF(INDEX(Employees!$D$5:$D$29,$A1136)="",0,DATEDIF(INDEX(Employees!$D$5:$D$29,$A1136),$E1136,"y")))</f>
        <v/>
      </c>
      <c r="I1136" s="51">
        <f>IF($G1136=0,0,IF(INDEX('Hours Worked'!$D$5:$BD$29,$A1136,$B1136)="",N(INDEX(Employees!$H$5:$H$29,$A1136)),INDEX('Hours Worked'!$D$5:$BD$29,$A1136,$B1136)))</f>
        <v/>
      </c>
      <c r="J1136" s="51">
        <f>IF(OR($G1136=0,INDEX(Employees!$O$5:$O$29,$A1136)&lt;&gt;"Yes"),0,IF(COUNTIF(Settings!$D$4:$D$9,"&lt;="&amp;$H1136)=0,0,INDEX(Settings!$E$4:$E$9,COUNTIF(Settings!$D$4:$D$9,"&lt;="&amp;$H1136))))</f>
        <v/>
      </c>
      <c r="K1136" s="51">
        <f>IF($G1136=0,0,IF(INDEX(Employees!$I$5:$I$29,$A1136)="Per pay period",(N(INDEX(Employees!$J$5:$J$29,$A1136))+$J1136)/Settings!$B$13,IF(INDEX(Employees!$I$5:$I$29,$A1136)="Per hour worked",N(INDEX(Employees!$K$5:$K$29,$A1136))*$I1136,IF(INDEX(Employees!$I$5:$I$29,$A1136)="Front-loaded",IF(OR($B1136=1,N($G1135)=0),N(INDEX(Employees!$J$5:$J$29,$A1136))+$J1136,0),0))))</f>
        <v/>
      </c>
      <c r="L1136" s="51">
        <f>IF($F1136=0,0,SUMIFS('Time Off Log'!$H$5:$H$504,'Time Off Log'!$A$5:$A$504,$C1136,'Time Off Log'!$B$5:$B$504,"PTO",'Time Off Log'!$E$5:$E$504,"Approved",'Time Off Log'!$C$5:$C$504,"&gt;="&amp;INDEX(Periods!$E$5:$E$57,$B1136),'Time Off Log'!$C$5:$C$504,"&lt;="&amp;INDEX(Periods!$F$5:$F$57,$B1136)))</f>
        <v/>
      </c>
      <c r="M1136" s="51">
        <f>IF($B1136=1,N(INDEX(Employees!$N$5:$N$29,$A1136)),P1135)</f>
        <v/>
      </c>
      <c r="N1136" s="51">
        <f>IF(INDEX(Employees!$L$5:$L$29,$A1136)="",K1136,MAX(0,MIN(K1136,INDEX(Employees!$L$5:$L$29,$A1136)-(M1136-L1136))))</f>
        <v/>
      </c>
      <c r="O1136" s="51">
        <f>K1136-N1136</f>
        <v/>
      </c>
      <c r="P1136" s="51">
        <f>M1136-L1136+N1136</f>
        <v/>
      </c>
      <c r="Q1136" s="51">
        <f>IF($G1136=0,0,IF(INDEX(Employees!$P$5:$P$29,$A1136)="Per pay period",(N(INDEX(Employees!$Q$5:$Q$29,$A1136)))/Settings!$B$13,IF(INDEX(Employees!$P$5:$P$29,$A1136)="Per hour worked",N(INDEX(Employees!$R$5:$R$29,$A1136))*$I1136,IF(INDEX(Employees!$P$5:$P$29,$A1136)="Front-loaded",IF(OR($B1136=1,N($G1135)=0),N(INDEX(Employees!$Q$5:$Q$29,$A1136)),0),0))))</f>
        <v/>
      </c>
      <c r="R1136" s="51">
        <f>IF($F1136=0,0,SUMIFS('Time Off Log'!$H$5:$H$504,'Time Off Log'!$A$5:$A$504,$C1136,'Time Off Log'!$B$5:$B$504,"Sick",'Time Off Log'!$E$5:$E$504,"Approved",'Time Off Log'!$C$5:$C$504,"&gt;="&amp;INDEX(Periods!$E$5:$E$57,$B1136),'Time Off Log'!$C$5:$C$504,"&lt;="&amp;INDEX(Periods!$F$5:$F$57,$B1136)))</f>
        <v/>
      </c>
      <c r="S1136" s="51">
        <f>IF($B1136=1,N(INDEX(Employees!$T$5:$T$29,$A1136)),V1135)</f>
        <v/>
      </c>
      <c r="T1136" s="51">
        <f>IF(INDEX(Employees!$S$5:$S$29,$A1136)="",Q1136,MAX(0,MIN(Q1136,INDEX(Employees!$S$5:$S$29,$A1136)-(S1136-R1136))))</f>
        <v/>
      </c>
      <c r="U1136" s="51">
        <f>Q1136-T1136</f>
        <v/>
      </c>
      <c r="V1136" s="51">
        <f>S1136-R1136+T1136</f>
        <v/>
      </c>
    </row>
    <row r="1137">
      <c r="A1137" s="50" t="n">
        <v>22</v>
      </c>
      <c r="B1137" s="50" t="n">
        <v>20</v>
      </c>
      <c r="C1137" s="51">
        <f>INDEX(Employees!$B$5:$B$29,$A1137)&amp;""</f>
        <v/>
      </c>
      <c r="D1137" s="52">
        <f>INDEX(Periods!$B$5:$B$57,$B1137)</f>
        <v/>
      </c>
      <c r="E1137" s="52">
        <f>INDEX(Periods!$C$5:$C$57,$B1137)</f>
        <v/>
      </c>
      <c r="F1137" s="50">
        <f>IF(AND($C1137&lt;&gt;"",INDEX(Periods!$D$5:$D$57,$B1137)=1),1,0)</f>
        <v/>
      </c>
      <c r="G1137" s="50">
        <f>IF($F1137=0,0,IF(AND(OR(INDEX(Employees!$D$5:$D$29,$A1137)="",$E1137&gt;=INDEX(Employees!$D$5:$D$29,$A1137)+N(INDEX(Employees!$U$5:$U$29,$A1137))),OR(INDEX(Employees!$E$5:$E$29,$A1137)="",$D1137&lt;=INDEX(Employees!$E$5:$E$29,$A1137))),1,0))</f>
        <v/>
      </c>
      <c r="H1137" s="50">
        <f>IF($G1137=0,0,IF(INDEX(Employees!$D$5:$D$29,$A1137)="",0,DATEDIF(INDEX(Employees!$D$5:$D$29,$A1137),$E1137,"y")))</f>
        <v/>
      </c>
      <c r="I1137" s="51">
        <f>IF($G1137=0,0,IF(INDEX('Hours Worked'!$D$5:$BD$29,$A1137,$B1137)="",N(INDEX(Employees!$H$5:$H$29,$A1137)),INDEX('Hours Worked'!$D$5:$BD$29,$A1137,$B1137)))</f>
        <v/>
      </c>
      <c r="J1137" s="51">
        <f>IF(OR($G1137=0,INDEX(Employees!$O$5:$O$29,$A1137)&lt;&gt;"Yes"),0,IF(COUNTIF(Settings!$D$4:$D$9,"&lt;="&amp;$H1137)=0,0,INDEX(Settings!$E$4:$E$9,COUNTIF(Settings!$D$4:$D$9,"&lt;="&amp;$H1137))))</f>
        <v/>
      </c>
      <c r="K1137" s="51">
        <f>IF($G1137=0,0,IF(INDEX(Employees!$I$5:$I$29,$A1137)="Per pay period",(N(INDEX(Employees!$J$5:$J$29,$A1137))+$J1137)/Settings!$B$13,IF(INDEX(Employees!$I$5:$I$29,$A1137)="Per hour worked",N(INDEX(Employees!$K$5:$K$29,$A1137))*$I1137,IF(INDEX(Employees!$I$5:$I$29,$A1137)="Front-loaded",IF(OR($B1137=1,N($G1136)=0),N(INDEX(Employees!$J$5:$J$29,$A1137))+$J1137,0),0))))</f>
        <v/>
      </c>
      <c r="L1137" s="51">
        <f>IF($F1137=0,0,SUMIFS('Time Off Log'!$H$5:$H$504,'Time Off Log'!$A$5:$A$504,$C1137,'Time Off Log'!$B$5:$B$504,"PTO",'Time Off Log'!$E$5:$E$504,"Approved",'Time Off Log'!$C$5:$C$504,"&gt;="&amp;INDEX(Periods!$E$5:$E$57,$B1137),'Time Off Log'!$C$5:$C$504,"&lt;="&amp;INDEX(Periods!$F$5:$F$57,$B1137)))</f>
        <v/>
      </c>
      <c r="M1137" s="51">
        <f>IF($B1137=1,N(INDEX(Employees!$N$5:$N$29,$A1137)),P1136)</f>
        <v/>
      </c>
      <c r="N1137" s="51">
        <f>IF(INDEX(Employees!$L$5:$L$29,$A1137)="",K1137,MAX(0,MIN(K1137,INDEX(Employees!$L$5:$L$29,$A1137)-(M1137-L1137))))</f>
        <v/>
      </c>
      <c r="O1137" s="51">
        <f>K1137-N1137</f>
        <v/>
      </c>
      <c r="P1137" s="51">
        <f>M1137-L1137+N1137</f>
        <v/>
      </c>
      <c r="Q1137" s="51">
        <f>IF($G1137=0,0,IF(INDEX(Employees!$P$5:$P$29,$A1137)="Per pay period",(N(INDEX(Employees!$Q$5:$Q$29,$A1137)))/Settings!$B$13,IF(INDEX(Employees!$P$5:$P$29,$A1137)="Per hour worked",N(INDEX(Employees!$R$5:$R$29,$A1137))*$I1137,IF(INDEX(Employees!$P$5:$P$29,$A1137)="Front-loaded",IF(OR($B1137=1,N($G1136)=0),N(INDEX(Employees!$Q$5:$Q$29,$A1137)),0),0))))</f>
        <v/>
      </c>
      <c r="R1137" s="51">
        <f>IF($F1137=0,0,SUMIFS('Time Off Log'!$H$5:$H$504,'Time Off Log'!$A$5:$A$504,$C1137,'Time Off Log'!$B$5:$B$504,"Sick",'Time Off Log'!$E$5:$E$504,"Approved",'Time Off Log'!$C$5:$C$504,"&gt;="&amp;INDEX(Periods!$E$5:$E$57,$B1137),'Time Off Log'!$C$5:$C$504,"&lt;="&amp;INDEX(Periods!$F$5:$F$57,$B1137)))</f>
        <v/>
      </c>
      <c r="S1137" s="51">
        <f>IF($B1137=1,N(INDEX(Employees!$T$5:$T$29,$A1137)),V1136)</f>
        <v/>
      </c>
      <c r="T1137" s="51">
        <f>IF(INDEX(Employees!$S$5:$S$29,$A1137)="",Q1137,MAX(0,MIN(Q1137,INDEX(Employees!$S$5:$S$29,$A1137)-(S1137-R1137))))</f>
        <v/>
      </c>
      <c r="U1137" s="51">
        <f>Q1137-T1137</f>
        <v/>
      </c>
      <c r="V1137" s="51">
        <f>S1137-R1137+T1137</f>
        <v/>
      </c>
    </row>
    <row r="1138">
      <c r="A1138" s="50" t="n">
        <v>22</v>
      </c>
      <c r="B1138" s="50" t="n">
        <v>21</v>
      </c>
      <c r="C1138" s="51">
        <f>INDEX(Employees!$B$5:$B$29,$A1138)&amp;""</f>
        <v/>
      </c>
      <c r="D1138" s="52">
        <f>INDEX(Periods!$B$5:$B$57,$B1138)</f>
        <v/>
      </c>
      <c r="E1138" s="52">
        <f>INDEX(Periods!$C$5:$C$57,$B1138)</f>
        <v/>
      </c>
      <c r="F1138" s="50">
        <f>IF(AND($C1138&lt;&gt;"",INDEX(Periods!$D$5:$D$57,$B1138)=1),1,0)</f>
        <v/>
      </c>
      <c r="G1138" s="50">
        <f>IF($F1138=0,0,IF(AND(OR(INDEX(Employees!$D$5:$D$29,$A1138)="",$E1138&gt;=INDEX(Employees!$D$5:$D$29,$A1138)+N(INDEX(Employees!$U$5:$U$29,$A1138))),OR(INDEX(Employees!$E$5:$E$29,$A1138)="",$D1138&lt;=INDEX(Employees!$E$5:$E$29,$A1138))),1,0))</f>
        <v/>
      </c>
      <c r="H1138" s="50">
        <f>IF($G1138=0,0,IF(INDEX(Employees!$D$5:$D$29,$A1138)="",0,DATEDIF(INDEX(Employees!$D$5:$D$29,$A1138),$E1138,"y")))</f>
        <v/>
      </c>
      <c r="I1138" s="51">
        <f>IF($G1138=0,0,IF(INDEX('Hours Worked'!$D$5:$BD$29,$A1138,$B1138)="",N(INDEX(Employees!$H$5:$H$29,$A1138)),INDEX('Hours Worked'!$D$5:$BD$29,$A1138,$B1138)))</f>
        <v/>
      </c>
      <c r="J1138" s="51">
        <f>IF(OR($G1138=0,INDEX(Employees!$O$5:$O$29,$A1138)&lt;&gt;"Yes"),0,IF(COUNTIF(Settings!$D$4:$D$9,"&lt;="&amp;$H1138)=0,0,INDEX(Settings!$E$4:$E$9,COUNTIF(Settings!$D$4:$D$9,"&lt;="&amp;$H1138))))</f>
        <v/>
      </c>
      <c r="K1138" s="51">
        <f>IF($G1138=0,0,IF(INDEX(Employees!$I$5:$I$29,$A1138)="Per pay period",(N(INDEX(Employees!$J$5:$J$29,$A1138))+$J1138)/Settings!$B$13,IF(INDEX(Employees!$I$5:$I$29,$A1138)="Per hour worked",N(INDEX(Employees!$K$5:$K$29,$A1138))*$I1138,IF(INDEX(Employees!$I$5:$I$29,$A1138)="Front-loaded",IF(OR($B1138=1,N($G1137)=0),N(INDEX(Employees!$J$5:$J$29,$A1138))+$J1138,0),0))))</f>
        <v/>
      </c>
      <c r="L1138" s="51">
        <f>IF($F1138=0,0,SUMIFS('Time Off Log'!$H$5:$H$504,'Time Off Log'!$A$5:$A$504,$C1138,'Time Off Log'!$B$5:$B$504,"PTO",'Time Off Log'!$E$5:$E$504,"Approved",'Time Off Log'!$C$5:$C$504,"&gt;="&amp;INDEX(Periods!$E$5:$E$57,$B1138),'Time Off Log'!$C$5:$C$504,"&lt;="&amp;INDEX(Periods!$F$5:$F$57,$B1138)))</f>
        <v/>
      </c>
      <c r="M1138" s="51">
        <f>IF($B1138=1,N(INDEX(Employees!$N$5:$N$29,$A1138)),P1137)</f>
        <v/>
      </c>
      <c r="N1138" s="51">
        <f>IF(INDEX(Employees!$L$5:$L$29,$A1138)="",K1138,MAX(0,MIN(K1138,INDEX(Employees!$L$5:$L$29,$A1138)-(M1138-L1138))))</f>
        <v/>
      </c>
      <c r="O1138" s="51">
        <f>K1138-N1138</f>
        <v/>
      </c>
      <c r="P1138" s="51">
        <f>M1138-L1138+N1138</f>
        <v/>
      </c>
      <c r="Q1138" s="51">
        <f>IF($G1138=0,0,IF(INDEX(Employees!$P$5:$P$29,$A1138)="Per pay period",(N(INDEX(Employees!$Q$5:$Q$29,$A1138)))/Settings!$B$13,IF(INDEX(Employees!$P$5:$P$29,$A1138)="Per hour worked",N(INDEX(Employees!$R$5:$R$29,$A1138))*$I1138,IF(INDEX(Employees!$P$5:$P$29,$A1138)="Front-loaded",IF(OR($B1138=1,N($G1137)=0),N(INDEX(Employees!$Q$5:$Q$29,$A1138)),0),0))))</f>
        <v/>
      </c>
      <c r="R1138" s="51">
        <f>IF($F1138=0,0,SUMIFS('Time Off Log'!$H$5:$H$504,'Time Off Log'!$A$5:$A$504,$C1138,'Time Off Log'!$B$5:$B$504,"Sick",'Time Off Log'!$E$5:$E$504,"Approved",'Time Off Log'!$C$5:$C$504,"&gt;="&amp;INDEX(Periods!$E$5:$E$57,$B1138),'Time Off Log'!$C$5:$C$504,"&lt;="&amp;INDEX(Periods!$F$5:$F$57,$B1138)))</f>
        <v/>
      </c>
      <c r="S1138" s="51">
        <f>IF($B1138=1,N(INDEX(Employees!$T$5:$T$29,$A1138)),V1137)</f>
        <v/>
      </c>
      <c r="T1138" s="51">
        <f>IF(INDEX(Employees!$S$5:$S$29,$A1138)="",Q1138,MAX(0,MIN(Q1138,INDEX(Employees!$S$5:$S$29,$A1138)-(S1138-R1138))))</f>
        <v/>
      </c>
      <c r="U1138" s="51">
        <f>Q1138-T1138</f>
        <v/>
      </c>
      <c r="V1138" s="51">
        <f>S1138-R1138+T1138</f>
        <v/>
      </c>
    </row>
    <row r="1139">
      <c r="A1139" s="50" t="n">
        <v>22</v>
      </c>
      <c r="B1139" s="50" t="n">
        <v>22</v>
      </c>
      <c r="C1139" s="51">
        <f>INDEX(Employees!$B$5:$B$29,$A1139)&amp;""</f>
        <v/>
      </c>
      <c r="D1139" s="52">
        <f>INDEX(Periods!$B$5:$B$57,$B1139)</f>
        <v/>
      </c>
      <c r="E1139" s="52">
        <f>INDEX(Periods!$C$5:$C$57,$B1139)</f>
        <v/>
      </c>
      <c r="F1139" s="50">
        <f>IF(AND($C1139&lt;&gt;"",INDEX(Periods!$D$5:$D$57,$B1139)=1),1,0)</f>
        <v/>
      </c>
      <c r="G1139" s="50">
        <f>IF($F1139=0,0,IF(AND(OR(INDEX(Employees!$D$5:$D$29,$A1139)="",$E1139&gt;=INDEX(Employees!$D$5:$D$29,$A1139)+N(INDEX(Employees!$U$5:$U$29,$A1139))),OR(INDEX(Employees!$E$5:$E$29,$A1139)="",$D1139&lt;=INDEX(Employees!$E$5:$E$29,$A1139))),1,0))</f>
        <v/>
      </c>
      <c r="H1139" s="50">
        <f>IF($G1139=0,0,IF(INDEX(Employees!$D$5:$D$29,$A1139)="",0,DATEDIF(INDEX(Employees!$D$5:$D$29,$A1139),$E1139,"y")))</f>
        <v/>
      </c>
      <c r="I1139" s="51">
        <f>IF($G1139=0,0,IF(INDEX('Hours Worked'!$D$5:$BD$29,$A1139,$B1139)="",N(INDEX(Employees!$H$5:$H$29,$A1139)),INDEX('Hours Worked'!$D$5:$BD$29,$A1139,$B1139)))</f>
        <v/>
      </c>
      <c r="J1139" s="51">
        <f>IF(OR($G1139=0,INDEX(Employees!$O$5:$O$29,$A1139)&lt;&gt;"Yes"),0,IF(COUNTIF(Settings!$D$4:$D$9,"&lt;="&amp;$H1139)=0,0,INDEX(Settings!$E$4:$E$9,COUNTIF(Settings!$D$4:$D$9,"&lt;="&amp;$H1139))))</f>
        <v/>
      </c>
      <c r="K1139" s="51">
        <f>IF($G1139=0,0,IF(INDEX(Employees!$I$5:$I$29,$A1139)="Per pay period",(N(INDEX(Employees!$J$5:$J$29,$A1139))+$J1139)/Settings!$B$13,IF(INDEX(Employees!$I$5:$I$29,$A1139)="Per hour worked",N(INDEX(Employees!$K$5:$K$29,$A1139))*$I1139,IF(INDEX(Employees!$I$5:$I$29,$A1139)="Front-loaded",IF(OR($B1139=1,N($G1138)=0),N(INDEX(Employees!$J$5:$J$29,$A1139))+$J1139,0),0))))</f>
        <v/>
      </c>
      <c r="L1139" s="51">
        <f>IF($F1139=0,0,SUMIFS('Time Off Log'!$H$5:$H$504,'Time Off Log'!$A$5:$A$504,$C1139,'Time Off Log'!$B$5:$B$504,"PTO",'Time Off Log'!$E$5:$E$504,"Approved",'Time Off Log'!$C$5:$C$504,"&gt;="&amp;INDEX(Periods!$E$5:$E$57,$B1139),'Time Off Log'!$C$5:$C$504,"&lt;="&amp;INDEX(Periods!$F$5:$F$57,$B1139)))</f>
        <v/>
      </c>
      <c r="M1139" s="51">
        <f>IF($B1139=1,N(INDEX(Employees!$N$5:$N$29,$A1139)),P1138)</f>
        <v/>
      </c>
      <c r="N1139" s="51">
        <f>IF(INDEX(Employees!$L$5:$L$29,$A1139)="",K1139,MAX(0,MIN(K1139,INDEX(Employees!$L$5:$L$29,$A1139)-(M1139-L1139))))</f>
        <v/>
      </c>
      <c r="O1139" s="51">
        <f>K1139-N1139</f>
        <v/>
      </c>
      <c r="P1139" s="51">
        <f>M1139-L1139+N1139</f>
        <v/>
      </c>
      <c r="Q1139" s="51">
        <f>IF($G1139=0,0,IF(INDEX(Employees!$P$5:$P$29,$A1139)="Per pay period",(N(INDEX(Employees!$Q$5:$Q$29,$A1139)))/Settings!$B$13,IF(INDEX(Employees!$P$5:$P$29,$A1139)="Per hour worked",N(INDEX(Employees!$R$5:$R$29,$A1139))*$I1139,IF(INDEX(Employees!$P$5:$P$29,$A1139)="Front-loaded",IF(OR($B1139=1,N($G1138)=0),N(INDEX(Employees!$Q$5:$Q$29,$A1139)),0),0))))</f>
        <v/>
      </c>
      <c r="R1139" s="51">
        <f>IF($F1139=0,0,SUMIFS('Time Off Log'!$H$5:$H$504,'Time Off Log'!$A$5:$A$504,$C1139,'Time Off Log'!$B$5:$B$504,"Sick",'Time Off Log'!$E$5:$E$504,"Approved",'Time Off Log'!$C$5:$C$504,"&gt;="&amp;INDEX(Periods!$E$5:$E$57,$B1139),'Time Off Log'!$C$5:$C$504,"&lt;="&amp;INDEX(Periods!$F$5:$F$57,$B1139)))</f>
        <v/>
      </c>
      <c r="S1139" s="51">
        <f>IF($B1139=1,N(INDEX(Employees!$T$5:$T$29,$A1139)),V1138)</f>
        <v/>
      </c>
      <c r="T1139" s="51">
        <f>IF(INDEX(Employees!$S$5:$S$29,$A1139)="",Q1139,MAX(0,MIN(Q1139,INDEX(Employees!$S$5:$S$29,$A1139)-(S1139-R1139))))</f>
        <v/>
      </c>
      <c r="U1139" s="51">
        <f>Q1139-T1139</f>
        <v/>
      </c>
      <c r="V1139" s="51">
        <f>S1139-R1139+T1139</f>
        <v/>
      </c>
    </row>
    <row r="1140">
      <c r="A1140" s="50" t="n">
        <v>22</v>
      </c>
      <c r="B1140" s="50" t="n">
        <v>23</v>
      </c>
      <c r="C1140" s="51">
        <f>INDEX(Employees!$B$5:$B$29,$A1140)&amp;""</f>
        <v/>
      </c>
      <c r="D1140" s="52">
        <f>INDEX(Periods!$B$5:$B$57,$B1140)</f>
        <v/>
      </c>
      <c r="E1140" s="52">
        <f>INDEX(Periods!$C$5:$C$57,$B1140)</f>
        <v/>
      </c>
      <c r="F1140" s="50">
        <f>IF(AND($C1140&lt;&gt;"",INDEX(Periods!$D$5:$D$57,$B1140)=1),1,0)</f>
        <v/>
      </c>
      <c r="G1140" s="50">
        <f>IF($F1140=0,0,IF(AND(OR(INDEX(Employees!$D$5:$D$29,$A1140)="",$E1140&gt;=INDEX(Employees!$D$5:$D$29,$A1140)+N(INDEX(Employees!$U$5:$U$29,$A1140))),OR(INDEX(Employees!$E$5:$E$29,$A1140)="",$D1140&lt;=INDEX(Employees!$E$5:$E$29,$A1140))),1,0))</f>
        <v/>
      </c>
      <c r="H1140" s="50">
        <f>IF($G1140=0,0,IF(INDEX(Employees!$D$5:$D$29,$A1140)="",0,DATEDIF(INDEX(Employees!$D$5:$D$29,$A1140),$E1140,"y")))</f>
        <v/>
      </c>
      <c r="I1140" s="51">
        <f>IF($G1140=0,0,IF(INDEX('Hours Worked'!$D$5:$BD$29,$A1140,$B1140)="",N(INDEX(Employees!$H$5:$H$29,$A1140)),INDEX('Hours Worked'!$D$5:$BD$29,$A1140,$B1140)))</f>
        <v/>
      </c>
      <c r="J1140" s="51">
        <f>IF(OR($G1140=0,INDEX(Employees!$O$5:$O$29,$A1140)&lt;&gt;"Yes"),0,IF(COUNTIF(Settings!$D$4:$D$9,"&lt;="&amp;$H1140)=0,0,INDEX(Settings!$E$4:$E$9,COUNTIF(Settings!$D$4:$D$9,"&lt;="&amp;$H1140))))</f>
        <v/>
      </c>
      <c r="K1140" s="51">
        <f>IF($G1140=0,0,IF(INDEX(Employees!$I$5:$I$29,$A1140)="Per pay period",(N(INDEX(Employees!$J$5:$J$29,$A1140))+$J1140)/Settings!$B$13,IF(INDEX(Employees!$I$5:$I$29,$A1140)="Per hour worked",N(INDEX(Employees!$K$5:$K$29,$A1140))*$I1140,IF(INDEX(Employees!$I$5:$I$29,$A1140)="Front-loaded",IF(OR($B1140=1,N($G1139)=0),N(INDEX(Employees!$J$5:$J$29,$A1140))+$J1140,0),0))))</f>
        <v/>
      </c>
      <c r="L1140" s="51">
        <f>IF($F1140=0,0,SUMIFS('Time Off Log'!$H$5:$H$504,'Time Off Log'!$A$5:$A$504,$C1140,'Time Off Log'!$B$5:$B$504,"PTO",'Time Off Log'!$E$5:$E$504,"Approved",'Time Off Log'!$C$5:$C$504,"&gt;="&amp;INDEX(Periods!$E$5:$E$57,$B1140),'Time Off Log'!$C$5:$C$504,"&lt;="&amp;INDEX(Periods!$F$5:$F$57,$B1140)))</f>
        <v/>
      </c>
      <c r="M1140" s="51">
        <f>IF($B1140=1,N(INDEX(Employees!$N$5:$N$29,$A1140)),P1139)</f>
        <v/>
      </c>
      <c r="N1140" s="51">
        <f>IF(INDEX(Employees!$L$5:$L$29,$A1140)="",K1140,MAX(0,MIN(K1140,INDEX(Employees!$L$5:$L$29,$A1140)-(M1140-L1140))))</f>
        <v/>
      </c>
      <c r="O1140" s="51">
        <f>K1140-N1140</f>
        <v/>
      </c>
      <c r="P1140" s="51">
        <f>M1140-L1140+N1140</f>
        <v/>
      </c>
      <c r="Q1140" s="51">
        <f>IF($G1140=0,0,IF(INDEX(Employees!$P$5:$P$29,$A1140)="Per pay period",(N(INDEX(Employees!$Q$5:$Q$29,$A1140)))/Settings!$B$13,IF(INDEX(Employees!$P$5:$P$29,$A1140)="Per hour worked",N(INDEX(Employees!$R$5:$R$29,$A1140))*$I1140,IF(INDEX(Employees!$P$5:$P$29,$A1140)="Front-loaded",IF(OR($B1140=1,N($G1139)=0),N(INDEX(Employees!$Q$5:$Q$29,$A1140)),0),0))))</f>
        <v/>
      </c>
      <c r="R1140" s="51">
        <f>IF($F1140=0,0,SUMIFS('Time Off Log'!$H$5:$H$504,'Time Off Log'!$A$5:$A$504,$C1140,'Time Off Log'!$B$5:$B$504,"Sick",'Time Off Log'!$E$5:$E$504,"Approved",'Time Off Log'!$C$5:$C$504,"&gt;="&amp;INDEX(Periods!$E$5:$E$57,$B1140),'Time Off Log'!$C$5:$C$504,"&lt;="&amp;INDEX(Periods!$F$5:$F$57,$B1140)))</f>
        <v/>
      </c>
      <c r="S1140" s="51">
        <f>IF($B1140=1,N(INDEX(Employees!$T$5:$T$29,$A1140)),V1139)</f>
        <v/>
      </c>
      <c r="T1140" s="51">
        <f>IF(INDEX(Employees!$S$5:$S$29,$A1140)="",Q1140,MAX(0,MIN(Q1140,INDEX(Employees!$S$5:$S$29,$A1140)-(S1140-R1140))))</f>
        <v/>
      </c>
      <c r="U1140" s="51">
        <f>Q1140-T1140</f>
        <v/>
      </c>
      <c r="V1140" s="51">
        <f>S1140-R1140+T1140</f>
        <v/>
      </c>
    </row>
    <row r="1141">
      <c r="A1141" s="50" t="n">
        <v>22</v>
      </c>
      <c r="B1141" s="50" t="n">
        <v>24</v>
      </c>
      <c r="C1141" s="51">
        <f>INDEX(Employees!$B$5:$B$29,$A1141)&amp;""</f>
        <v/>
      </c>
      <c r="D1141" s="52">
        <f>INDEX(Periods!$B$5:$B$57,$B1141)</f>
        <v/>
      </c>
      <c r="E1141" s="52">
        <f>INDEX(Periods!$C$5:$C$57,$B1141)</f>
        <v/>
      </c>
      <c r="F1141" s="50">
        <f>IF(AND($C1141&lt;&gt;"",INDEX(Periods!$D$5:$D$57,$B1141)=1),1,0)</f>
        <v/>
      </c>
      <c r="G1141" s="50">
        <f>IF($F1141=0,0,IF(AND(OR(INDEX(Employees!$D$5:$D$29,$A1141)="",$E1141&gt;=INDEX(Employees!$D$5:$D$29,$A1141)+N(INDEX(Employees!$U$5:$U$29,$A1141))),OR(INDEX(Employees!$E$5:$E$29,$A1141)="",$D1141&lt;=INDEX(Employees!$E$5:$E$29,$A1141))),1,0))</f>
        <v/>
      </c>
      <c r="H1141" s="50">
        <f>IF($G1141=0,0,IF(INDEX(Employees!$D$5:$D$29,$A1141)="",0,DATEDIF(INDEX(Employees!$D$5:$D$29,$A1141),$E1141,"y")))</f>
        <v/>
      </c>
      <c r="I1141" s="51">
        <f>IF($G1141=0,0,IF(INDEX('Hours Worked'!$D$5:$BD$29,$A1141,$B1141)="",N(INDEX(Employees!$H$5:$H$29,$A1141)),INDEX('Hours Worked'!$D$5:$BD$29,$A1141,$B1141)))</f>
        <v/>
      </c>
      <c r="J1141" s="51">
        <f>IF(OR($G1141=0,INDEX(Employees!$O$5:$O$29,$A1141)&lt;&gt;"Yes"),0,IF(COUNTIF(Settings!$D$4:$D$9,"&lt;="&amp;$H1141)=0,0,INDEX(Settings!$E$4:$E$9,COUNTIF(Settings!$D$4:$D$9,"&lt;="&amp;$H1141))))</f>
        <v/>
      </c>
      <c r="K1141" s="51">
        <f>IF($G1141=0,0,IF(INDEX(Employees!$I$5:$I$29,$A1141)="Per pay period",(N(INDEX(Employees!$J$5:$J$29,$A1141))+$J1141)/Settings!$B$13,IF(INDEX(Employees!$I$5:$I$29,$A1141)="Per hour worked",N(INDEX(Employees!$K$5:$K$29,$A1141))*$I1141,IF(INDEX(Employees!$I$5:$I$29,$A1141)="Front-loaded",IF(OR($B1141=1,N($G1140)=0),N(INDEX(Employees!$J$5:$J$29,$A1141))+$J1141,0),0))))</f>
        <v/>
      </c>
      <c r="L1141" s="51">
        <f>IF($F1141=0,0,SUMIFS('Time Off Log'!$H$5:$H$504,'Time Off Log'!$A$5:$A$504,$C1141,'Time Off Log'!$B$5:$B$504,"PTO",'Time Off Log'!$E$5:$E$504,"Approved",'Time Off Log'!$C$5:$C$504,"&gt;="&amp;INDEX(Periods!$E$5:$E$57,$B1141),'Time Off Log'!$C$5:$C$504,"&lt;="&amp;INDEX(Periods!$F$5:$F$57,$B1141)))</f>
        <v/>
      </c>
      <c r="M1141" s="51">
        <f>IF($B1141=1,N(INDEX(Employees!$N$5:$N$29,$A1141)),P1140)</f>
        <v/>
      </c>
      <c r="N1141" s="51">
        <f>IF(INDEX(Employees!$L$5:$L$29,$A1141)="",K1141,MAX(0,MIN(K1141,INDEX(Employees!$L$5:$L$29,$A1141)-(M1141-L1141))))</f>
        <v/>
      </c>
      <c r="O1141" s="51">
        <f>K1141-N1141</f>
        <v/>
      </c>
      <c r="P1141" s="51">
        <f>M1141-L1141+N1141</f>
        <v/>
      </c>
      <c r="Q1141" s="51">
        <f>IF($G1141=0,0,IF(INDEX(Employees!$P$5:$P$29,$A1141)="Per pay period",(N(INDEX(Employees!$Q$5:$Q$29,$A1141)))/Settings!$B$13,IF(INDEX(Employees!$P$5:$P$29,$A1141)="Per hour worked",N(INDEX(Employees!$R$5:$R$29,$A1141))*$I1141,IF(INDEX(Employees!$P$5:$P$29,$A1141)="Front-loaded",IF(OR($B1141=1,N($G1140)=0),N(INDEX(Employees!$Q$5:$Q$29,$A1141)),0),0))))</f>
        <v/>
      </c>
      <c r="R1141" s="51">
        <f>IF($F1141=0,0,SUMIFS('Time Off Log'!$H$5:$H$504,'Time Off Log'!$A$5:$A$504,$C1141,'Time Off Log'!$B$5:$B$504,"Sick",'Time Off Log'!$E$5:$E$504,"Approved",'Time Off Log'!$C$5:$C$504,"&gt;="&amp;INDEX(Periods!$E$5:$E$57,$B1141),'Time Off Log'!$C$5:$C$504,"&lt;="&amp;INDEX(Periods!$F$5:$F$57,$B1141)))</f>
        <v/>
      </c>
      <c r="S1141" s="51">
        <f>IF($B1141=1,N(INDEX(Employees!$T$5:$T$29,$A1141)),V1140)</f>
        <v/>
      </c>
      <c r="T1141" s="51">
        <f>IF(INDEX(Employees!$S$5:$S$29,$A1141)="",Q1141,MAX(0,MIN(Q1141,INDEX(Employees!$S$5:$S$29,$A1141)-(S1141-R1141))))</f>
        <v/>
      </c>
      <c r="U1141" s="51">
        <f>Q1141-T1141</f>
        <v/>
      </c>
      <c r="V1141" s="51">
        <f>S1141-R1141+T1141</f>
        <v/>
      </c>
    </row>
    <row r="1142">
      <c r="A1142" s="50" t="n">
        <v>22</v>
      </c>
      <c r="B1142" s="50" t="n">
        <v>25</v>
      </c>
      <c r="C1142" s="51">
        <f>INDEX(Employees!$B$5:$B$29,$A1142)&amp;""</f>
        <v/>
      </c>
      <c r="D1142" s="52">
        <f>INDEX(Periods!$B$5:$B$57,$B1142)</f>
        <v/>
      </c>
      <c r="E1142" s="52">
        <f>INDEX(Periods!$C$5:$C$57,$B1142)</f>
        <v/>
      </c>
      <c r="F1142" s="50">
        <f>IF(AND($C1142&lt;&gt;"",INDEX(Periods!$D$5:$D$57,$B1142)=1),1,0)</f>
        <v/>
      </c>
      <c r="G1142" s="50">
        <f>IF($F1142=0,0,IF(AND(OR(INDEX(Employees!$D$5:$D$29,$A1142)="",$E1142&gt;=INDEX(Employees!$D$5:$D$29,$A1142)+N(INDEX(Employees!$U$5:$U$29,$A1142))),OR(INDEX(Employees!$E$5:$E$29,$A1142)="",$D1142&lt;=INDEX(Employees!$E$5:$E$29,$A1142))),1,0))</f>
        <v/>
      </c>
      <c r="H1142" s="50">
        <f>IF($G1142=0,0,IF(INDEX(Employees!$D$5:$D$29,$A1142)="",0,DATEDIF(INDEX(Employees!$D$5:$D$29,$A1142),$E1142,"y")))</f>
        <v/>
      </c>
      <c r="I1142" s="51">
        <f>IF($G1142=0,0,IF(INDEX('Hours Worked'!$D$5:$BD$29,$A1142,$B1142)="",N(INDEX(Employees!$H$5:$H$29,$A1142)),INDEX('Hours Worked'!$D$5:$BD$29,$A1142,$B1142)))</f>
        <v/>
      </c>
      <c r="J1142" s="51">
        <f>IF(OR($G1142=0,INDEX(Employees!$O$5:$O$29,$A1142)&lt;&gt;"Yes"),0,IF(COUNTIF(Settings!$D$4:$D$9,"&lt;="&amp;$H1142)=0,0,INDEX(Settings!$E$4:$E$9,COUNTIF(Settings!$D$4:$D$9,"&lt;="&amp;$H1142))))</f>
        <v/>
      </c>
      <c r="K1142" s="51">
        <f>IF($G1142=0,0,IF(INDEX(Employees!$I$5:$I$29,$A1142)="Per pay period",(N(INDEX(Employees!$J$5:$J$29,$A1142))+$J1142)/Settings!$B$13,IF(INDEX(Employees!$I$5:$I$29,$A1142)="Per hour worked",N(INDEX(Employees!$K$5:$K$29,$A1142))*$I1142,IF(INDEX(Employees!$I$5:$I$29,$A1142)="Front-loaded",IF(OR($B1142=1,N($G1141)=0),N(INDEX(Employees!$J$5:$J$29,$A1142))+$J1142,0),0))))</f>
        <v/>
      </c>
      <c r="L1142" s="51">
        <f>IF($F1142=0,0,SUMIFS('Time Off Log'!$H$5:$H$504,'Time Off Log'!$A$5:$A$504,$C1142,'Time Off Log'!$B$5:$B$504,"PTO",'Time Off Log'!$E$5:$E$504,"Approved",'Time Off Log'!$C$5:$C$504,"&gt;="&amp;INDEX(Periods!$E$5:$E$57,$B1142),'Time Off Log'!$C$5:$C$504,"&lt;="&amp;INDEX(Periods!$F$5:$F$57,$B1142)))</f>
        <v/>
      </c>
      <c r="M1142" s="51">
        <f>IF($B1142=1,N(INDEX(Employees!$N$5:$N$29,$A1142)),P1141)</f>
        <v/>
      </c>
      <c r="N1142" s="51">
        <f>IF(INDEX(Employees!$L$5:$L$29,$A1142)="",K1142,MAX(0,MIN(K1142,INDEX(Employees!$L$5:$L$29,$A1142)-(M1142-L1142))))</f>
        <v/>
      </c>
      <c r="O1142" s="51">
        <f>K1142-N1142</f>
        <v/>
      </c>
      <c r="P1142" s="51">
        <f>M1142-L1142+N1142</f>
        <v/>
      </c>
      <c r="Q1142" s="51">
        <f>IF($G1142=0,0,IF(INDEX(Employees!$P$5:$P$29,$A1142)="Per pay period",(N(INDEX(Employees!$Q$5:$Q$29,$A1142)))/Settings!$B$13,IF(INDEX(Employees!$P$5:$P$29,$A1142)="Per hour worked",N(INDEX(Employees!$R$5:$R$29,$A1142))*$I1142,IF(INDEX(Employees!$P$5:$P$29,$A1142)="Front-loaded",IF(OR($B1142=1,N($G1141)=0),N(INDEX(Employees!$Q$5:$Q$29,$A1142)),0),0))))</f>
        <v/>
      </c>
      <c r="R1142" s="51">
        <f>IF($F1142=0,0,SUMIFS('Time Off Log'!$H$5:$H$504,'Time Off Log'!$A$5:$A$504,$C1142,'Time Off Log'!$B$5:$B$504,"Sick",'Time Off Log'!$E$5:$E$504,"Approved",'Time Off Log'!$C$5:$C$504,"&gt;="&amp;INDEX(Periods!$E$5:$E$57,$B1142),'Time Off Log'!$C$5:$C$504,"&lt;="&amp;INDEX(Periods!$F$5:$F$57,$B1142)))</f>
        <v/>
      </c>
      <c r="S1142" s="51">
        <f>IF($B1142=1,N(INDEX(Employees!$T$5:$T$29,$A1142)),V1141)</f>
        <v/>
      </c>
      <c r="T1142" s="51">
        <f>IF(INDEX(Employees!$S$5:$S$29,$A1142)="",Q1142,MAX(0,MIN(Q1142,INDEX(Employees!$S$5:$S$29,$A1142)-(S1142-R1142))))</f>
        <v/>
      </c>
      <c r="U1142" s="51">
        <f>Q1142-T1142</f>
        <v/>
      </c>
      <c r="V1142" s="51">
        <f>S1142-R1142+T1142</f>
        <v/>
      </c>
    </row>
    <row r="1143">
      <c r="A1143" s="50" t="n">
        <v>22</v>
      </c>
      <c r="B1143" s="50" t="n">
        <v>26</v>
      </c>
      <c r="C1143" s="51">
        <f>INDEX(Employees!$B$5:$B$29,$A1143)&amp;""</f>
        <v/>
      </c>
      <c r="D1143" s="52">
        <f>INDEX(Periods!$B$5:$B$57,$B1143)</f>
        <v/>
      </c>
      <c r="E1143" s="52">
        <f>INDEX(Periods!$C$5:$C$57,$B1143)</f>
        <v/>
      </c>
      <c r="F1143" s="50">
        <f>IF(AND($C1143&lt;&gt;"",INDEX(Periods!$D$5:$D$57,$B1143)=1),1,0)</f>
        <v/>
      </c>
      <c r="G1143" s="50">
        <f>IF($F1143=0,0,IF(AND(OR(INDEX(Employees!$D$5:$D$29,$A1143)="",$E1143&gt;=INDEX(Employees!$D$5:$D$29,$A1143)+N(INDEX(Employees!$U$5:$U$29,$A1143))),OR(INDEX(Employees!$E$5:$E$29,$A1143)="",$D1143&lt;=INDEX(Employees!$E$5:$E$29,$A1143))),1,0))</f>
        <v/>
      </c>
      <c r="H1143" s="50">
        <f>IF($G1143=0,0,IF(INDEX(Employees!$D$5:$D$29,$A1143)="",0,DATEDIF(INDEX(Employees!$D$5:$D$29,$A1143),$E1143,"y")))</f>
        <v/>
      </c>
      <c r="I1143" s="51">
        <f>IF($G1143=0,0,IF(INDEX('Hours Worked'!$D$5:$BD$29,$A1143,$B1143)="",N(INDEX(Employees!$H$5:$H$29,$A1143)),INDEX('Hours Worked'!$D$5:$BD$29,$A1143,$B1143)))</f>
        <v/>
      </c>
      <c r="J1143" s="51">
        <f>IF(OR($G1143=0,INDEX(Employees!$O$5:$O$29,$A1143)&lt;&gt;"Yes"),0,IF(COUNTIF(Settings!$D$4:$D$9,"&lt;="&amp;$H1143)=0,0,INDEX(Settings!$E$4:$E$9,COUNTIF(Settings!$D$4:$D$9,"&lt;="&amp;$H1143))))</f>
        <v/>
      </c>
      <c r="K1143" s="51">
        <f>IF($G1143=0,0,IF(INDEX(Employees!$I$5:$I$29,$A1143)="Per pay period",(N(INDEX(Employees!$J$5:$J$29,$A1143))+$J1143)/Settings!$B$13,IF(INDEX(Employees!$I$5:$I$29,$A1143)="Per hour worked",N(INDEX(Employees!$K$5:$K$29,$A1143))*$I1143,IF(INDEX(Employees!$I$5:$I$29,$A1143)="Front-loaded",IF(OR($B1143=1,N($G1142)=0),N(INDEX(Employees!$J$5:$J$29,$A1143))+$J1143,0),0))))</f>
        <v/>
      </c>
      <c r="L1143" s="51">
        <f>IF($F1143=0,0,SUMIFS('Time Off Log'!$H$5:$H$504,'Time Off Log'!$A$5:$A$504,$C1143,'Time Off Log'!$B$5:$B$504,"PTO",'Time Off Log'!$E$5:$E$504,"Approved",'Time Off Log'!$C$5:$C$504,"&gt;="&amp;INDEX(Periods!$E$5:$E$57,$B1143),'Time Off Log'!$C$5:$C$504,"&lt;="&amp;INDEX(Periods!$F$5:$F$57,$B1143)))</f>
        <v/>
      </c>
      <c r="M1143" s="51">
        <f>IF($B1143=1,N(INDEX(Employees!$N$5:$N$29,$A1143)),P1142)</f>
        <v/>
      </c>
      <c r="N1143" s="51">
        <f>IF(INDEX(Employees!$L$5:$L$29,$A1143)="",K1143,MAX(0,MIN(K1143,INDEX(Employees!$L$5:$L$29,$A1143)-(M1143-L1143))))</f>
        <v/>
      </c>
      <c r="O1143" s="51">
        <f>K1143-N1143</f>
        <v/>
      </c>
      <c r="P1143" s="51">
        <f>M1143-L1143+N1143</f>
        <v/>
      </c>
      <c r="Q1143" s="51">
        <f>IF($G1143=0,0,IF(INDEX(Employees!$P$5:$P$29,$A1143)="Per pay period",(N(INDEX(Employees!$Q$5:$Q$29,$A1143)))/Settings!$B$13,IF(INDEX(Employees!$P$5:$P$29,$A1143)="Per hour worked",N(INDEX(Employees!$R$5:$R$29,$A1143))*$I1143,IF(INDEX(Employees!$P$5:$P$29,$A1143)="Front-loaded",IF(OR($B1143=1,N($G1142)=0),N(INDEX(Employees!$Q$5:$Q$29,$A1143)),0),0))))</f>
        <v/>
      </c>
      <c r="R1143" s="51">
        <f>IF($F1143=0,0,SUMIFS('Time Off Log'!$H$5:$H$504,'Time Off Log'!$A$5:$A$504,$C1143,'Time Off Log'!$B$5:$B$504,"Sick",'Time Off Log'!$E$5:$E$504,"Approved",'Time Off Log'!$C$5:$C$504,"&gt;="&amp;INDEX(Periods!$E$5:$E$57,$B1143),'Time Off Log'!$C$5:$C$504,"&lt;="&amp;INDEX(Periods!$F$5:$F$57,$B1143)))</f>
        <v/>
      </c>
      <c r="S1143" s="51">
        <f>IF($B1143=1,N(INDEX(Employees!$T$5:$T$29,$A1143)),V1142)</f>
        <v/>
      </c>
      <c r="T1143" s="51">
        <f>IF(INDEX(Employees!$S$5:$S$29,$A1143)="",Q1143,MAX(0,MIN(Q1143,INDEX(Employees!$S$5:$S$29,$A1143)-(S1143-R1143))))</f>
        <v/>
      </c>
      <c r="U1143" s="51">
        <f>Q1143-T1143</f>
        <v/>
      </c>
      <c r="V1143" s="51">
        <f>S1143-R1143+T1143</f>
        <v/>
      </c>
    </row>
    <row r="1144">
      <c r="A1144" s="50" t="n">
        <v>22</v>
      </c>
      <c r="B1144" s="50" t="n">
        <v>27</v>
      </c>
      <c r="C1144" s="51">
        <f>INDEX(Employees!$B$5:$B$29,$A1144)&amp;""</f>
        <v/>
      </c>
      <c r="D1144" s="52">
        <f>INDEX(Periods!$B$5:$B$57,$B1144)</f>
        <v/>
      </c>
      <c r="E1144" s="52">
        <f>INDEX(Periods!$C$5:$C$57,$B1144)</f>
        <v/>
      </c>
      <c r="F1144" s="50">
        <f>IF(AND($C1144&lt;&gt;"",INDEX(Periods!$D$5:$D$57,$B1144)=1),1,0)</f>
        <v/>
      </c>
      <c r="G1144" s="50">
        <f>IF($F1144=0,0,IF(AND(OR(INDEX(Employees!$D$5:$D$29,$A1144)="",$E1144&gt;=INDEX(Employees!$D$5:$D$29,$A1144)+N(INDEX(Employees!$U$5:$U$29,$A1144))),OR(INDEX(Employees!$E$5:$E$29,$A1144)="",$D1144&lt;=INDEX(Employees!$E$5:$E$29,$A1144))),1,0))</f>
        <v/>
      </c>
      <c r="H1144" s="50">
        <f>IF($G1144=0,0,IF(INDEX(Employees!$D$5:$D$29,$A1144)="",0,DATEDIF(INDEX(Employees!$D$5:$D$29,$A1144),$E1144,"y")))</f>
        <v/>
      </c>
      <c r="I1144" s="51">
        <f>IF($G1144=0,0,IF(INDEX('Hours Worked'!$D$5:$BD$29,$A1144,$B1144)="",N(INDEX(Employees!$H$5:$H$29,$A1144)),INDEX('Hours Worked'!$D$5:$BD$29,$A1144,$B1144)))</f>
        <v/>
      </c>
      <c r="J1144" s="51">
        <f>IF(OR($G1144=0,INDEX(Employees!$O$5:$O$29,$A1144)&lt;&gt;"Yes"),0,IF(COUNTIF(Settings!$D$4:$D$9,"&lt;="&amp;$H1144)=0,0,INDEX(Settings!$E$4:$E$9,COUNTIF(Settings!$D$4:$D$9,"&lt;="&amp;$H1144))))</f>
        <v/>
      </c>
      <c r="K1144" s="51">
        <f>IF($G1144=0,0,IF(INDEX(Employees!$I$5:$I$29,$A1144)="Per pay period",(N(INDEX(Employees!$J$5:$J$29,$A1144))+$J1144)/Settings!$B$13,IF(INDEX(Employees!$I$5:$I$29,$A1144)="Per hour worked",N(INDEX(Employees!$K$5:$K$29,$A1144))*$I1144,IF(INDEX(Employees!$I$5:$I$29,$A1144)="Front-loaded",IF(OR($B1144=1,N($G1143)=0),N(INDEX(Employees!$J$5:$J$29,$A1144))+$J1144,0),0))))</f>
        <v/>
      </c>
      <c r="L1144" s="51">
        <f>IF($F1144=0,0,SUMIFS('Time Off Log'!$H$5:$H$504,'Time Off Log'!$A$5:$A$504,$C1144,'Time Off Log'!$B$5:$B$504,"PTO",'Time Off Log'!$E$5:$E$504,"Approved",'Time Off Log'!$C$5:$C$504,"&gt;="&amp;INDEX(Periods!$E$5:$E$57,$B1144),'Time Off Log'!$C$5:$C$504,"&lt;="&amp;INDEX(Periods!$F$5:$F$57,$B1144)))</f>
        <v/>
      </c>
      <c r="M1144" s="51">
        <f>IF($B1144=1,N(INDEX(Employees!$N$5:$N$29,$A1144)),P1143)</f>
        <v/>
      </c>
      <c r="N1144" s="51">
        <f>IF(INDEX(Employees!$L$5:$L$29,$A1144)="",K1144,MAX(0,MIN(K1144,INDEX(Employees!$L$5:$L$29,$A1144)-(M1144-L1144))))</f>
        <v/>
      </c>
      <c r="O1144" s="51">
        <f>K1144-N1144</f>
        <v/>
      </c>
      <c r="P1144" s="51">
        <f>M1144-L1144+N1144</f>
        <v/>
      </c>
      <c r="Q1144" s="51">
        <f>IF($G1144=0,0,IF(INDEX(Employees!$P$5:$P$29,$A1144)="Per pay period",(N(INDEX(Employees!$Q$5:$Q$29,$A1144)))/Settings!$B$13,IF(INDEX(Employees!$P$5:$P$29,$A1144)="Per hour worked",N(INDEX(Employees!$R$5:$R$29,$A1144))*$I1144,IF(INDEX(Employees!$P$5:$P$29,$A1144)="Front-loaded",IF(OR($B1144=1,N($G1143)=0),N(INDEX(Employees!$Q$5:$Q$29,$A1144)),0),0))))</f>
        <v/>
      </c>
      <c r="R1144" s="51">
        <f>IF($F1144=0,0,SUMIFS('Time Off Log'!$H$5:$H$504,'Time Off Log'!$A$5:$A$504,$C1144,'Time Off Log'!$B$5:$B$504,"Sick",'Time Off Log'!$E$5:$E$504,"Approved",'Time Off Log'!$C$5:$C$504,"&gt;="&amp;INDEX(Periods!$E$5:$E$57,$B1144),'Time Off Log'!$C$5:$C$504,"&lt;="&amp;INDEX(Periods!$F$5:$F$57,$B1144)))</f>
        <v/>
      </c>
      <c r="S1144" s="51">
        <f>IF($B1144=1,N(INDEX(Employees!$T$5:$T$29,$A1144)),V1143)</f>
        <v/>
      </c>
      <c r="T1144" s="51">
        <f>IF(INDEX(Employees!$S$5:$S$29,$A1144)="",Q1144,MAX(0,MIN(Q1144,INDEX(Employees!$S$5:$S$29,$A1144)-(S1144-R1144))))</f>
        <v/>
      </c>
      <c r="U1144" s="51">
        <f>Q1144-T1144</f>
        <v/>
      </c>
      <c r="V1144" s="51">
        <f>S1144-R1144+T1144</f>
        <v/>
      </c>
    </row>
    <row r="1145">
      <c r="A1145" s="50" t="n">
        <v>22</v>
      </c>
      <c r="B1145" s="50" t="n">
        <v>28</v>
      </c>
      <c r="C1145" s="51">
        <f>INDEX(Employees!$B$5:$B$29,$A1145)&amp;""</f>
        <v/>
      </c>
      <c r="D1145" s="52">
        <f>INDEX(Periods!$B$5:$B$57,$B1145)</f>
        <v/>
      </c>
      <c r="E1145" s="52">
        <f>INDEX(Periods!$C$5:$C$57,$B1145)</f>
        <v/>
      </c>
      <c r="F1145" s="50">
        <f>IF(AND($C1145&lt;&gt;"",INDEX(Periods!$D$5:$D$57,$B1145)=1),1,0)</f>
        <v/>
      </c>
      <c r="G1145" s="50">
        <f>IF($F1145=0,0,IF(AND(OR(INDEX(Employees!$D$5:$D$29,$A1145)="",$E1145&gt;=INDEX(Employees!$D$5:$D$29,$A1145)+N(INDEX(Employees!$U$5:$U$29,$A1145))),OR(INDEX(Employees!$E$5:$E$29,$A1145)="",$D1145&lt;=INDEX(Employees!$E$5:$E$29,$A1145))),1,0))</f>
        <v/>
      </c>
      <c r="H1145" s="50">
        <f>IF($G1145=0,0,IF(INDEX(Employees!$D$5:$D$29,$A1145)="",0,DATEDIF(INDEX(Employees!$D$5:$D$29,$A1145),$E1145,"y")))</f>
        <v/>
      </c>
      <c r="I1145" s="51">
        <f>IF($G1145=0,0,IF(INDEX('Hours Worked'!$D$5:$BD$29,$A1145,$B1145)="",N(INDEX(Employees!$H$5:$H$29,$A1145)),INDEX('Hours Worked'!$D$5:$BD$29,$A1145,$B1145)))</f>
        <v/>
      </c>
      <c r="J1145" s="51">
        <f>IF(OR($G1145=0,INDEX(Employees!$O$5:$O$29,$A1145)&lt;&gt;"Yes"),0,IF(COUNTIF(Settings!$D$4:$D$9,"&lt;="&amp;$H1145)=0,0,INDEX(Settings!$E$4:$E$9,COUNTIF(Settings!$D$4:$D$9,"&lt;="&amp;$H1145))))</f>
        <v/>
      </c>
      <c r="K1145" s="51">
        <f>IF($G1145=0,0,IF(INDEX(Employees!$I$5:$I$29,$A1145)="Per pay period",(N(INDEX(Employees!$J$5:$J$29,$A1145))+$J1145)/Settings!$B$13,IF(INDEX(Employees!$I$5:$I$29,$A1145)="Per hour worked",N(INDEX(Employees!$K$5:$K$29,$A1145))*$I1145,IF(INDEX(Employees!$I$5:$I$29,$A1145)="Front-loaded",IF(OR($B1145=1,N($G1144)=0),N(INDEX(Employees!$J$5:$J$29,$A1145))+$J1145,0),0))))</f>
        <v/>
      </c>
      <c r="L1145" s="51">
        <f>IF($F1145=0,0,SUMIFS('Time Off Log'!$H$5:$H$504,'Time Off Log'!$A$5:$A$504,$C1145,'Time Off Log'!$B$5:$B$504,"PTO",'Time Off Log'!$E$5:$E$504,"Approved",'Time Off Log'!$C$5:$C$504,"&gt;="&amp;INDEX(Periods!$E$5:$E$57,$B1145),'Time Off Log'!$C$5:$C$504,"&lt;="&amp;INDEX(Periods!$F$5:$F$57,$B1145)))</f>
        <v/>
      </c>
      <c r="M1145" s="51">
        <f>IF($B1145=1,N(INDEX(Employees!$N$5:$N$29,$A1145)),P1144)</f>
        <v/>
      </c>
      <c r="N1145" s="51">
        <f>IF(INDEX(Employees!$L$5:$L$29,$A1145)="",K1145,MAX(0,MIN(K1145,INDEX(Employees!$L$5:$L$29,$A1145)-(M1145-L1145))))</f>
        <v/>
      </c>
      <c r="O1145" s="51">
        <f>K1145-N1145</f>
        <v/>
      </c>
      <c r="P1145" s="51">
        <f>M1145-L1145+N1145</f>
        <v/>
      </c>
      <c r="Q1145" s="51">
        <f>IF($G1145=0,0,IF(INDEX(Employees!$P$5:$P$29,$A1145)="Per pay period",(N(INDEX(Employees!$Q$5:$Q$29,$A1145)))/Settings!$B$13,IF(INDEX(Employees!$P$5:$P$29,$A1145)="Per hour worked",N(INDEX(Employees!$R$5:$R$29,$A1145))*$I1145,IF(INDEX(Employees!$P$5:$P$29,$A1145)="Front-loaded",IF(OR($B1145=1,N($G1144)=0),N(INDEX(Employees!$Q$5:$Q$29,$A1145)),0),0))))</f>
        <v/>
      </c>
      <c r="R1145" s="51">
        <f>IF($F1145=0,0,SUMIFS('Time Off Log'!$H$5:$H$504,'Time Off Log'!$A$5:$A$504,$C1145,'Time Off Log'!$B$5:$B$504,"Sick",'Time Off Log'!$E$5:$E$504,"Approved",'Time Off Log'!$C$5:$C$504,"&gt;="&amp;INDEX(Periods!$E$5:$E$57,$B1145),'Time Off Log'!$C$5:$C$504,"&lt;="&amp;INDEX(Periods!$F$5:$F$57,$B1145)))</f>
        <v/>
      </c>
      <c r="S1145" s="51">
        <f>IF($B1145=1,N(INDEX(Employees!$T$5:$T$29,$A1145)),V1144)</f>
        <v/>
      </c>
      <c r="T1145" s="51">
        <f>IF(INDEX(Employees!$S$5:$S$29,$A1145)="",Q1145,MAX(0,MIN(Q1145,INDEX(Employees!$S$5:$S$29,$A1145)-(S1145-R1145))))</f>
        <v/>
      </c>
      <c r="U1145" s="51">
        <f>Q1145-T1145</f>
        <v/>
      </c>
      <c r="V1145" s="51">
        <f>S1145-R1145+T1145</f>
        <v/>
      </c>
    </row>
    <row r="1146">
      <c r="A1146" s="50" t="n">
        <v>22</v>
      </c>
      <c r="B1146" s="50" t="n">
        <v>29</v>
      </c>
      <c r="C1146" s="51">
        <f>INDEX(Employees!$B$5:$B$29,$A1146)&amp;""</f>
        <v/>
      </c>
      <c r="D1146" s="52">
        <f>INDEX(Periods!$B$5:$B$57,$B1146)</f>
        <v/>
      </c>
      <c r="E1146" s="52">
        <f>INDEX(Periods!$C$5:$C$57,$B1146)</f>
        <v/>
      </c>
      <c r="F1146" s="50">
        <f>IF(AND($C1146&lt;&gt;"",INDEX(Periods!$D$5:$D$57,$B1146)=1),1,0)</f>
        <v/>
      </c>
      <c r="G1146" s="50">
        <f>IF($F1146=0,0,IF(AND(OR(INDEX(Employees!$D$5:$D$29,$A1146)="",$E1146&gt;=INDEX(Employees!$D$5:$D$29,$A1146)+N(INDEX(Employees!$U$5:$U$29,$A1146))),OR(INDEX(Employees!$E$5:$E$29,$A1146)="",$D1146&lt;=INDEX(Employees!$E$5:$E$29,$A1146))),1,0))</f>
        <v/>
      </c>
      <c r="H1146" s="50">
        <f>IF($G1146=0,0,IF(INDEX(Employees!$D$5:$D$29,$A1146)="",0,DATEDIF(INDEX(Employees!$D$5:$D$29,$A1146),$E1146,"y")))</f>
        <v/>
      </c>
      <c r="I1146" s="51">
        <f>IF($G1146=0,0,IF(INDEX('Hours Worked'!$D$5:$BD$29,$A1146,$B1146)="",N(INDEX(Employees!$H$5:$H$29,$A1146)),INDEX('Hours Worked'!$D$5:$BD$29,$A1146,$B1146)))</f>
        <v/>
      </c>
      <c r="J1146" s="51">
        <f>IF(OR($G1146=0,INDEX(Employees!$O$5:$O$29,$A1146)&lt;&gt;"Yes"),0,IF(COUNTIF(Settings!$D$4:$D$9,"&lt;="&amp;$H1146)=0,0,INDEX(Settings!$E$4:$E$9,COUNTIF(Settings!$D$4:$D$9,"&lt;="&amp;$H1146))))</f>
        <v/>
      </c>
      <c r="K1146" s="51">
        <f>IF($G1146=0,0,IF(INDEX(Employees!$I$5:$I$29,$A1146)="Per pay period",(N(INDEX(Employees!$J$5:$J$29,$A1146))+$J1146)/Settings!$B$13,IF(INDEX(Employees!$I$5:$I$29,$A1146)="Per hour worked",N(INDEX(Employees!$K$5:$K$29,$A1146))*$I1146,IF(INDEX(Employees!$I$5:$I$29,$A1146)="Front-loaded",IF(OR($B1146=1,N($G1145)=0),N(INDEX(Employees!$J$5:$J$29,$A1146))+$J1146,0),0))))</f>
        <v/>
      </c>
      <c r="L1146" s="51">
        <f>IF($F1146=0,0,SUMIFS('Time Off Log'!$H$5:$H$504,'Time Off Log'!$A$5:$A$504,$C1146,'Time Off Log'!$B$5:$B$504,"PTO",'Time Off Log'!$E$5:$E$504,"Approved",'Time Off Log'!$C$5:$C$504,"&gt;="&amp;INDEX(Periods!$E$5:$E$57,$B1146),'Time Off Log'!$C$5:$C$504,"&lt;="&amp;INDEX(Periods!$F$5:$F$57,$B1146)))</f>
        <v/>
      </c>
      <c r="M1146" s="51">
        <f>IF($B1146=1,N(INDEX(Employees!$N$5:$N$29,$A1146)),P1145)</f>
        <v/>
      </c>
      <c r="N1146" s="51">
        <f>IF(INDEX(Employees!$L$5:$L$29,$A1146)="",K1146,MAX(0,MIN(K1146,INDEX(Employees!$L$5:$L$29,$A1146)-(M1146-L1146))))</f>
        <v/>
      </c>
      <c r="O1146" s="51">
        <f>K1146-N1146</f>
        <v/>
      </c>
      <c r="P1146" s="51">
        <f>M1146-L1146+N1146</f>
        <v/>
      </c>
      <c r="Q1146" s="51">
        <f>IF($G1146=0,0,IF(INDEX(Employees!$P$5:$P$29,$A1146)="Per pay period",(N(INDEX(Employees!$Q$5:$Q$29,$A1146)))/Settings!$B$13,IF(INDEX(Employees!$P$5:$P$29,$A1146)="Per hour worked",N(INDEX(Employees!$R$5:$R$29,$A1146))*$I1146,IF(INDEX(Employees!$P$5:$P$29,$A1146)="Front-loaded",IF(OR($B1146=1,N($G1145)=0),N(INDEX(Employees!$Q$5:$Q$29,$A1146)),0),0))))</f>
        <v/>
      </c>
      <c r="R1146" s="51">
        <f>IF($F1146=0,0,SUMIFS('Time Off Log'!$H$5:$H$504,'Time Off Log'!$A$5:$A$504,$C1146,'Time Off Log'!$B$5:$B$504,"Sick",'Time Off Log'!$E$5:$E$504,"Approved",'Time Off Log'!$C$5:$C$504,"&gt;="&amp;INDEX(Periods!$E$5:$E$57,$B1146),'Time Off Log'!$C$5:$C$504,"&lt;="&amp;INDEX(Periods!$F$5:$F$57,$B1146)))</f>
        <v/>
      </c>
      <c r="S1146" s="51">
        <f>IF($B1146=1,N(INDEX(Employees!$T$5:$T$29,$A1146)),V1145)</f>
        <v/>
      </c>
      <c r="T1146" s="51">
        <f>IF(INDEX(Employees!$S$5:$S$29,$A1146)="",Q1146,MAX(0,MIN(Q1146,INDEX(Employees!$S$5:$S$29,$A1146)-(S1146-R1146))))</f>
        <v/>
      </c>
      <c r="U1146" s="51">
        <f>Q1146-T1146</f>
        <v/>
      </c>
      <c r="V1146" s="51">
        <f>S1146-R1146+T1146</f>
        <v/>
      </c>
    </row>
    <row r="1147">
      <c r="A1147" s="50" t="n">
        <v>22</v>
      </c>
      <c r="B1147" s="50" t="n">
        <v>30</v>
      </c>
      <c r="C1147" s="51">
        <f>INDEX(Employees!$B$5:$B$29,$A1147)&amp;""</f>
        <v/>
      </c>
      <c r="D1147" s="52">
        <f>INDEX(Periods!$B$5:$B$57,$B1147)</f>
        <v/>
      </c>
      <c r="E1147" s="52">
        <f>INDEX(Periods!$C$5:$C$57,$B1147)</f>
        <v/>
      </c>
      <c r="F1147" s="50">
        <f>IF(AND($C1147&lt;&gt;"",INDEX(Periods!$D$5:$D$57,$B1147)=1),1,0)</f>
        <v/>
      </c>
      <c r="G1147" s="50">
        <f>IF($F1147=0,0,IF(AND(OR(INDEX(Employees!$D$5:$D$29,$A1147)="",$E1147&gt;=INDEX(Employees!$D$5:$D$29,$A1147)+N(INDEX(Employees!$U$5:$U$29,$A1147))),OR(INDEX(Employees!$E$5:$E$29,$A1147)="",$D1147&lt;=INDEX(Employees!$E$5:$E$29,$A1147))),1,0))</f>
        <v/>
      </c>
      <c r="H1147" s="50">
        <f>IF($G1147=0,0,IF(INDEX(Employees!$D$5:$D$29,$A1147)="",0,DATEDIF(INDEX(Employees!$D$5:$D$29,$A1147),$E1147,"y")))</f>
        <v/>
      </c>
      <c r="I1147" s="51">
        <f>IF($G1147=0,0,IF(INDEX('Hours Worked'!$D$5:$BD$29,$A1147,$B1147)="",N(INDEX(Employees!$H$5:$H$29,$A1147)),INDEX('Hours Worked'!$D$5:$BD$29,$A1147,$B1147)))</f>
        <v/>
      </c>
      <c r="J1147" s="51">
        <f>IF(OR($G1147=0,INDEX(Employees!$O$5:$O$29,$A1147)&lt;&gt;"Yes"),0,IF(COUNTIF(Settings!$D$4:$D$9,"&lt;="&amp;$H1147)=0,0,INDEX(Settings!$E$4:$E$9,COUNTIF(Settings!$D$4:$D$9,"&lt;="&amp;$H1147))))</f>
        <v/>
      </c>
      <c r="K1147" s="51">
        <f>IF($G1147=0,0,IF(INDEX(Employees!$I$5:$I$29,$A1147)="Per pay period",(N(INDEX(Employees!$J$5:$J$29,$A1147))+$J1147)/Settings!$B$13,IF(INDEX(Employees!$I$5:$I$29,$A1147)="Per hour worked",N(INDEX(Employees!$K$5:$K$29,$A1147))*$I1147,IF(INDEX(Employees!$I$5:$I$29,$A1147)="Front-loaded",IF(OR($B1147=1,N($G1146)=0),N(INDEX(Employees!$J$5:$J$29,$A1147))+$J1147,0),0))))</f>
        <v/>
      </c>
      <c r="L1147" s="51">
        <f>IF($F1147=0,0,SUMIFS('Time Off Log'!$H$5:$H$504,'Time Off Log'!$A$5:$A$504,$C1147,'Time Off Log'!$B$5:$B$504,"PTO",'Time Off Log'!$E$5:$E$504,"Approved",'Time Off Log'!$C$5:$C$504,"&gt;="&amp;INDEX(Periods!$E$5:$E$57,$B1147),'Time Off Log'!$C$5:$C$504,"&lt;="&amp;INDEX(Periods!$F$5:$F$57,$B1147)))</f>
        <v/>
      </c>
      <c r="M1147" s="51">
        <f>IF($B1147=1,N(INDEX(Employees!$N$5:$N$29,$A1147)),P1146)</f>
        <v/>
      </c>
      <c r="N1147" s="51">
        <f>IF(INDEX(Employees!$L$5:$L$29,$A1147)="",K1147,MAX(0,MIN(K1147,INDEX(Employees!$L$5:$L$29,$A1147)-(M1147-L1147))))</f>
        <v/>
      </c>
      <c r="O1147" s="51">
        <f>K1147-N1147</f>
        <v/>
      </c>
      <c r="P1147" s="51">
        <f>M1147-L1147+N1147</f>
        <v/>
      </c>
      <c r="Q1147" s="51">
        <f>IF($G1147=0,0,IF(INDEX(Employees!$P$5:$P$29,$A1147)="Per pay period",(N(INDEX(Employees!$Q$5:$Q$29,$A1147)))/Settings!$B$13,IF(INDEX(Employees!$P$5:$P$29,$A1147)="Per hour worked",N(INDEX(Employees!$R$5:$R$29,$A1147))*$I1147,IF(INDEX(Employees!$P$5:$P$29,$A1147)="Front-loaded",IF(OR($B1147=1,N($G1146)=0),N(INDEX(Employees!$Q$5:$Q$29,$A1147)),0),0))))</f>
        <v/>
      </c>
      <c r="R1147" s="51">
        <f>IF($F1147=0,0,SUMIFS('Time Off Log'!$H$5:$H$504,'Time Off Log'!$A$5:$A$504,$C1147,'Time Off Log'!$B$5:$B$504,"Sick",'Time Off Log'!$E$5:$E$504,"Approved",'Time Off Log'!$C$5:$C$504,"&gt;="&amp;INDEX(Periods!$E$5:$E$57,$B1147),'Time Off Log'!$C$5:$C$504,"&lt;="&amp;INDEX(Periods!$F$5:$F$57,$B1147)))</f>
        <v/>
      </c>
      <c r="S1147" s="51">
        <f>IF($B1147=1,N(INDEX(Employees!$T$5:$T$29,$A1147)),V1146)</f>
        <v/>
      </c>
      <c r="T1147" s="51">
        <f>IF(INDEX(Employees!$S$5:$S$29,$A1147)="",Q1147,MAX(0,MIN(Q1147,INDEX(Employees!$S$5:$S$29,$A1147)-(S1147-R1147))))</f>
        <v/>
      </c>
      <c r="U1147" s="51">
        <f>Q1147-T1147</f>
        <v/>
      </c>
      <c r="V1147" s="51">
        <f>S1147-R1147+T1147</f>
        <v/>
      </c>
    </row>
    <row r="1148">
      <c r="A1148" s="50" t="n">
        <v>22</v>
      </c>
      <c r="B1148" s="50" t="n">
        <v>31</v>
      </c>
      <c r="C1148" s="51">
        <f>INDEX(Employees!$B$5:$B$29,$A1148)&amp;""</f>
        <v/>
      </c>
      <c r="D1148" s="52">
        <f>INDEX(Periods!$B$5:$B$57,$B1148)</f>
        <v/>
      </c>
      <c r="E1148" s="52">
        <f>INDEX(Periods!$C$5:$C$57,$B1148)</f>
        <v/>
      </c>
      <c r="F1148" s="50">
        <f>IF(AND($C1148&lt;&gt;"",INDEX(Periods!$D$5:$D$57,$B1148)=1),1,0)</f>
        <v/>
      </c>
      <c r="G1148" s="50">
        <f>IF($F1148=0,0,IF(AND(OR(INDEX(Employees!$D$5:$D$29,$A1148)="",$E1148&gt;=INDEX(Employees!$D$5:$D$29,$A1148)+N(INDEX(Employees!$U$5:$U$29,$A1148))),OR(INDEX(Employees!$E$5:$E$29,$A1148)="",$D1148&lt;=INDEX(Employees!$E$5:$E$29,$A1148))),1,0))</f>
        <v/>
      </c>
      <c r="H1148" s="50">
        <f>IF($G1148=0,0,IF(INDEX(Employees!$D$5:$D$29,$A1148)="",0,DATEDIF(INDEX(Employees!$D$5:$D$29,$A1148),$E1148,"y")))</f>
        <v/>
      </c>
      <c r="I1148" s="51">
        <f>IF($G1148=0,0,IF(INDEX('Hours Worked'!$D$5:$BD$29,$A1148,$B1148)="",N(INDEX(Employees!$H$5:$H$29,$A1148)),INDEX('Hours Worked'!$D$5:$BD$29,$A1148,$B1148)))</f>
        <v/>
      </c>
      <c r="J1148" s="51">
        <f>IF(OR($G1148=0,INDEX(Employees!$O$5:$O$29,$A1148)&lt;&gt;"Yes"),0,IF(COUNTIF(Settings!$D$4:$D$9,"&lt;="&amp;$H1148)=0,0,INDEX(Settings!$E$4:$E$9,COUNTIF(Settings!$D$4:$D$9,"&lt;="&amp;$H1148))))</f>
        <v/>
      </c>
      <c r="K1148" s="51">
        <f>IF($G1148=0,0,IF(INDEX(Employees!$I$5:$I$29,$A1148)="Per pay period",(N(INDEX(Employees!$J$5:$J$29,$A1148))+$J1148)/Settings!$B$13,IF(INDEX(Employees!$I$5:$I$29,$A1148)="Per hour worked",N(INDEX(Employees!$K$5:$K$29,$A1148))*$I1148,IF(INDEX(Employees!$I$5:$I$29,$A1148)="Front-loaded",IF(OR($B1148=1,N($G1147)=0),N(INDEX(Employees!$J$5:$J$29,$A1148))+$J1148,0),0))))</f>
        <v/>
      </c>
      <c r="L1148" s="51">
        <f>IF($F1148=0,0,SUMIFS('Time Off Log'!$H$5:$H$504,'Time Off Log'!$A$5:$A$504,$C1148,'Time Off Log'!$B$5:$B$504,"PTO",'Time Off Log'!$E$5:$E$504,"Approved",'Time Off Log'!$C$5:$C$504,"&gt;="&amp;INDEX(Periods!$E$5:$E$57,$B1148),'Time Off Log'!$C$5:$C$504,"&lt;="&amp;INDEX(Periods!$F$5:$F$57,$B1148)))</f>
        <v/>
      </c>
      <c r="M1148" s="51">
        <f>IF($B1148=1,N(INDEX(Employees!$N$5:$N$29,$A1148)),P1147)</f>
        <v/>
      </c>
      <c r="N1148" s="51">
        <f>IF(INDEX(Employees!$L$5:$L$29,$A1148)="",K1148,MAX(0,MIN(K1148,INDEX(Employees!$L$5:$L$29,$A1148)-(M1148-L1148))))</f>
        <v/>
      </c>
      <c r="O1148" s="51">
        <f>K1148-N1148</f>
        <v/>
      </c>
      <c r="P1148" s="51">
        <f>M1148-L1148+N1148</f>
        <v/>
      </c>
      <c r="Q1148" s="51">
        <f>IF($G1148=0,0,IF(INDEX(Employees!$P$5:$P$29,$A1148)="Per pay period",(N(INDEX(Employees!$Q$5:$Q$29,$A1148)))/Settings!$B$13,IF(INDEX(Employees!$P$5:$P$29,$A1148)="Per hour worked",N(INDEX(Employees!$R$5:$R$29,$A1148))*$I1148,IF(INDEX(Employees!$P$5:$P$29,$A1148)="Front-loaded",IF(OR($B1148=1,N($G1147)=0),N(INDEX(Employees!$Q$5:$Q$29,$A1148)),0),0))))</f>
        <v/>
      </c>
      <c r="R1148" s="51">
        <f>IF($F1148=0,0,SUMIFS('Time Off Log'!$H$5:$H$504,'Time Off Log'!$A$5:$A$504,$C1148,'Time Off Log'!$B$5:$B$504,"Sick",'Time Off Log'!$E$5:$E$504,"Approved",'Time Off Log'!$C$5:$C$504,"&gt;="&amp;INDEX(Periods!$E$5:$E$57,$B1148),'Time Off Log'!$C$5:$C$504,"&lt;="&amp;INDEX(Periods!$F$5:$F$57,$B1148)))</f>
        <v/>
      </c>
      <c r="S1148" s="51">
        <f>IF($B1148=1,N(INDEX(Employees!$T$5:$T$29,$A1148)),V1147)</f>
        <v/>
      </c>
      <c r="T1148" s="51">
        <f>IF(INDEX(Employees!$S$5:$S$29,$A1148)="",Q1148,MAX(0,MIN(Q1148,INDEX(Employees!$S$5:$S$29,$A1148)-(S1148-R1148))))</f>
        <v/>
      </c>
      <c r="U1148" s="51">
        <f>Q1148-T1148</f>
        <v/>
      </c>
      <c r="V1148" s="51">
        <f>S1148-R1148+T1148</f>
        <v/>
      </c>
    </row>
    <row r="1149">
      <c r="A1149" s="50" t="n">
        <v>22</v>
      </c>
      <c r="B1149" s="50" t="n">
        <v>32</v>
      </c>
      <c r="C1149" s="51">
        <f>INDEX(Employees!$B$5:$B$29,$A1149)&amp;""</f>
        <v/>
      </c>
      <c r="D1149" s="52">
        <f>INDEX(Periods!$B$5:$B$57,$B1149)</f>
        <v/>
      </c>
      <c r="E1149" s="52">
        <f>INDEX(Periods!$C$5:$C$57,$B1149)</f>
        <v/>
      </c>
      <c r="F1149" s="50">
        <f>IF(AND($C1149&lt;&gt;"",INDEX(Periods!$D$5:$D$57,$B1149)=1),1,0)</f>
        <v/>
      </c>
      <c r="G1149" s="50">
        <f>IF($F1149=0,0,IF(AND(OR(INDEX(Employees!$D$5:$D$29,$A1149)="",$E1149&gt;=INDEX(Employees!$D$5:$D$29,$A1149)+N(INDEX(Employees!$U$5:$U$29,$A1149))),OR(INDEX(Employees!$E$5:$E$29,$A1149)="",$D1149&lt;=INDEX(Employees!$E$5:$E$29,$A1149))),1,0))</f>
        <v/>
      </c>
      <c r="H1149" s="50">
        <f>IF($G1149=0,0,IF(INDEX(Employees!$D$5:$D$29,$A1149)="",0,DATEDIF(INDEX(Employees!$D$5:$D$29,$A1149),$E1149,"y")))</f>
        <v/>
      </c>
      <c r="I1149" s="51">
        <f>IF($G1149=0,0,IF(INDEX('Hours Worked'!$D$5:$BD$29,$A1149,$B1149)="",N(INDEX(Employees!$H$5:$H$29,$A1149)),INDEX('Hours Worked'!$D$5:$BD$29,$A1149,$B1149)))</f>
        <v/>
      </c>
      <c r="J1149" s="51">
        <f>IF(OR($G1149=0,INDEX(Employees!$O$5:$O$29,$A1149)&lt;&gt;"Yes"),0,IF(COUNTIF(Settings!$D$4:$D$9,"&lt;="&amp;$H1149)=0,0,INDEX(Settings!$E$4:$E$9,COUNTIF(Settings!$D$4:$D$9,"&lt;="&amp;$H1149))))</f>
        <v/>
      </c>
      <c r="K1149" s="51">
        <f>IF($G1149=0,0,IF(INDEX(Employees!$I$5:$I$29,$A1149)="Per pay period",(N(INDEX(Employees!$J$5:$J$29,$A1149))+$J1149)/Settings!$B$13,IF(INDEX(Employees!$I$5:$I$29,$A1149)="Per hour worked",N(INDEX(Employees!$K$5:$K$29,$A1149))*$I1149,IF(INDEX(Employees!$I$5:$I$29,$A1149)="Front-loaded",IF(OR($B1149=1,N($G1148)=0),N(INDEX(Employees!$J$5:$J$29,$A1149))+$J1149,0),0))))</f>
        <v/>
      </c>
      <c r="L1149" s="51">
        <f>IF($F1149=0,0,SUMIFS('Time Off Log'!$H$5:$H$504,'Time Off Log'!$A$5:$A$504,$C1149,'Time Off Log'!$B$5:$B$504,"PTO",'Time Off Log'!$E$5:$E$504,"Approved",'Time Off Log'!$C$5:$C$504,"&gt;="&amp;INDEX(Periods!$E$5:$E$57,$B1149),'Time Off Log'!$C$5:$C$504,"&lt;="&amp;INDEX(Periods!$F$5:$F$57,$B1149)))</f>
        <v/>
      </c>
      <c r="M1149" s="51">
        <f>IF($B1149=1,N(INDEX(Employees!$N$5:$N$29,$A1149)),P1148)</f>
        <v/>
      </c>
      <c r="N1149" s="51">
        <f>IF(INDEX(Employees!$L$5:$L$29,$A1149)="",K1149,MAX(0,MIN(K1149,INDEX(Employees!$L$5:$L$29,$A1149)-(M1149-L1149))))</f>
        <v/>
      </c>
      <c r="O1149" s="51">
        <f>K1149-N1149</f>
        <v/>
      </c>
      <c r="P1149" s="51">
        <f>M1149-L1149+N1149</f>
        <v/>
      </c>
      <c r="Q1149" s="51">
        <f>IF($G1149=0,0,IF(INDEX(Employees!$P$5:$P$29,$A1149)="Per pay period",(N(INDEX(Employees!$Q$5:$Q$29,$A1149)))/Settings!$B$13,IF(INDEX(Employees!$P$5:$P$29,$A1149)="Per hour worked",N(INDEX(Employees!$R$5:$R$29,$A1149))*$I1149,IF(INDEX(Employees!$P$5:$P$29,$A1149)="Front-loaded",IF(OR($B1149=1,N($G1148)=0),N(INDEX(Employees!$Q$5:$Q$29,$A1149)),0),0))))</f>
        <v/>
      </c>
      <c r="R1149" s="51">
        <f>IF($F1149=0,0,SUMIFS('Time Off Log'!$H$5:$H$504,'Time Off Log'!$A$5:$A$504,$C1149,'Time Off Log'!$B$5:$B$504,"Sick",'Time Off Log'!$E$5:$E$504,"Approved",'Time Off Log'!$C$5:$C$504,"&gt;="&amp;INDEX(Periods!$E$5:$E$57,$B1149),'Time Off Log'!$C$5:$C$504,"&lt;="&amp;INDEX(Periods!$F$5:$F$57,$B1149)))</f>
        <v/>
      </c>
      <c r="S1149" s="51">
        <f>IF($B1149=1,N(INDEX(Employees!$T$5:$T$29,$A1149)),V1148)</f>
        <v/>
      </c>
      <c r="T1149" s="51">
        <f>IF(INDEX(Employees!$S$5:$S$29,$A1149)="",Q1149,MAX(0,MIN(Q1149,INDEX(Employees!$S$5:$S$29,$A1149)-(S1149-R1149))))</f>
        <v/>
      </c>
      <c r="U1149" s="51">
        <f>Q1149-T1149</f>
        <v/>
      </c>
      <c r="V1149" s="51">
        <f>S1149-R1149+T1149</f>
        <v/>
      </c>
    </row>
    <row r="1150">
      <c r="A1150" s="50" t="n">
        <v>22</v>
      </c>
      <c r="B1150" s="50" t="n">
        <v>33</v>
      </c>
      <c r="C1150" s="51">
        <f>INDEX(Employees!$B$5:$B$29,$A1150)&amp;""</f>
        <v/>
      </c>
      <c r="D1150" s="52">
        <f>INDEX(Periods!$B$5:$B$57,$B1150)</f>
        <v/>
      </c>
      <c r="E1150" s="52">
        <f>INDEX(Periods!$C$5:$C$57,$B1150)</f>
        <v/>
      </c>
      <c r="F1150" s="50">
        <f>IF(AND($C1150&lt;&gt;"",INDEX(Periods!$D$5:$D$57,$B1150)=1),1,0)</f>
        <v/>
      </c>
      <c r="G1150" s="50">
        <f>IF($F1150=0,0,IF(AND(OR(INDEX(Employees!$D$5:$D$29,$A1150)="",$E1150&gt;=INDEX(Employees!$D$5:$D$29,$A1150)+N(INDEX(Employees!$U$5:$U$29,$A1150))),OR(INDEX(Employees!$E$5:$E$29,$A1150)="",$D1150&lt;=INDEX(Employees!$E$5:$E$29,$A1150))),1,0))</f>
        <v/>
      </c>
      <c r="H1150" s="50">
        <f>IF($G1150=0,0,IF(INDEX(Employees!$D$5:$D$29,$A1150)="",0,DATEDIF(INDEX(Employees!$D$5:$D$29,$A1150),$E1150,"y")))</f>
        <v/>
      </c>
      <c r="I1150" s="51">
        <f>IF($G1150=0,0,IF(INDEX('Hours Worked'!$D$5:$BD$29,$A1150,$B1150)="",N(INDEX(Employees!$H$5:$H$29,$A1150)),INDEX('Hours Worked'!$D$5:$BD$29,$A1150,$B1150)))</f>
        <v/>
      </c>
      <c r="J1150" s="51">
        <f>IF(OR($G1150=0,INDEX(Employees!$O$5:$O$29,$A1150)&lt;&gt;"Yes"),0,IF(COUNTIF(Settings!$D$4:$D$9,"&lt;="&amp;$H1150)=0,0,INDEX(Settings!$E$4:$E$9,COUNTIF(Settings!$D$4:$D$9,"&lt;="&amp;$H1150))))</f>
        <v/>
      </c>
      <c r="K1150" s="51">
        <f>IF($G1150=0,0,IF(INDEX(Employees!$I$5:$I$29,$A1150)="Per pay period",(N(INDEX(Employees!$J$5:$J$29,$A1150))+$J1150)/Settings!$B$13,IF(INDEX(Employees!$I$5:$I$29,$A1150)="Per hour worked",N(INDEX(Employees!$K$5:$K$29,$A1150))*$I1150,IF(INDEX(Employees!$I$5:$I$29,$A1150)="Front-loaded",IF(OR($B1150=1,N($G1149)=0),N(INDEX(Employees!$J$5:$J$29,$A1150))+$J1150,0),0))))</f>
        <v/>
      </c>
      <c r="L1150" s="51">
        <f>IF($F1150=0,0,SUMIFS('Time Off Log'!$H$5:$H$504,'Time Off Log'!$A$5:$A$504,$C1150,'Time Off Log'!$B$5:$B$504,"PTO",'Time Off Log'!$E$5:$E$504,"Approved",'Time Off Log'!$C$5:$C$504,"&gt;="&amp;INDEX(Periods!$E$5:$E$57,$B1150),'Time Off Log'!$C$5:$C$504,"&lt;="&amp;INDEX(Periods!$F$5:$F$57,$B1150)))</f>
        <v/>
      </c>
      <c r="M1150" s="51">
        <f>IF($B1150=1,N(INDEX(Employees!$N$5:$N$29,$A1150)),P1149)</f>
        <v/>
      </c>
      <c r="N1150" s="51">
        <f>IF(INDEX(Employees!$L$5:$L$29,$A1150)="",K1150,MAX(0,MIN(K1150,INDEX(Employees!$L$5:$L$29,$A1150)-(M1150-L1150))))</f>
        <v/>
      </c>
      <c r="O1150" s="51">
        <f>K1150-N1150</f>
        <v/>
      </c>
      <c r="P1150" s="51">
        <f>M1150-L1150+N1150</f>
        <v/>
      </c>
      <c r="Q1150" s="51">
        <f>IF($G1150=0,0,IF(INDEX(Employees!$P$5:$P$29,$A1150)="Per pay period",(N(INDEX(Employees!$Q$5:$Q$29,$A1150)))/Settings!$B$13,IF(INDEX(Employees!$P$5:$P$29,$A1150)="Per hour worked",N(INDEX(Employees!$R$5:$R$29,$A1150))*$I1150,IF(INDEX(Employees!$P$5:$P$29,$A1150)="Front-loaded",IF(OR($B1150=1,N($G1149)=0),N(INDEX(Employees!$Q$5:$Q$29,$A1150)),0),0))))</f>
        <v/>
      </c>
      <c r="R1150" s="51">
        <f>IF($F1150=0,0,SUMIFS('Time Off Log'!$H$5:$H$504,'Time Off Log'!$A$5:$A$504,$C1150,'Time Off Log'!$B$5:$B$504,"Sick",'Time Off Log'!$E$5:$E$504,"Approved",'Time Off Log'!$C$5:$C$504,"&gt;="&amp;INDEX(Periods!$E$5:$E$57,$B1150),'Time Off Log'!$C$5:$C$504,"&lt;="&amp;INDEX(Periods!$F$5:$F$57,$B1150)))</f>
        <v/>
      </c>
      <c r="S1150" s="51">
        <f>IF($B1150=1,N(INDEX(Employees!$T$5:$T$29,$A1150)),V1149)</f>
        <v/>
      </c>
      <c r="T1150" s="51">
        <f>IF(INDEX(Employees!$S$5:$S$29,$A1150)="",Q1150,MAX(0,MIN(Q1150,INDEX(Employees!$S$5:$S$29,$A1150)-(S1150-R1150))))</f>
        <v/>
      </c>
      <c r="U1150" s="51">
        <f>Q1150-T1150</f>
        <v/>
      </c>
      <c r="V1150" s="51">
        <f>S1150-R1150+T1150</f>
        <v/>
      </c>
    </row>
    <row r="1151">
      <c r="A1151" s="50" t="n">
        <v>22</v>
      </c>
      <c r="B1151" s="50" t="n">
        <v>34</v>
      </c>
      <c r="C1151" s="51">
        <f>INDEX(Employees!$B$5:$B$29,$A1151)&amp;""</f>
        <v/>
      </c>
      <c r="D1151" s="52">
        <f>INDEX(Periods!$B$5:$B$57,$B1151)</f>
        <v/>
      </c>
      <c r="E1151" s="52">
        <f>INDEX(Periods!$C$5:$C$57,$B1151)</f>
        <v/>
      </c>
      <c r="F1151" s="50">
        <f>IF(AND($C1151&lt;&gt;"",INDEX(Periods!$D$5:$D$57,$B1151)=1),1,0)</f>
        <v/>
      </c>
      <c r="G1151" s="50">
        <f>IF($F1151=0,0,IF(AND(OR(INDEX(Employees!$D$5:$D$29,$A1151)="",$E1151&gt;=INDEX(Employees!$D$5:$D$29,$A1151)+N(INDEX(Employees!$U$5:$U$29,$A1151))),OR(INDEX(Employees!$E$5:$E$29,$A1151)="",$D1151&lt;=INDEX(Employees!$E$5:$E$29,$A1151))),1,0))</f>
        <v/>
      </c>
      <c r="H1151" s="50">
        <f>IF($G1151=0,0,IF(INDEX(Employees!$D$5:$D$29,$A1151)="",0,DATEDIF(INDEX(Employees!$D$5:$D$29,$A1151),$E1151,"y")))</f>
        <v/>
      </c>
      <c r="I1151" s="51">
        <f>IF($G1151=0,0,IF(INDEX('Hours Worked'!$D$5:$BD$29,$A1151,$B1151)="",N(INDEX(Employees!$H$5:$H$29,$A1151)),INDEX('Hours Worked'!$D$5:$BD$29,$A1151,$B1151)))</f>
        <v/>
      </c>
      <c r="J1151" s="51">
        <f>IF(OR($G1151=0,INDEX(Employees!$O$5:$O$29,$A1151)&lt;&gt;"Yes"),0,IF(COUNTIF(Settings!$D$4:$D$9,"&lt;="&amp;$H1151)=0,0,INDEX(Settings!$E$4:$E$9,COUNTIF(Settings!$D$4:$D$9,"&lt;="&amp;$H1151))))</f>
        <v/>
      </c>
      <c r="K1151" s="51">
        <f>IF($G1151=0,0,IF(INDEX(Employees!$I$5:$I$29,$A1151)="Per pay period",(N(INDEX(Employees!$J$5:$J$29,$A1151))+$J1151)/Settings!$B$13,IF(INDEX(Employees!$I$5:$I$29,$A1151)="Per hour worked",N(INDEX(Employees!$K$5:$K$29,$A1151))*$I1151,IF(INDEX(Employees!$I$5:$I$29,$A1151)="Front-loaded",IF(OR($B1151=1,N($G1150)=0),N(INDEX(Employees!$J$5:$J$29,$A1151))+$J1151,0),0))))</f>
        <v/>
      </c>
      <c r="L1151" s="51">
        <f>IF($F1151=0,0,SUMIFS('Time Off Log'!$H$5:$H$504,'Time Off Log'!$A$5:$A$504,$C1151,'Time Off Log'!$B$5:$B$504,"PTO",'Time Off Log'!$E$5:$E$504,"Approved",'Time Off Log'!$C$5:$C$504,"&gt;="&amp;INDEX(Periods!$E$5:$E$57,$B1151),'Time Off Log'!$C$5:$C$504,"&lt;="&amp;INDEX(Periods!$F$5:$F$57,$B1151)))</f>
        <v/>
      </c>
      <c r="M1151" s="51">
        <f>IF($B1151=1,N(INDEX(Employees!$N$5:$N$29,$A1151)),P1150)</f>
        <v/>
      </c>
      <c r="N1151" s="51">
        <f>IF(INDEX(Employees!$L$5:$L$29,$A1151)="",K1151,MAX(0,MIN(K1151,INDEX(Employees!$L$5:$L$29,$A1151)-(M1151-L1151))))</f>
        <v/>
      </c>
      <c r="O1151" s="51">
        <f>K1151-N1151</f>
        <v/>
      </c>
      <c r="P1151" s="51">
        <f>M1151-L1151+N1151</f>
        <v/>
      </c>
      <c r="Q1151" s="51">
        <f>IF($G1151=0,0,IF(INDEX(Employees!$P$5:$P$29,$A1151)="Per pay period",(N(INDEX(Employees!$Q$5:$Q$29,$A1151)))/Settings!$B$13,IF(INDEX(Employees!$P$5:$P$29,$A1151)="Per hour worked",N(INDEX(Employees!$R$5:$R$29,$A1151))*$I1151,IF(INDEX(Employees!$P$5:$P$29,$A1151)="Front-loaded",IF(OR($B1151=1,N($G1150)=0),N(INDEX(Employees!$Q$5:$Q$29,$A1151)),0),0))))</f>
        <v/>
      </c>
      <c r="R1151" s="51">
        <f>IF($F1151=0,0,SUMIFS('Time Off Log'!$H$5:$H$504,'Time Off Log'!$A$5:$A$504,$C1151,'Time Off Log'!$B$5:$B$504,"Sick",'Time Off Log'!$E$5:$E$504,"Approved",'Time Off Log'!$C$5:$C$504,"&gt;="&amp;INDEX(Periods!$E$5:$E$57,$B1151),'Time Off Log'!$C$5:$C$504,"&lt;="&amp;INDEX(Periods!$F$5:$F$57,$B1151)))</f>
        <v/>
      </c>
      <c r="S1151" s="51">
        <f>IF($B1151=1,N(INDEX(Employees!$T$5:$T$29,$A1151)),V1150)</f>
        <v/>
      </c>
      <c r="T1151" s="51">
        <f>IF(INDEX(Employees!$S$5:$S$29,$A1151)="",Q1151,MAX(0,MIN(Q1151,INDEX(Employees!$S$5:$S$29,$A1151)-(S1151-R1151))))</f>
        <v/>
      </c>
      <c r="U1151" s="51">
        <f>Q1151-T1151</f>
        <v/>
      </c>
      <c r="V1151" s="51">
        <f>S1151-R1151+T1151</f>
        <v/>
      </c>
    </row>
    <row r="1152">
      <c r="A1152" s="50" t="n">
        <v>22</v>
      </c>
      <c r="B1152" s="50" t="n">
        <v>35</v>
      </c>
      <c r="C1152" s="51">
        <f>INDEX(Employees!$B$5:$B$29,$A1152)&amp;""</f>
        <v/>
      </c>
      <c r="D1152" s="52">
        <f>INDEX(Periods!$B$5:$B$57,$B1152)</f>
        <v/>
      </c>
      <c r="E1152" s="52">
        <f>INDEX(Periods!$C$5:$C$57,$B1152)</f>
        <v/>
      </c>
      <c r="F1152" s="50">
        <f>IF(AND($C1152&lt;&gt;"",INDEX(Periods!$D$5:$D$57,$B1152)=1),1,0)</f>
        <v/>
      </c>
      <c r="G1152" s="50">
        <f>IF($F1152=0,0,IF(AND(OR(INDEX(Employees!$D$5:$D$29,$A1152)="",$E1152&gt;=INDEX(Employees!$D$5:$D$29,$A1152)+N(INDEX(Employees!$U$5:$U$29,$A1152))),OR(INDEX(Employees!$E$5:$E$29,$A1152)="",$D1152&lt;=INDEX(Employees!$E$5:$E$29,$A1152))),1,0))</f>
        <v/>
      </c>
      <c r="H1152" s="50">
        <f>IF($G1152=0,0,IF(INDEX(Employees!$D$5:$D$29,$A1152)="",0,DATEDIF(INDEX(Employees!$D$5:$D$29,$A1152),$E1152,"y")))</f>
        <v/>
      </c>
      <c r="I1152" s="51">
        <f>IF($G1152=0,0,IF(INDEX('Hours Worked'!$D$5:$BD$29,$A1152,$B1152)="",N(INDEX(Employees!$H$5:$H$29,$A1152)),INDEX('Hours Worked'!$D$5:$BD$29,$A1152,$B1152)))</f>
        <v/>
      </c>
      <c r="J1152" s="51">
        <f>IF(OR($G1152=0,INDEX(Employees!$O$5:$O$29,$A1152)&lt;&gt;"Yes"),0,IF(COUNTIF(Settings!$D$4:$D$9,"&lt;="&amp;$H1152)=0,0,INDEX(Settings!$E$4:$E$9,COUNTIF(Settings!$D$4:$D$9,"&lt;="&amp;$H1152))))</f>
        <v/>
      </c>
      <c r="K1152" s="51">
        <f>IF($G1152=0,0,IF(INDEX(Employees!$I$5:$I$29,$A1152)="Per pay period",(N(INDEX(Employees!$J$5:$J$29,$A1152))+$J1152)/Settings!$B$13,IF(INDEX(Employees!$I$5:$I$29,$A1152)="Per hour worked",N(INDEX(Employees!$K$5:$K$29,$A1152))*$I1152,IF(INDEX(Employees!$I$5:$I$29,$A1152)="Front-loaded",IF(OR($B1152=1,N($G1151)=0),N(INDEX(Employees!$J$5:$J$29,$A1152))+$J1152,0),0))))</f>
        <v/>
      </c>
      <c r="L1152" s="51">
        <f>IF($F1152=0,0,SUMIFS('Time Off Log'!$H$5:$H$504,'Time Off Log'!$A$5:$A$504,$C1152,'Time Off Log'!$B$5:$B$504,"PTO",'Time Off Log'!$E$5:$E$504,"Approved",'Time Off Log'!$C$5:$C$504,"&gt;="&amp;INDEX(Periods!$E$5:$E$57,$B1152),'Time Off Log'!$C$5:$C$504,"&lt;="&amp;INDEX(Periods!$F$5:$F$57,$B1152)))</f>
        <v/>
      </c>
      <c r="M1152" s="51">
        <f>IF($B1152=1,N(INDEX(Employees!$N$5:$N$29,$A1152)),P1151)</f>
        <v/>
      </c>
      <c r="N1152" s="51">
        <f>IF(INDEX(Employees!$L$5:$L$29,$A1152)="",K1152,MAX(0,MIN(K1152,INDEX(Employees!$L$5:$L$29,$A1152)-(M1152-L1152))))</f>
        <v/>
      </c>
      <c r="O1152" s="51">
        <f>K1152-N1152</f>
        <v/>
      </c>
      <c r="P1152" s="51">
        <f>M1152-L1152+N1152</f>
        <v/>
      </c>
      <c r="Q1152" s="51">
        <f>IF($G1152=0,0,IF(INDEX(Employees!$P$5:$P$29,$A1152)="Per pay period",(N(INDEX(Employees!$Q$5:$Q$29,$A1152)))/Settings!$B$13,IF(INDEX(Employees!$P$5:$P$29,$A1152)="Per hour worked",N(INDEX(Employees!$R$5:$R$29,$A1152))*$I1152,IF(INDEX(Employees!$P$5:$P$29,$A1152)="Front-loaded",IF(OR($B1152=1,N($G1151)=0),N(INDEX(Employees!$Q$5:$Q$29,$A1152)),0),0))))</f>
        <v/>
      </c>
      <c r="R1152" s="51">
        <f>IF($F1152=0,0,SUMIFS('Time Off Log'!$H$5:$H$504,'Time Off Log'!$A$5:$A$504,$C1152,'Time Off Log'!$B$5:$B$504,"Sick",'Time Off Log'!$E$5:$E$504,"Approved",'Time Off Log'!$C$5:$C$504,"&gt;="&amp;INDEX(Periods!$E$5:$E$57,$B1152),'Time Off Log'!$C$5:$C$504,"&lt;="&amp;INDEX(Periods!$F$5:$F$57,$B1152)))</f>
        <v/>
      </c>
      <c r="S1152" s="51">
        <f>IF($B1152=1,N(INDEX(Employees!$T$5:$T$29,$A1152)),V1151)</f>
        <v/>
      </c>
      <c r="T1152" s="51">
        <f>IF(INDEX(Employees!$S$5:$S$29,$A1152)="",Q1152,MAX(0,MIN(Q1152,INDEX(Employees!$S$5:$S$29,$A1152)-(S1152-R1152))))</f>
        <v/>
      </c>
      <c r="U1152" s="51">
        <f>Q1152-T1152</f>
        <v/>
      </c>
      <c r="V1152" s="51">
        <f>S1152-R1152+T1152</f>
        <v/>
      </c>
    </row>
    <row r="1153">
      <c r="A1153" s="50" t="n">
        <v>22</v>
      </c>
      <c r="B1153" s="50" t="n">
        <v>36</v>
      </c>
      <c r="C1153" s="51">
        <f>INDEX(Employees!$B$5:$B$29,$A1153)&amp;""</f>
        <v/>
      </c>
      <c r="D1153" s="52">
        <f>INDEX(Periods!$B$5:$B$57,$B1153)</f>
        <v/>
      </c>
      <c r="E1153" s="52">
        <f>INDEX(Periods!$C$5:$C$57,$B1153)</f>
        <v/>
      </c>
      <c r="F1153" s="50">
        <f>IF(AND($C1153&lt;&gt;"",INDEX(Periods!$D$5:$D$57,$B1153)=1),1,0)</f>
        <v/>
      </c>
      <c r="G1153" s="50">
        <f>IF($F1153=0,0,IF(AND(OR(INDEX(Employees!$D$5:$D$29,$A1153)="",$E1153&gt;=INDEX(Employees!$D$5:$D$29,$A1153)+N(INDEX(Employees!$U$5:$U$29,$A1153))),OR(INDEX(Employees!$E$5:$E$29,$A1153)="",$D1153&lt;=INDEX(Employees!$E$5:$E$29,$A1153))),1,0))</f>
        <v/>
      </c>
      <c r="H1153" s="50">
        <f>IF($G1153=0,0,IF(INDEX(Employees!$D$5:$D$29,$A1153)="",0,DATEDIF(INDEX(Employees!$D$5:$D$29,$A1153),$E1153,"y")))</f>
        <v/>
      </c>
      <c r="I1153" s="51">
        <f>IF($G1153=0,0,IF(INDEX('Hours Worked'!$D$5:$BD$29,$A1153,$B1153)="",N(INDEX(Employees!$H$5:$H$29,$A1153)),INDEX('Hours Worked'!$D$5:$BD$29,$A1153,$B1153)))</f>
        <v/>
      </c>
      <c r="J1153" s="51">
        <f>IF(OR($G1153=0,INDEX(Employees!$O$5:$O$29,$A1153)&lt;&gt;"Yes"),0,IF(COUNTIF(Settings!$D$4:$D$9,"&lt;="&amp;$H1153)=0,0,INDEX(Settings!$E$4:$E$9,COUNTIF(Settings!$D$4:$D$9,"&lt;="&amp;$H1153))))</f>
        <v/>
      </c>
      <c r="K1153" s="51">
        <f>IF($G1153=0,0,IF(INDEX(Employees!$I$5:$I$29,$A1153)="Per pay period",(N(INDEX(Employees!$J$5:$J$29,$A1153))+$J1153)/Settings!$B$13,IF(INDEX(Employees!$I$5:$I$29,$A1153)="Per hour worked",N(INDEX(Employees!$K$5:$K$29,$A1153))*$I1153,IF(INDEX(Employees!$I$5:$I$29,$A1153)="Front-loaded",IF(OR($B1153=1,N($G1152)=0),N(INDEX(Employees!$J$5:$J$29,$A1153))+$J1153,0),0))))</f>
        <v/>
      </c>
      <c r="L1153" s="51">
        <f>IF($F1153=0,0,SUMIFS('Time Off Log'!$H$5:$H$504,'Time Off Log'!$A$5:$A$504,$C1153,'Time Off Log'!$B$5:$B$504,"PTO",'Time Off Log'!$E$5:$E$504,"Approved",'Time Off Log'!$C$5:$C$504,"&gt;="&amp;INDEX(Periods!$E$5:$E$57,$B1153),'Time Off Log'!$C$5:$C$504,"&lt;="&amp;INDEX(Periods!$F$5:$F$57,$B1153)))</f>
        <v/>
      </c>
      <c r="M1153" s="51">
        <f>IF($B1153=1,N(INDEX(Employees!$N$5:$N$29,$A1153)),P1152)</f>
        <v/>
      </c>
      <c r="N1153" s="51">
        <f>IF(INDEX(Employees!$L$5:$L$29,$A1153)="",K1153,MAX(0,MIN(K1153,INDEX(Employees!$L$5:$L$29,$A1153)-(M1153-L1153))))</f>
        <v/>
      </c>
      <c r="O1153" s="51">
        <f>K1153-N1153</f>
        <v/>
      </c>
      <c r="P1153" s="51">
        <f>M1153-L1153+N1153</f>
        <v/>
      </c>
      <c r="Q1153" s="51">
        <f>IF($G1153=0,0,IF(INDEX(Employees!$P$5:$P$29,$A1153)="Per pay period",(N(INDEX(Employees!$Q$5:$Q$29,$A1153)))/Settings!$B$13,IF(INDEX(Employees!$P$5:$P$29,$A1153)="Per hour worked",N(INDEX(Employees!$R$5:$R$29,$A1153))*$I1153,IF(INDEX(Employees!$P$5:$P$29,$A1153)="Front-loaded",IF(OR($B1153=1,N($G1152)=0),N(INDEX(Employees!$Q$5:$Q$29,$A1153)),0),0))))</f>
        <v/>
      </c>
      <c r="R1153" s="51">
        <f>IF($F1153=0,0,SUMIFS('Time Off Log'!$H$5:$H$504,'Time Off Log'!$A$5:$A$504,$C1153,'Time Off Log'!$B$5:$B$504,"Sick",'Time Off Log'!$E$5:$E$504,"Approved",'Time Off Log'!$C$5:$C$504,"&gt;="&amp;INDEX(Periods!$E$5:$E$57,$B1153),'Time Off Log'!$C$5:$C$504,"&lt;="&amp;INDEX(Periods!$F$5:$F$57,$B1153)))</f>
        <v/>
      </c>
      <c r="S1153" s="51">
        <f>IF($B1153=1,N(INDEX(Employees!$T$5:$T$29,$A1153)),V1152)</f>
        <v/>
      </c>
      <c r="T1153" s="51">
        <f>IF(INDEX(Employees!$S$5:$S$29,$A1153)="",Q1153,MAX(0,MIN(Q1153,INDEX(Employees!$S$5:$S$29,$A1153)-(S1153-R1153))))</f>
        <v/>
      </c>
      <c r="U1153" s="51">
        <f>Q1153-T1153</f>
        <v/>
      </c>
      <c r="V1153" s="51">
        <f>S1153-R1153+T1153</f>
        <v/>
      </c>
    </row>
    <row r="1154">
      <c r="A1154" s="50" t="n">
        <v>22</v>
      </c>
      <c r="B1154" s="50" t="n">
        <v>37</v>
      </c>
      <c r="C1154" s="51">
        <f>INDEX(Employees!$B$5:$B$29,$A1154)&amp;""</f>
        <v/>
      </c>
      <c r="D1154" s="52">
        <f>INDEX(Periods!$B$5:$B$57,$B1154)</f>
        <v/>
      </c>
      <c r="E1154" s="52">
        <f>INDEX(Periods!$C$5:$C$57,$B1154)</f>
        <v/>
      </c>
      <c r="F1154" s="50">
        <f>IF(AND($C1154&lt;&gt;"",INDEX(Periods!$D$5:$D$57,$B1154)=1),1,0)</f>
        <v/>
      </c>
      <c r="G1154" s="50">
        <f>IF($F1154=0,0,IF(AND(OR(INDEX(Employees!$D$5:$D$29,$A1154)="",$E1154&gt;=INDEX(Employees!$D$5:$D$29,$A1154)+N(INDEX(Employees!$U$5:$U$29,$A1154))),OR(INDEX(Employees!$E$5:$E$29,$A1154)="",$D1154&lt;=INDEX(Employees!$E$5:$E$29,$A1154))),1,0))</f>
        <v/>
      </c>
      <c r="H1154" s="50">
        <f>IF($G1154=0,0,IF(INDEX(Employees!$D$5:$D$29,$A1154)="",0,DATEDIF(INDEX(Employees!$D$5:$D$29,$A1154),$E1154,"y")))</f>
        <v/>
      </c>
      <c r="I1154" s="51">
        <f>IF($G1154=0,0,IF(INDEX('Hours Worked'!$D$5:$BD$29,$A1154,$B1154)="",N(INDEX(Employees!$H$5:$H$29,$A1154)),INDEX('Hours Worked'!$D$5:$BD$29,$A1154,$B1154)))</f>
        <v/>
      </c>
      <c r="J1154" s="51">
        <f>IF(OR($G1154=0,INDEX(Employees!$O$5:$O$29,$A1154)&lt;&gt;"Yes"),0,IF(COUNTIF(Settings!$D$4:$D$9,"&lt;="&amp;$H1154)=0,0,INDEX(Settings!$E$4:$E$9,COUNTIF(Settings!$D$4:$D$9,"&lt;="&amp;$H1154))))</f>
        <v/>
      </c>
      <c r="K1154" s="51">
        <f>IF($G1154=0,0,IF(INDEX(Employees!$I$5:$I$29,$A1154)="Per pay period",(N(INDEX(Employees!$J$5:$J$29,$A1154))+$J1154)/Settings!$B$13,IF(INDEX(Employees!$I$5:$I$29,$A1154)="Per hour worked",N(INDEX(Employees!$K$5:$K$29,$A1154))*$I1154,IF(INDEX(Employees!$I$5:$I$29,$A1154)="Front-loaded",IF(OR($B1154=1,N($G1153)=0),N(INDEX(Employees!$J$5:$J$29,$A1154))+$J1154,0),0))))</f>
        <v/>
      </c>
      <c r="L1154" s="51">
        <f>IF($F1154=0,0,SUMIFS('Time Off Log'!$H$5:$H$504,'Time Off Log'!$A$5:$A$504,$C1154,'Time Off Log'!$B$5:$B$504,"PTO",'Time Off Log'!$E$5:$E$504,"Approved",'Time Off Log'!$C$5:$C$504,"&gt;="&amp;INDEX(Periods!$E$5:$E$57,$B1154),'Time Off Log'!$C$5:$C$504,"&lt;="&amp;INDEX(Periods!$F$5:$F$57,$B1154)))</f>
        <v/>
      </c>
      <c r="M1154" s="51">
        <f>IF($B1154=1,N(INDEX(Employees!$N$5:$N$29,$A1154)),P1153)</f>
        <v/>
      </c>
      <c r="N1154" s="51">
        <f>IF(INDEX(Employees!$L$5:$L$29,$A1154)="",K1154,MAX(0,MIN(K1154,INDEX(Employees!$L$5:$L$29,$A1154)-(M1154-L1154))))</f>
        <v/>
      </c>
      <c r="O1154" s="51">
        <f>K1154-N1154</f>
        <v/>
      </c>
      <c r="P1154" s="51">
        <f>M1154-L1154+N1154</f>
        <v/>
      </c>
      <c r="Q1154" s="51">
        <f>IF($G1154=0,0,IF(INDEX(Employees!$P$5:$P$29,$A1154)="Per pay period",(N(INDEX(Employees!$Q$5:$Q$29,$A1154)))/Settings!$B$13,IF(INDEX(Employees!$P$5:$P$29,$A1154)="Per hour worked",N(INDEX(Employees!$R$5:$R$29,$A1154))*$I1154,IF(INDEX(Employees!$P$5:$P$29,$A1154)="Front-loaded",IF(OR($B1154=1,N($G1153)=0),N(INDEX(Employees!$Q$5:$Q$29,$A1154)),0),0))))</f>
        <v/>
      </c>
      <c r="R1154" s="51">
        <f>IF($F1154=0,0,SUMIFS('Time Off Log'!$H$5:$H$504,'Time Off Log'!$A$5:$A$504,$C1154,'Time Off Log'!$B$5:$B$504,"Sick",'Time Off Log'!$E$5:$E$504,"Approved",'Time Off Log'!$C$5:$C$504,"&gt;="&amp;INDEX(Periods!$E$5:$E$57,$B1154),'Time Off Log'!$C$5:$C$504,"&lt;="&amp;INDEX(Periods!$F$5:$F$57,$B1154)))</f>
        <v/>
      </c>
      <c r="S1154" s="51">
        <f>IF($B1154=1,N(INDEX(Employees!$T$5:$T$29,$A1154)),V1153)</f>
        <v/>
      </c>
      <c r="T1154" s="51">
        <f>IF(INDEX(Employees!$S$5:$S$29,$A1154)="",Q1154,MAX(0,MIN(Q1154,INDEX(Employees!$S$5:$S$29,$A1154)-(S1154-R1154))))</f>
        <v/>
      </c>
      <c r="U1154" s="51">
        <f>Q1154-T1154</f>
        <v/>
      </c>
      <c r="V1154" s="51">
        <f>S1154-R1154+T1154</f>
        <v/>
      </c>
    </row>
    <row r="1155">
      <c r="A1155" s="50" t="n">
        <v>22</v>
      </c>
      <c r="B1155" s="50" t="n">
        <v>38</v>
      </c>
      <c r="C1155" s="51">
        <f>INDEX(Employees!$B$5:$B$29,$A1155)&amp;""</f>
        <v/>
      </c>
      <c r="D1155" s="52">
        <f>INDEX(Periods!$B$5:$B$57,$B1155)</f>
        <v/>
      </c>
      <c r="E1155" s="52">
        <f>INDEX(Periods!$C$5:$C$57,$B1155)</f>
        <v/>
      </c>
      <c r="F1155" s="50">
        <f>IF(AND($C1155&lt;&gt;"",INDEX(Periods!$D$5:$D$57,$B1155)=1),1,0)</f>
        <v/>
      </c>
      <c r="G1155" s="50">
        <f>IF($F1155=0,0,IF(AND(OR(INDEX(Employees!$D$5:$D$29,$A1155)="",$E1155&gt;=INDEX(Employees!$D$5:$D$29,$A1155)+N(INDEX(Employees!$U$5:$U$29,$A1155))),OR(INDEX(Employees!$E$5:$E$29,$A1155)="",$D1155&lt;=INDEX(Employees!$E$5:$E$29,$A1155))),1,0))</f>
        <v/>
      </c>
      <c r="H1155" s="50">
        <f>IF($G1155=0,0,IF(INDEX(Employees!$D$5:$D$29,$A1155)="",0,DATEDIF(INDEX(Employees!$D$5:$D$29,$A1155),$E1155,"y")))</f>
        <v/>
      </c>
      <c r="I1155" s="51">
        <f>IF($G1155=0,0,IF(INDEX('Hours Worked'!$D$5:$BD$29,$A1155,$B1155)="",N(INDEX(Employees!$H$5:$H$29,$A1155)),INDEX('Hours Worked'!$D$5:$BD$29,$A1155,$B1155)))</f>
        <v/>
      </c>
      <c r="J1155" s="51">
        <f>IF(OR($G1155=0,INDEX(Employees!$O$5:$O$29,$A1155)&lt;&gt;"Yes"),0,IF(COUNTIF(Settings!$D$4:$D$9,"&lt;="&amp;$H1155)=0,0,INDEX(Settings!$E$4:$E$9,COUNTIF(Settings!$D$4:$D$9,"&lt;="&amp;$H1155))))</f>
        <v/>
      </c>
      <c r="K1155" s="51">
        <f>IF($G1155=0,0,IF(INDEX(Employees!$I$5:$I$29,$A1155)="Per pay period",(N(INDEX(Employees!$J$5:$J$29,$A1155))+$J1155)/Settings!$B$13,IF(INDEX(Employees!$I$5:$I$29,$A1155)="Per hour worked",N(INDEX(Employees!$K$5:$K$29,$A1155))*$I1155,IF(INDEX(Employees!$I$5:$I$29,$A1155)="Front-loaded",IF(OR($B1155=1,N($G1154)=0),N(INDEX(Employees!$J$5:$J$29,$A1155))+$J1155,0),0))))</f>
        <v/>
      </c>
      <c r="L1155" s="51">
        <f>IF($F1155=0,0,SUMIFS('Time Off Log'!$H$5:$H$504,'Time Off Log'!$A$5:$A$504,$C1155,'Time Off Log'!$B$5:$B$504,"PTO",'Time Off Log'!$E$5:$E$504,"Approved",'Time Off Log'!$C$5:$C$504,"&gt;="&amp;INDEX(Periods!$E$5:$E$57,$B1155),'Time Off Log'!$C$5:$C$504,"&lt;="&amp;INDEX(Periods!$F$5:$F$57,$B1155)))</f>
        <v/>
      </c>
      <c r="M1155" s="51">
        <f>IF($B1155=1,N(INDEX(Employees!$N$5:$N$29,$A1155)),P1154)</f>
        <v/>
      </c>
      <c r="N1155" s="51">
        <f>IF(INDEX(Employees!$L$5:$L$29,$A1155)="",K1155,MAX(0,MIN(K1155,INDEX(Employees!$L$5:$L$29,$A1155)-(M1155-L1155))))</f>
        <v/>
      </c>
      <c r="O1155" s="51">
        <f>K1155-N1155</f>
        <v/>
      </c>
      <c r="P1155" s="51">
        <f>M1155-L1155+N1155</f>
        <v/>
      </c>
      <c r="Q1155" s="51">
        <f>IF($G1155=0,0,IF(INDEX(Employees!$P$5:$P$29,$A1155)="Per pay period",(N(INDEX(Employees!$Q$5:$Q$29,$A1155)))/Settings!$B$13,IF(INDEX(Employees!$P$5:$P$29,$A1155)="Per hour worked",N(INDEX(Employees!$R$5:$R$29,$A1155))*$I1155,IF(INDEX(Employees!$P$5:$P$29,$A1155)="Front-loaded",IF(OR($B1155=1,N($G1154)=0),N(INDEX(Employees!$Q$5:$Q$29,$A1155)),0),0))))</f>
        <v/>
      </c>
      <c r="R1155" s="51">
        <f>IF($F1155=0,0,SUMIFS('Time Off Log'!$H$5:$H$504,'Time Off Log'!$A$5:$A$504,$C1155,'Time Off Log'!$B$5:$B$504,"Sick",'Time Off Log'!$E$5:$E$504,"Approved",'Time Off Log'!$C$5:$C$504,"&gt;="&amp;INDEX(Periods!$E$5:$E$57,$B1155),'Time Off Log'!$C$5:$C$504,"&lt;="&amp;INDEX(Periods!$F$5:$F$57,$B1155)))</f>
        <v/>
      </c>
      <c r="S1155" s="51">
        <f>IF($B1155=1,N(INDEX(Employees!$T$5:$T$29,$A1155)),V1154)</f>
        <v/>
      </c>
      <c r="T1155" s="51">
        <f>IF(INDEX(Employees!$S$5:$S$29,$A1155)="",Q1155,MAX(0,MIN(Q1155,INDEX(Employees!$S$5:$S$29,$A1155)-(S1155-R1155))))</f>
        <v/>
      </c>
      <c r="U1155" s="51">
        <f>Q1155-T1155</f>
        <v/>
      </c>
      <c r="V1155" s="51">
        <f>S1155-R1155+T1155</f>
        <v/>
      </c>
    </row>
    <row r="1156">
      <c r="A1156" s="50" t="n">
        <v>22</v>
      </c>
      <c r="B1156" s="50" t="n">
        <v>39</v>
      </c>
      <c r="C1156" s="51">
        <f>INDEX(Employees!$B$5:$B$29,$A1156)&amp;""</f>
        <v/>
      </c>
      <c r="D1156" s="52">
        <f>INDEX(Periods!$B$5:$B$57,$B1156)</f>
        <v/>
      </c>
      <c r="E1156" s="52">
        <f>INDEX(Periods!$C$5:$C$57,$B1156)</f>
        <v/>
      </c>
      <c r="F1156" s="50">
        <f>IF(AND($C1156&lt;&gt;"",INDEX(Periods!$D$5:$D$57,$B1156)=1),1,0)</f>
        <v/>
      </c>
      <c r="G1156" s="50">
        <f>IF($F1156=0,0,IF(AND(OR(INDEX(Employees!$D$5:$D$29,$A1156)="",$E1156&gt;=INDEX(Employees!$D$5:$D$29,$A1156)+N(INDEX(Employees!$U$5:$U$29,$A1156))),OR(INDEX(Employees!$E$5:$E$29,$A1156)="",$D1156&lt;=INDEX(Employees!$E$5:$E$29,$A1156))),1,0))</f>
        <v/>
      </c>
      <c r="H1156" s="50">
        <f>IF($G1156=0,0,IF(INDEX(Employees!$D$5:$D$29,$A1156)="",0,DATEDIF(INDEX(Employees!$D$5:$D$29,$A1156),$E1156,"y")))</f>
        <v/>
      </c>
      <c r="I1156" s="51">
        <f>IF($G1156=0,0,IF(INDEX('Hours Worked'!$D$5:$BD$29,$A1156,$B1156)="",N(INDEX(Employees!$H$5:$H$29,$A1156)),INDEX('Hours Worked'!$D$5:$BD$29,$A1156,$B1156)))</f>
        <v/>
      </c>
      <c r="J1156" s="51">
        <f>IF(OR($G1156=0,INDEX(Employees!$O$5:$O$29,$A1156)&lt;&gt;"Yes"),0,IF(COUNTIF(Settings!$D$4:$D$9,"&lt;="&amp;$H1156)=0,0,INDEX(Settings!$E$4:$E$9,COUNTIF(Settings!$D$4:$D$9,"&lt;="&amp;$H1156))))</f>
        <v/>
      </c>
      <c r="K1156" s="51">
        <f>IF($G1156=0,0,IF(INDEX(Employees!$I$5:$I$29,$A1156)="Per pay period",(N(INDEX(Employees!$J$5:$J$29,$A1156))+$J1156)/Settings!$B$13,IF(INDEX(Employees!$I$5:$I$29,$A1156)="Per hour worked",N(INDEX(Employees!$K$5:$K$29,$A1156))*$I1156,IF(INDEX(Employees!$I$5:$I$29,$A1156)="Front-loaded",IF(OR($B1156=1,N($G1155)=0),N(INDEX(Employees!$J$5:$J$29,$A1156))+$J1156,0),0))))</f>
        <v/>
      </c>
      <c r="L1156" s="51">
        <f>IF($F1156=0,0,SUMIFS('Time Off Log'!$H$5:$H$504,'Time Off Log'!$A$5:$A$504,$C1156,'Time Off Log'!$B$5:$B$504,"PTO",'Time Off Log'!$E$5:$E$504,"Approved",'Time Off Log'!$C$5:$C$504,"&gt;="&amp;INDEX(Periods!$E$5:$E$57,$B1156),'Time Off Log'!$C$5:$C$504,"&lt;="&amp;INDEX(Periods!$F$5:$F$57,$B1156)))</f>
        <v/>
      </c>
      <c r="M1156" s="51">
        <f>IF($B1156=1,N(INDEX(Employees!$N$5:$N$29,$A1156)),P1155)</f>
        <v/>
      </c>
      <c r="N1156" s="51">
        <f>IF(INDEX(Employees!$L$5:$L$29,$A1156)="",K1156,MAX(0,MIN(K1156,INDEX(Employees!$L$5:$L$29,$A1156)-(M1156-L1156))))</f>
        <v/>
      </c>
      <c r="O1156" s="51">
        <f>K1156-N1156</f>
        <v/>
      </c>
      <c r="P1156" s="51">
        <f>M1156-L1156+N1156</f>
        <v/>
      </c>
      <c r="Q1156" s="51">
        <f>IF($G1156=0,0,IF(INDEX(Employees!$P$5:$P$29,$A1156)="Per pay period",(N(INDEX(Employees!$Q$5:$Q$29,$A1156)))/Settings!$B$13,IF(INDEX(Employees!$P$5:$P$29,$A1156)="Per hour worked",N(INDEX(Employees!$R$5:$R$29,$A1156))*$I1156,IF(INDEX(Employees!$P$5:$P$29,$A1156)="Front-loaded",IF(OR($B1156=1,N($G1155)=0),N(INDEX(Employees!$Q$5:$Q$29,$A1156)),0),0))))</f>
        <v/>
      </c>
      <c r="R1156" s="51">
        <f>IF($F1156=0,0,SUMIFS('Time Off Log'!$H$5:$H$504,'Time Off Log'!$A$5:$A$504,$C1156,'Time Off Log'!$B$5:$B$504,"Sick",'Time Off Log'!$E$5:$E$504,"Approved",'Time Off Log'!$C$5:$C$504,"&gt;="&amp;INDEX(Periods!$E$5:$E$57,$B1156),'Time Off Log'!$C$5:$C$504,"&lt;="&amp;INDEX(Periods!$F$5:$F$57,$B1156)))</f>
        <v/>
      </c>
      <c r="S1156" s="51">
        <f>IF($B1156=1,N(INDEX(Employees!$T$5:$T$29,$A1156)),V1155)</f>
        <v/>
      </c>
      <c r="T1156" s="51">
        <f>IF(INDEX(Employees!$S$5:$S$29,$A1156)="",Q1156,MAX(0,MIN(Q1156,INDEX(Employees!$S$5:$S$29,$A1156)-(S1156-R1156))))</f>
        <v/>
      </c>
      <c r="U1156" s="51">
        <f>Q1156-T1156</f>
        <v/>
      </c>
      <c r="V1156" s="51">
        <f>S1156-R1156+T1156</f>
        <v/>
      </c>
    </row>
    <row r="1157">
      <c r="A1157" s="50" t="n">
        <v>22</v>
      </c>
      <c r="B1157" s="50" t="n">
        <v>40</v>
      </c>
      <c r="C1157" s="51">
        <f>INDEX(Employees!$B$5:$B$29,$A1157)&amp;""</f>
        <v/>
      </c>
      <c r="D1157" s="52">
        <f>INDEX(Periods!$B$5:$B$57,$B1157)</f>
        <v/>
      </c>
      <c r="E1157" s="52">
        <f>INDEX(Periods!$C$5:$C$57,$B1157)</f>
        <v/>
      </c>
      <c r="F1157" s="50">
        <f>IF(AND($C1157&lt;&gt;"",INDEX(Periods!$D$5:$D$57,$B1157)=1),1,0)</f>
        <v/>
      </c>
      <c r="G1157" s="50">
        <f>IF($F1157=0,0,IF(AND(OR(INDEX(Employees!$D$5:$D$29,$A1157)="",$E1157&gt;=INDEX(Employees!$D$5:$D$29,$A1157)+N(INDEX(Employees!$U$5:$U$29,$A1157))),OR(INDEX(Employees!$E$5:$E$29,$A1157)="",$D1157&lt;=INDEX(Employees!$E$5:$E$29,$A1157))),1,0))</f>
        <v/>
      </c>
      <c r="H1157" s="50">
        <f>IF($G1157=0,0,IF(INDEX(Employees!$D$5:$D$29,$A1157)="",0,DATEDIF(INDEX(Employees!$D$5:$D$29,$A1157),$E1157,"y")))</f>
        <v/>
      </c>
      <c r="I1157" s="51">
        <f>IF($G1157=0,0,IF(INDEX('Hours Worked'!$D$5:$BD$29,$A1157,$B1157)="",N(INDEX(Employees!$H$5:$H$29,$A1157)),INDEX('Hours Worked'!$D$5:$BD$29,$A1157,$B1157)))</f>
        <v/>
      </c>
      <c r="J1157" s="51">
        <f>IF(OR($G1157=0,INDEX(Employees!$O$5:$O$29,$A1157)&lt;&gt;"Yes"),0,IF(COUNTIF(Settings!$D$4:$D$9,"&lt;="&amp;$H1157)=0,0,INDEX(Settings!$E$4:$E$9,COUNTIF(Settings!$D$4:$D$9,"&lt;="&amp;$H1157))))</f>
        <v/>
      </c>
      <c r="K1157" s="51">
        <f>IF($G1157=0,0,IF(INDEX(Employees!$I$5:$I$29,$A1157)="Per pay period",(N(INDEX(Employees!$J$5:$J$29,$A1157))+$J1157)/Settings!$B$13,IF(INDEX(Employees!$I$5:$I$29,$A1157)="Per hour worked",N(INDEX(Employees!$K$5:$K$29,$A1157))*$I1157,IF(INDEX(Employees!$I$5:$I$29,$A1157)="Front-loaded",IF(OR($B1157=1,N($G1156)=0),N(INDEX(Employees!$J$5:$J$29,$A1157))+$J1157,0),0))))</f>
        <v/>
      </c>
      <c r="L1157" s="51">
        <f>IF($F1157=0,0,SUMIFS('Time Off Log'!$H$5:$H$504,'Time Off Log'!$A$5:$A$504,$C1157,'Time Off Log'!$B$5:$B$504,"PTO",'Time Off Log'!$E$5:$E$504,"Approved",'Time Off Log'!$C$5:$C$504,"&gt;="&amp;INDEX(Periods!$E$5:$E$57,$B1157),'Time Off Log'!$C$5:$C$504,"&lt;="&amp;INDEX(Periods!$F$5:$F$57,$B1157)))</f>
        <v/>
      </c>
      <c r="M1157" s="51">
        <f>IF($B1157=1,N(INDEX(Employees!$N$5:$N$29,$A1157)),P1156)</f>
        <v/>
      </c>
      <c r="N1157" s="51">
        <f>IF(INDEX(Employees!$L$5:$L$29,$A1157)="",K1157,MAX(0,MIN(K1157,INDEX(Employees!$L$5:$L$29,$A1157)-(M1157-L1157))))</f>
        <v/>
      </c>
      <c r="O1157" s="51">
        <f>K1157-N1157</f>
        <v/>
      </c>
      <c r="P1157" s="51">
        <f>M1157-L1157+N1157</f>
        <v/>
      </c>
      <c r="Q1157" s="51">
        <f>IF($G1157=0,0,IF(INDEX(Employees!$P$5:$P$29,$A1157)="Per pay period",(N(INDEX(Employees!$Q$5:$Q$29,$A1157)))/Settings!$B$13,IF(INDEX(Employees!$P$5:$P$29,$A1157)="Per hour worked",N(INDEX(Employees!$R$5:$R$29,$A1157))*$I1157,IF(INDEX(Employees!$P$5:$P$29,$A1157)="Front-loaded",IF(OR($B1157=1,N($G1156)=0),N(INDEX(Employees!$Q$5:$Q$29,$A1157)),0),0))))</f>
        <v/>
      </c>
      <c r="R1157" s="51">
        <f>IF($F1157=0,0,SUMIFS('Time Off Log'!$H$5:$H$504,'Time Off Log'!$A$5:$A$504,$C1157,'Time Off Log'!$B$5:$B$504,"Sick",'Time Off Log'!$E$5:$E$504,"Approved",'Time Off Log'!$C$5:$C$504,"&gt;="&amp;INDEX(Periods!$E$5:$E$57,$B1157),'Time Off Log'!$C$5:$C$504,"&lt;="&amp;INDEX(Periods!$F$5:$F$57,$B1157)))</f>
        <v/>
      </c>
      <c r="S1157" s="51">
        <f>IF($B1157=1,N(INDEX(Employees!$T$5:$T$29,$A1157)),V1156)</f>
        <v/>
      </c>
      <c r="T1157" s="51">
        <f>IF(INDEX(Employees!$S$5:$S$29,$A1157)="",Q1157,MAX(0,MIN(Q1157,INDEX(Employees!$S$5:$S$29,$A1157)-(S1157-R1157))))</f>
        <v/>
      </c>
      <c r="U1157" s="51">
        <f>Q1157-T1157</f>
        <v/>
      </c>
      <c r="V1157" s="51">
        <f>S1157-R1157+T1157</f>
        <v/>
      </c>
    </row>
    <row r="1158">
      <c r="A1158" s="50" t="n">
        <v>22</v>
      </c>
      <c r="B1158" s="50" t="n">
        <v>41</v>
      </c>
      <c r="C1158" s="51">
        <f>INDEX(Employees!$B$5:$B$29,$A1158)&amp;""</f>
        <v/>
      </c>
      <c r="D1158" s="52">
        <f>INDEX(Periods!$B$5:$B$57,$B1158)</f>
        <v/>
      </c>
      <c r="E1158" s="52">
        <f>INDEX(Periods!$C$5:$C$57,$B1158)</f>
        <v/>
      </c>
      <c r="F1158" s="50">
        <f>IF(AND($C1158&lt;&gt;"",INDEX(Periods!$D$5:$D$57,$B1158)=1),1,0)</f>
        <v/>
      </c>
      <c r="G1158" s="50">
        <f>IF($F1158=0,0,IF(AND(OR(INDEX(Employees!$D$5:$D$29,$A1158)="",$E1158&gt;=INDEX(Employees!$D$5:$D$29,$A1158)+N(INDEX(Employees!$U$5:$U$29,$A1158))),OR(INDEX(Employees!$E$5:$E$29,$A1158)="",$D1158&lt;=INDEX(Employees!$E$5:$E$29,$A1158))),1,0))</f>
        <v/>
      </c>
      <c r="H1158" s="50">
        <f>IF($G1158=0,0,IF(INDEX(Employees!$D$5:$D$29,$A1158)="",0,DATEDIF(INDEX(Employees!$D$5:$D$29,$A1158),$E1158,"y")))</f>
        <v/>
      </c>
      <c r="I1158" s="51">
        <f>IF($G1158=0,0,IF(INDEX('Hours Worked'!$D$5:$BD$29,$A1158,$B1158)="",N(INDEX(Employees!$H$5:$H$29,$A1158)),INDEX('Hours Worked'!$D$5:$BD$29,$A1158,$B1158)))</f>
        <v/>
      </c>
      <c r="J1158" s="51">
        <f>IF(OR($G1158=0,INDEX(Employees!$O$5:$O$29,$A1158)&lt;&gt;"Yes"),0,IF(COUNTIF(Settings!$D$4:$D$9,"&lt;="&amp;$H1158)=0,0,INDEX(Settings!$E$4:$E$9,COUNTIF(Settings!$D$4:$D$9,"&lt;="&amp;$H1158))))</f>
        <v/>
      </c>
      <c r="K1158" s="51">
        <f>IF($G1158=0,0,IF(INDEX(Employees!$I$5:$I$29,$A1158)="Per pay period",(N(INDEX(Employees!$J$5:$J$29,$A1158))+$J1158)/Settings!$B$13,IF(INDEX(Employees!$I$5:$I$29,$A1158)="Per hour worked",N(INDEX(Employees!$K$5:$K$29,$A1158))*$I1158,IF(INDEX(Employees!$I$5:$I$29,$A1158)="Front-loaded",IF(OR($B1158=1,N($G1157)=0),N(INDEX(Employees!$J$5:$J$29,$A1158))+$J1158,0),0))))</f>
        <v/>
      </c>
      <c r="L1158" s="51">
        <f>IF($F1158=0,0,SUMIFS('Time Off Log'!$H$5:$H$504,'Time Off Log'!$A$5:$A$504,$C1158,'Time Off Log'!$B$5:$B$504,"PTO",'Time Off Log'!$E$5:$E$504,"Approved",'Time Off Log'!$C$5:$C$504,"&gt;="&amp;INDEX(Periods!$E$5:$E$57,$B1158),'Time Off Log'!$C$5:$C$504,"&lt;="&amp;INDEX(Periods!$F$5:$F$57,$B1158)))</f>
        <v/>
      </c>
      <c r="M1158" s="51">
        <f>IF($B1158=1,N(INDEX(Employees!$N$5:$N$29,$A1158)),P1157)</f>
        <v/>
      </c>
      <c r="N1158" s="51">
        <f>IF(INDEX(Employees!$L$5:$L$29,$A1158)="",K1158,MAX(0,MIN(K1158,INDEX(Employees!$L$5:$L$29,$A1158)-(M1158-L1158))))</f>
        <v/>
      </c>
      <c r="O1158" s="51">
        <f>K1158-N1158</f>
        <v/>
      </c>
      <c r="P1158" s="51">
        <f>M1158-L1158+N1158</f>
        <v/>
      </c>
      <c r="Q1158" s="51">
        <f>IF($G1158=0,0,IF(INDEX(Employees!$P$5:$P$29,$A1158)="Per pay period",(N(INDEX(Employees!$Q$5:$Q$29,$A1158)))/Settings!$B$13,IF(INDEX(Employees!$P$5:$P$29,$A1158)="Per hour worked",N(INDEX(Employees!$R$5:$R$29,$A1158))*$I1158,IF(INDEX(Employees!$P$5:$P$29,$A1158)="Front-loaded",IF(OR($B1158=1,N($G1157)=0),N(INDEX(Employees!$Q$5:$Q$29,$A1158)),0),0))))</f>
        <v/>
      </c>
      <c r="R1158" s="51">
        <f>IF($F1158=0,0,SUMIFS('Time Off Log'!$H$5:$H$504,'Time Off Log'!$A$5:$A$504,$C1158,'Time Off Log'!$B$5:$B$504,"Sick",'Time Off Log'!$E$5:$E$504,"Approved",'Time Off Log'!$C$5:$C$504,"&gt;="&amp;INDEX(Periods!$E$5:$E$57,$B1158),'Time Off Log'!$C$5:$C$504,"&lt;="&amp;INDEX(Periods!$F$5:$F$57,$B1158)))</f>
        <v/>
      </c>
      <c r="S1158" s="51">
        <f>IF($B1158=1,N(INDEX(Employees!$T$5:$T$29,$A1158)),V1157)</f>
        <v/>
      </c>
      <c r="T1158" s="51">
        <f>IF(INDEX(Employees!$S$5:$S$29,$A1158)="",Q1158,MAX(0,MIN(Q1158,INDEX(Employees!$S$5:$S$29,$A1158)-(S1158-R1158))))</f>
        <v/>
      </c>
      <c r="U1158" s="51">
        <f>Q1158-T1158</f>
        <v/>
      </c>
      <c r="V1158" s="51">
        <f>S1158-R1158+T1158</f>
        <v/>
      </c>
    </row>
    <row r="1159">
      <c r="A1159" s="50" t="n">
        <v>22</v>
      </c>
      <c r="B1159" s="50" t="n">
        <v>42</v>
      </c>
      <c r="C1159" s="51">
        <f>INDEX(Employees!$B$5:$B$29,$A1159)&amp;""</f>
        <v/>
      </c>
      <c r="D1159" s="52">
        <f>INDEX(Periods!$B$5:$B$57,$B1159)</f>
        <v/>
      </c>
      <c r="E1159" s="52">
        <f>INDEX(Periods!$C$5:$C$57,$B1159)</f>
        <v/>
      </c>
      <c r="F1159" s="50">
        <f>IF(AND($C1159&lt;&gt;"",INDEX(Periods!$D$5:$D$57,$B1159)=1),1,0)</f>
        <v/>
      </c>
      <c r="G1159" s="50">
        <f>IF($F1159=0,0,IF(AND(OR(INDEX(Employees!$D$5:$D$29,$A1159)="",$E1159&gt;=INDEX(Employees!$D$5:$D$29,$A1159)+N(INDEX(Employees!$U$5:$U$29,$A1159))),OR(INDEX(Employees!$E$5:$E$29,$A1159)="",$D1159&lt;=INDEX(Employees!$E$5:$E$29,$A1159))),1,0))</f>
        <v/>
      </c>
      <c r="H1159" s="50">
        <f>IF($G1159=0,0,IF(INDEX(Employees!$D$5:$D$29,$A1159)="",0,DATEDIF(INDEX(Employees!$D$5:$D$29,$A1159),$E1159,"y")))</f>
        <v/>
      </c>
      <c r="I1159" s="51">
        <f>IF($G1159=0,0,IF(INDEX('Hours Worked'!$D$5:$BD$29,$A1159,$B1159)="",N(INDEX(Employees!$H$5:$H$29,$A1159)),INDEX('Hours Worked'!$D$5:$BD$29,$A1159,$B1159)))</f>
        <v/>
      </c>
      <c r="J1159" s="51">
        <f>IF(OR($G1159=0,INDEX(Employees!$O$5:$O$29,$A1159)&lt;&gt;"Yes"),0,IF(COUNTIF(Settings!$D$4:$D$9,"&lt;="&amp;$H1159)=0,0,INDEX(Settings!$E$4:$E$9,COUNTIF(Settings!$D$4:$D$9,"&lt;="&amp;$H1159))))</f>
        <v/>
      </c>
      <c r="K1159" s="51">
        <f>IF($G1159=0,0,IF(INDEX(Employees!$I$5:$I$29,$A1159)="Per pay period",(N(INDEX(Employees!$J$5:$J$29,$A1159))+$J1159)/Settings!$B$13,IF(INDEX(Employees!$I$5:$I$29,$A1159)="Per hour worked",N(INDEX(Employees!$K$5:$K$29,$A1159))*$I1159,IF(INDEX(Employees!$I$5:$I$29,$A1159)="Front-loaded",IF(OR($B1159=1,N($G1158)=0),N(INDEX(Employees!$J$5:$J$29,$A1159))+$J1159,0),0))))</f>
        <v/>
      </c>
      <c r="L1159" s="51">
        <f>IF($F1159=0,0,SUMIFS('Time Off Log'!$H$5:$H$504,'Time Off Log'!$A$5:$A$504,$C1159,'Time Off Log'!$B$5:$B$504,"PTO",'Time Off Log'!$E$5:$E$504,"Approved",'Time Off Log'!$C$5:$C$504,"&gt;="&amp;INDEX(Periods!$E$5:$E$57,$B1159),'Time Off Log'!$C$5:$C$504,"&lt;="&amp;INDEX(Periods!$F$5:$F$57,$B1159)))</f>
        <v/>
      </c>
      <c r="M1159" s="51">
        <f>IF($B1159=1,N(INDEX(Employees!$N$5:$N$29,$A1159)),P1158)</f>
        <v/>
      </c>
      <c r="N1159" s="51">
        <f>IF(INDEX(Employees!$L$5:$L$29,$A1159)="",K1159,MAX(0,MIN(K1159,INDEX(Employees!$L$5:$L$29,$A1159)-(M1159-L1159))))</f>
        <v/>
      </c>
      <c r="O1159" s="51">
        <f>K1159-N1159</f>
        <v/>
      </c>
      <c r="P1159" s="51">
        <f>M1159-L1159+N1159</f>
        <v/>
      </c>
      <c r="Q1159" s="51">
        <f>IF($G1159=0,0,IF(INDEX(Employees!$P$5:$P$29,$A1159)="Per pay period",(N(INDEX(Employees!$Q$5:$Q$29,$A1159)))/Settings!$B$13,IF(INDEX(Employees!$P$5:$P$29,$A1159)="Per hour worked",N(INDEX(Employees!$R$5:$R$29,$A1159))*$I1159,IF(INDEX(Employees!$P$5:$P$29,$A1159)="Front-loaded",IF(OR($B1159=1,N($G1158)=0),N(INDEX(Employees!$Q$5:$Q$29,$A1159)),0),0))))</f>
        <v/>
      </c>
      <c r="R1159" s="51">
        <f>IF($F1159=0,0,SUMIFS('Time Off Log'!$H$5:$H$504,'Time Off Log'!$A$5:$A$504,$C1159,'Time Off Log'!$B$5:$B$504,"Sick",'Time Off Log'!$E$5:$E$504,"Approved",'Time Off Log'!$C$5:$C$504,"&gt;="&amp;INDEX(Periods!$E$5:$E$57,$B1159),'Time Off Log'!$C$5:$C$504,"&lt;="&amp;INDEX(Periods!$F$5:$F$57,$B1159)))</f>
        <v/>
      </c>
      <c r="S1159" s="51">
        <f>IF($B1159=1,N(INDEX(Employees!$T$5:$T$29,$A1159)),V1158)</f>
        <v/>
      </c>
      <c r="T1159" s="51">
        <f>IF(INDEX(Employees!$S$5:$S$29,$A1159)="",Q1159,MAX(0,MIN(Q1159,INDEX(Employees!$S$5:$S$29,$A1159)-(S1159-R1159))))</f>
        <v/>
      </c>
      <c r="U1159" s="51">
        <f>Q1159-T1159</f>
        <v/>
      </c>
      <c r="V1159" s="51">
        <f>S1159-R1159+T1159</f>
        <v/>
      </c>
    </row>
    <row r="1160">
      <c r="A1160" s="50" t="n">
        <v>22</v>
      </c>
      <c r="B1160" s="50" t="n">
        <v>43</v>
      </c>
      <c r="C1160" s="51">
        <f>INDEX(Employees!$B$5:$B$29,$A1160)&amp;""</f>
        <v/>
      </c>
      <c r="D1160" s="52">
        <f>INDEX(Periods!$B$5:$B$57,$B1160)</f>
        <v/>
      </c>
      <c r="E1160" s="52">
        <f>INDEX(Periods!$C$5:$C$57,$B1160)</f>
        <v/>
      </c>
      <c r="F1160" s="50">
        <f>IF(AND($C1160&lt;&gt;"",INDEX(Periods!$D$5:$D$57,$B1160)=1),1,0)</f>
        <v/>
      </c>
      <c r="G1160" s="50">
        <f>IF($F1160=0,0,IF(AND(OR(INDEX(Employees!$D$5:$D$29,$A1160)="",$E1160&gt;=INDEX(Employees!$D$5:$D$29,$A1160)+N(INDEX(Employees!$U$5:$U$29,$A1160))),OR(INDEX(Employees!$E$5:$E$29,$A1160)="",$D1160&lt;=INDEX(Employees!$E$5:$E$29,$A1160))),1,0))</f>
        <v/>
      </c>
      <c r="H1160" s="50">
        <f>IF($G1160=0,0,IF(INDEX(Employees!$D$5:$D$29,$A1160)="",0,DATEDIF(INDEX(Employees!$D$5:$D$29,$A1160),$E1160,"y")))</f>
        <v/>
      </c>
      <c r="I1160" s="51">
        <f>IF($G1160=0,0,IF(INDEX('Hours Worked'!$D$5:$BD$29,$A1160,$B1160)="",N(INDEX(Employees!$H$5:$H$29,$A1160)),INDEX('Hours Worked'!$D$5:$BD$29,$A1160,$B1160)))</f>
        <v/>
      </c>
      <c r="J1160" s="51">
        <f>IF(OR($G1160=0,INDEX(Employees!$O$5:$O$29,$A1160)&lt;&gt;"Yes"),0,IF(COUNTIF(Settings!$D$4:$D$9,"&lt;="&amp;$H1160)=0,0,INDEX(Settings!$E$4:$E$9,COUNTIF(Settings!$D$4:$D$9,"&lt;="&amp;$H1160))))</f>
        <v/>
      </c>
      <c r="K1160" s="51">
        <f>IF($G1160=0,0,IF(INDEX(Employees!$I$5:$I$29,$A1160)="Per pay period",(N(INDEX(Employees!$J$5:$J$29,$A1160))+$J1160)/Settings!$B$13,IF(INDEX(Employees!$I$5:$I$29,$A1160)="Per hour worked",N(INDEX(Employees!$K$5:$K$29,$A1160))*$I1160,IF(INDEX(Employees!$I$5:$I$29,$A1160)="Front-loaded",IF(OR($B1160=1,N($G1159)=0),N(INDEX(Employees!$J$5:$J$29,$A1160))+$J1160,0),0))))</f>
        <v/>
      </c>
      <c r="L1160" s="51">
        <f>IF($F1160=0,0,SUMIFS('Time Off Log'!$H$5:$H$504,'Time Off Log'!$A$5:$A$504,$C1160,'Time Off Log'!$B$5:$B$504,"PTO",'Time Off Log'!$E$5:$E$504,"Approved",'Time Off Log'!$C$5:$C$504,"&gt;="&amp;INDEX(Periods!$E$5:$E$57,$B1160),'Time Off Log'!$C$5:$C$504,"&lt;="&amp;INDEX(Periods!$F$5:$F$57,$B1160)))</f>
        <v/>
      </c>
      <c r="M1160" s="51">
        <f>IF($B1160=1,N(INDEX(Employees!$N$5:$N$29,$A1160)),P1159)</f>
        <v/>
      </c>
      <c r="N1160" s="51">
        <f>IF(INDEX(Employees!$L$5:$L$29,$A1160)="",K1160,MAX(0,MIN(K1160,INDEX(Employees!$L$5:$L$29,$A1160)-(M1160-L1160))))</f>
        <v/>
      </c>
      <c r="O1160" s="51">
        <f>K1160-N1160</f>
        <v/>
      </c>
      <c r="P1160" s="51">
        <f>M1160-L1160+N1160</f>
        <v/>
      </c>
      <c r="Q1160" s="51">
        <f>IF($G1160=0,0,IF(INDEX(Employees!$P$5:$P$29,$A1160)="Per pay period",(N(INDEX(Employees!$Q$5:$Q$29,$A1160)))/Settings!$B$13,IF(INDEX(Employees!$P$5:$P$29,$A1160)="Per hour worked",N(INDEX(Employees!$R$5:$R$29,$A1160))*$I1160,IF(INDEX(Employees!$P$5:$P$29,$A1160)="Front-loaded",IF(OR($B1160=1,N($G1159)=0),N(INDEX(Employees!$Q$5:$Q$29,$A1160)),0),0))))</f>
        <v/>
      </c>
      <c r="R1160" s="51">
        <f>IF($F1160=0,0,SUMIFS('Time Off Log'!$H$5:$H$504,'Time Off Log'!$A$5:$A$504,$C1160,'Time Off Log'!$B$5:$B$504,"Sick",'Time Off Log'!$E$5:$E$504,"Approved",'Time Off Log'!$C$5:$C$504,"&gt;="&amp;INDEX(Periods!$E$5:$E$57,$B1160),'Time Off Log'!$C$5:$C$504,"&lt;="&amp;INDEX(Periods!$F$5:$F$57,$B1160)))</f>
        <v/>
      </c>
      <c r="S1160" s="51">
        <f>IF($B1160=1,N(INDEX(Employees!$T$5:$T$29,$A1160)),V1159)</f>
        <v/>
      </c>
      <c r="T1160" s="51">
        <f>IF(INDEX(Employees!$S$5:$S$29,$A1160)="",Q1160,MAX(0,MIN(Q1160,INDEX(Employees!$S$5:$S$29,$A1160)-(S1160-R1160))))</f>
        <v/>
      </c>
      <c r="U1160" s="51">
        <f>Q1160-T1160</f>
        <v/>
      </c>
      <c r="V1160" s="51">
        <f>S1160-R1160+T1160</f>
        <v/>
      </c>
    </row>
    <row r="1161">
      <c r="A1161" s="50" t="n">
        <v>22</v>
      </c>
      <c r="B1161" s="50" t="n">
        <v>44</v>
      </c>
      <c r="C1161" s="51">
        <f>INDEX(Employees!$B$5:$B$29,$A1161)&amp;""</f>
        <v/>
      </c>
      <c r="D1161" s="52">
        <f>INDEX(Periods!$B$5:$B$57,$B1161)</f>
        <v/>
      </c>
      <c r="E1161" s="52">
        <f>INDEX(Periods!$C$5:$C$57,$B1161)</f>
        <v/>
      </c>
      <c r="F1161" s="50">
        <f>IF(AND($C1161&lt;&gt;"",INDEX(Periods!$D$5:$D$57,$B1161)=1),1,0)</f>
        <v/>
      </c>
      <c r="G1161" s="50">
        <f>IF($F1161=0,0,IF(AND(OR(INDEX(Employees!$D$5:$D$29,$A1161)="",$E1161&gt;=INDEX(Employees!$D$5:$D$29,$A1161)+N(INDEX(Employees!$U$5:$U$29,$A1161))),OR(INDEX(Employees!$E$5:$E$29,$A1161)="",$D1161&lt;=INDEX(Employees!$E$5:$E$29,$A1161))),1,0))</f>
        <v/>
      </c>
      <c r="H1161" s="50">
        <f>IF($G1161=0,0,IF(INDEX(Employees!$D$5:$D$29,$A1161)="",0,DATEDIF(INDEX(Employees!$D$5:$D$29,$A1161),$E1161,"y")))</f>
        <v/>
      </c>
      <c r="I1161" s="51">
        <f>IF($G1161=0,0,IF(INDEX('Hours Worked'!$D$5:$BD$29,$A1161,$B1161)="",N(INDEX(Employees!$H$5:$H$29,$A1161)),INDEX('Hours Worked'!$D$5:$BD$29,$A1161,$B1161)))</f>
        <v/>
      </c>
      <c r="J1161" s="51">
        <f>IF(OR($G1161=0,INDEX(Employees!$O$5:$O$29,$A1161)&lt;&gt;"Yes"),0,IF(COUNTIF(Settings!$D$4:$D$9,"&lt;="&amp;$H1161)=0,0,INDEX(Settings!$E$4:$E$9,COUNTIF(Settings!$D$4:$D$9,"&lt;="&amp;$H1161))))</f>
        <v/>
      </c>
      <c r="K1161" s="51">
        <f>IF($G1161=0,0,IF(INDEX(Employees!$I$5:$I$29,$A1161)="Per pay period",(N(INDEX(Employees!$J$5:$J$29,$A1161))+$J1161)/Settings!$B$13,IF(INDEX(Employees!$I$5:$I$29,$A1161)="Per hour worked",N(INDEX(Employees!$K$5:$K$29,$A1161))*$I1161,IF(INDEX(Employees!$I$5:$I$29,$A1161)="Front-loaded",IF(OR($B1161=1,N($G1160)=0),N(INDEX(Employees!$J$5:$J$29,$A1161))+$J1161,0),0))))</f>
        <v/>
      </c>
      <c r="L1161" s="51">
        <f>IF($F1161=0,0,SUMIFS('Time Off Log'!$H$5:$H$504,'Time Off Log'!$A$5:$A$504,$C1161,'Time Off Log'!$B$5:$B$504,"PTO",'Time Off Log'!$E$5:$E$504,"Approved",'Time Off Log'!$C$5:$C$504,"&gt;="&amp;INDEX(Periods!$E$5:$E$57,$B1161),'Time Off Log'!$C$5:$C$504,"&lt;="&amp;INDEX(Periods!$F$5:$F$57,$B1161)))</f>
        <v/>
      </c>
      <c r="M1161" s="51">
        <f>IF($B1161=1,N(INDEX(Employees!$N$5:$N$29,$A1161)),P1160)</f>
        <v/>
      </c>
      <c r="N1161" s="51">
        <f>IF(INDEX(Employees!$L$5:$L$29,$A1161)="",K1161,MAX(0,MIN(K1161,INDEX(Employees!$L$5:$L$29,$A1161)-(M1161-L1161))))</f>
        <v/>
      </c>
      <c r="O1161" s="51">
        <f>K1161-N1161</f>
        <v/>
      </c>
      <c r="P1161" s="51">
        <f>M1161-L1161+N1161</f>
        <v/>
      </c>
      <c r="Q1161" s="51">
        <f>IF($G1161=0,0,IF(INDEX(Employees!$P$5:$P$29,$A1161)="Per pay period",(N(INDEX(Employees!$Q$5:$Q$29,$A1161)))/Settings!$B$13,IF(INDEX(Employees!$P$5:$P$29,$A1161)="Per hour worked",N(INDEX(Employees!$R$5:$R$29,$A1161))*$I1161,IF(INDEX(Employees!$P$5:$P$29,$A1161)="Front-loaded",IF(OR($B1161=1,N($G1160)=0),N(INDEX(Employees!$Q$5:$Q$29,$A1161)),0),0))))</f>
        <v/>
      </c>
      <c r="R1161" s="51">
        <f>IF($F1161=0,0,SUMIFS('Time Off Log'!$H$5:$H$504,'Time Off Log'!$A$5:$A$504,$C1161,'Time Off Log'!$B$5:$B$504,"Sick",'Time Off Log'!$E$5:$E$504,"Approved",'Time Off Log'!$C$5:$C$504,"&gt;="&amp;INDEX(Periods!$E$5:$E$57,$B1161),'Time Off Log'!$C$5:$C$504,"&lt;="&amp;INDEX(Periods!$F$5:$F$57,$B1161)))</f>
        <v/>
      </c>
      <c r="S1161" s="51">
        <f>IF($B1161=1,N(INDEX(Employees!$T$5:$T$29,$A1161)),V1160)</f>
        <v/>
      </c>
      <c r="T1161" s="51">
        <f>IF(INDEX(Employees!$S$5:$S$29,$A1161)="",Q1161,MAX(0,MIN(Q1161,INDEX(Employees!$S$5:$S$29,$A1161)-(S1161-R1161))))</f>
        <v/>
      </c>
      <c r="U1161" s="51">
        <f>Q1161-T1161</f>
        <v/>
      </c>
      <c r="V1161" s="51">
        <f>S1161-R1161+T1161</f>
        <v/>
      </c>
    </row>
    <row r="1162">
      <c r="A1162" s="50" t="n">
        <v>22</v>
      </c>
      <c r="B1162" s="50" t="n">
        <v>45</v>
      </c>
      <c r="C1162" s="51">
        <f>INDEX(Employees!$B$5:$B$29,$A1162)&amp;""</f>
        <v/>
      </c>
      <c r="D1162" s="52">
        <f>INDEX(Periods!$B$5:$B$57,$B1162)</f>
        <v/>
      </c>
      <c r="E1162" s="52">
        <f>INDEX(Periods!$C$5:$C$57,$B1162)</f>
        <v/>
      </c>
      <c r="F1162" s="50">
        <f>IF(AND($C1162&lt;&gt;"",INDEX(Periods!$D$5:$D$57,$B1162)=1),1,0)</f>
        <v/>
      </c>
      <c r="G1162" s="50">
        <f>IF($F1162=0,0,IF(AND(OR(INDEX(Employees!$D$5:$D$29,$A1162)="",$E1162&gt;=INDEX(Employees!$D$5:$D$29,$A1162)+N(INDEX(Employees!$U$5:$U$29,$A1162))),OR(INDEX(Employees!$E$5:$E$29,$A1162)="",$D1162&lt;=INDEX(Employees!$E$5:$E$29,$A1162))),1,0))</f>
        <v/>
      </c>
      <c r="H1162" s="50">
        <f>IF($G1162=0,0,IF(INDEX(Employees!$D$5:$D$29,$A1162)="",0,DATEDIF(INDEX(Employees!$D$5:$D$29,$A1162),$E1162,"y")))</f>
        <v/>
      </c>
      <c r="I1162" s="51">
        <f>IF($G1162=0,0,IF(INDEX('Hours Worked'!$D$5:$BD$29,$A1162,$B1162)="",N(INDEX(Employees!$H$5:$H$29,$A1162)),INDEX('Hours Worked'!$D$5:$BD$29,$A1162,$B1162)))</f>
        <v/>
      </c>
      <c r="J1162" s="51">
        <f>IF(OR($G1162=0,INDEX(Employees!$O$5:$O$29,$A1162)&lt;&gt;"Yes"),0,IF(COUNTIF(Settings!$D$4:$D$9,"&lt;="&amp;$H1162)=0,0,INDEX(Settings!$E$4:$E$9,COUNTIF(Settings!$D$4:$D$9,"&lt;="&amp;$H1162))))</f>
        <v/>
      </c>
      <c r="K1162" s="51">
        <f>IF($G1162=0,0,IF(INDEX(Employees!$I$5:$I$29,$A1162)="Per pay period",(N(INDEX(Employees!$J$5:$J$29,$A1162))+$J1162)/Settings!$B$13,IF(INDEX(Employees!$I$5:$I$29,$A1162)="Per hour worked",N(INDEX(Employees!$K$5:$K$29,$A1162))*$I1162,IF(INDEX(Employees!$I$5:$I$29,$A1162)="Front-loaded",IF(OR($B1162=1,N($G1161)=0),N(INDEX(Employees!$J$5:$J$29,$A1162))+$J1162,0),0))))</f>
        <v/>
      </c>
      <c r="L1162" s="51">
        <f>IF($F1162=0,0,SUMIFS('Time Off Log'!$H$5:$H$504,'Time Off Log'!$A$5:$A$504,$C1162,'Time Off Log'!$B$5:$B$504,"PTO",'Time Off Log'!$E$5:$E$504,"Approved",'Time Off Log'!$C$5:$C$504,"&gt;="&amp;INDEX(Periods!$E$5:$E$57,$B1162),'Time Off Log'!$C$5:$C$504,"&lt;="&amp;INDEX(Periods!$F$5:$F$57,$B1162)))</f>
        <v/>
      </c>
      <c r="M1162" s="51">
        <f>IF($B1162=1,N(INDEX(Employees!$N$5:$N$29,$A1162)),P1161)</f>
        <v/>
      </c>
      <c r="N1162" s="51">
        <f>IF(INDEX(Employees!$L$5:$L$29,$A1162)="",K1162,MAX(0,MIN(K1162,INDEX(Employees!$L$5:$L$29,$A1162)-(M1162-L1162))))</f>
        <v/>
      </c>
      <c r="O1162" s="51">
        <f>K1162-N1162</f>
        <v/>
      </c>
      <c r="P1162" s="51">
        <f>M1162-L1162+N1162</f>
        <v/>
      </c>
      <c r="Q1162" s="51">
        <f>IF($G1162=0,0,IF(INDEX(Employees!$P$5:$P$29,$A1162)="Per pay period",(N(INDEX(Employees!$Q$5:$Q$29,$A1162)))/Settings!$B$13,IF(INDEX(Employees!$P$5:$P$29,$A1162)="Per hour worked",N(INDEX(Employees!$R$5:$R$29,$A1162))*$I1162,IF(INDEX(Employees!$P$5:$P$29,$A1162)="Front-loaded",IF(OR($B1162=1,N($G1161)=0),N(INDEX(Employees!$Q$5:$Q$29,$A1162)),0),0))))</f>
        <v/>
      </c>
      <c r="R1162" s="51">
        <f>IF($F1162=0,0,SUMIFS('Time Off Log'!$H$5:$H$504,'Time Off Log'!$A$5:$A$504,$C1162,'Time Off Log'!$B$5:$B$504,"Sick",'Time Off Log'!$E$5:$E$504,"Approved",'Time Off Log'!$C$5:$C$504,"&gt;="&amp;INDEX(Periods!$E$5:$E$57,$B1162),'Time Off Log'!$C$5:$C$504,"&lt;="&amp;INDEX(Periods!$F$5:$F$57,$B1162)))</f>
        <v/>
      </c>
      <c r="S1162" s="51">
        <f>IF($B1162=1,N(INDEX(Employees!$T$5:$T$29,$A1162)),V1161)</f>
        <v/>
      </c>
      <c r="T1162" s="51">
        <f>IF(INDEX(Employees!$S$5:$S$29,$A1162)="",Q1162,MAX(0,MIN(Q1162,INDEX(Employees!$S$5:$S$29,$A1162)-(S1162-R1162))))</f>
        <v/>
      </c>
      <c r="U1162" s="51">
        <f>Q1162-T1162</f>
        <v/>
      </c>
      <c r="V1162" s="51">
        <f>S1162-R1162+T1162</f>
        <v/>
      </c>
    </row>
    <row r="1163">
      <c r="A1163" s="50" t="n">
        <v>22</v>
      </c>
      <c r="B1163" s="50" t="n">
        <v>46</v>
      </c>
      <c r="C1163" s="51">
        <f>INDEX(Employees!$B$5:$B$29,$A1163)&amp;""</f>
        <v/>
      </c>
      <c r="D1163" s="52">
        <f>INDEX(Periods!$B$5:$B$57,$B1163)</f>
        <v/>
      </c>
      <c r="E1163" s="52">
        <f>INDEX(Periods!$C$5:$C$57,$B1163)</f>
        <v/>
      </c>
      <c r="F1163" s="50">
        <f>IF(AND($C1163&lt;&gt;"",INDEX(Periods!$D$5:$D$57,$B1163)=1),1,0)</f>
        <v/>
      </c>
      <c r="G1163" s="50">
        <f>IF($F1163=0,0,IF(AND(OR(INDEX(Employees!$D$5:$D$29,$A1163)="",$E1163&gt;=INDEX(Employees!$D$5:$D$29,$A1163)+N(INDEX(Employees!$U$5:$U$29,$A1163))),OR(INDEX(Employees!$E$5:$E$29,$A1163)="",$D1163&lt;=INDEX(Employees!$E$5:$E$29,$A1163))),1,0))</f>
        <v/>
      </c>
      <c r="H1163" s="50">
        <f>IF($G1163=0,0,IF(INDEX(Employees!$D$5:$D$29,$A1163)="",0,DATEDIF(INDEX(Employees!$D$5:$D$29,$A1163),$E1163,"y")))</f>
        <v/>
      </c>
      <c r="I1163" s="51">
        <f>IF($G1163=0,0,IF(INDEX('Hours Worked'!$D$5:$BD$29,$A1163,$B1163)="",N(INDEX(Employees!$H$5:$H$29,$A1163)),INDEX('Hours Worked'!$D$5:$BD$29,$A1163,$B1163)))</f>
        <v/>
      </c>
      <c r="J1163" s="51">
        <f>IF(OR($G1163=0,INDEX(Employees!$O$5:$O$29,$A1163)&lt;&gt;"Yes"),0,IF(COUNTIF(Settings!$D$4:$D$9,"&lt;="&amp;$H1163)=0,0,INDEX(Settings!$E$4:$E$9,COUNTIF(Settings!$D$4:$D$9,"&lt;="&amp;$H1163))))</f>
        <v/>
      </c>
      <c r="K1163" s="51">
        <f>IF($G1163=0,0,IF(INDEX(Employees!$I$5:$I$29,$A1163)="Per pay period",(N(INDEX(Employees!$J$5:$J$29,$A1163))+$J1163)/Settings!$B$13,IF(INDEX(Employees!$I$5:$I$29,$A1163)="Per hour worked",N(INDEX(Employees!$K$5:$K$29,$A1163))*$I1163,IF(INDEX(Employees!$I$5:$I$29,$A1163)="Front-loaded",IF(OR($B1163=1,N($G1162)=0),N(INDEX(Employees!$J$5:$J$29,$A1163))+$J1163,0),0))))</f>
        <v/>
      </c>
      <c r="L1163" s="51">
        <f>IF($F1163=0,0,SUMIFS('Time Off Log'!$H$5:$H$504,'Time Off Log'!$A$5:$A$504,$C1163,'Time Off Log'!$B$5:$B$504,"PTO",'Time Off Log'!$E$5:$E$504,"Approved",'Time Off Log'!$C$5:$C$504,"&gt;="&amp;INDEX(Periods!$E$5:$E$57,$B1163),'Time Off Log'!$C$5:$C$504,"&lt;="&amp;INDEX(Periods!$F$5:$F$57,$B1163)))</f>
        <v/>
      </c>
      <c r="M1163" s="51">
        <f>IF($B1163=1,N(INDEX(Employees!$N$5:$N$29,$A1163)),P1162)</f>
        <v/>
      </c>
      <c r="N1163" s="51">
        <f>IF(INDEX(Employees!$L$5:$L$29,$A1163)="",K1163,MAX(0,MIN(K1163,INDEX(Employees!$L$5:$L$29,$A1163)-(M1163-L1163))))</f>
        <v/>
      </c>
      <c r="O1163" s="51">
        <f>K1163-N1163</f>
        <v/>
      </c>
      <c r="P1163" s="51">
        <f>M1163-L1163+N1163</f>
        <v/>
      </c>
      <c r="Q1163" s="51">
        <f>IF($G1163=0,0,IF(INDEX(Employees!$P$5:$P$29,$A1163)="Per pay period",(N(INDEX(Employees!$Q$5:$Q$29,$A1163)))/Settings!$B$13,IF(INDEX(Employees!$P$5:$P$29,$A1163)="Per hour worked",N(INDEX(Employees!$R$5:$R$29,$A1163))*$I1163,IF(INDEX(Employees!$P$5:$P$29,$A1163)="Front-loaded",IF(OR($B1163=1,N($G1162)=0),N(INDEX(Employees!$Q$5:$Q$29,$A1163)),0),0))))</f>
        <v/>
      </c>
      <c r="R1163" s="51">
        <f>IF($F1163=0,0,SUMIFS('Time Off Log'!$H$5:$H$504,'Time Off Log'!$A$5:$A$504,$C1163,'Time Off Log'!$B$5:$B$504,"Sick",'Time Off Log'!$E$5:$E$504,"Approved",'Time Off Log'!$C$5:$C$504,"&gt;="&amp;INDEX(Periods!$E$5:$E$57,$B1163),'Time Off Log'!$C$5:$C$504,"&lt;="&amp;INDEX(Periods!$F$5:$F$57,$B1163)))</f>
        <v/>
      </c>
      <c r="S1163" s="51">
        <f>IF($B1163=1,N(INDEX(Employees!$T$5:$T$29,$A1163)),V1162)</f>
        <v/>
      </c>
      <c r="T1163" s="51">
        <f>IF(INDEX(Employees!$S$5:$S$29,$A1163)="",Q1163,MAX(0,MIN(Q1163,INDEX(Employees!$S$5:$S$29,$A1163)-(S1163-R1163))))</f>
        <v/>
      </c>
      <c r="U1163" s="51">
        <f>Q1163-T1163</f>
        <v/>
      </c>
      <c r="V1163" s="51">
        <f>S1163-R1163+T1163</f>
        <v/>
      </c>
    </row>
    <row r="1164">
      <c r="A1164" s="50" t="n">
        <v>22</v>
      </c>
      <c r="B1164" s="50" t="n">
        <v>47</v>
      </c>
      <c r="C1164" s="51">
        <f>INDEX(Employees!$B$5:$B$29,$A1164)&amp;""</f>
        <v/>
      </c>
      <c r="D1164" s="52">
        <f>INDEX(Periods!$B$5:$B$57,$B1164)</f>
        <v/>
      </c>
      <c r="E1164" s="52">
        <f>INDEX(Periods!$C$5:$C$57,$B1164)</f>
        <v/>
      </c>
      <c r="F1164" s="50">
        <f>IF(AND($C1164&lt;&gt;"",INDEX(Periods!$D$5:$D$57,$B1164)=1),1,0)</f>
        <v/>
      </c>
      <c r="G1164" s="50">
        <f>IF($F1164=0,0,IF(AND(OR(INDEX(Employees!$D$5:$D$29,$A1164)="",$E1164&gt;=INDEX(Employees!$D$5:$D$29,$A1164)+N(INDEX(Employees!$U$5:$U$29,$A1164))),OR(INDEX(Employees!$E$5:$E$29,$A1164)="",$D1164&lt;=INDEX(Employees!$E$5:$E$29,$A1164))),1,0))</f>
        <v/>
      </c>
      <c r="H1164" s="50">
        <f>IF($G1164=0,0,IF(INDEX(Employees!$D$5:$D$29,$A1164)="",0,DATEDIF(INDEX(Employees!$D$5:$D$29,$A1164),$E1164,"y")))</f>
        <v/>
      </c>
      <c r="I1164" s="51">
        <f>IF($G1164=0,0,IF(INDEX('Hours Worked'!$D$5:$BD$29,$A1164,$B1164)="",N(INDEX(Employees!$H$5:$H$29,$A1164)),INDEX('Hours Worked'!$D$5:$BD$29,$A1164,$B1164)))</f>
        <v/>
      </c>
      <c r="J1164" s="51">
        <f>IF(OR($G1164=0,INDEX(Employees!$O$5:$O$29,$A1164)&lt;&gt;"Yes"),0,IF(COUNTIF(Settings!$D$4:$D$9,"&lt;="&amp;$H1164)=0,0,INDEX(Settings!$E$4:$E$9,COUNTIF(Settings!$D$4:$D$9,"&lt;="&amp;$H1164))))</f>
        <v/>
      </c>
      <c r="K1164" s="51">
        <f>IF($G1164=0,0,IF(INDEX(Employees!$I$5:$I$29,$A1164)="Per pay period",(N(INDEX(Employees!$J$5:$J$29,$A1164))+$J1164)/Settings!$B$13,IF(INDEX(Employees!$I$5:$I$29,$A1164)="Per hour worked",N(INDEX(Employees!$K$5:$K$29,$A1164))*$I1164,IF(INDEX(Employees!$I$5:$I$29,$A1164)="Front-loaded",IF(OR($B1164=1,N($G1163)=0),N(INDEX(Employees!$J$5:$J$29,$A1164))+$J1164,0),0))))</f>
        <v/>
      </c>
      <c r="L1164" s="51">
        <f>IF($F1164=0,0,SUMIFS('Time Off Log'!$H$5:$H$504,'Time Off Log'!$A$5:$A$504,$C1164,'Time Off Log'!$B$5:$B$504,"PTO",'Time Off Log'!$E$5:$E$504,"Approved",'Time Off Log'!$C$5:$C$504,"&gt;="&amp;INDEX(Periods!$E$5:$E$57,$B1164),'Time Off Log'!$C$5:$C$504,"&lt;="&amp;INDEX(Periods!$F$5:$F$57,$B1164)))</f>
        <v/>
      </c>
      <c r="M1164" s="51">
        <f>IF($B1164=1,N(INDEX(Employees!$N$5:$N$29,$A1164)),P1163)</f>
        <v/>
      </c>
      <c r="N1164" s="51">
        <f>IF(INDEX(Employees!$L$5:$L$29,$A1164)="",K1164,MAX(0,MIN(K1164,INDEX(Employees!$L$5:$L$29,$A1164)-(M1164-L1164))))</f>
        <v/>
      </c>
      <c r="O1164" s="51">
        <f>K1164-N1164</f>
        <v/>
      </c>
      <c r="P1164" s="51">
        <f>M1164-L1164+N1164</f>
        <v/>
      </c>
      <c r="Q1164" s="51">
        <f>IF($G1164=0,0,IF(INDEX(Employees!$P$5:$P$29,$A1164)="Per pay period",(N(INDEX(Employees!$Q$5:$Q$29,$A1164)))/Settings!$B$13,IF(INDEX(Employees!$P$5:$P$29,$A1164)="Per hour worked",N(INDEX(Employees!$R$5:$R$29,$A1164))*$I1164,IF(INDEX(Employees!$P$5:$P$29,$A1164)="Front-loaded",IF(OR($B1164=1,N($G1163)=0),N(INDEX(Employees!$Q$5:$Q$29,$A1164)),0),0))))</f>
        <v/>
      </c>
      <c r="R1164" s="51">
        <f>IF($F1164=0,0,SUMIFS('Time Off Log'!$H$5:$H$504,'Time Off Log'!$A$5:$A$504,$C1164,'Time Off Log'!$B$5:$B$504,"Sick",'Time Off Log'!$E$5:$E$504,"Approved",'Time Off Log'!$C$5:$C$504,"&gt;="&amp;INDEX(Periods!$E$5:$E$57,$B1164),'Time Off Log'!$C$5:$C$504,"&lt;="&amp;INDEX(Periods!$F$5:$F$57,$B1164)))</f>
        <v/>
      </c>
      <c r="S1164" s="51">
        <f>IF($B1164=1,N(INDEX(Employees!$T$5:$T$29,$A1164)),V1163)</f>
        <v/>
      </c>
      <c r="T1164" s="51">
        <f>IF(INDEX(Employees!$S$5:$S$29,$A1164)="",Q1164,MAX(0,MIN(Q1164,INDEX(Employees!$S$5:$S$29,$A1164)-(S1164-R1164))))</f>
        <v/>
      </c>
      <c r="U1164" s="51">
        <f>Q1164-T1164</f>
        <v/>
      </c>
      <c r="V1164" s="51">
        <f>S1164-R1164+T1164</f>
        <v/>
      </c>
    </row>
    <row r="1165">
      <c r="A1165" s="50" t="n">
        <v>22</v>
      </c>
      <c r="B1165" s="50" t="n">
        <v>48</v>
      </c>
      <c r="C1165" s="51">
        <f>INDEX(Employees!$B$5:$B$29,$A1165)&amp;""</f>
        <v/>
      </c>
      <c r="D1165" s="52">
        <f>INDEX(Periods!$B$5:$B$57,$B1165)</f>
        <v/>
      </c>
      <c r="E1165" s="52">
        <f>INDEX(Periods!$C$5:$C$57,$B1165)</f>
        <v/>
      </c>
      <c r="F1165" s="50">
        <f>IF(AND($C1165&lt;&gt;"",INDEX(Periods!$D$5:$D$57,$B1165)=1),1,0)</f>
        <v/>
      </c>
      <c r="G1165" s="50">
        <f>IF($F1165=0,0,IF(AND(OR(INDEX(Employees!$D$5:$D$29,$A1165)="",$E1165&gt;=INDEX(Employees!$D$5:$D$29,$A1165)+N(INDEX(Employees!$U$5:$U$29,$A1165))),OR(INDEX(Employees!$E$5:$E$29,$A1165)="",$D1165&lt;=INDEX(Employees!$E$5:$E$29,$A1165))),1,0))</f>
        <v/>
      </c>
      <c r="H1165" s="50">
        <f>IF($G1165=0,0,IF(INDEX(Employees!$D$5:$D$29,$A1165)="",0,DATEDIF(INDEX(Employees!$D$5:$D$29,$A1165),$E1165,"y")))</f>
        <v/>
      </c>
      <c r="I1165" s="51">
        <f>IF($G1165=0,0,IF(INDEX('Hours Worked'!$D$5:$BD$29,$A1165,$B1165)="",N(INDEX(Employees!$H$5:$H$29,$A1165)),INDEX('Hours Worked'!$D$5:$BD$29,$A1165,$B1165)))</f>
        <v/>
      </c>
      <c r="J1165" s="51">
        <f>IF(OR($G1165=0,INDEX(Employees!$O$5:$O$29,$A1165)&lt;&gt;"Yes"),0,IF(COUNTIF(Settings!$D$4:$D$9,"&lt;="&amp;$H1165)=0,0,INDEX(Settings!$E$4:$E$9,COUNTIF(Settings!$D$4:$D$9,"&lt;="&amp;$H1165))))</f>
        <v/>
      </c>
      <c r="K1165" s="51">
        <f>IF($G1165=0,0,IF(INDEX(Employees!$I$5:$I$29,$A1165)="Per pay period",(N(INDEX(Employees!$J$5:$J$29,$A1165))+$J1165)/Settings!$B$13,IF(INDEX(Employees!$I$5:$I$29,$A1165)="Per hour worked",N(INDEX(Employees!$K$5:$K$29,$A1165))*$I1165,IF(INDEX(Employees!$I$5:$I$29,$A1165)="Front-loaded",IF(OR($B1165=1,N($G1164)=0),N(INDEX(Employees!$J$5:$J$29,$A1165))+$J1165,0),0))))</f>
        <v/>
      </c>
      <c r="L1165" s="51">
        <f>IF($F1165=0,0,SUMIFS('Time Off Log'!$H$5:$H$504,'Time Off Log'!$A$5:$A$504,$C1165,'Time Off Log'!$B$5:$B$504,"PTO",'Time Off Log'!$E$5:$E$504,"Approved",'Time Off Log'!$C$5:$C$504,"&gt;="&amp;INDEX(Periods!$E$5:$E$57,$B1165),'Time Off Log'!$C$5:$C$504,"&lt;="&amp;INDEX(Periods!$F$5:$F$57,$B1165)))</f>
        <v/>
      </c>
      <c r="M1165" s="51">
        <f>IF($B1165=1,N(INDEX(Employees!$N$5:$N$29,$A1165)),P1164)</f>
        <v/>
      </c>
      <c r="N1165" s="51">
        <f>IF(INDEX(Employees!$L$5:$L$29,$A1165)="",K1165,MAX(0,MIN(K1165,INDEX(Employees!$L$5:$L$29,$A1165)-(M1165-L1165))))</f>
        <v/>
      </c>
      <c r="O1165" s="51">
        <f>K1165-N1165</f>
        <v/>
      </c>
      <c r="P1165" s="51">
        <f>M1165-L1165+N1165</f>
        <v/>
      </c>
      <c r="Q1165" s="51">
        <f>IF($G1165=0,0,IF(INDEX(Employees!$P$5:$P$29,$A1165)="Per pay period",(N(INDEX(Employees!$Q$5:$Q$29,$A1165)))/Settings!$B$13,IF(INDEX(Employees!$P$5:$P$29,$A1165)="Per hour worked",N(INDEX(Employees!$R$5:$R$29,$A1165))*$I1165,IF(INDEX(Employees!$P$5:$P$29,$A1165)="Front-loaded",IF(OR($B1165=1,N($G1164)=0),N(INDEX(Employees!$Q$5:$Q$29,$A1165)),0),0))))</f>
        <v/>
      </c>
      <c r="R1165" s="51">
        <f>IF($F1165=0,0,SUMIFS('Time Off Log'!$H$5:$H$504,'Time Off Log'!$A$5:$A$504,$C1165,'Time Off Log'!$B$5:$B$504,"Sick",'Time Off Log'!$E$5:$E$504,"Approved",'Time Off Log'!$C$5:$C$504,"&gt;="&amp;INDEX(Periods!$E$5:$E$57,$B1165),'Time Off Log'!$C$5:$C$504,"&lt;="&amp;INDEX(Periods!$F$5:$F$57,$B1165)))</f>
        <v/>
      </c>
      <c r="S1165" s="51">
        <f>IF($B1165=1,N(INDEX(Employees!$T$5:$T$29,$A1165)),V1164)</f>
        <v/>
      </c>
      <c r="T1165" s="51">
        <f>IF(INDEX(Employees!$S$5:$S$29,$A1165)="",Q1165,MAX(0,MIN(Q1165,INDEX(Employees!$S$5:$S$29,$A1165)-(S1165-R1165))))</f>
        <v/>
      </c>
      <c r="U1165" s="51">
        <f>Q1165-T1165</f>
        <v/>
      </c>
      <c r="V1165" s="51">
        <f>S1165-R1165+T1165</f>
        <v/>
      </c>
    </row>
    <row r="1166">
      <c r="A1166" s="50" t="n">
        <v>22</v>
      </c>
      <c r="B1166" s="50" t="n">
        <v>49</v>
      </c>
      <c r="C1166" s="51">
        <f>INDEX(Employees!$B$5:$B$29,$A1166)&amp;""</f>
        <v/>
      </c>
      <c r="D1166" s="52">
        <f>INDEX(Periods!$B$5:$B$57,$B1166)</f>
        <v/>
      </c>
      <c r="E1166" s="52">
        <f>INDEX(Periods!$C$5:$C$57,$B1166)</f>
        <v/>
      </c>
      <c r="F1166" s="50">
        <f>IF(AND($C1166&lt;&gt;"",INDEX(Periods!$D$5:$D$57,$B1166)=1),1,0)</f>
        <v/>
      </c>
      <c r="G1166" s="50">
        <f>IF($F1166=0,0,IF(AND(OR(INDEX(Employees!$D$5:$D$29,$A1166)="",$E1166&gt;=INDEX(Employees!$D$5:$D$29,$A1166)+N(INDEX(Employees!$U$5:$U$29,$A1166))),OR(INDEX(Employees!$E$5:$E$29,$A1166)="",$D1166&lt;=INDEX(Employees!$E$5:$E$29,$A1166))),1,0))</f>
        <v/>
      </c>
      <c r="H1166" s="50">
        <f>IF($G1166=0,0,IF(INDEX(Employees!$D$5:$D$29,$A1166)="",0,DATEDIF(INDEX(Employees!$D$5:$D$29,$A1166),$E1166,"y")))</f>
        <v/>
      </c>
      <c r="I1166" s="51">
        <f>IF($G1166=0,0,IF(INDEX('Hours Worked'!$D$5:$BD$29,$A1166,$B1166)="",N(INDEX(Employees!$H$5:$H$29,$A1166)),INDEX('Hours Worked'!$D$5:$BD$29,$A1166,$B1166)))</f>
        <v/>
      </c>
      <c r="J1166" s="51">
        <f>IF(OR($G1166=0,INDEX(Employees!$O$5:$O$29,$A1166)&lt;&gt;"Yes"),0,IF(COUNTIF(Settings!$D$4:$D$9,"&lt;="&amp;$H1166)=0,0,INDEX(Settings!$E$4:$E$9,COUNTIF(Settings!$D$4:$D$9,"&lt;="&amp;$H1166))))</f>
        <v/>
      </c>
      <c r="K1166" s="51">
        <f>IF($G1166=0,0,IF(INDEX(Employees!$I$5:$I$29,$A1166)="Per pay period",(N(INDEX(Employees!$J$5:$J$29,$A1166))+$J1166)/Settings!$B$13,IF(INDEX(Employees!$I$5:$I$29,$A1166)="Per hour worked",N(INDEX(Employees!$K$5:$K$29,$A1166))*$I1166,IF(INDEX(Employees!$I$5:$I$29,$A1166)="Front-loaded",IF(OR($B1166=1,N($G1165)=0),N(INDEX(Employees!$J$5:$J$29,$A1166))+$J1166,0),0))))</f>
        <v/>
      </c>
      <c r="L1166" s="51">
        <f>IF($F1166=0,0,SUMIFS('Time Off Log'!$H$5:$H$504,'Time Off Log'!$A$5:$A$504,$C1166,'Time Off Log'!$B$5:$B$504,"PTO",'Time Off Log'!$E$5:$E$504,"Approved",'Time Off Log'!$C$5:$C$504,"&gt;="&amp;INDEX(Periods!$E$5:$E$57,$B1166),'Time Off Log'!$C$5:$C$504,"&lt;="&amp;INDEX(Periods!$F$5:$F$57,$B1166)))</f>
        <v/>
      </c>
      <c r="M1166" s="51">
        <f>IF($B1166=1,N(INDEX(Employees!$N$5:$N$29,$A1166)),P1165)</f>
        <v/>
      </c>
      <c r="N1166" s="51">
        <f>IF(INDEX(Employees!$L$5:$L$29,$A1166)="",K1166,MAX(0,MIN(K1166,INDEX(Employees!$L$5:$L$29,$A1166)-(M1166-L1166))))</f>
        <v/>
      </c>
      <c r="O1166" s="51">
        <f>K1166-N1166</f>
        <v/>
      </c>
      <c r="P1166" s="51">
        <f>M1166-L1166+N1166</f>
        <v/>
      </c>
      <c r="Q1166" s="51">
        <f>IF($G1166=0,0,IF(INDEX(Employees!$P$5:$P$29,$A1166)="Per pay period",(N(INDEX(Employees!$Q$5:$Q$29,$A1166)))/Settings!$B$13,IF(INDEX(Employees!$P$5:$P$29,$A1166)="Per hour worked",N(INDEX(Employees!$R$5:$R$29,$A1166))*$I1166,IF(INDEX(Employees!$P$5:$P$29,$A1166)="Front-loaded",IF(OR($B1166=1,N($G1165)=0),N(INDEX(Employees!$Q$5:$Q$29,$A1166)),0),0))))</f>
        <v/>
      </c>
      <c r="R1166" s="51">
        <f>IF($F1166=0,0,SUMIFS('Time Off Log'!$H$5:$H$504,'Time Off Log'!$A$5:$A$504,$C1166,'Time Off Log'!$B$5:$B$504,"Sick",'Time Off Log'!$E$5:$E$504,"Approved",'Time Off Log'!$C$5:$C$504,"&gt;="&amp;INDEX(Periods!$E$5:$E$57,$B1166),'Time Off Log'!$C$5:$C$504,"&lt;="&amp;INDEX(Periods!$F$5:$F$57,$B1166)))</f>
        <v/>
      </c>
      <c r="S1166" s="51">
        <f>IF($B1166=1,N(INDEX(Employees!$T$5:$T$29,$A1166)),V1165)</f>
        <v/>
      </c>
      <c r="T1166" s="51">
        <f>IF(INDEX(Employees!$S$5:$S$29,$A1166)="",Q1166,MAX(0,MIN(Q1166,INDEX(Employees!$S$5:$S$29,$A1166)-(S1166-R1166))))</f>
        <v/>
      </c>
      <c r="U1166" s="51">
        <f>Q1166-T1166</f>
        <v/>
      </c>
      <c r="V1166" s="51">
        <f>S1166-R1166+T1166</f>
        <v/>
      </c>
    </row>
    <row r="1167">
      <c r="A1167" s="50" t="n">
        <v>22</v>
      </c>
      <c r="B1167" s="50" t="n">
        <v>50</v>
      </c>
      <c r="C1167" s="51">
        <f>INDEX(Employees!$B$5:$B$29,$A1167)&amp;""</f>
        <v/>
      </c>
      <c r="D1167" s="52">
        <f>INDEX(Periods!$B$5:$B$57,$B1167)</f>
        <v/>
      </c>
      <c r="E1167" s="52">
        <f>INDEX(Periods!$C$5:$C$57,$B1167)</f>
        <v/>
      </c>
      <c r="F1167" s="50">
        <f>IF(AND($C1167&lt;&gt;"",INDEX(Periods!$D$5:$D$57,$B1167)=1),1,0)</f>
        <v/>
      </c>
      <c r="G1167" s="50">
        <f>IF($F1167=0,0,IF(AND(OR(INDEX(Employees!$D$5:$D$29,$A1167)="",$E1167&gt;=INDEX(Employees!$D$5:$D$29,$A1167)+N(INDEX(Employees!$U$5:$U$29,$A1167))),OR(INDEX(Employees!$E$5:$E$29,$A1167)="",$D1167&lt;=INDEX(Employees!$E$5:$E$29,$A1167))),1,0))</f>
        <v/>
      </c>
      <c r="H1167" s="50">
        <f>IF($G1167=0,0,IF(INDEX(Employees!$D$5:$D$29,$A1167)="",0,DATEDIF(INDEX(Employees!$D$5:$D$29,$A1167),$E1167,"y")))</f>
        <v/>
      </c>
      <c r="I1167" s="51">
        <f>IF($G1167=0,0,IF(INDEX('Hours Worked'!$D$5:$BD$29,$A1167,$B1167)="",N(INDEX(Employees!$H$5:$H$29,$A1167)),INDEX('Hours Worked'!$D$5:$BD$29,$A1167,$B1167)))</f>
        <v/>
      </c>
      <c r="J1167" s="51">
        <f>IF(OR($G1167=0,INDEX(Employees!$O$5:$O$29,$A1167)&lt;&gt;"Yes"),0,IF(COUNTIF(Settings!$D$4:$D$9,"&lt;="&amp;$H1167)=0,0,INDEX(Settings!$E$4:$E$9,COUNTIF(Settings!$D$4:$D$9,"&lt;="&amp;$H1167))))</f>
        <v/>
      </c>
      <c r="K1167" s="51">
        <f>IF($G1167=0,0,IF(INDEX(Employees!$I$5:$I$29,$A1167)="Per pay period",(N(INDEX(Employees!$J$5:$J$29,$A1167))+$J1167)/Settings!$B$13,IF(INDEX(Employees!$I$5:$I$29,$A1167)="Per hour worked",N(INDEX(Employees!$K$5:$K$29,$A1167))*$I1167,IF(INDEX(Employees!$I$5:$I$29,$A1167)="Front-loaded",IF(OR($B1167=1,N($G1166)=0),N(INDEX(Employees!$J$5:$J$29,$A1167))+$J1167,0),0))))</f>
        <v/>
      </c>
      <c r="L1167" s="51">
        <f>IF($F1167=0,0,SUMIFS('Time Off Log'!$H$5:$H$504,'Time Off Log'!$A$5:$A$504,$C1167,'Time Off Log'!$B$5:$B$504,"PTO",'Time Off Log'!$E$5:$E$504,"Approved",'Time Off Log'!$C$5:$C$504,"&gt;="&amp;INDEX(Periods!$E$5:$E$57,$B1167),'Time Off Log'!$C$5:$C$504,"&lt;="&amp;INDEX(Periods!$F$5:$F$57,$B1167)))</f>
        <v/>
      </c>
      <c r="M1167" s="51">
        <f>IF($B1167=1,N(INDEX(Employees!$N$5:$N$29,$A1167)),P1166)</f>
        <v/>
      </c>
      <c r="N1167" s="51">
        <f>IF(INDEX(Employees!$L$5:$L$29,$A1167)="",K1167,MAX(0,MIN(K1167,INDEX(Employees!$L$5:$L$29,$A1167)-(M1167-L1167))))</f>
        <v/>
      </c>
      <c r="O1167" s="51">
        <f>K1167-N1167</f>
        <v/>
      </c>
      <c r="P1167" s="51">
        <f>M1167-L1167+N1167</f>
        <v/>
      </c>
      <c r="Q1167" s="51">
        <f>IF($G1167=0,0,IF(INDEX(Employees!$P$5:$P$29,$A1167)="Per pay period",(N(INDEX(Employees!$Q$5:$Q$29,$A1167)))/Settings!$B$13,IF(INDEX(Employees!$P$5:$P$29,$A1167)="Per hour worked",N(INDEX(Employees!$R$5:$R$29,$A1167))*$I1167,IF(INDEX(Employees!$P$5:$P$29,$A1167)="Front-loaded",IF(OR($B1167=1,N($G1166)=0),N(INDEX(Employees!$Q$5:$Q$29,$A1167)),0),0))))</f>
        <v/>
      </c>
      <c r="R1167" s="51">
        <f>IF($F1167=0,0,SUMIFS('Time Off Log'!$H$5:$H$504,'Time Off Log'!$A$5:$A$504,$C1167,'Time Off Log'!$B$5:$B$504,"Sick",'Time Off Log'!$E$5:$E$504,"Approved",'Time Off Log'!$C$5:$C$504,"&gt;="&amp;INDEX(Periods!$E$5:$E$57,$B1167),'Time Off Log'!$C$5:$C$504,"&lt;="&amp;INDEX(Periods!$F$5:$F$57,$B1167)))</f>
        <v/>
      </c>
      <c r="S1167" s="51">
        <f>IF($B1167=1,N(INDEX(Employees!$T$5:$T$29,$A1167)),V1166)</f>
        <v/>
      </c>
      <c r="T1167" s="51">
        <f>IF(INDEX(Employees!$S$5:$S$29,$A1167)="",Q1167,MAX(0,MIN(Q1167,INDEX(Employees!$S$5:$S$29,$A1167)-(S1167-R1167))))</f>
        <v/>
      </c>
      <c r="U1167" s="51">
        <f>Q1167-T1167</f>
        <v/>
      </c>
      <c r="V1167" s="51">
        <f>S1167-R1167+T1167</f>
        <v/>
      </c>
    </row>
    <row r="1168">
      <c r="A1168" s="50" t="n">
        <v>22</v>
      </c>
      <c r="B1168" s="50" t="n">
        <v>51</v>
      </c>
      <c r="C1168" s="51">
        <f>INDEX(Employees!$B$5:$B$29,$A1168)&amp;""</f>
        <v/>
      </c>
      <c r="D1168" s="52">
        <f>INDEX(Periods!$B$5:$B$57,$B1168)</f>
        <v/>
      </c>
      <c r="E1168" s="52">
        <f>INDEX(Periods!$C$5:$C$57,$B1168)</f>
        <v/>
      </c>
      <c r="F1168" s="50">
        <f>IF(AND($C1168&lt;&gt;"",INDEX(Periods!$D$5:$D$57,$B1168)=1),1,0)</f>
        <v/>
      </c>
      <c r="G1168" s="50">
        <f>IF($F1168=0,0,IF(AND(OR(INDEX(Employees!$D$5:$D$29,$A1168)="",$E1168&gt;=INDEX(Employees!$D$5:$D$29,$A1168)+N(INDEX(Employees!$U$5:$U$29,$A1168))),OR(INDEX(Employees!$E$5:$E$29,$A1168)="",$D1168&lt;=INDEX(Employees!$E$5:$E$29,$A1168))),1,0))</f>
        <v/>
      </c>
      <c r="H1168" s="50">
        <f>IF($G1168=0,0,IF(INDEX(Employees!$D$5:$D$29,$A1168)="",0,DATEDIF(INDEX(Employees!$D$5:$D$29,$A1168),$E1168,"y")))</f>
        <v/>
      </c>
      <c r="I1168" s="51">
        <f>IF($G1168=0,0,IF(INDEX('Hours Worked'!$D$5:$BD$29,$A1168,$B1168)="",N(INDEX(Employees!$H$5:$H$29,$A1168)),INDEX('Hours Worked'!$D$5:$BD$29,$A1168,$B1168)))</f>
        <v/>
      </c>
      <c r="J1168" s="51">
        <f>IF(OR($G1168=0,INDEX(Employees!$O$5:$O$29,$A1168)&lt;&gt;"Yes"),0,IF(COUNTIF(Settings!$D$4:$D$9,"&lt;="&amp;$H1168)=0,0,INDEX(Settings!$E$4:$E$9,COUNTIF(Settings!$D$4:$D$9,"&lt;="&amp;$H1168))))</f>
        <v/>
      </c>
      <c r="K1168" s="51">
        <f>IF($G1168=0,0,IF(INDEX(Employees!$I$5:$I$29,$A1168)="Per pay period",(N(INDEX(Employees!$J$5:$J$29,$A1168))+$J1168)/Settings!$B$13,IF(INDEX(Employees!$I$5:$I$29,$A1168)="Per hour worked",N(INDEX(Employees!$K$5:$K$29,$A1168))*$I1168,IF(INDEX(Employees!$I$5:$I$29,$A1168)="Front-loaded",IF(OR($B1168=1,N($G1167)=0),N(INDEX(Employees!$J$5:$J$29,$A1168))+$J1168,0),0))))</f>
        <v/>
      </c>
      <c r="L1168" s="51">
        <f>IF($F1168=0,0,SUMIFS('Time Off Log'!$H$5:$H$504,'Time Off Log'!$A$5:$A$504,$C1168,'Time Off Log'!$B$5:$B$504,"PTO",'Time Off Log'!$E$5:$E$504,"Approved",'Time Off Log'!$C$5:$C$504,"&gt;="&amp;INDEX(Periods!$E$5:$E$57,$B1168),'Time Off Log'!$C$5:$C$504,"&lt;="&amp;INDEX(Periods!$F$5:$F$57,$B1168)))</f>
        <v/>
      </c>
      <c r="M1168" s="51">
        <f>IF($B1168=1,N(INDEX(Employees!$N$5:$N$29,$A1168)),P1167)</f>
        <v/>
      </c>
      <c r="N1168" s="51">
        <f>IF(INDEX(Employees!$L$5:$L$29,$A1168)="",K1168,MAX(0,MIN(K1168,INDEX(Employees!$L$5:$L$29,$A1168)-(M1168-L1168))))</f>
        <v/>
      </c>
      <c r="O1168" s="51">
        <f>K1168-N1168</f>
        <v/>
      </c>
      <c r="P1168" s="51">
        <f>M1168-L1168+N1168</f>
        <v/>
      </c>
      <c r="Q1168" s="51">
        <f>IF($G1168=0,0,IF(INDEX(Employees!$P$5:$P$29,$A1168)="Per pay period",(N(INDEX(Employees!$Q$5:$Q$29,$A1168)))/Settings!$B$13,IF(INDEX(Employees!$P$5:$P$29,$A1168)="Per hour worked",N(INDEX(Employees!$R$5:$R$29,$A1168))*$I1168,IF(INDEX(Employees!$P$5:$P$29,$A1168)="Front-loaded",IF(OR($B1168=1,N($G1167)=0),N(INDEX(Employees!$Q$5:$Q$29,$A1168)),0),0))))</f>
        <v/>
      </c>
      <c r="R1168" s="51">
        <f>IF($F1168=0,0,SUMIFS('Time Off Log'!$H$5:$H$504,'Time Off Log'!$A$5:$A$504,$C1168,'Time Off Log'!$B$5:$B$504,"Sick",'Time Off Log'!$E$5:$E$504,"Approved",'Time Off Log'!$C$5:$C$504,"&gt;="&amp;INDEX(Periods!$E$5:$E$57,$B1168),'Time Off Log'!$C$5:$C$504,"&lt;="&amp;INDEX(Periods!$F$5:$F$57,$B1168)))</f>
        <v/>
      </c>
      <c r="S1168" s="51">
        <f>IF($B1168=1,N(INDEX(Employees!$T$5:$T$29,$A1168)),V1167)</f>
        <v/>
      </c>
      <c r="T1168" s="51">
        <f>IF(INDEX(Employees!$S$5:$S$29,$A1168)="",Q1168,MAX(0,MIN(Q1168,INDEX(Employees!$S$5:$S$29,$A1168)-(S1168-R1168))))</f>
        <v/>
      </c>
      <c r="U1168" s="51">
        <f>Q1168-T1168</f>
        <v/>
      </c>
      <c r="V1168" s="51">
        <f>S1168-R1168+T1168</f>
        <v/>
      </c>
    </row>
    <row r="1169">
      <c r="A1169" s="50" t="n">
        <v>22</v>
      </c>
      <c r="B1169" s="50" t="n">
        <v>52</v>
      </c>
      <c r="C1169" s="51">
        <f>INDEX(Employees!$B$5:$B$29,$A1169)&amp;""</f>
        <v/>
      </c>
      <c r="D1169" s="52">
        <f>INDEX(Periods!$B$5:$B$57,$B1169)</f>
        <v/>
      </c>
      <c r="E1169" s="52">
        <f>INDEX(Periods!$C$5:$C$57,$B1169)</f>
        <v/>
      </c>
      <c r="F1169" s="50">
        <f>IF(AND($C1169&lt;&gt;"",INDEX(Periods!$D$5:$D$57,$B1169)=1),1,0)</f>
        <v/>
      </c>
      <c r="G1169" s="50">
        <f>IF($F1169=0,0,IF(AND(OR(INDEX(Employees!$D$5:$D$29,$A1169)="",$E1169&gt;=INDEX(Employees!$D$5:$D$29,$A1169)+N(INDEX(Employees!$U$5:$U$29,$A1169))),OR(INDEX(Employees!$E$5:$E$29,$A1169)="",$D1169&lt;=INDEX(Employees!$E$5:$E$29,$A1169))),1,0))</f>
        <v/>
      </c>
      <c r="H1169" s="50">
        <f>IF($G1169=0,0,IF(INDEX(Employees!$D$5:$D$29,$A1169)="",0,DATEDIF(INDEX(Employees!$D$5:$D$29,$A1169),$E1169,"y")))</f>
        <v/>
      </c>
      <c r="I1169" s="51">
        <f>IF($G1169=0,0,IF(INDEX('Hours Worked'!$D$5:$BD$29,$A1169,$B1169)="",N(INDEX(Employees!$H$5:$H$29,$A1169)),INDEX('Hours Worked'!$D$5:$BD$29,$A1169,$B1169)))</f>
        <v/>
      </c>
      <c r="J1169" s="51">
        <f>IF(OR($G1169=0,INDEX(Employees!$O$5:$O$29,$A1169)&lt;&gt;"Yes"),0,IF(COUNTIF(Settings!$D$4:$D$9,"&lt;="&amp;$H1169)=0,0,INDEX(Settings!$E$4:$E$9,COUNTIF(Settings!$D$4:$D$9,"&lt;="&amp;$H1169))))</f>
        <v/>
      </c>
      <c r="K1169" s="51">
        <f>IF($G1169=0,0,IF(INDEX(Employees!$I$5:$I$29,$A1169)="Per pay period",(N(INDEX(Employees!$J$5:$J$29,$A1169))+$J1169)/Settings!$B$13,IF(INDEX(Employees!$I$5:$I$29,$A1169)="Per hour worked",N(INDEX(Employees!$K$5:$K$29,$A1169))*$I1169,IF(INDEX(Employees!$I$5:$I$29,$A1169)="Front-loaded",IF(OR($B1169=1,N($G1168)=0),N(INDEX(Employees!$J$5:$J$29,$A1169))+$J1169,0),0))))</f>
        <v/>
      </c>
      <c r="L1169" s="51">
        <f>IF($F1169=0,0,SUMIFS('Time Off Log'!$H$5:$H$504,'Time Off Log'!$A$5:$A$504,$C1169,'Time Off Log'!$B$5:$B$504,"PTO",'Time Off Log'!$E$5:$E$504,"Approved",'Time Off Log'!$C$5:$C$504,"&gt;="&amp;INDEX(Periods!$E$5:$E$57,$B1169),'Time Off Log'!$C$5:$C$504,"&lt;="&amp;INDEX(Periods!$F$5:$F$57,$B1169)))</f>
        <v/>
      </c>
      <c r="M1169" s="51">
        <f>IF($B1169=1,N(INDEX(Employees!$N$5:$N$29,$A1169)),P1168)</f>
        <v/>
      </c>
      <c r="N1169" s="51">
        <f>IF(INDEX(Employees!$L$5:$L$29,$A1169)="",K1169,MAX(0,MIN(K1169,INDEX(Employees!$L$5:$L$29,$A1169)-(M1169-L1169))))</f>
        <v/>
      </c>
      <c r="O1169" s="51">
        <f>K1169-N1169</f>
        <v/>
      </c>
      <c r="P1169" s="51">
        <f>M1169-L1169+N1169</f>
        <v/>
      </c>
      <c r="Q1169" s="51">
        <f>IF($G1169=0,0,IF(INDEX(Employees!$P$5:$P$29,$A1169)="Per pay period",(N(INDEX(Employees!$Q$5:$Q$29,$A1169)))/Settings!$B$13,IF(INDEX(Employees!$P$5:$P$29,$A1169)="Per hour worked",N(INDEX(Employees!$R$5:$R$29,$A1169))*$I1169,IF(INDEX(Employees!$P$5:$P$29,$A1169)="Front-loaded",IF(OR($B1169=1,N($G1168)=0),N(INDEX(Employees!$Q$5:$Q$29,$A1169)),0),0))))</f>
        <v/>
      </c>
      <c r="R1169" s="51">
        <f>IF($F1169=0,0,SUMIFS('Time Off Log'!$H$5:$H$504,'Time Off Log'!$A$5:$A$504,$C1169,'Time Off Log'!$B$5:$B$504,"Sick",'Time Off Log'!$E$5:$E$504,"Approved",'Time Off Log'!$C$5:$C$504,"&gt;="&amp;INDEX(Periods!$E$5:$E$57,$B1169),'Time Off Log'!$C$5:$C$504,"&lt;="&amp;INDEX(Periods!$F$5:$F$57,$B1169)))</f>
        <v/>
      </c>
      <c r="S1169" s="51">
        <f>IF($B1169=1,N(INDEX(Employees!$T$5:$T$29,$A1169)),V1168)</f>
        <v/>
      </c>
      <c r="T1169" s="51">
        <f>IF(INDEX(Employees!$S$5:$S$29,$A1169)="",Q1169,MAX(0,MIN(Q1169,INDEX(Employees!$S$5:$S$29,$A1169)-(S1169-R1169))))</f>
        <v/>
      </c>
      <c r="U1169" s="51">
        <f>Q1169-T1169</f>
        <v/>
      </c>
      <c r="V1169" s="51">
        <f>S1169-R1169+T1169</f>
        <v/>
      </c>
    </row>
    <row r="1170">
      <c r="A1170" s="50" t="n">
        <v>22</v>
      </c>
      <c r="B1170" s="50" t="n">
        <v>53</v>
      </c>
      <c r="C1170" s="51">
        <f>INDEX(Employees!$B$5:$B$29,$A1170)&amp;""</f>
        <v/>
      </c>
      <c r="D1170" s="52">
        <f>INDEX(Periods!$B$5:$B$57,$B1170)</f>
        <v/>
      </c>
      <c r="E1170" s="52">
        <f>INDEX(Periods!$C$5:$C$57,$B1170)</f>
        <v/>
      </c>
      <c r="F1170" s="50">
        <f>IF(AND($C1170&lt;&gt;"",INDEX(Periods!$D$5:$D$57,$B1170)=1),1,0)</f>
        <v/>
      </c>
      <c r="G1170" s="50">
        <f>IF($F1170=0,0,IF(AND(OR(INDEX(Employees!$D$5:$D$29,$A1170)="",$E1170&gt;=INDEX(Employees!$D$5:$D$29,$A1170)+N(INDEX(Employees!$U$5:$U$29,$A1170))),OR(INDEX(Employees!$E$5:$E$29,$A1170)="",$D1170&lt;=INDEX(Employees!$E$5:$E$29,$A1170))),1,0))</f>
        <v/>
      </c>
      <c r="H1170" s="50">
        <f>IF($G1170=0,0,IF(INDEX(Employees!$D$5:$D$29,$A1170)="",0,DATEDIF(INDEX(Employees!$D$5:$D$29,$A1170),$E1170,"y")))</f>
        <v/>
      </c>
      <c r="I1170" s="51">
        <f>IF($G1170=0,0,IF(INDEX('Hours Worked'!$D$5:$BD$29,$A1170,$B1170)="",N(INDEX(Employees!$H$5:$H$29,$A1170)),INDEX('Hours Worked'!$D$5:$BD$29,$A1170,$B1170)))</f>
        <v/>
      </c>
      <c r="J1170" s="51">
        <f>IF(OR($G1170=0,INDEX(Employees!$O$5:$O$29,$A1170)&lt;&gt;"Yes"),0,IF(COUNTIF(Settings!$D$4:$D$9,"&lt;="&amp;$H1170)=0,0,INDEX(Settings!$E$4:$E$9,COUNTIF(Settings!$D$4:$D$9,"&lt;="&amp;$H1170))))</f>
        <v/>
      </c>
      <c r="K1170" s="51">
        <f>IF($G1170=0,0,IF(INDEX(Employees!$I$5:$I$29,$A1170)="Per pay period",(N(INDEX(Employees!$J$5:$J$29,$A1170))+$J1170)/Settings!$B$13,IF(INDEX(Employees!$I$5:$I$29,$A1170)="Per hour worked",N(INDEX(Employees!$K$5:$K$29,$A1170))*$I1170,IF(INDEX(Employees!$I$5:$I$29,$A1170)="Front-loaded",IF(OR($B1170=1,N($G1169)=0),N(INDEX(Employees!$J$5:$J$29,$A1170))+$J1170,0),0))))</f>
        <v/>
      </c>
      <c r="L1170" s="51">
        <f>IF($F1170=0,0,SUMIFS('Time Off Log'!$H$5:$H$504,'Time Off Log'!$A$5:$A$504,$C1170,'Time Off Log'!$B$5:$B$504,"PTO",'Time Off Log'!$E$5:$E$504,"Approved",'Time Off Log'!$C$5:$C$504,"&gt;="&amp;INDEX(Periods!$E$5:$E$57,$B1170),'Time Off Log'!$C$5:$C$504,"&lt;="&amp;INDEX(Periods!$F$5:$F$57,$B1170)))</f>
        <v/>
      </c>
      <c r="M1170" s="51">
        <f>IF($B1170=1,N(INDEX(Employees!$N$5:$N$29,$A1170)),P1169)</f>
        <v/>
      </c>
      <c r="N1170" s="51">
        <f>IF(INDEX(Employees!$L$5:$L$29,$A1170)="",K1170,MAX(0,MIN(K1170,INDEX(Employees!$L$5:$L$29,$A1170)-(M1170-L1170))))</f>
        <v/>
      </c>
      <c r="O1170" s="51">
        <f>K1170-N1170</f>
        <v/>
      </c>
      <c r="P1170" s="51">
        <f>M1170-L1170+N1170</f>
        <v/>
      </c>
      <c r="Q1170" s="51">
        <f>IF($G1170=0,0,IF(INDEX(Employees!$P$5:$P$29,$A1170)="Per pay period",(N(INDEX(Employees!$Q$5:$Q$29,$A1170)))/Settings!$B$13,IF(INDEX(Employees!$P$5:$P$29,$A1170)="Per hour worked",N(INDEX(Employees!$R$5:$R$29,$A1170))*$I1170,IF(INDEX(Employees!$P$5:$P$29,$A1170)="Front-loaded",IF(OR($B1170=1,N($G1169)=0),N(INDEX(Employees!$Q$5:$Q$29,$A1170)),0),0))))</f>
        <v/>
      </c>
      <c r="R1170" s="51">
        <f>IF($F1170=0,0,SUMIFS('Time Off Log'!$H$5:$H$504,'Time Off Log'!$A$5:$A$504,$C1170,'Time Off Log'!$B$5:$B$504,"Sick",'Time Off Log'!$E$5:$E$504,"Approved",'Time Off Log'!$C$5:$C$504,"&gt;="&amp;INDEX(Periods!$E$5:$E$57,$B1170),'Time Off Log'!$C$5:$C$504,"&lt;="&amp;INDEX(Periods!$F$5:$F$57,$B1170)))</f>
        <v/>
      </c>
      <c r="S1170" s="51">
        <f>IF($B1170=1,N(INDEX(Employees!$T$5:$T$29,$A1170)),V1169)</f>
        <v/>
      </c>
      <c r="T1170" s="51">
        <f>IF(INDEX(Employees!$S$5:$S$29,$A1170)="",Q1170,MAX(0,MIN(Q1170,INDEX(Employees!$S$5:$S$29,$A1170)-(S1170-R1170))))</f>
        <v/>
      </c>
      <c r="U1170" s="51">
        <f>Q1170-T1170</f>
        <v/>
      </c>
      <c r="V1170" s="51">
        <f>S1170-R1170+T1170</f>
        <v/>
      </c>
    </row>
    <row r="1171">
      <c r="A1171" s="47" t="n">
        <v>23</v>
      </c>
      <c r="B1171" s="47" t="n">
        <v>1</v>
      </c>
      <c r="C1171" s="48">
        <f>INDEX(Employees!$B$5:$B$29,$A1171)&amp;""</f>
        <v/>
      </c>
      <c r="D1171" s="49">
        <f>INDEX(Periods!$B$5:$B$57,$B1171)</f>
        <v/>
      </c>
      <c r="E1171" s="49">
        <f>INDEX(Periods!$C$5:$C$57,$B1171)</f>
        <v/>
      </c>
      <c r="F1171" s="47">
        <f>IF(AND($C1171&lt;&gt;"",INDEX(Periods!$D$5:$D$57,$B1171)=1),1,0)</f>
        <v/>
      </c>
      <c r="G1171" s="47">
        <f>IF($F1171=0,0,IF(AND(OR(INDEX(Employees!$D$5:$D$29,$A1171)="",$E1171&gt;=INDEX(Employees!$D$5:$D$29,$A1171)+N(INDEX(Employees!$U$5:$U$29,$A1171))),OR(INDEX(Employees!$E$5:$E$29,$A1171)="",$D1171&lt;=INDEX(Employees!$E$5:$E$29,$A1171))),1,0))</f>
        <v/>
      </c>
      <c r="H1171" s="47">
        <f>IF($G1171=0,0,IF(INDEX(Employees!$D$5:$D$29,$A1171)="",0,DATEDIF(INDEX(Employees!$D$5:$D$29,$A1171),$E1171,"y")))</f>
        <v/>
      </c>
      <c r="I1171" s="48">
        <f>IF($G1171=0,0,IF(INDEX('Hours Worked'!$D$5:$BD$29,$A1171,$B1171)="",N(INDEX(Employees!$H$5:$H$29,$A1171)),INDEX('Hours Worked'!$D$5:$BD$29,$A1171,$B1171)))</f>
        <v/>
      </c>
      <c r="J1171" s="48">
        <f>IF(OR($G1171=0,INDEX(Employees!$O$5:$O$29,$A1171)&lt;&gt;"Yes"),0,IF(COUNTIF(Settings!$D$4:$D$9,"&lt;="&amp;$H1171)=0,0,INDEX(Settings!$E$4:$E$9,COUNTIF(Settings!$D$4:$D$9,"&lt;="&amp;$H1171))))</f>
        <v/>
      </c>
      <c r="K1171" s="48">
        <f>IF($G1171=0,0,IF(INDEX(Employees!$I$5:$I$29,$A1171)="Per pay period",(N(INDEX(Employees!$J$5:$J$29,$A1171))+$J1171)/Settings!$B$13,IF(INDEX(Employees!$I$5:$I$29,$A1171)="Per hour worked",N(INDEX(Employees!$K$5:$K$29,$A1171))*$I1171,IF(INDEX(Employees!$I$5:$I$29,$A1171)="Front-loaded",IF(OR($B1171=1,N($G1170)=0),N(INDEX(Employees!$J$5:$J$29,$A1171))+$J1171,0),0))))</f>
        <v/>
      </c>
      <c r="L1171" s="48">
        <f>IF($F1171=0,0,SUMIFS('Time Off Log'!$H$5:$H$504,'Time Off Log'!$A$5:$A$504,$C1171,'Time Off Log'!$B$5:$B$504,"PTO",'Time Off Log'!$E$5:$E$504,"Approved",'Time Off Log'!$C$5:$C$504,"&gt;="&amp;INDEX(Periods!$E$5:$E$57,$B1171),'Time Off Log'!$C$5:$C$504,"&lt;="&amp;INDEX(Periods!$F$5:$F$57,$B1171)))</f>
        <v/>
      </c>
      <c r="M1171" s="48">
        <f>N(INDEX(Employees!$N$5:$N$29,$A1171))</f>
        <v/>
      </c>
      <c r="N1171" s="48">
        <f>IF(INDEX(Employees!$L$5:$L$29,$A1171)="",K1171,MAX(0,MIN(K1171,INDEX(Employees!$L$5:$L$29,$A1171)-(M1171-L1171))))</f>
        <v/>
      </c>
      <c r="O1171" s="48">
        <f>K1171-N1171</f>
        <v/>
      </c>
      <c r="P1171" s="48">
        <f>M1171-L1171+N1171</f>
        <v/>
      </c>
      <c r="Q1171" s="48">
        <f>IF($G1171=0,0,IF(INDEX(Employees!$P$5:$P$29,$A1171)="Per pay period",(N(INDEX(Employees!$Q$5:$Q$29,$A1171)))/Settings!$B$13,IF(INDEX(Employees!$P$5:$P$29,$A1171)="Per hour worked",N(INDEX(Employees!$R$5:$R$29,$A1171))*$I1171,IF(INDEX(Employees!$P$5:$P$29,$A1171)="Front-loaded",IF(OR($B1171=1,N($G1170)=0),N(INDEX(Employees!$Q$5:$Q$29,$A1171)),0),0))))</f>
        <v/>
      </c>
      <c r="R1171" s="48">
        <f>IF($F1171=0,0,SUMIFS('Time Off Log'!$H$5:$H$504,'Time Off Log'!$A$5:$A$504,$C1171,'Time Off Log'!$B$5:$B$504,"Sick",'Time Off Log'!$E$5:$E$504,"Approved",'Time Off Log'!$C$5:$C$504,"&gt;="&amp;INDEX(Periods!$E$5:$E$57,$B1171),'Time Off Log'!$C$5:$C$504,"&lt;="&amp;INDEX(Periods!$F$5:$F$57,$B1171)))</f>
        <v/>
      </c>
      <c r="S1171" s="48">
        <f>N(INDEX(Employees!$T$5:$T$29,$A1171))</f>
        <v/>
      </c>
      <c r="T1171" s="48">
        <f>IF(INDEX(Employees!$S$5:$S$29,$A1171)="",Q1171,MAX(0,MIN(Q1171,INDEX(Employees!$S$5:$S$29,$A1171)-(S1171-R1171))))</f>
        <v/>
      </c>
      <c r="U1171" s="48">
        <f>Q1171-T1171</f>
        <v/>
      </c>
      <c r="V1171" s="48">
        <f>S1171-R1171+T1171</f>
        <v/>
      </c>
    </row>
    <row r="1172">
      <c r="A1172" s="47" t="n">
        <v>23</v>
      </c>
      <c r="B1172" s="47" t="n">
        <v>2</v>
      </c>
      <c r="C1172" s="48">
        <f>INDEX(Employees!$B$5:$B$29,$A1172)&amp;""</f>
        <v/>
      </c>
      <c r="D1172" s="49">
        <f>INDEX(Periods!$B$5:$B$57,$B1172)</f>
        <v/>
      </c>
      <c r="E1172" s="49">
        <f>INDEX(Periods!$C$5:$C$57,$B1172)</f>
        <v/>
      </c>
      <c r="F1172" s="47">
        <f>IF(AND($C1172&lt;&gt;"",INDEX(Periods!$D$5:$D$57,$B1172)=1),1,0)</f>
        <v/>
      </c>
      <c r="G1172" s="47">
        <f>IF($F1172=0,0,IF(AND(OR(INDEX(Employees!$D$5:$D$29,$A1172)="",$E1172&gt;=INDEX(Employees!$D$5:$D$29,$A1172)+N(INDEX(Employees!$U$5:$U$29,$A1172))),OR(INDEX(Employees!$E$5:$E$29,$A1172)="",$D1172&lt;=INDEX(Employees!$E$5:$E$29,$A1172))),1,0))</f>
        <v/>
      </c>
      <c r="H1172" s="47">
        <f>IF($G1172=0,0,IF(INDEX(Employees!$D$5:$D$29,$A1172)="",0,DATEDIF(INDEX(Employees!$D$5:$D$29,$A1172),$E1172,"y")))</f>
        <v/>
      </c>
      <c r="I1172" s="48">
        <f>IF($G1172=0,0,IF(INDEX('Hours Worked'!$D$5:$BD$29,$A1172,$B1172)="",N(INDEX(Employees!$H$5:$H$29,$A1172)),INDEX('Hours Worked'!$D$5:$BD$29,$A1172,$B1172)))</f>
        <v/>
      </c>
      <c r="J1172" s="48">
        <f>IF(OR($G1172=0,INDEX(Employees!$O$5:$O$29,$A1172)&lt;&gt;"Yes"),0,IF(COUNTIF(Settings!$D$4:$D$9,"&lt;="&amp;$H1172)=0,0,INDEX(Settings!$E$4:$E$9,COUNTIF(Settings!$D$4:$D$9,"&lt;="&amp;$H1172))))</f>
        <v/>
      </c>
      <c r="K1172" s="48">
        <f>IF($G1172=0,0,IF(INDEX(Employees!$I$5:$I$29,$A1172)="Per pay period",(N(INDEX(Employees!$J$5:$J$29,$A1172))+$J1172)/Settings!$B$13,IF(INDEX(Employees!$I$5:$I$29,$A1172)="Per hour worked",N(INDEX(Employees!$K$5:$K$29,$A1172))*$I1172,IF(INDEX(Employees!$I$5:$I$29,$A1172)="Front-loaded",IF(OR($B1172=1,N($G1171)=0),N(INDEX(Employees!$J$5:$J$29,$A1172))+$J1172,0),0))))</f>
        <v/>
      </c>
      <c r="L1172" s="48">
        <f>IF($F1172=0,0,SUMIFS('Time Off Log'!$H$5:$H$504,'Time Off Log'!$A$5:$A$504,$C1172,'Time Off Log'!$B$5:$B$504,"PTO",'Time Off Log'!$E$5:$E$504,"Approved",'Time Off Log'!$C$5:$C$504,"&gt;="&amp;INDEX(Periods!$E$5:$E$57,$B1172),'Time Off Log'!$C$5:$C$504,"&lt;="&amp;INDEX(Periods!$F$5:$F$57,$B1172)))</f>
        <v/>
      </c>
      <c r="M1172" s="48">
        <f>IF($B1172=1,N(INDEX(Employees!$N$5:$N$29,$A1172)),P1171)</f>
        <v/>
      </c>
      <c r="N1172" s="48">
        <f>IF(INDEX(Employees!$L$5:$L$29,$A1172)="",K1172,MAX(0,MIN(K1172,INDEX(Employees!$L$5:$L$29,$A1172)-(M1172-L1172))))</f>
        <v/>
      </c>
      <c r="O1172" s="48">
        <f>K1172-N1172</f>
        <v/>
      </c>
      <c r="P1172" s="48">
        <f>M1172-L1172+N1172</f>
        <v/>
      </c>
      <c r="Q1172" s="48">
        <f>IF($G1172=0,0,IF(INDEX(Employees!$P$5:$P$29,$A1172)="Per pay period",(N(INDEX(Employees!$Q$5:$Q$29,$A1172)))/Settings!$B$13,IF(INDEX(Employees!$P$5:$P$29,$A1172)="Per hour worked",N(INDEX(Employees!$R$5:$R$29,$A1172))*$I1172,IF(INDEX(Employees!$P$5:$P$29,$A1172)="Front-loaded",IF(OR($B1172=1,N($G1171)=0),N(INDEX(Employees!$Q$5:$Q$29,$A1172)),0),0))))</f>
        <v/>
      </c>
      <c r="R1172" s="48">
        <f>IF($F1172=0,0,SUMIFS('Time Off Log'!$H$5:$H$504,'Time Off Log'!$A$5:$A$504,$C1172,'Time Off Log'!$B$5:$B$504,"Sick",'Time Off Log'!$E$5:$E$504,"Approved",'Time Off Log'!$C$5:$C$504,"&gt;="&amp;INDEX(Periods!$E$5:$E$57,$B1172),'Time Off Log'!$C$5:$C$504,"&lt;="&amp;INDEX(Periods!$F$5:$F$57,$B1172)))</f>
        <v/>
      </c>
      <c r="S1172" s="48">
        <f>IF($B1172=1,N(INDEX(Employees!$T$5:$T$29,$A1172)),V1171)</f>
        <v/>
      </c>
      <c r="T1172" s="48">
        <f>IF(INDEX(Employees!$S$5:$S$29,$A1172)="",Q1172,MAX(0,MIN(Q1172,INDEX(Employees!$S$5:$S$29,$A1172)-(S1172-R1172))))</f>
        <v/>
      </c>
      <c r="U1172" s="48">
        <f>Q1172-T1172</f>
        <v/>
      </c>
      <c r="V1172" s="48">
        <f>S1172-R1172+T1172</f>
        <v/>
      </c>
    </row>
    <row r="1173">
      <c r="A1173" s="47" t="n">
        <v>23</v>
      </c>
      <c r="B1173" s="47" t="n">
        <v>3</v>
      </c>
      <c r="C1173" s="48">
        <f>INDEX(Employees!$B$5:$B$29,$A1173)&amp;""</f>
        <v/>
      </c>
      <c r="D1173" s="49">
        <f>INDEX(Periods!$B$5:$B$57,$B1173)</f>
        <v/>
      </c>
      <c r="E1173" s="49">
        <f>INDEX(Periods!$C$5:$C$57,$B1173)</f>
        <v/>
      </c>
      <c r="F1173" s="47">
        <f>IF(AND($C1173&lt;&gt;"",INDEX(Periods!$D$5:$D$57,$B1173)=1),1,0)</f>
        <v/>
      </c>
      <c r="G1173" s="47">
        <f>IF($F1173=0,0,IF(AND(OR(INDEX(Employees!$D$5:$D$29,$A1173)="",$E1173&gt;=INDEX(Employees!$D$5:$D$29,$A1173)+N(INDEX(Employees!$U$5:$U$29,$A1173))),OR(INDEX(Employees!$E$5:$E$29,$A1173)="",$D1173&lt;=INDEX(Employees!$E$5:$E$29,$A1173))),1,0))</f>
        <v/>
      </c>
      <c r="H1173" s="47">
        <f>IF($G1173=0,0,IF(INDEX(Employees!$D$5:$D$29,$A1173)="",0,DATEDIF(INDEX(Employees!$D$5:$D$29,$A1173),$E1173,"y")))</f>
        <v/>
      </c>
      <c r="I1173" s="48">
        <f>IF($G1173=0,0,IF(INDEX('Hours Worked'!$D$5:$BD$29,$A1173,$B1173)="",N(INDEX(Employees!$H$5:$H$29,$A1173)),INDEX('Hours Worked'!$D$5:$BD$29,$A1173,$B1173)))</f>
        <v/>
      </c>
      <c r="J1173" s="48">
        <f>IF(OR($G1173=0,INDEX(Employees!$O$5:$O$29,$A1173)&lt;&gt;"Yes"),0,IF(COUNTIF(Settings!$D$4:$D$9,"&lt;="&amp;$H1173)=0,0,INDEX(Settings!$E$4:$E$9,COUNTIF(Settings!$D$4:$D$9,"&lt;="&amp;$H1173))))</f>
        <v/>
      </c>
      <c r="K1173" s="48">
        <f>IF($G1173=0,0,IF(INDEX(Employees!$I$5:$I$29,$A1173)="Per pay period",(N(INDEX(Employees!$J$5:$J$29,$A1173))+$J1173)/Settings!$B$13,IF(INDEX(Employees!$I$5:$I$29,$A1173)="Per hour worked",N(INDEX(Employees!$K$5:$K$29,$A1173))*$I1173,IF(INDEX(Employees!$I$5:$I$29,$A1173)="Front-loaded",IF(OR($B1173=1,N($G1172)=0),N(INDEX(Employees!$J$5:$J$29,$A1173))+$J1173,0),0))))</f>
        <v/>
      </c>
      <c r="L1173" s="48">
        <f>IF($F1173=0,0,SUMIFS('Time Off Log'!$H$5:$H$504,'Time Off Log'!$A$5:$A$504,$C1173,'Time Off Log'!$B$5:$B$504,"PTO",'Time Off Log'!$E$5:$E$504,"Approved",'Time Off Log'!$C$5:$C$504,"&gt;="&amp;INDEX(Periods!$E$5:$E$57,$B1173),'Time Off Log'!$C$5:$C$504,"&lt;="&amp;INDEX(Periods!$F$5:$F$57,$B1173)))</f>
        <v/>
      </c>
      <c r="M1173" s="48">
        <f>IF($B1173=1,N(INDEX(Employees!$N$5:$N$29,$A1173)),P1172)</f>
        <v/>
      </c>
      <c r="N1173" s="48">
        <f>IF(INDEX(Employees!$L$5:$L$29,$A1173)="",K1173,MAX(0,MIN(K1173,INDEX(Employees!$L$5:$L$29,$A1173)-(M1173-L1173))))</f>
        <v/>
      </c>
      <c r="O1173" s="48">
        <f>K1173-N1173</f>
        <v/>
      </c>
      <c r="P1173" s="48">
        <f>M1173-L1173+N1173</f>
        <v/>
      </c>
      <c r="Q1173" s="48">
        <f>IF($G1173=0,0,IF(INDEX(Employees!$P$5:$P$29,$A1173)="Per pay period",(N(INDEX(Employees!$Q$5:$Q$29,$A1173)))/Settings!$B$13,IF(INDEX(Employees!$P$5:$P$29,$A1173)="Per hour worked",N(INDEX(Employees!$R$5:$R$29,$A1173))*$I1173,IF(INDEX(Employees!$P$5:$P$29,$A1173)="Front-loaded",IF(OR($B1173=1,N($G1172)=0),N(INDEX(Employees!$Q$5:$Q$29,$A1173)),0),0))))</f>
        <v/>
      </c>
      <c r="R1173" s="48">
        <f>IF($F1173=0,0,SUMIFS('Time Off Log'!$H$5:$H$504,'Time Off Log'!$A$5:$A$504,$C1173,'Time Off Log'!$B$5:$B$504,"Sick",'Time Off Log'!$E$5:$E$504,"Approved",'Time Off Log'!$C$5:$C$504,"&gt;="&amp;INDEX(Periods!$E$5:$E$57,$B1173),'Time Off Log'!$C$5:$C$504,"&lt;="&amp;INDEX(Periods!$F$5:$F$57,$B1173)))</f>
        <v/>
      </c>
      <c r="S1173" s="48">
        <f>IF($B1173=1,N(INDEX(Employees!$T$5:$T$29,$A1173)),V1172)</f>
        <v/>
      </c>
      <c r="T1173" s="48">
        <f>IF(INDEX(Employees!$S$5:$S$29,$A1173)="",Q1173,MAX(0,MIN(Q1173,INDEX(Employees!$S$5:$S$29,$A1173)-(S1173-R1173))))</f>
        <v/>
      </c>
      <c r="U1173" s="48">
        <f>Q1173-T1173</f>
        <v/>
      </c>
      <c r="V1173" s="48">
        <f>S1173-R1173+T1173</f>
        <v/>
      </c>
    </row>
    <row r="1174">
      <c r="A1174" s="47" t="n">
        <v>23</v>
      </c>
      <c r="B1174" s="47" t="n">
        <v>4</v>
      </c>
      <c r="C1174" s="48">
        <f>INDEX(Employees!$B$5:$B$29,$A1174)&amp;""</f>
        <v/>
      </c>
      <c r="D1174" s="49">
        <f>INDEX(Periods!$B$5:$B$57,$B1174)</f>
        <v/>
      </c>
      <c r="E1174" s="49">
        <f>INDEX(Periods!$C$5:$C$57,$B1174)</f>
        <v/>
      </c>
      <c r="F1174" s="47">
        <f>IF(AND($C1174&lt;&gt;"",INDEX(Periods!$D$5:$D$57,$B1174)=1),1,0)</f>
        <v/>
      </c>
      <c r="G1174" s="47">
        <f>IF($F1174=0,0,IF(AND(OR(INDEX(Employees!$D$5:$D$29,$A1174)="",$E1174&gt;=INDEX(Employees!$D$5:$D$29,$A1174)+N(INDEX(Employees!$U$5:$U$29,$A1174))),OR(INDEX(Employees!$E$5:$E$29,$A1174)="",$D1174&lt;=INDEX(Employees!$E$5:$E$29,$A1174))),1,0))</f>
        <v/>
      </c>
      <c r="H1174" s="47">
        <f>IF($G1174=0,0,IF(INDEX(Employees!$D$5:$D$29,$A1174)="",0,DATEDIF(INDEX(Employees!$D$5:$D$29,$A1174),$E1174,"y")))</f>
        <v/>
      </c>
      <c r="I1174" s="48">
        <f>IF($G1174=0,0,IF(INDEX('Hours Worked'!$D$5:$BD$29,$A1174,$B1174)="",N(INDEX(Employees!$H$5:$H$29,$A1174)),INDEX('Hours Worked'!$D$5:$BD$29,$A1174,$B1174)))</f>
        <v/>
      </c>
      <c r="J1174" s="48">
        <f>IF(OR($G1174=0,INDEX(Employees!$O$5:$O$29,$A1174)&lt;&gt;"Yes"),0,IF(COUNTIF(Settings!$D$4:$D$9,"&lt;="&amp;$H1174)=0,0,INDEX(Settings!$E$4:$E$9,COUNTIF(Settings!$D$4:$D$9,"&lt;="&amp;$H1174))))</f>
        <v/>
      </c>
      <c r="K1174" s="48">
        <f>IF($G1174=0,0,IF(INDEX(Employees!$I$5:$I$29,$A1174)="Per pay period",(N(INDEX(Employees!$J$5:$J$29,$A1174))+$J1174)/Settings!$B$13,IF(INDEX(Employees!$I$5:$I$29,$A1174)="Per hour worked",N(INDEX(Employees!$K$5:$K$29,$A1174))*$I1174,IF(INDEX(Employees!$I$5:$I$29,$A1174)="Front-loaded",IF(OR($B1174=1,N($G1173)=0),N(INDEX(Employees!$J$5:$J$29,$A1174))+$J1174,0),0))))</f>
        <v/>
      </c>
      <c r="L1174" s="48">
        <f>IF($F1174=0,0,SUMIFS('Time Off Log'!$H$5:$H$504,'Time Off Log'!$A$5:$A$504,$C1174,'Time Off Log'!$B$5:$B$504,"PTO",'Time Off Log'!$E$5:$E$504,"Approved",'Time Off Log'!$C$5:$C$504,"&gt;="&amp;INDEX(Periods!$E$5:$E$57,$B1174),'Time Off Log'!$C$5:$C$504,"&lt;="&amp;INDEX(Periods!$F$5:$F$57,$B1174)))</f>
        <v/>
      </c>
      <c r="M1174" s="48">
        <f>IF($B1174=1,N(INDEX(Employees!$N$5:$N$29,$A1174)),P1173)</f>
        <v/>
      </c>
      <c r="N1174" s="48">
        <f>IF(INDEX(Employees!$L$5:$L$29,$A1174)="",K1174,MAX(0,MIN(K1174,INDEX(Employees!$L$5:$L$29,$A1174)-(M1174-L1174))))</f>
        <v/>
      </c>
      <c r="O1174" s="48">
        <f>K1174-N1174</f>
        <v/>
      </c>
      <c r="P1174" s="48">
        <f>M1174-L1174+N1174</f>
        <v/>
      </c>
      <c r="Q1174" s="48">
        <f>IF($G1174=0,0,IF(INDEX(Employees!$P$5:$P$29,$A1174)="Per pay period",(N(INDEX(Employees!$Q$5:$Q$29,$A1174)))/Settings!$B$13,IF(INDEX(Employees!$P$5:$P$29,$A1174)="Per hour worked",N(INDEX(Employees!$R$5:$R$29,$A1174))*$I1174,IF(INDEX(Employees!$P$5:$P$29,$A1174)="Front-loaded",IF(OR($B1174=1,N($G1173)=0),N(INDEX(Employees!$Q$5:$Q$29,$A1174)),0),0))))</f>
        <v/>
      </c>
      <c r="R1174" s="48">
        <f>IF($F1174=0,0,SUMIFS('Time Off Log'!$H$5:$H$504,'Time Off Log'!$A$5:$A$504,$C1174,'Time Off Log'!$B$5:$B$504,"Sick",'Time Off Log'!$E$5:$E$504,"Approved",'Time Off Log'!$C$5:$C$504,"&gt;="&amp;INDEX(Periods!$E$5:$E$57,$B1174),'Time Off Log'!$C$5:$C$504,"&lt;="&amp;INDEX(Periods!$F$5:$F$57,$B1174)))</f>
        <v/>
      </c>
      <c r="S1174" s="48">
        <f>IF($B1174=1,N(INDEX(Employees!$T$5:$T$29,$A1174)),V1173)</f>
        <v/>
      </c>
      <c r="T1174" s="48">
        <f>IF(INDEX(Employees!$S$5:$S$29,$A1174)="",Q1174,MAX(0,MIN(Q1174,INDEX(Employees!$S$5:$S$29,$A1174)-(S1174-R1174))))</f>
        <v/>
      </c>
      <c r="U1174" s="48">
        <f>Q1174-T1174</f>
        <v/>
      </c>
      <c r="V1174" s="48">
        <f>S1174-R1174+T1174</f>
        <v/>
      </c>
    </row>
    <row r="1175">
      <c r="A1175" s="47" t="n">
        <v>23</v>
      </c>
      <c r="B1175" s="47" t="n">
        <v>5</v>
      </c>
      <c r="C1175" s="48">
        <f>INDEX(Employees!$B$5:$B$29,$A1175)&amp;""</f>
        <v/>
      </c>
      <c r="D1175" s="49">
        <f>INDEX(Periods!$B$5:$B$57,$B1175)</f>
        <v/>
      </c>
      <c r="E1175" s="49">
        <f>INDEX(Periods!$C$5:$C$57,$B1175)</f>
        <v/>
      </c>
      <c r="F1175" s="47">
        <f>IF(AND($C1175&lt;&gt;"",INDEX(Periods!$D$5:$D$57,$B1175)=1),1,0)</f>
        <v/>
      </c>
      <c r="G1175" s="47">
        <f>IF($F1175=0,0,IF(AND(OR(INDEX(Employees!$D$5:$D$29,$A1175)="",$E1175&gt;=INDEX(Employees!$D$5:$D$29,$A1175)+N(INDEX(Employees!$U$5:$U$29,$A1175))),OR(INDEX(Employees!$E$5:$E$29,$A1175)="",$D1175&lt;=INDEX(Employees!$E$5:$E$29,$A1175))),1,0))</f>
        <v/>
      </c>
      <c r="H1175" s="47">
        <f>IF($G1175=0,0,IF(INDEX(Employees!$D$5:$D$29,$A1175)="",0,DATEDIF(INDEX(Employees!$D$5:$D$29,$A1175),$E1175,"y")))</f>
        <v/>
      </c>
      <c r="I1175" s="48">
        <f>IF($G1175=0,0,IF(INDEX('Hours Worked'!$D$5:$BD$29,$A1175,$B1175)="",N(INDEX(Employees!$H$5:$H$29,$A1175)),INDEX('Hours Worked'!$D$5:$BD$29,$A1175,$B1175)))</f>
        <v/>
      </c>
      <c r="J1175" s="48">
        <f>IF(OR($G1175=0,INDEX(Employees!$O$5:$O$29,$A1175)&lt;&gt;"Yes"),0,IF(COUNTIF(Settings!$D$4:$D$9,"&lt;="&amp;$H1175)=0,0,INDEX(Settings!$E$4:$E$9,COUNTIF(Settings!$D$4:$D$9,"&lt;="&amp;$H1175))))</f>
        <v/>
      </c>
      <c r="K1175" s="48">
        <f>IF($G1175=0,0,IF(INDEX(Employees!$I$5:$I$29,$A1175)="Per pay period",(N(INDEX(Employees!$J$5:$J$29,$A1175))+$J1175)/Settings!$B$13,IF(INDEX(Employees!$I$5:$I$29,$A1175)="Per hour worked",N(INDEX(Employees!$K$5:$K$29,$A1175))*$I1175,IF(INDEX(Employees!$I$5:$I$29,$A1175)="Front-loaded",IF(OR($B1175=1,N($G1174)=0),N(INDEX(Employees!$J$5:$J$29,$A1175))+$J1175,0),0))))</f>
        <v/>
      </c>
      <c r="L1175" s="48">
        <f>IF($F1175=0,0,SUMIFS('Time Off Log'!$H$5:$H$504,'Time Off Log'!$A$5:$A$504,$C1175,'Time Off Log'!$B$5:$B$504,"PTO",'Time Off Log'!$E$5:$E$504,"Approved",'Time Off Log'!$C$5:$C$504,"&gt;="&amp;INDEX(Periods!$E$5:$E$57,$B1175),'Time Off Log'!$C$5:$C$504,"&lt;="&amp;INDEX(Periods!$F$5:$F$57,$B1175)))</f>
        <v/>
      </c>
      <c r="M1175" s="48">
        <f>IF($B1175=1,N(INDEX(Employees!$N$5:$N$29,$A1175)),P1174)</f>
        <v/>
      </c>
      <c r="N1175" s="48">
        <f>IF(INDEX(Employees!$L$5:$L$29,$A1175)="",K1175,MAX(0,MIN(K1175,INDEX(Employees!$L$5:$L$29,$A1175)-(M1175-L1175))))</f>
        <v/>
      </c>
      <c r="O1175" s="48">
        <f>K1175-N1175</f>
        <v/>
      </c>
      <c r="P1175" s="48">
        <f>M1175-L1175+N1175</f>
        <v/>
      </c>
      <c r="Q1175" s="48">
        <f>IF($G1175=0,0,IF(INDEX(Employees!$P$5:$P$29,$A1175)="Per pay period",(N(INDEX(Employees!$Q$5:$Q$29,$A1175)))/Settings!$B$13,IF(INDEX(Employees!$P$5:$P$29,$A1175)="Per hour worked",N(INDEX(Employees!$R$5:$R$29,$A1175))*$I1175,IF(INDEX(Employees!$P$5:$P$29,$A1175)="Front-loaded",IF(OR($B1175=1,N($G1174)=0),N(INDEX(Employees!$Q$5:$Q$29,$A1175)),0),0))))</f>
        <v/>
      </c>
      <c r="R1175" s="48">
        <f>IF($F1175=0,0,SUMIFS('Time Off Log'!$H$5:$H$504,'Time Off Log'!$A$5:$A$504,$C1175,'Time Off Log'!$B$5:$B$504,"Sick",'Time Off Log'!$E$5:$E$504,"Approved",'Time Off Log'!$C$5:$C$504,"&gt;="&amp;INDEX(Periods!$E$5:$E$57,$B1175),'Time Off Log'!$C$5:$C$504,"&lt;="&amp;INDEX(Periods!$F$5:$F$57,$B1175)))</f>
        <v/>
      </c>
      <c r="S1175" s="48">
        <f>IF($B1175=1,N(INDEX(Employees!$T$5:$T$29,$A1175)),V1174)</f>
        <v/>
      </c>
      <c r="T1175" s="48">
        <f>IF(INDEX(Employees!$S$5:$S$29,$A1175)="",Q1175,MAX(0,MIN(Q1175,INDEX(Employees!$S$5:$S$29,$A1175)-(S1175-R1175))))</f>
        <v/>
      </c>
      <c r="U1175" s="48">
        <f>Q1175-T1175</f>
        <v/>
      </c>
      <c r="V1175" s="48">
        <f>S1175-R1175+T1175</f>
        <v/>
      </c>
    </row>
    <row r="1176">
      <c r="A1176" s="47" t="n">
        <v>23</v>
      </c>
      <c r="B1176" s="47" t="n">
        <v>6</v>
      </c>
      <c r="C1176" s="48">
        <f>INDEX(Employees!$B$5:$B$29,$A1176)&amp;""</f>
        <v/>
      </c>
      <c r="D1176" s="49">
        <f>INDEX(Periods!$B$5:$B$57,$B1176)</f>
        <v/>
      </c>
      <c r="E1176" s="49">
        <f>INDEX(Periods!$C$5:$C$57,$B1176)</f>
        <v/>
      </c>
      <c r="F1176" s="47">
        <f>IF(AND($C1176&lt;&gt;"",INDEX(Periods!$D$5:$D$57,$B1176)=1),1,0)</f>
        <v/>
      </c>
      <c r="G1176" s="47">
        <f>IF($F1176=0,0,IF(AND(OR(INDEX(Employees!$D$5:$D$29,$A1176)="",$E1176&gt;=INDEX(Employees!$D$5:$D$29,$A1176)+N(INDEX(Employees!$U$5:$U$29,$A1176))),OR(INDEX(Employees!$E$5:$E$29,$A1176)="",$D1176&lt;=INDEX(Employees!$E$5:$E$29,$A1176))),1,0))</f>
        <v/>
      </c>
      <c r="H1176" s="47">
        <f>IF($G1176=0,0,IF(INDEX(Employees!$D$5:$D$29,$A1176)="",0,DATEDIF(INDEX(Employees!$D$5:$D$29,$A1176),$E1176,"y")))</f>
        <v/>
      </c>
      <c r="I1176" s="48">
        <f>IF($G1176=0,0,IF(INDEX('Hours Worked'!$D$5:$BD$29,$A1176,$B1176)="",N(INDEX(Employees!$H$5:$H$29,$A1176)),INDEX('Hours Worked'!$D$5:$BD$29,$A1176,$B1176)))</f>
        <v/>
      </c>
      <c r="J1176" s="48">
        <f>IF(OR($G1176=0,INDEX(Employees!$O$5:$O$29,$A1176)&lt;&gt;"Yes"),0,IF(COUNTIF(Settings!$D$4:$D$9,"&lt;="&amp;$H1176)=0,0,INDEX(Settings!$E$4:$E$9,COUNTIF(Settings!$D$4:$D$9,"&lt;="&amp;$H1176))))</f>
        <v/>
      </c>
      <c r="K1176" s="48">
        <f>IF($G1176=0,0,IF(INDEX(Employees!$I$5:$I$29,$A1176)="Per pay period",(N(INDEX(Employees!$J$5:$J$29,$A1176))+$J1176)/Settings!$B$13,IF(INDEX(Employees!$I$5:$I$29,$A1176)="Per hour worked",N(INDEX(Employees!$K$5:$K$29,$A1176))*$I1176,IF(INDEX(Employees!$I$5:$I$29,$A1176)="Front-loaded",IF(OR($B1176=1,N($G1175)=0),N(INDEX(Employees!$J$5:$J$29,$A1176))+$J1176,0),0))))</f>
        <v/>
      </c>
      <c r="L1176" s="48">
        <f>IF($F1176=0,0,SUMIFS('Time Off Log'!$H$5:$H$504,'Time Off Log'!$A$5:$A$504,$C1176,'Time Off Log'!$B$5:$B$504,"PTO",'Time Off Log'!$E$5:$E$504,"Approved",'Time Off Log'!$C$5:$C$504,"&gt;="&amp;INDEX(Periods!$E$5:$E$57,$B1176),'Time Off Log'!$C$5:$C$504,"&lt;="&amp;INDEX(Periods!$F$5:$F$57,$B1176)))</f>
        <v/>
      </c>
      <c r="M1176" s="48">
        <f>IF($B1176=1,N(INDEX(Employees!$N$5:$N$29,$A1176)),P1175)</f>
        <v/>
      </c>
      <c r="N1176" s="48">
        <f>IF(INDEX(Employees!$L$5:$L$29,$A1176)="",K1176,MAX(0,MIN(K1176,INDEX(Employees!$L$5:$L$29,$A1176)-(M1176-L1176))))</f>
        <v/>
      </c>
      <c r="O1176" s="48">
        <f>K1176-N1176</f>
        <v/>
      </c>
      <c r="P1176" s="48">
        <f>M1176-L1176+N1176</f>
        <v/>
      </c>
      <c r="Q1176" s="48">
        <f>IF($G1176=0,0,IF(INDEX(Employees!$P$5:$P$29,$A1176)="Per pay period",(N(INDEX(Employees!$Q$5:$Q$29,$A1176)))/Settings!$B$13,IF(INDEX(Employees!$P$5:$P$29,$A1176)="Per hour worked",N(INDEX(Employees!$R$5:$R$29,$A1176))*$I1176,IF(INDEX(Employees!$P$5:$P$29,$A1176)="Front-loaded",IF(OR($B1176=1,N($G1175)=0),N(INDEX(Employees!$Q$5:$Q$29,$A1176)),0),0))))</f>
        <v/>
      </c>
      <c r="R1176" s="48">
        <f>IF($F1176=0,0,SUMIFS('Time Off Log'!$H$5:$H$504,'Time Off Log'!$A$5:$A$504,$C1176,'Time Off Log'!$B$5:$B$504,"Sick",'Time Off Log'!$E$5:$E$504,"Approved",'Time Off Log'!$C$5:$C$504,"&gt;="&amp;INDEX(Periods!$E$5:$E$57,$B1176),'Time Off Log'!$C$5:$C$504,"&lt;="&amp;INDEX(Periods!$F$5:$F$57,$B1176)))</f>
        <v/>
      </c>
      <c r="S1176" s="48">
        <f>IF($B1176=1,N(INDEX(Employees!$T$5:$T$29,$A1176)),V1175)</f>
        <v/>
      </c>
      <c r="T1176" s="48">
        <f>IF(INDEX(Employees!$S$5:$S$29,$A1176)="",Q1176,MAX(0,MIN(Q1176,INDEX(Employees!$S$5:$S$29,$A1176)-(S1176-R1176))))</f>
        <v/>
      </c>
      <c r="U1176" s="48">
        <f>Q1176-T1176</f>
        <v/>
      </c>
      <c r="V1176" s="48">
        <f>S1176-R1176+T1176</f>
        <v/>
      </c>
    </row>
    <row r="1177">
      <c r="A1177" s="47" t="n">
        <v>23</v>
      </c>
      <c r="B1177" s="47" t="n">
        <v>7</v>
      </c>
      <c r="C1177" s="48">
        <f>INDEX(Employees!$B$5:$B$29,$A1177)&amp;""</f>
        <v/>
      </c>
      <c r="D1177" s="49">
        <f>INDEX(Periods!$B$5:$B$57,$B1177)</f>
        <v/>
      </c>
      <c r="E1177" s="49">
        <f>INDEX(Periods!$C$5:$C$57,$B1177)</f>
        <v/>
      </c>
      <c r="F1177" s="47">
        <f>IF(AND($C1177&lt;&gt;"",INDEX(Periods!$D$5:$D$57,$B1177)=1),1,0)</f>
        <v/>
      </c>
      <c r="G1177" s="47">
        <f>IF($F1177=0,0,IF(AND(OR(INDEX(Employees!$D$5:$D$29,$A1177)="",$E1177&gt;=INDEX(Employees!$D$5:$D$29,$A1177)+N(INDEX(Employees!$U$5:$U$29,$A1177))),OR(INDEX(Employees!$E$5:$E$29,$A1177)="",$D1177&lt;=INDEX(Employees!$E$5:$E$29,$A1177))),1,0))</f>
        <v/>
      </c>
      <c r="H1177" s="47">
        <f>IF($G1177=0,0,IF(INDEX(Employees!$D$5:$D$29,$A1177)="",0,DATEDIF(INDEX(Employees!$D$5:$D$29,$A1177),$E1177,"y")))</f>
        <v/>
      </c>
      <c r="I1177" s="48">
        <f>IF($G1177=0,0,IF(INDEX('Hours Worked'!$D$5:$BD$29,$A1177,$B1177)="",N(INDEX(Employees!$H$5:$H$29,$A1177)),INDEX('Hours Worked'!$D$5:$BD$29,$A1177,$B1177)))</f>
        <v/>
      </c>
      <c r="J1177" s="48">
        <f>IF(OR($G1177=0,INDEX(Employees!$O$5:$O$29,$A1177)&lt;&gt;"Yes"),0,IF(COUNTIF(Settings!$D$4:$D$9,"&lt;="&amp;$H1177)=0,0,INDEX(Settings!$E$4:$E$9,COUNTIF(Settings!$D$4:$D$9,"&lt;="&amp;$H1177))))</f>
        <v/>
      </c>
      <c r="K1177" s="48">
        <f>IF($G1177=0,0,IF(INDEX(Employees!$I$5:$I$29,$A1177)="Per pay period",(N(INDEX(Employees!$J$5:$J$29,$A1177))+$J1177)/Settings!$B$13,IF(INDEX(Employees!$I$5:$I$29,$A1177)="Per hour worked",N(INDEX(Employees!$K$5:$K$29,$A1177))*$I1177,IF(INDEX(Employees!$I$5:$I$29,$A1177)="Front-loaded",IF(OR($B1177=1,N($G1176)=0),N(INDEX(Employees!$J$5:$J$29,$A1177))+$J1177,0),0))))</f>
        <v/>
      </c>
      <c r="L1177" s="48">
        <f>IF($F1177=0,0,SUMIFS('Time Off Log'!$H$5:$H$504,'Time Off Log'!$A$5:$A$504,$C1177,'Time Off Log'!$B$5:$B$504,"PTO",'Time Off Log'!$E$5:$E$504,"Approved",'Time Off Log'!$C$5:$C$504,"&gt;="&amp;INDEX(Periods!$E$5:$E$57,$B1177),'Time Off Log'!$C$5:$C$504,"&lt;="&amp;INDEX(Periods!$F$5:$F$57,$B1177)))</f>
        <v/>
      </c>
      <c r="M1177" s="48">
        <f>IF($B1177=1,N(INDEX(Employees!$N$5:$N$29,$A1177)),P1176)</f>
        <v/>
      </c>
      <c r="N1177" s="48">
        <f>IF(INDEX(Employees!$L$5:$L$29,$A1177)="",K1177,MAX(0,MIN(K1177,INDEX(Employees!$L$5:$L$29,$A1177)-(M1177-L1177))))</f>
        <v/>
      </c>
      <c r="O1177" s="48">
        <f>K1177-N1177</f>
        <v/>
      </c>
      <c r="P1177" s="48">
        <f>M1177-L1177+N1177</f>
        <v/>
      </c>
      <c r="Q1177" s="48">
        <f>IF($G1177=0,0,IF(INDEX(Employees!$P$5:$P$29,$A1177)="Per pay period",(N(INDEX(Employees!$Q$5:$Q$29,$A1177)))/Settings!$B$13,IF(INDEX(Employees!$P$5:$P$29,$A1177)="Per hour worked",N(INDEX(Employees!$R$5:$R$29,$A1177))*$I1177,IF(INDEX(Employees!$P$5:$P$29,$A1177)="Front-loaded",IF(OR($B1177=1,N($G1176)=0),N(INDEX(Employees!$Q$5:$Q$29,$A1177)),0),0))))</f>
        <v/>
      </c>
      <c r="R1177" s="48">
        <f>IF($F1177=0,0,SUMIFS('Time Off Log'!$H$5:$H$504,'Time Off Log'!$A$5:$A$504,$C1177,'Time Off Log'!$B$5:$B$504,"Sick",'Time Off Log'!$E$5:$E$504,"Approved",'Time Off Log'!$C$5:$C$504,"&gt;="&amp;INDEX(Periods!$E$5:$E$57,$B1177),'Time Off Log'!$C$5:$C$504,"&lt;="&amp;INDEX(Periods!$F$5:$F$57,$B1177)))</f>
        <v/>
      </c>
      <c r="S1177" s="48">
        <f>IF($B1177=1,N(INDEX(Employees!$T$5:$T$29,$A1177)),V1176)</f>
        <v/>
      </c>
      <c r="T1177" s="48">
        <f>IF(INDEX(Employees!$S$5:$S$29,$A1177)="",Q1177,MAX(0,MIN(Q1177,INDEX(Employees!$S$5:$S$29,$A1177)-(S1177-R1177))))</f>
        <v/>
      </c>
      <c r="U1177" s="48">
        <f>Q1177-T1177</f>
        <v/>
      </c>
      <c r="V1177" s="48">
        <f>S1177-R1177+T1177</f>
        <v/>
      </c>
    </row>
    <row r="1178">
      <c r="A1178" s="47" t="n">
        <v>23</v>
      </c>
      <c r="B1178" s="47" t="n">
        <v>8</v>
      </c>
      <c r="C1178" s="48">
        <f>INDEX(Employees!$B$5:$B$29,$A1178)&amp;""</f>
        <v/>
      </c>
      <c r="D1178" s="49">
        <f>INDEX(Periods!$B$5:$B$57,$B1178)</f>
        <v/>
      </c>
      <c r="E1178" s="49">
        <f>INDEX(Periods!$C$5:$C$57,$B1178)</f>
        <v/>
      </c>
      <c r="F1178" s="47">
        <f>IF(AND($C1178&lt;&gt;"",INDEX(Periods!$D$5:$D$57,$B1178)=1),1,0)</f>
        <v/>
      </c>
      <c r="G1178" s="47">
        <f>IF($F1178=0,0,IF(AND(OR(INDEX(Employees!$D$5:$D$29,$A1178)="",$E1178&gt;=INDEX(Employees!$D$5:$D$29,$A1178)+N(INDEX(Employees!$U$5:$U$29,$A1178))),OR(INDEX(Employees!$E$5:$E$29,$A1178)="",$D1178&lt;=INDEX(Employees!$E$5:$E$29,$A1178))),1,0))</f>
        <v/>
      </c>
      <c r="H1178" s="47">
        <f>IF($G1178=0,0,IF(INDEX(Employees!$D$5:$D$29,$A1178)="",0,DATEDIF(INDEX(Employees!$D$5:$D$29,$A1178),$E1178,"y")))</f>
        <v/>
      </c>
      <c r="I1178" s="48">
        <f>IF($G1178=0,0,IF(INDEX('Hours Worked'!$D$5:$BD$29,$A1178,$B1178)="",N(INDEX(Employees!$H$5:$H$29,$A1178)),INDEX('Hours Worked'!$D$5:$BD$29,$A1178,$B1178)))</f>
        <v/>
      </c>
      <c r="J1178" s="48">
        <f>IF(OR($G1178=0,INDEX(Employees!$O$5:$O$29,$A1178)&lt;&gt;"Yes"),0,IF(COUNTIF(Settings!$D$4:$D$9,"&lt;="&amp;$H1178)=0,0,INDEX(Settings!$E$4:$E$9,COUNTIF(Settings!$D$4:$D$9,"&lt;="&amp;$H1178))))</f>
        <v/>
      </c>
      <c r="K1178" s="48">
        <f>IF($G1178=0,0,IF(INDEX(Employees!$I$5:$I$29,$A1178)="Per pay period",(N(INDEX(Employees!$J$5:$J$29,$A1178))+$J1178)/Settings!$B$13,IF(INDEX(Employees!$I$5:$I$29,$A1178)="Per hour worked",N(INDEX(Employees!$K$5:$K$29,$A1178))*$I1178,IF(INDEX(Employees!$I$5:$I$29,$A1178)="Front-loaded",IF(OR($B1178=1,N($G1177)=0),N(INDEX(Employees!$J$5:$J$29,$A1178))+$J1178,0),0))))</f>
        <v/>
      </c>
      <c r="L1178" s="48">
        <f>IF($F1178=0,0,SUMIFS('Time Off Log'!$H$5:$H$504,'Time Off Log'!$A$5:$A$504,$C1178,'Time Off Log'!$B$5:$B$504,"PTO",'Time Off Log'!$E$5:$E$504,"Approved",'Time Off Log'!$C$5:$C$504,"&gt;="&amp;INDEX(Periods!$E$5:$E$57,$B1178),'Time Off Log'!$C$5:$C$504,"&lt;="&amp;INDEX(Periods!$F$5:$F$57,$B1178)))</f>
        <v/>
      </c>
      <c r="M1178" s="48">
        <f>IF($B1178=1,N(INDEX(Employees!$N$5:$N$29,$A1178)),P1177)</f>
        <v/>
      </c>
      <c r="N1178" s="48">
        <f>IF(INDEX(Employees!$L$5:$L$29,$A1178)="",K1178,MAX(0,MIN(K1178,INDEX(Employees!$L$5:$L$29,$A1178)-(M1178-L1178))))</f>
        <v/>
      </c>
      <c r="O1178" s="48">
        <f>K1178-N1178</f>
        <v/>
      </c>
      <c r="P1178" s="48">
        <f>M1178-L1178+N1178</f>
        <v/>
      </c>
      <c r="Q1178" s="48">
        <f>IF($G1178=0,0,IF(INDEX(Employees!$P$5:$P$29,$A1178)="Per pay period",(N(INDEX(Employees!$Q$5:$Q$29,$A1178)))/Settings!$B$13,IF(INDEX(Employees!$P$5:$P$29,$A1178)="Per hour worked",N(INDEX(Employees!$R$5:$R$29,$A1178))*$I1178,IF(INDEX(Employees!$P$5:$P$29,$A1178)="Front-loaded",IF(OR($B1178=1,N($G1177)=0),N(INDEX(Employees!$Q$5:$Q$29,$A1178)),0),0))))</f>
        <v/>
      </c>
      <c r="R1178" s="48">
        <f>IF($F1178=0,0,SUMIFS('Time Off Log'!$H$5:$H$504,'Time Off Log'!$A$5:$A$504,$C1178,'Time Off Log'!$B$5:$B$504,"Sick",'Time Off Log'!$E$5:$E$504,"Approved",'Time Off Log'!$C$5:$C$504,"&gt;="&amp;INDEX(Periods!$E$5:$E$57,$B1178),'Time Off Log'!$C$5:$C$504,"&lt;="&amp;INDEX(Periods!$F$5:$F$57,$B1178)))</f>
        <v/>
      </c>
      <c r="S1178" s="48">
        <f>IF($B1178=1,N(INDEX(Employees!$T$5:$T$29,$A1178)),V1177)</f>
        <v/>
      </c>
      <c r="T1178" s="48">
        <f>IF(INDEX(Employees!$S$5:$S$29,$A1178)="",Q1178,MAX(0,MIN(Q1178,INDEX(Employees!$S$5:$S$29,$A1178)-(S1178-R1178))))</f>
        <v/>
      </c>
      <c r="U1178" s="48">
        <f>Q1178-T1178</f>
        <v/>
      </c>
      <c r="V1178" s="48">
        <f>S1178-R1178+T1178</f>
        <v/>
      </c>
    </row>
    <row r="1179">
      <c r="A1179" s="47" t="n">
        <v>23</v>
      </c>
      <c r="B1179" s="47" t="n">
        <v>9</v>
      </c>
      <c r="C1179" s="48">
        <f>INDEX(Employees!$B$5:$B$29,$A1179)&amp;""</f>
        <v/>
      </c>
      <c r="D1179" s="49">
        <f>INDEX(Periods!$B$5:$B$57,$B1179)</f>
        <v/>
      </c>
      <c r="E1179" s="49">
        <f>INDEX(Periods!$C$5:$C$57,$B1179)</f>
        <v/>
      </c>
      <c r="F1179" s="47">
        <f>IF(AND($C1179&lt;&gt;"",INDEX(Periods!$D$5:$D$57,$B1179)=1),1,0)</f>
        <v/>
      </c>
      <c r="G1179" s="47">
        <f>IF($F1179=0,0,IF(AND(OR(INDEX(Employees!$D$5:$D$29,$A1179)="",$E1179&gt;=INDEX(Employees!$D$5:$D$29,$A1179)+N(INDEX(Employees!$U$5:$U$29,$A1179))),OR(INDEX(Employees!$E$5:$E$29,$A1179)="",$D1179&lt;=INDEX(Employees!$E$5:$E$29,$A1179))),1,0))</f>
        <v/>
      </c>
      <c r="H1179" s="47">
        <f>IF($G1179=0,0,IF(INDEX(Employees!$D$5:$D$29,$A1179)="",0,DATEDIF(INDEX(Employees!$D$5:$D$29,$A1179),$E1179,"y")))</f>
        <v/>
      </c>
      <c r="I1179" s="48">
        <f>IF($G1179=0,0,IF(INDEX('Hours Worked'!$D$5:$BD$29,$A1179,$B1179)="",N(INDEX(Employees!$H$5:$H$29,$A1179)),INDEX('Hours Worked'!$D$5:$BD$29,$A1179,$B1179)))</f>
        <v/>
      </c>
      <c r="J1179" s="48">
        <f>IF(OR($G1179=0,INDEX(Employees!$O$5:$O$29,$A1179)&lt;&gt;"Yes"),0,IF(COUNTIF(Settings!$D$4:$D$9,"&lt;="&amp;$H1179)=0,0,INDEX(Settings!$E$4:$E$9,COUNTIF(Settings!$D$4:$D$9,"&lt;="&amp;$H1179))))</f>
        <v/>
      </c>
      <c r="K1179" s="48">
        <f>IF($G1179=0,0,IF(INDEX(Employees!$I$5:$I$29,$A1179)="Per pay period",(N(INDEX(Employees!$J$5:$J$29,$A1179))+$J1179)/Settings!$B$13,IF(INDEX(Employees!$I$5:$I$29,$A1179)="Per hour worked",N(INDEX(Employees!$K$5:$K$29,$A1179))*$I1179,IF(INDEX(Employees!$I$5:$I$29,$A1179)="Front-loaded",IF(OR($B1179=1,N($G1178)=0),N(INDEX(Employees!$J$5:$J$29,$A1179))+$J1179,0),0))))</f>
        <v/>
      </c>
      <c r="L1179" s="48">
        <f>IF($F1179=0,0,SUMIFS('Time Off Log'!$H$5:$H$504,'Time Off Log'!$A$5:$A$504,$C1179,'Time Off Log'!$B$5:$B$504,"PTO",'Time Off Log'!$E$5:$E$504,"Approved",'Time Off Log'!$C$5:$C$504,"&gt;="&amp;INDEX(Periods!$E$5:$E$57,$B1179),'Time Off Log'!$C$5:$C$504,"&lt;="&amp;INDEX(Periods!$F$5:$F$57,$B1179)))</f>
        <v/>
      </c>
      <c r="M1179" s="48">
        <f>IF($B1179=1,N(INDEX(Employees!$N$5:$N$29,$A1179)),P1178)</f>
        <v/>
      </c>
      <c r="N1179" s="48">
        <f>IF(INDEX(Employees!$L$5:$L$29,$A1179)="",K1179,MAX(0,MIN(K1179,INDEX(Employees!$L$5:$L$29,$A1179)-(M1179-L1179))))</f>
        <v/>
      </c>
      <c r="O1179" s="48">
        <f>K1179-N1179</f>
        <v/>
      </c>
      <c r="P1179" s="48">
        <f>M1179-L1179+N1179</f>
        <v/>
      </c>
      <c r="Q1179" s="48">
        <f>IF($G1179=0,0,IF(INDEX(Employees!$P$5:$P$29,$A1179)="Per pay period",(N(INDEX(Employees!$Q$5:$Q$29,$A1179)))/Settings!$B$13,IF(INDEX(Employees!$P$5:$P$29,$A1179)="Per hour worked",N(INDEX(Employees!$R$5:$R$29,$A1179))*$I1179,IF(INDEX(Employees!$P$5:$P$29,$A1179)="Front-loaded",IF(OR($B1179=1,N($G1178)=0),N(INDEX(Employees!$Q$5:$Q$29,$A1179)),0),0))))</f>
        <v/>
      </c>
      <c r="R1179" s="48">
        <f>IF($F1179=0,0,SUMIFS('Time Off Log'!$H$5:$H$504,'Time Off Log'!$A$5:$A$504,$C1179,'Time Off Log'!$B$5:$B$504,"Sick",'Time Off Log'!$E$5:$E$504,"Approved",'Time Off Log'!$C$5:$C$504,"&gt;="&amp;INDEX(Periods!$E$5:$E$57,$B1179),'Time Off Log'!$C$5:$C$504,"&lt;="&amp;INDEX(Periods!$F$5:$F$57,$B1179)))</f>
        <v/>
      </c>
      <c r="S1179" s="48">
        <f>IF($B1179=1,N(INDEX(Employees!$T$5:$T$29,$A1179)),V1178)</f>
        <v/>
      </c>
      <c r="T1179" s="48">
        <f>IF(INDEX(Employees!$S$5:$S$29,$A1179)="",Q1179,MAX(0,MIN(Q1179,INDEX(Employees!$S$5:$S$29,$A1179)-(S1179-R1179))))</f>
        <v/>
      </c>
      <c r="U1179" s="48">
        <f>Q1179-T1179</f>
        <v/>
      </c>
      <c r="V1179" s="48">
        <f>S1179-R1179+T1179</f>
        <v/>
      </c>
    </row>
    <row r="1180">
      <c r="A1180" s="47" t="n">
        <v>23</v>
      </c>
      <c r="B1180" s="47" t="n">
        <v>10</v>
      </c>
      <c r="C1180" s="48">
        <f>INDEX(Employees!$B$5:$B$29,$A1180)&amp;""</f>
        <v/>
      </c>
      <c r="D1180" s="49">
        <f>INDEX(Periods!$B$5:$B$57,$B1180)</f>
        <v/>
      </c>
      <c r="E1180" s="49">
        <f>INDEX(Periods!$C$5:$C$57,$B1180)</f>
        <v/>
      </c>
      <c r="F1180" s="47">
        <f>IF(AND($C1180&lt;&gt;"",INDEX(Periods!$D$5:$D$57,$B1180)=1),1,0)</f>
        <v/>
      </c>
      <c r="G1180" s="47">
        <f>IF($F1180=0,0,IF(AND(OR(INDEX(Employees!$D$5:$D$29,$A1180)="",$E1180&gt;=INDEX(Employees!$D$5:$D$29,$A1180)+N(INDEX(Employees!$U$5:$U$29,$A1180))),OR(INDEX(Employees!$E$5:$E$29,$A1180)="",$D1180&lt;=INDEX(Employees!$E$5:$E$29,$A1180))),1,0))</f>
        <v/>
      </c>
      <c r="H1180" s="47">
        <f>IF($G1180=0,0,IF(INDEX(Employees!$D$5:$D$29,$A1180)="",0,DATEDIF(INDEX(Employees!$D$5:$D$29,$A1180),$E1180,"y")))</f>
        <v/>
      </c>
      <c r="I1180" s="48">
        <f>IF($G1180=0,0,IF(INDEX('Hours Worked'!$D$5:$BD$29,$A1180,$B1180)="",N(INDEX(Employees!$H$5:$H$29,$A1180)),INDEX('Hours Worked'!$D$5:$BD$29,$A1180,$B1180)))</f>
        <v/>
      </c>
      <c r="J1180" s="48">
        <f>IF(OR($G1180=0,INDEX(Employees!$O$5:$O$29,$A1180)&lt;&gt;"Yes"),0,IF(COUNTIF(Settings!$D$4:$D$9,"&lt;="&amp;$H1180)=0,0,INDEX(Settings!$E$4:$E$9,COUNTIF(Settings!$D$4:$D$9,"&lt;="&amp;$H1180))))</f>
        <v/>
      </c>
      <c r="K1180" s="48">
        <f>IF($G1180=0,0,IF(INDEX(Employees!$I$5:$I$29,$A1180)="Per pay period",(N(INDEX(Employees!$J$5:$J$29,$A1180))+$J1180)/Settings!$B$13,IF(INDEX(Employees!$I$5:$I$29,$A1180)="Per hour worked",N(INDEX(Employees!$K$5:$K$29,$A1180))*$I1180,IF(INDEX(Employees!$I$5:$I$29,$A1180)="Front-loaded",IF(OR($B1180=1,N($G1179)=0),N(INDEX(Employees!$J$5:$J$29,$A1180))+$J1180,0),0))))</f>
        <v/>
      </c>
      <c r="L1180" s="48">
        <f>IF($F1180=0,0,SUMIFS('Time Off Log'!$H$5:$H$504,'Time Off Log'!$A$5:$A$504,$C1180,'Time Off Log'!$B$5:$B$504,"PTO",'Time Off Log'!$E$5:$E$504,"Approved",'Time Off Log'!$C$5:$C$504,"&gt;="&amp;INDEX(Periods!$E$5:$E$57,$B1180),'Time Off Log'!$C$5:$C$504,"&lt;="&amp;INDEX(Periods!$F$5:$F$57,$B1180)))</f>
        <v/>
      </c>
      <c r="M1180" s="48">
        <f>IF($B1180=1,N(INDEX(Employees!$N$5:$N$29,$A1180)),P1179)</f>
        <v/>
      </c>
      <c r="N1180" s="48">
        <f>IF(INDEX(Employees!$L$5:$L$29,$A1180)="",K1180,MAX(0,MIN(K1180,INDEX(Employees!$L$5:$L$29,$A1180)-(M1180-L1180))))</f>
        <v/>
      </c>
      <c r="O1180" s="48">
        <f>K1180-N1180</f>
        <v/>
      </c>
      <c r="P1180" s="48">
        <f>M1180-L1180+N1180</f>
        <v/>
      </c>
      <c r="Q1180" s="48">
        <f>IF($G1180=0,0,IF(INDEX(Employees!$P$5:$P$29,$A1180)="Per pay period",(N(INDEX(Employees!$Q$5:$Q$29,$A1180)))/Settings!$B$13,IF(INDEX(Employees!$P$5:$P$29,$A1180)="Per hour worked",N(INDEX(Employees!$R$5:$R$29,$A1180))*$I1180,IF(INDEX(Employees!$P$5:$P$29,$A1180)="Front-loaded",IF(OR($B1180=1,N($G1179)=0),N(INDEX(Employees!$Q$5:$Q$29,$A1180)),0),0))))</f>
        <v/>
      </c>
      <c r="R1180" s="48">
        <f>IF($F1180=0,0,SUMIFS('Time Off Log'!$H$5:$H$504,'Time Off Log'!$A$5:$A$504,$C1180,'Time Off Log'!$B$5:$B$504,"Sick",'Time Off Log'!$E$5:$E$504,"Approved",'Time Off Log'!$C$5:$C$504,"&gt;="&amp;INDEX(Periods!$E$5:$E$57,$B1180),'Time Off Log'!$C$5:$C$504,"&lt;="&amp;INDEX(Periods!$F$5:$F$57,$B1180)))</f>
        <v/>
      </c>
      <c r="S1180" s="48">
        <f>IF($B1180=1,N(INDEX(Employees!$T$5:$T$29,$A1180)),V1179)</f>
        <v/>
      </c>
      <c r="T1180" s="48">
        <f>IF(INDEX(Employees!$S$5:$S$29,$A1180)="",Q1180,MAX(0,MIN(Q1180,INDEX(Employees!$S$5:$S$29,$A1180)-(S1180-R1180))))</f>
        <v/>
      </c>
      <c r="U1180" s="48">
        <f>Q1180-T1180</f>
        <v/>
      </c>
      <c r="V1180" s="48">
        <f>S1180-R1180+T1180</f>
        <v/>
      </c>
    </row>
    <row r="1181">
      <c r="A1181" s="47" t="n">
        <v>23</v>
      </c>
      <c r="B1181" s="47" t="n">
        <v>11</v>
      </c>
      <c r="C1181" s="48">
        <f>INDEX(Employees!$B$5:$B$29,$A1181)&amp;""</f>
        <v/>
      </c>
      <c r="D1181" s="49">
        <f>INDEX(Periods!$B$5:$B$57,$B1181)</f>
        <v/>
      </c>
      <c r="E1181" s="49">
        <f>INDEX(Periods!$C$5:$C$57,$B1181)</f>
        <v/>
      </c>
      <c r="F1181" s="47">
        <f>IF(AND($C1181&lt;&gt;"",INDEX(Periods!$D$5:$D$57,$B1181)=1),1,0)</f>
        <v/>
      </c>
      <c r="G1181" s="47">
        <f>IF($F1181=0,0,IF(AND(OR(INDEX(Employees!$D$5:$D$29,$A1181)="",$E1181&gt;=INDEX(Employees!$D$5:$D$29,$A1181)+N(INDEX(Employees!$U$5:$U$29,$A1181))),OR(INDEX(Employees!$E$5:$E$29,$A1181)="",$D1181&lt;=INDEX(Employees!$E$5:$E$29,$A1181))),1,0))</f>
        <v/>
      </c>
      <c r="H1181" s="47">
        <f>IF($G1181=0,0,IF(INDEX(Employees!$D$5:$D$29,$A1181)="",0,DATEDIF(INDEX(Employees!$D$5:$D$29,$A1181),$E1181,"y")))</f>
        <v/>
      </c>
      <c r="I1181" s="48">
        <f>IF($G1181=0,0,IF(INDEX('Hours Worked'!$D$5:$BD$29,$A1181,$B1181)="",N(INDEX(Employees!$H$5:$H$29,$A1181)),INDEX('Hours Worked'!$D$5:$BD$29,$A1181,$B1181)))</f>
        <v/>
      </c>
      <c r="J1181" s="48">
        <f>IF(OR($G1181=0,INDEX(Employees!$O$5:$O$29,$A1181)&lt;&gt;"Yes"),0,IF(COUNTIF(Settings!$D$4:$D$9,"&lt;="&amp;$H1181)=0,0,INDEX(Settings!$E$4:$E$9,COUNTIF(Settings!$D$4:$D$9,"&lt;="&amp;$H1181))))</f>
        <v/>
      </c>
      <c r="K1181" s="48">
        <f>IF($G1181=0,0,IF(INDEX(Employees!$I$5:$I$29,$A1181)="Per pay period",(N(INDEX(Employees!$J$5:$J$29,$A1181))+$J1181)/Settings!$B$13,IF(INDEX(Employees!$I$5:$I$29,$A1181)="Per hour worked",N(INDEX(Employees!$K$5:$K$29,$A1181))*$I1181,IF(INDEX(Employees!$I$5:$I$29,$A1181)="Front-loaded",IF(OR($B1181=1,N($G1180)=0),N(INDEX(Employees!$J$5:$J$29,$A1181))+$J1181,0),0))))</f>
        <v/>
      </c>
      <c r="L1181" s="48">
        <f>IF($F1181=0,0,SUMIFS('Time Off Log'!$H$5:$H$504,'Time Off Log'!$A$5:$A$504,$C1181,'Time Off Log'!$B$5:$B$504,"PTO",'Time Off Log'!$E$5:$E$504,"Approved",'Time Off Log'!$C$5:$C$504,"&gt;="&amp;INDEX(Periods!$E$5:$E$57,$B1181),'Time Off Log'!$C$5:$C$504,"&lt;="&amp;INDEX(Periods!$F$5:$F$57,$B1181)))</f>
        <v/>
      </c>
      <c r="M1181" s="48">
        <f>IF($B1181=1,N(INDEX(Employees!$N$5:$N$29,$A1181)),P1180)</f>
        <v/>
      </c>
      <c r="N1181" s="48">
        <f>IF(INDEX(Employees!$L$5:$L$29,$A1181)="",K1181,MAX(0,MIN(K1181,INDEX(Employees!$L$5:$L$29,$A1181)-(M1181-L1181))))</f>
        <v/>
      </c>
      <c r="O1181" s="48">
        <f>K1181-N1181</f>
        <v/>
      </c>
      <c r="P1181" s="48">
        <f>M1181-L1181+N1181</f>
        <v/>
      </c>
      <c r="Q1181" s="48">
        <f>IF($G1181=0,0,IF(INDEX(Employees!$P$5:$P$29,$A1181)="Per pay period",(N(INDEX(Employees!$Q$5:$Q$29,$A1181)))/Settings!$B$13,IF(INDEX(Employees!$P$5:$P$29,$A1181)="Per hour worked",N(INDEX(Employees!$R$5:$R$29,$A1181))*$I1181,IF(INDEX(Employees!$P$5:$P$29,$A1181)="Front-loaded",IF(OR($B1181=1,N($G1180)=0),N(INDEX(Employees!$Q$5:$Q$29,$A1181)),0),0))))</f>
        <v/>
      </c>
      <c r="R1181" s="48">
        <f>IF($F1181=0,0,SUMIFS('Time Off Log'!$H$5:$H$504,'Time Off Log'!$A$5:$A$504,$C1181,'Time Off Log'!$B$5:$B$504,"Sick",'Time Off Log'!$E$5:$E$504,"Approved",'Time Off Log'!$C$5:$C$504,"&gt;="&amp;INDEX(Periods!$E$5:$E$57,$B1181),'Time Off Log'!$C$5:$C$504,"&lt;="&amp;INDEX(Periods!$F$5:$F$57,$B1181)))</f>
        <v/>
      </c>
      <c r="S1181" s="48">
        <f>IF($B1181=1,N(INDEX(Employees!$T$5:$T$29,$A1181)),V1180)</f>
        <v/>
      </c>
      <c r="T1181" s="48">
        <f>IF(INDEX(Employees!$S$5:$S$29,$A1181)="",Q1181,MAX(0,MIN(Q1181,INDEX(Employees!$S$5:$S$29,$A1181)-(S1181-R1181))))</f>
        <v/>
      </c>
      <c r="U1181" s="48">
        <f>Q1181-T1181</f>
        <v/>
      </c>
      <c r="V1181" s="48">
        <f>S1181-R1181+T1181</f>
        <v/>
      </c>
    </row>
    <row r="1182">
      <c r="A1182" s="47" t="n">
        <v>23</v>
      </c>
      <c r="B1182" s="47" t="n">
        <v>12</v>
      </c>
      <c r="C1182" s="48">
        <f>INDEX(Employees!$B$5:$B$29,$A1182)&amp;""</f>
        <v/>
      </c>
      <c r="D1182" s="49">
        <f>INDEX(Periods!$B$5:$B$57,$B1182)</f>
        <v/>
      </c>
      <c r="E1182" s="49">
        <f>INDEX(Periods!$C$5:$C$57,$B1182)</f>
        <v/>
      </c>
      <c r="F1182" s="47">
        <f>IF(AND($C1182&lt;&gt;"",INDEX(Periods!$D$5:$D$57,$B1182)=1),1,0)</f>
        <v/>
      </c>
      <c r="G1182" s="47">
        <f>IF($F1182=0,0,IF(AND(OR(INDEX(Employees!$D$5:$D$29,$A1182)="",$E1182&gt;=INDEX(Employees!$D$5:$D$29,$A1182)+N(INDEX(Employees!$U$5:$U$29,$A1182))),OR(INDEX(Employees!$E$5:$E$29,$A1182)="",$D1182&lt;=INDEX(Employees!$E$5:$E$29,$A1182))),1,0))</f>
        <v/>
      </c>
      <c r="H1182" s="47">
        <f>IF($G1182=0,0,IF(INDEX(Employees!$D$5:$D$29,$A1182)="",0,DATEDIF(INDEX(Employees!$D$5:$D$29,$A1182),$E1182,"y")))</f>
        <v/>
      </c>
      <c r="I1182" s="48">
        <f>IF($G1182=0,0,IF(INDEX('Hours Worked'!$D$5:$BD$29,$A1182,$B1182)="",N(INDEX(Employees!$H$5:$H$29,$A1182)),INDEX('Hours Worked'!$D$5:$BD$29,$A1182,$B1182)))</f>
        <v/>
      </c>
      <c r="J1182" s="48">
        <f>IF(OR($G1182=0,INDEX(Employees!$O$5:$O$29,$A1182)&lt;&gt;"Yes"),0,IF(COUNTIF(Settings!$D$4:$D$9,"&lt;="&amp;$H1182)=0,0,INDEX(Settings!$E$4:$E$9,COUNTIF(Settings!$D$4:$D$9,"&lt;="&amp;$H1182))))</f>
        <v/>
      </c>
      <c r="K1182" s="48">
        <f>IF($G1182=0,0,IF(INDEX(Employees!$I$5:$I$29,$A1182)="Per pay period",(N(INDEX(Employees!$J$5:$J$29,$A1182))+$J1182)/Settings!$B$13,IF(INDEX(Employees!$I$5:$I$29,$A1182)="Per hour worked",N(INDEX(Employees!$K$5:$K$29,$A1182))*$I1182,IF(INDEX(Employees!$I$5:$I$29,$A1182)="Front-loaded",IF(OR($B1182=1,N($G1181)=0),N(INDEX(Employees!$J$5:$J$29,$A1182))+$J1182,0),0))))</f>
        <v/>
      </c>
      <c r="L1182" s="48">
        <f>IF($F1182=0,0,SUMIFS('Time Off Log'!$H$5:$H$504,'Time Off Log'!$A$5:$A$504,$C1182,'Time Off Log'!$B$5:$B$504,"PTO",'Time Off Log'!$E$5:$E$504,"Approved",'Time Off Log'!$C$5:$C$504,"&gt;="&amp;INDEX(Periods!$E$5:$E$57,$B1182),'Time Off Log'!$C$5:$C$504,"&lt;="&amp;INDEX(Periods!$F$5:$F$57,$B1182)))</f>
        <v/>
      </c>
      <c r="M1182" s="48">
        <f>IF($B1182=1,N(INDEX(Employees!$N$5:$N$29,$A1182)),P1181)</f>
        <v/>
      </c>
      <c r="N1182" s="48">
        <f>IF(INDEX(Employees!$L$5:$L$29,$A1182)="",K1182,MAX(0,MIN(K1182,INDEX(Employees!$L$5:$L$29,$A1182)-(M1182-L1182))))</f>
        <v/>
      </c>
      <c r="O1182" s="48">
        <f>K1182-N1182</f>
        <v/>
      </c>
      <c r="P1182" s="48">
        <f>M1182-L1182+N1182</f>
        <v/>
      </c>
      <c r="Q1182" s="48">
        <f>IF($G1182=0,0,IF(INDEX(Employees!$P$5:$P$29,$A1182)="Per pay period",(N(INDEX(Employees!$Q$5:$Q$29,$A1182)))/Settings!$B$13,IF(INDEX(Employees!$P$5:$P$29,$A1182)="Per hour worked",N(INDEX(Employees!$R$5:$R$29,$A1182))*$I1182,IF(INDEX(Employees!$P$5:$P$29,$A1182)="Front-loaded",IF(OR($B1182=1,N($G1181)=0),N(INDEX(Employees!$Q$5:$Q$29,$A1182)),0),0))))</f>
        <v/>
      </c>
      <c r="R1182" s="48">
        <f>IF($F1182=0,0,SUMIFS('Time Off Log'!$H$5:$H$504,'Time Off Log'!$A$5:$A$504,$C1182,'Time Off Log'!$B$5:$B$504,"Sick",'Time Off Log'!$E$5:$E$504,"Approved",'Time Off Log'!$C$5:$C$504,"&gt;="&amp;INDEX(Periods!$E$5:$E$57,$B1182),'Time Off Log'!$C$5:$C$504,"&lt;="&amp;INDEX(Periods!$F$5:$F$57,$B1182)))</f>
        <v/>
      </c>
      <c r="S1182" s="48">
        <f>IF($B1182=1,N(INDEX(Employees!$T$5:$T$29,$A1182)),V1181)</f>
        <v/>
      </c>
      <c r="T1182" s="48">
        <f>IF(INDEX(Employees!$S$5:$S$29,$A1182)="",Q1182,MAX(0,MIN(Q1182,INDEX(Employees!$S$5:$S$29,$A1182)-(S1182-R1182))))</f>
        <v/>
      </c>
      <c r="U1182" s="48">
        <f>Q1182-T1182</f>
        <v/>
      </c>
      <c r="V1182" s="48">
        <f>S1182-R1182+T1182</f>
        <v/>
      </c>
    </row>
    <row r="1183">
      <c r="A1183" s="47" t="n">
        <v>23</v>
      </c>
      <c r="B1183" s="47" t="n">
        <v>13</v>
      </c>
      <c r="C1183" s="48">
        <f>INDEX(Employees!$B$5:$B$29,$A1183)&amp;""</f>
        <v/>
      </c>
      <c r="D1183" s="49">
        <f>INDEX(Periods!$B$5:$B$57,$B1183)</f>
        <v/>
      </c>
      <c r="E1183" s="49">
        <f>INDEX(Periods!$C$5:$C$57,$B1183)</f>
        <v/>
      </c>
      <c r="F1183" s="47">
        <f>IF(AND($C1183&lt;&gt;"",INDEX(Periods!$D$5:$D$57,$B1183)=1),1,0)</f>
        <v/>
      </c>
      <c r="G1183" s="47">
        <f>IF($F1183=0,0,IF(AND(OR(INDEX(Employees!$D$5:$D$29,$A1183)="",$E1183&gt;=INDEX(Employees!$D$5:$D$29,$A1183)+N(INDEX(Employees!$U$5:$U$29,$A1183))),OR(INDEX(Employees!$E$5:$E$29,$A1183)="",$D1183&lt;=INDEX(Employees!$E$5:$E$29,$A1183))),1,0))</f>
        <v/>
      </c>
      <c r="H1183" s="47">
        <f>IF($G1183=0,0,IF(INDEX(Employees!$D$5:$D$29,$A1183)="",0,DATEDIF(INDEX(Employees!$D$5:$D$29,$A1183),$E1183,"y")))</f>
        <v/>
      </c>
      <c r="I1183" s="48">
        <f>IF($G1183=0,0,IF(INDEX('Hours Worked'!$D$5:$BD$29,$A1183,$B1183)="",N(INDEX(Employees!$H$5:$H$29,$A1183)),INDEX('Hours Worked'!$D$5:$BD$29,$A1183,$B1183)))</f>
        <v/>
      </c>
      <c r="J1183" s="48">
        <f>IF(OR($G1183=0,INDEX(Employees!$O$5:$O$29,$A1183)&lt;&gt;"Yes"),0,IF(COUNTIF(Settings!$D$4:$D$9,"&lt;="&amp;$H1183)=0,0,INDEX(Settings!$E$4:$E$9,COUNTIF(Settings!$D$4:$D$9,"&lt;="&amp;$H1183))))</f>
        <v/>
      </c>
      <c r="K1183" s="48">
        <f>IF($G1183=0,0,IF(INDEX(Employees!$I$5:$I$29,$A1183)="Per pay period",(N(INDEX(Employees!$J$5:$J$29,$A1183))+$J1183)/Settings!$B$13,IF(INDEX(Employees!$I$5:$I$29,$A1183)="Per hour worked",N(INDEX(Employees!$K$5:$K$29,$A1183))*$I1183,IF(INDEX(Employees!$I$5:$I$29,$A1183)="Front-loaded",IF(OR($B1183=1,N($G1182)=0),N(INDEX(Employees!$J$5:$J$29,$A1183))+$J1183,0),0))))</f>
        <v/>
      </c>
      <c r="L1183" s="48">
        <f>IF($F1183=0,0,SUMIFS('Time Off Log'!$H$5:$H$504,'Time Off Log'!$A$5:$A$504,$C1183,'Time Off Log'!$B$5:$B$504,"PTO",'Time Off Log'!$E$5:$E$504,"Approved",'Time Off Log'!$C$5:$C$504,"&gt;="&amp;INDEX(Periods!$E$5:$E$57,$B1183),'Time Off Log'!$C$5:$C$504,"&lt;="&amp;INDEX(Periods!$F$5:$F$57,$B1183)))</f>
        <v/>
      </c>
      <c r="M1183" s="48">
        <f>IF($B1183=1,N(INDEX(Employees!$N$5:$N$29,$A1183)),P1182)</f>
        <v/>
      </c>
      <c r="N1183" s="48">
        <f>IF(INDEX(Employees!$L$5:$L$29,$A1183)="",K1183,MAX(0,MIN(K1183,INDEX(Employees!$L$5:$L$29,$A1183)-(M1183-L1183))))</f>
        <v/>
      </c>
      <c r="O1183" s="48">
        <f>K1183-N1183</f>
        <v/>
      </c>
      <c r="P1183" s="48">
        <f>M1183-L1183+N1183</f>
        <v/>
      </c>
      <c r="Q1183" s="48">
        <f>IF($G1183=0,0,IF(INDEX(Employees!$P$5:$P$29,$A1183)="Per pay period",(N(INDEX(Employees!$Q$5:$Q$29,$A1183)))/Settings!$B$13,IF(INDEX(Employees!$P$5:$P$29,$A1183)="Per hour worked",N(INDEX(Employees!$R$5:$R$29,$A1183))*$I1183,IF(INDEX(Employees!$P$5:$P$29,$A1183)="Front-loaded",IF(OR($B1183=1,N($G1182)=0),N(INDEX(Employees!$Q$5:$Q$29,$A1183)),0),0))))</f>
        <v/>
      </c>
      <c r="R1183" s="48">
        <f>IF($F1183=0,0,SUMIFS('Time Off Log'!$H$5:$H$504,'Time Off Log'!$A$5:$A$504,$C1183,'Time Off Log'!$B$5:$B$504,"Sick",'Time Off Log'!$E$5:$E$504,"Approved",'Time Off Log'!$C$5:$C$504,"&gt;="&amp;INDEX(Periods!$E$5:$E$57,$B1183),'Time Off Log'!$C$5:$C$504,"&lt;="&amp;INDEX(Periods!$F$5:$F$57,$B1183)))</f>
        <v/>
      </c>
      <c r="S1183" s="48">
        <f>IF($B1183=1,N(INDEX(Employees!$T$5:$T$29,$A1183)),V1182)</f>
        <v/>
      </c>
      <c r="T1183" s="48">
        <f>IF(INDEX(Employees!$S$5:$S$29,$A1183)="",Q1183,MAX(0,MIN(Q1183,INDEX(Employees!$S$5:$S$29,$A1183)-(S1183-R1183))))</f>
        <v/>
      </c>
      <c r="U1183" s="48">
        <f>Q1183-T1183</f>
        <v/>
      </c>
      <c r="V1183" s="48">
        <f>S1183-R1183+T1183</f>
        <v/>
      </c>
    </row>
    <row r="1184">
      <c r="A1184" s="47" t="n">
        <v>23</v>
      </c>
      <c r="B1184" s="47" t="n">
        <v>14</v>
      </c>
      <c r="C1184" s="48">
        <f>INDEX(Employees!$B$5:$B$29,$A1184)&amp;""</f>
        <v/>
      </c>
      <c r="D1184" s="49">
        <f>INDEX(Periods!$B$5:$B$57,$B1184)</f>
        <v/>
      </c>
      <c r="E1184" s="49">
        <f>INDEX(Periods!$C$5:$C$57,$B1184)</f>
        <v/>
      </c>
      <c r="F1184" s="47">
        <f>IF(AND($C1184&lt;&gt;"",INDEX(Periods!$D$5:$D$57,$B1184)=1),1,0)</f>
        <v/>
      </c>
      <c r="G1184" s="47">
        <f>IF($F1184=0,0,IF(AND(OR(INDEX(Employees!$D$5:$D$29,$A1184)="",$E1184&gt;=INDEX(Employees!$D$5:$D$29,$A1184)+N(INDEX(Employees!$U$5:$U$29,$A1184))),OR(INDEX(Employees!$E$5:$E$29,$A1184)="",$D1184&lt;=INDEX(Employees!$E$5:$E$29,$A1184))),1,0))</f>
        <v/>
      </c>
      <c r="H1184" s="47">
        <f>IF($G1184=0,0,IF(INDEX(Employees!$D$5:$D$29,$A1184)="",0,DATEDIF(INDEX(Employees!$D$5:$D$29,$A1184),$E1184,"y")))</f>
        <v/>
      </c>
      <c r="I1184" s="48">
        <f>IF($G1184=0,0,IF(INDEX('Hours Worked'!$D$5:$BD$29,$A1184,$B1184)="",N(INDEX(Employees!$H$5:$H$29,$A1184)),INDEX('Hours Worked'!$D$5:$BD$29,$A1184,$B1184)))</f>
        <v/>
      </c>
      <c r="J1184" s="48">
        <f>IF(OR($G1184=0,INDEX(Employees!$O$5:$O$29,$A1184)&lt;&gt;"Yes"),0,IF(COUNTIF(Settings!$D$4:$D$9,"&lt;="&amp;$H1184)=0,0,INDEX(Settings!$E$4:$E$9,COUNTIF(Settings!$D$4:$D$9,"&lt;="&amp;$H1184))))</f>
        <v/>
      </c>
      <c r="K1184" s="48">
        <f>IF($G1184=0,0,IF(INDEX(Employees!$I$5:$I$29,$A1184)="Per pay period",(N(INDEX(Employees!$J$5:$J$29,$A1184))+$J1184)/Settings!$B$13,IF(INDEX(Employees!$I$5:$I$29,$A1184)="Per hour worked",N(INDEX(Employees!$K$5:$K$29,$A1184))*$I1184,IF(INDEX(Employees!$I$5:$I$29,$A1184)="Front-loaded",IF(OR($B1184=1,N($G1183)=0),N(INDEX(Employees!$J$5:$J$29,$A1184))+$J1184,0),0))))</f>
        <v/>
      </c>
      <c r="L1184" s="48">
        <f>IF($F1184=0,0,SUMIFS('Time Off Log'!$H$5:$H$504,'Time Off Log'!$A$5:$A$504,$C1184,'Time Off Log'!$B$5:$B$504,"PTO",'Time Off Log'!$E$5:$E$504,"Approved",'Time Off Log'!$C$5:$C$504,"&gt;="&amp;INDEX(Periods!$E$5:$E$57,$B1184),'Time Off Log'!$C$5:$C$504,"&lt;="&amp;INDEX(Periods!$F$5:$F$57,$B1184)))</f>
        <v/>
      </c>
      <c r="M1184" s="48">
        <f>IF($B1184=1,N(INDEX(Employees!$N$5:$N$29,$A1184)),P1183)</f>
        <v/>
      </c>
      <c r="N1184" s="48">
        <f>IF(INDEX(Employees!$L$5:$L$29,$A1184)="",K1184,MAX(0,MIN(K1184,INDEX(Employees!$L$5:$L$29,$A1184)-(M1184-L1184))))</f>
        <v/>
      </c>
      <c r="O1184" s="48">
        <f>K1184-N1184</f>
        <v/>
      </c>
      <c r="P1184" s="48">
        <f>M1184-L1184+N1184</f>
        <v/>
      </c>
      <c r="Q1184" s="48">
        <f>IF($G1184=0,0,IF(INDEX(Employees!$P$5:$P$29,$A1184)="Per pay period",(N(INDEX(Employees!$Q$5:$Q$29,$A1184)))/Settings!$B$13,IF(INDEX(Employees!$P$5:$P$29,$A1184)="Per hour worked",N(INDEX(Employees!$R$5:$R$29,$A1184))*$I1184,IF(INDEX(Employees!$P$5:$P$29,$A1184)="Front-loaded",IF(OR($B1184=1,N($G1183)=0),N(INDEX(Employees!$Q$5:$Q$29,$A1184)),0),0))))</f>
        <v/>
      </c>
      <c r="R1184" s="48">
        <f>IF($F1184=0,0,SUMIFS('Time Off Log'!$H$5:$H$504,'Time Off Log'!$A$5:$A$504,$C1184,'Time Off Log'!$B$5:$B$504,"Sick",'Time Off Log'!$E$5:$E$504,"Approved",'Time Off Log'!$C$5:$C$504,"&gt;="&amp;INDEX(Periods!$E$5:$E$57,$B1184),'Time Off Log'!$C$5:$C$504,"&lt;="&amp;INDEX(Periods!$F$5:$F$57,$B1184)))</f>
        <v/>
      </c>
      <c r="S1184" s="48">
        <f>IF($B1184=1,N(INDEX(Employees!$T$5:$T$29,$A1184)),V1183)</f>
        <v/>
      </c>
      <c r="T1184" s="48">
        <f>IF(INDEX(Employees!$S$5:$S$29,$A1184)="",Q1184,MAX(0,MIN(Q1184,INDEX(Employees!$S$5:$S$29,$A1184)-(S1184-R1184))))</f>
        <v/>
      </c>
      <c r="U1184" s="48">
        <f>Q1184-T1184</f>
        <v/>
      </c>
      <c r="V1184" s="48">
        <f>S1184-R1184+T1184</f>
        <v/>
      </c>
    </row>
    <row r="1185">
      <c r="A1185" s="47" t="n">
        <v>23</v>
      </c>
      <c r="B1185" s="47" t="n">
        <v>15</v>
      </c>
      <c r="C1185" s="48">
        <f>INDEX(Employees!$B$5:$B$29,$A1185)&amp;""</f>
        <v/>
      </c>
      <c r="D1185" s="49">
        <f>INDEX(Periods!$B$5:$B$57,$B1185)</f>
        <v/>
      </c>
      <c r="E1185" s="49">
        <f>INDEX(Periods!$C$5:$C$57,$B1185)</f>
        <v/>
      </c>
      <c r="F1185" s="47">
        <f>IF(AND($C1185&lt;&gt;"",INDEX(Periods!$D$5:$D$57,$B1185)=1),1,0)</f>
        <v/>
      </c>
      <c r="G1185" s="47">
        <f>IF($F1185=0,0,IF(AND(OR(INDEX(Employees!$D$5:$D$29,$A1185)="",$E1185&gt;=INDEX(Employees!$D$5:$D$29,$A1185)+N(INDEX(Employees!$U$5:$U$29,$A1185))),OR(INDEX(Employees!$E$5:$E$29,$A1185)="",$D1185&lt;=INDEX(Employees!$E$5:$E$29,$A1185))),1,0))</f>
        <v/>
      </c>
      <c r="H1185" s="47">
        <f>IF($G1185=0,0,IF(INDEX(Employees!$D$5:$D$29,$A1185)="",0,DATEDIF(INDEX(Employees!$D$5:$D$29,$A1185),$E1185,"y")))</f>
        <v/>
      </c>
      <c r="I1185" s="48">
        <f>IF($G1185=0,0,IF(INDEX('Hours Worked'!$D$5:$BD$29,$A1185,$B1185)="",N(INDEX(Employees!$H$5:$H$29,$A1185)),INDEX('Hours Worked'!$D$5:$BD$29,$A1185,$B1185)))</f>
        <v/>
      </c>
      <c r="J1185" s="48">
        <f>IF(OR($G1185=0,INDEX(Employees!$O$5:$O$29,$A1185)&lt;&gt;"Yes"),0,IF(COUNTIF(Settings!$D$4:$D$9,"&lt;="&amp;$H1185)=0,0,INDEX(Settings!$E$4:$E$9,COUNTIF(Settings!$D$4:$D$9,"&lt;="&amp;$H1185))))</f>
        <v/>
      </c>
      <c r="K1185" s="48">
        <f>IF($G1185=0,0,IF(INDEX(Employees!$I$5:$I$29,$A1185)="Per pay period",(N(INDEX(Employees!$J$5:$J$29,$A1185))+$J1185)/Settings!$B$13,IF(INDEX(Employees!$I$5:$I$29,$A1185)="Per hour worked",N(INDEX(Employees!$K$5:$K$29,$A1185))*$I1185,IF(INDEX(Employees!$I$5:$I$29,$A1185)="Front-loaded",IF(OR($B1185=1,N($G1184)=0),N(INDEX(Employees!$J$5:$J$29,$A1185))+$J1185,0),0))))</f>
        <v/>
      </c>
      <c r="L1185" s="48">
        <f>IF($F1185=0,0,SUMIFS('Time Off Log'!$H$5:$H$504,'Time Off Log'!$A$5:$A$504,$C1185,'Time Off Log'!$B$5:$B$504,"PTO",'Time Off Log'!$E$5:$E$504,"Approved",'Time Off Log'!$C$5:$C$504,"&gt;="&amp;INDEX(Periods!$E$5:$E$57,$B1185),'Time Off Log'!$C$5:$C$504,"&lt;="&amp;INDEX(Periods!$F$5:$F$57,$B1185)))</f>
        <v/>
      </c>
      <c r="M1185" s="48">
        <f>IF($B1185=1,N(INDEX(Employees!$N$5:$N$29,$A1185)),P1184)</f>
        <v/>
      </c>
      <c r="N1185" s="48">
        <f>IF(INDEX(Employees!$L$5:$L$29,$A1185)="",K1185,MAX(0,MIN(K1185,INDEX(Employees!$L$5:$L$29,$A1185)-(M1185-L1185))))</f>
        <v/>
      </c>
      <c r="O1185" s="48">
        <f>K1185-N1185</f>
        <v/>
      </c>
      <c r="P1185" s="48">
        <f>M1185-L1185+N1185</f>
        <v/>
      </c>
      <c r="Q1185" s="48">
        <f>IF($G1185=0,0,IF(INDEX(Employees!$P$5:$P$29,$A1185)="Per pay period",(N(INDEX(Employees!$Q$5:$Q$29,$A1185)))/Settings!$B$13,IF(INDEX(Employees!$P$5:$P$29,$A1185)="Per hour worked",N(INDEX(Employees!$R$5:$R$29,$A1185))*$I1185,IF(INDEX(Employees!$P$5:$P$29,$A1185)="Front-loaded",IF(OR($B1185=1,N($G1184)=0),N(INDEX(Employees!$Q$5:$Q$29,$A1185)),0),0))))</f>
        <v/>
      </c>
      <c r="R1185" s="48">
        <f>IF($F1185=0,0,SUMIFS('Time Off Log'!$H$5:$H$504,'Time Off Log'!$A$5:$A$504,$C1185,'Time Off Log'!$B$5:$B$504,"Sick",'Time Off Log'!$E$5:$E$504,"Approved",'Time Off Log'!$C$5:$C$504,"&gt;="&amp;INDEX(Periods!$E$5:$E$57,$B1185),'Time Off Log'!$C$5:$C$504,"&lt;="&amp;INDEX(Periods!$F$5:$F$57,$B1185)))</f>
        <v/>
      </c>
      <c r="S1185" s="48">
        <f>IF($B1185=1,N(INDEX(Employees!$T$5:$T$29,$A1185)),V1184)</f>
        <v/>
      </c>
      <c r="T1185" s="48">
        <f>IF(INDEX(Employees!$S$5:$S$29,$A1185)="",Q1185,MAX(0,MIN(Q1185,INDEX(Employees!$S$5:$S$29,$A1185)-(S1185-R1185))))</f>
        <v/>
      </c>
      <c r="U1185" s="48">
        <f>Q1185-T1185</f>
        <v/>
      </c>
      <c r="V1185" s="48">
        <f>S1185-R1185+T1185</f>
        <v/>
      </c>
    </row>
    <row r="1186">
      <c r="A1186" s="47" t="n">
        <v>23</v>
      </c>
      <c r="B1186" s="47" t="n">
        <v>16</v>
      </c>
      <c r="C1186" s="48">
        <f>INDEX(Employees!$B$5:$B$29,$A1186)&amp;""</f>
        <v/>
      </c>
      <c r="D1186" s="49">
        <f>INDEX(Periods!$B$5:$B$57,$B1186)</f>
        <v/>
      </c>
      <c r="E1186" s="49">
        <f>INDEX(Periods!$C$5:$C$57,$B1186)</f>
        <v/>
      </c>
      <c r="F1186" s="47">
        <f>IF(AND($C1186&lt;&gt;"",INDEX(Periods!$D$5:$D$57,$B1186)=1),1,0)</f>
        <v/>
      </c>
      <c r="G1186" s="47">
        <f>IF($F1186=0,0,IF(AND(OR(INDEX(Employees!$D$5:$D$29,$A1186)="",$E1186&gt;=INDEX(Employees!$D$5:$D$29,$A1186)+N(INDEX(Employees!$U$5:$U$29,$A1186))),OR(INDEX(Employees!$E$5:$E$29,$A1186)="",$D1186&lt;=INDEX(Employees!$E$5:$E$29,$A1186))),1,0))</f>
        <v/>
      </c>
      <c r="H1186" s="47">
        <f>IF($G1186=0,0,IF(INDEX(Employees!$D$5:$D$29,$A1186)="",0,DATEDIF(INDEX(Employees!$D$5:$D$29,$A1186),$E1186,"y")))</f>
        <v/>
      </c>
      <c r="I1186" s="48">
        <f>IF($G1186=0,0,IF(INDEX('Hours Worked'!$D$5:$BD$29,$A1186,$B1186)="",N(INDEX(Employees!$H$5:$H$29,$A1186)),INDEX('Hours Worked'!$D$5:$BD$29,$A1186,$B1186)))</f>
        <v/>
      </c>
      <c r="J1186" s="48">
        <f>IF(OR($G1186=0,INDEX(Employees!$O$5:$O$29,$A1186)&lt;&gt;"Yes"),0,IF(COUNTIF(Settings!$D$4:$D$9,"&lt;="&amp;$H1186)=0,0,INDEX(Settings!$E$4:$E$9,COUNTIF(Settings!$D$4:$D$9,"&lt;="&amp;$H1186))))</f>
        <v/>
      </c>
      <c r="K1186" s="48">
        <f>IF($G1186=0,0,IF(INDEX(Employees!$I$5:$I$29,$A1186)="Per pay period",(N(INDEX(Employees!$J$5:$J$29,$A1186))+$J1186)/Settings!$B$13,IF(INDEX(Employees!$I$5:$I$29,$A1186)="Per hour worked",N(INDEX(Employees!$K$5:$K$29,$A1186))*$I1186,IF(INDEX(Employees!$I$5:$I$29,$A1186)="Front-loaded",IF(OR($B1186=1,N($G1185)=0),N(INDEX(Employees!$J$5:$J$29,$A1186))+$J1186,0),0))))</f>
        <v/>
      </c>
      <c r="L1186" s="48">
        <f>IF($F1186=0,0,SUMIFS('Time Off Log'!$H$5:$H$504,'Time Off Log'!$A$5:$A$504,$C1186,'Time Off Log'!$B$5:$B$504,"PTO",'Time Off Log'!$E$5:$E$504,"Approved",'Time Off Log'!$C$5:$C$504,"&gt;="&amp;INDEX(Periods!$E$5:$E$57,$B1186),'Time Off Log'!$C$5:$C$504,"&lt;="&amp;INDEX(Periods!$F$5:$F$57,$B1186)))</f>
        <v/>
      </c>
      <c r="M1186" s="48">
        <f>IF($B1186=1,N(INDEX(Employees!$N$5:$N$29,$A1186)),P1185)</f>
        <v/>
      </c>
      <c r="N1186" s="48">
        <f>IF(INDEX(Employees!$L$5:$L$29,$A1186)="",K1186,MAX(0,MIN(K1186,INDEX(Employees!$L$5:$L$29,$A1186)-(M1186-L1186))))</f>
        <v/>
      </c>
      <c r="O1186" s="48">
        <f>K1186-N1186</f>
        <v/>
      </c>
      <c r="P1186" s="48">
        <f>M1186-L1186+N1186</f>
        <v/>
      </c>
      <c r="Q1186" s="48">
        <f>IF($G1186=0,0,IF(INDEX(Employees!$P$5:$P$29,$A1186)="Per pay period",(N(INDEX(Employees!$Q$5:$Q$29,$A1186)))/Settings!$B$13,IF(INDEX(Employees!$P$5:$P$29,$A1186)="Per hour worked",N(INDEX(Employees!$R$5:$R$29,$A1186))*$I1186,IF(INDEX(Employees!$P$5:$P$29,$A1186)="Front-loaded",IF(OR($B1186=1,N($G1185)=0),N(INDEX(Employees!$Q$5:$Q$29,$A1186)),0),0))))</f>
        <v/>
      </c>
      <c r="R1186" s="48">
        <f>IF($F1186=0,0,SUMIFS('Time Off Log'!$H$5:$H$504,'Time Off Log'!$A$5:$A$504,$C1186,'Time Off Log'!$B$5:$B$504,"Sick",'Time Off Log'!$E$5:$E$504,"Approved",'Time Off Log'!$C$5:$C$504,"&gt;="&amp;INDEX(Periods!$E$5:$E$57,$B1186),'Time Off Log'!$C$5:$C$504,"&lt;="&amp;INDEX(Periods!$F$5:$F$57,$B1186)))</f>
        <v/>
      </c>
      <c r="S1186" s="48">
        <f>IF($B1186=1,N(INDEX(Employees!$T$5:$T$29,$A1186)),V1185)</f>
        <v/>
      </c>
      <c r="T1186" s="48">
        <f>IF(INDEX(Employees!$S$5:$S$29,$A1186)="",Q1186,MAX(0,MIN(Q1186,INDEX(Employees!$S$5:$S$29,$A1186)-(S1186-R1186))))</f>
        <v/>
      </c>
      <c r="U1186" s="48">
        <f>Q1186-T1186</f>
        <v/>
      </c>
      <c r="V1186" s="48">
        <f>S1186-R1186+T1186</f>
        <v/>
      </c>
    </row>
    <row r="1187">
      <c r="A1187" s="47" t="n">
        <v>23</v>
      </c>
      <c r="B1187" s="47" t="n">
        <v>17</v>
      </c>
      <c r="C1187" s="48">
        <f>INDEX(Employees!$B$5:$B$29,$A1187)&amp;""</f>
        <v/>
      </c>
      <c r="D1187" s="49">
        <f>INDEX(Periods!$B$5:$B$57,$B1187)</f>
        <v/>
      </c>
      <c r="E1187" s="49">
        <f>INDEX(Periods!$C$5:$C$57,$B1187)</f>
        <v/>
      </c>
      <c r="F1187" s="47">
        <f>IF(AND($C1187&lt;&gt;"",INDEX(Periods!$D$5:$D$57,$B1187)=1),1,0)</f>
        <v/>
      </c>
      <c r="G1187" s="47">
        <f>IF($F1187=0,0,IF(AND(OR(INDEX(Employees!$D$5:$D$29,$A1187)="",$E1187&gt;=INDEX(Employees!$D$5:$D$29,$A1187)+N(INDEX(Employees!$U$5:$U$29,$A1187))),OR(INDEX(Employees!$E$5:$E$29,$A1187)="",$D1187&lt;=INDEX(Employees!$E$5:$E$29,$A1187))),1,0))</f>
        <v/>
      </c>
      <c r="H1187" s="47">
        <f>IF($G1187=0,0,IF(INDEX(Employees!$D$5:$D$29,$A1187)="",0,DATEDIF(INDEX(Employees!$D$5:$D$29,$A1187),$E1187,"y")))</f>
        <v/>
      </c>
      <c r="I1187" s="48">
        <f>IF($G1187=0,0,IF(INDEX('Hours Worked'!$D$5:$BD$29,$A1187,$B1187)="",N(INDEX(Employees!$H$5:$H$29,$A1187)),INDEX('Hours Worked'!$D$5:$BD$29,$A1187,$B1187)))</f>
        <v/>
      </c>
      <c r="J1187" s="48">
        <f>IF(OR($G1187=0,INDEX(Employees!$O$5:$O$29,$A1187)&lt;&gt;"Yes"),0,IF(COUNTIF(Settings!$D$4:$D$9,"&lt;="&amp;$H1187)=0,0,INDEX(Settings!$E$4:$E$9,COUNTIF(Settings!$D$4:$D$9,"&lt;="&amp;$H1187))))</f>
        <v/>
      </c>
      <c r="K1187" s="48">
        <f>IF($G1187=0,0,IF(INDEX(Employees!$I$5:$I$29,$A1187)="Per pay period",(N(INDEX(Employees!$J$5:$J$29,$A1187))+$J1187)/Settings!$B$13,IF(INDEX(Employees!$I$5:$I$29,$A1187)="Per hour worked",N(INDEX(Employees!$K$5:$K$29,$A1187))*$I1187,IF(INDEX(Employees!$I$5:$I$29,$A1187)="Front-loaded",IF(OR($B1187=1,N($G1186)=0),N(INDEX(Employees!$J$5:$J$29,$A1187))+$J1187,0),0))))</f>
        <v/>
      </c>
      <c r="L1187" s="48">
        <f>IF($F1187=0,0,SUMIFS('Time Off Log'!$H$5:$H$504,'Time Off Log'!$A$5:$A$504,$C1187,'Time Off Log'!$B$5:$B$504,"PTO",'Time Off Log'!$E$5:$E$504,"Approved",'Time Off Log'!$C$5:$C$504,"&gt;="&amp;INDEX(Periods!$E$5:$E$57,$B1187),'Time Off Log'!$C$5:$C$504,"&lt;="&amp;INDEX(Periods!$F$5:$F$57,$B1187)))</f>
        <v/>
      </c>
      <c r="M1187" s="48">
        <f>IF($B1187=1,N(INDEX(Employees!$N$5:$N$29,$A1187)),P1186)</f>
        <v/>
      </c>
      <c r="N1187" s="48">
        <f>IF(INDEX(Employees!$L$5:$L$29,$A1187)="",K1187,MAX(0,MIN(K1187,INDEX(Employees!$L$5:$L$29,$A1187)-(M1187-L1187))))</f>
        <v/>
      </c>
      <c r="O1187" s="48">
        <f>K1187-N1187</f>
        <v/>
      </c>
      <c r="P1187" s="48">
        <f>M1187-L1187+N1187</f>
        <v/>
      </c>
      <c r="Q1187" s="48">
        <f>IF($G1187=0,0,IF(INDEX(Employees!$P$5:$P$29,$A1187)="Per pay period",(N(INDEX(Employees!$Q$5:$Q$29,$A1187)))/Settings!$B$13,IF(INDEX(Employees!$P$5:$P$29,$A1187)="Per hour worked",N(INDEX(Employees!$R$5:$R$29,$A1187))*$I1187,IF(INDEX(Employees!$P$5:$P$29,$A1187)="Front-loaded",IF(OR($B1187=1,N($G1186)=0),N(INDEX(Employees!$Q$5:$Q$29,$A1187)),0),0))))</f>
        <v/>
      </c>
      <c r="R1187" s="48">
        <f>IF($F1187=0,0,SUMIFS('Time Off Log'!$H$5:$H$504,'Time Off Log'!$A$5:$A$504,$C1187,'Time Off Log'!$B$5:$B$504,"Sick",'Time Off Log'!$E$5:$E$504,"Approved",'Time Off Log'!$C$5:$C$504,"&gt;="&amp;INDEX(Periods!$E$5:$E$57,$B1187),'Time Off Log'!$C$5:$C$504,"&lt;="&amp;INDEX(Periods!$F$5:$F$57,$B1187)))</f>
        <v/>
      </c>
      <c r="S1187" s="48">
        <f>IF($B1187=1,N(INDEX(Employees!$T$5:$T$29,$A1187)),V1186)</f>
        <v/>
      </c>
      <c r="T1187" s="48">
        <f>IF(INDEX(Employees!$S$5:$S$29,$A1187)="",Q1187,MAX(0,MIN(Q1187,INDEX(Employees!$S$5:$S$29,$A1187)-(S1187-R1187))))</f>
        <v/>
      </c>
      <c r="U1187" s="48">
        <f>Q1187-T1187</f>
        <v/>
      </c>
      <c r="V1187" s="48">
        <f>S1187-R1187+T1187</f>
        <v/>
      </c>
    </row>
    <row r="1188">
      <c r="A1188" s="47" t="n">
        <v>23</v>
      </c>
      <c r="B1188" s="47" t="n">
        <v>18</v>
      </c>
      <c r="C1188" s="48">
        <f>INDEX(Employees!$B$5:$B$29,$A1188)&amp;""</f>
        <v/>
      </c>
      <c r="D1188" s="49">
        <f>INDEX(Periods!$B$5:$B$57,$B1188)</f>
        <v/>
      </c>
      <c r="E1188" s="49">
        <f>INDEX(Periods!$C$5:$C$57,$B1188)</f>
        <v/>
      </c>
      <c r="F1188" s="47">
        <f>IF(AND($C1188&lt;&gt;"",INDEX(Periods!$D$5:$D$57,$B1188)=1),1,0)</f>
        <v/>
      </c>
      <c r="G1188" s="47">
        <f>IF($F1188=0,0,IF(AND(OR(INDEX(Employees!$D$5:$D$29,$A1188)="",$E1188&gt;=INDEX(Employees!$D$5:$D$29,$A1188)+N(INDEX(Employees!$U$5:$U$29,$A1188))),OR(INDEX(Employees!$E$5:$E$29,$A1188)="",$D1188&lt;=INDEX(Employees!$E$5:$E$29,$A1188))),1,0))</f>
        <v/>
      </c>
      <c r="H1188" s="47">
        <f>IF($G1188=0,0,IF(INDEX(Employees!$D$5:$D$29,$A1188)="",0,DATEDIF(INDEX(Employees!$D$5:$D$29,$A1188),$E1188,"y")))</f>
        <v/>
      </c>
      <c r="I1188" s="48">
        <f>IF($G1188=0,0,IF(INDEX('Hours Worked'!$D$5:$BD$29,$A1188,$B1188)="",N(INDEX(Employees!$H$5:$H$29,$A1188)),INDEX('Hours Worked'!$D$5:$BD$29,$A1188,$B1188)))</f>
        <v/>
      </c>
      <c r="J1188" s="48">
        <f>IF(OR($G1188=0,INDEX(Employees!$O$5:$O$29,$A1188)&lt;&gt;"Yes"),0,IF(COUNTIF(Settings!$D$4:$D$9,"&lt;="&amp;$H1188)=0,0,INDEX(Settings!$E$4:$E$9,COUNTIF(Settings!$D$4:$D$9,"&lt;="&amp;$H1188))))</f>
        <v/>
      </c>
      <c r="K1188" s="48">
        <f>IF($G1188=0,0,IF(INDEX(Employees!$I$5:$I$29,$A1188)="Per pay period",(N(INDEX(Employees!$J$5:$J$29,$A1188))+$J1188)/Settings!$B$13,IF(INDEX(Employees!$I$5:$I$29,$A1188)="Per hour worked",N(INDEX(Employees!$K$5:$K$29,$A1188))*$I1188,IF(INDEX(Employees!$I$5:$I$29,$A1188)="Front-loaded",IF(OR($B1188=1,N($G1187)=0),N(INDEX(Employees!$J$5:$J$29,$A1188))+$J1188,0),0))))</f>
        <v/>
      </c>
      <c r="L1188" s="48">
        <f>IF($F1188=0,0,SUMIFS('Time Off Log'!$H$5:$H$504,'Time Off Log'!$A$5:$A$504,$C1188,'Time Off Log'!$B$5:$B$504,"PTO",'Time Off Log'!$E$5:$E$504,"Approved",'Time Off Log'!$C$5:$C$504,"&gt;="&amp;INDEX(Periods!$E$5:$E$57,$B1188),'Time Off Log'!$C$5:$C$504,"&lt;="&amp;INDEX(Periods!$F$5:$F$57,$B1188)))</f>
        <v/>
      </c>
      <c r="M1188" s="48">
        <f>IF($B1188=1,N(INDEX(Employees!$N$5:$N$29,$A1188)),P1187)</f>
        <v/>
      </c>
      <c r="N1188" s="48">
        <f>IF(INDEX(Employees!$L$5:$L$29,$A1188)="",K1188,MAX(0,MIN(K1188,INDEX(Employees!$L$5:$L$29,$A1188)-(M1188-L1188))))</f>
        <v/>
      </c>
      <c r="O1188" s="48">
        <f>K1188-N1188</f>
        <v/>
      </c>
      <c r="P1188" s="48">
        <f>M1188-L1188+N1188</f>
        <v/>
      </c>
      <c r="Q1188" s="48">
        <f>IF($G1188=0,0,IF(INDEX(Employees!$P$5:$P$29,$A1188)="Per pay period",(N(INDEX(Employees!$Q$5:$Q$29,$A1188)))/Settings!$B$13,IF(INDEX(Employees!$P$5:$P$29,$A1188)="Per hour worked",N(INDEX(Employees!$R$5:$R$29,$A1188))*$I1188,IF(INDEX(Employees!$P$5:$P$29,$A1188)="Front-loaded",IF(OR($B1188=1,N($G1187)=0),N(INDEX(Employees!$Q$5:$Q$29,$A1188)),0),0))))</f>
        <v/>
      </c>
      <c r="R1188" s="48">
        <f>IF($F1188=0,0,SUMIFS('Time Off Log'!$H$5:$H$504,'Time Off Log'!$A$5:$A$504,$C1188,'Time Off Log'!$B$5:$B$504,"Sick",'Time Off Log'!$E$5:$E$504,"Approved",'Time Off Log'!$C$5:$C$504,"&gt;="&amp;INDEX(Periods!$E$5:$E$57,$B1188),'Time Off Log'!$C$5:$C$504,"&lt;="&amp;INDEX(Periods!$F$5:$F$57,$B1188)))</f>
        <v/>
      </c>
      <c r="S1188" s="48">
        <f>IF($B1188=1,N(INDEX(Employees!$T$5:$T$29,$A1188)),V1187)</f>
        <v/>
      </c>
      <c r="T1188" s="48">
        <f>IF(INDEX(Employees!$S$5:$S$29,$A1188)="",Q1188,MAX(0,MIN(Q1188,INDEX(Employees!$S$5:$S$29,$A1188)-(S1188-R1188))))</f>
        <v/>
      </c>
      <c r="U1188" s="48">
        <f>Q1188-T1188</f>
        <v/>
      </c>
      <c r="V1188" s="48">
        <f>S1188-R1188+T1188</f>
        <v/>
      </c>
    </row>
    <row r="1189">
      <c r="A1189" s="47" t="n">
        <v>23</v>
      </c>
      <c r="B1189" s="47" t="n">
        <v>19</v>
      </c>
      <c r="C1189" s="48">
        <f>INDEX(Employees!$B$5:$B$29,$A1189)&amp;""</f>
        <v/>
      </c>
      <c r="D1189" s="49">
        <f>INDEX(Periods!$B$5:$B$57,$B1189)</f>
        <v/>
      </c>
      <c r="E1189" s="49">
        <f>INDEX(Periods!$C$5:$C$57,$B1189)</f>
        <v/>
      </c>
      <c r="F1189" s="47">
        <f>IF(AND($C1189&lt;&gt;"",INDEX(Periods!$D$5:$D$57,$B1189)=1),1,0)</f>
        <v/>
      </c>
      <c r="G1189" s="47">
        <f>IF($F1189=0,0,IF(AND(OR(INDEX(Employees!$D$5:$D$29,$A1189)="",$E1189&gt;=INDEX(Employees!$D$5:$D$29,$A1189)+N(INDEX(Employees!$U$5:$U$29,$A1189))),OR(INDEX(Employees!$E$5:$E$29,$A1189)="",$D1189&lt;=INDEX(Employees!$E$5:$E$29,$A1189))),1,0))</f>
        <v/>
      </c>
      <c r="H1189" s="47">
        <f>IF($G1189=0,0,IF(INDEX(Employees!$D$5:$D$29,$A1189)="",0,DATEDIF(INDEX(Employees!$D$5:$D$29,$A1189),$E1189,"y")))</f>
        <v/>
      </c>
      <c r="I1189" s="48">
        <f>IF($G1189=0,0,IF(INDEX('Hours Worked'!$D$5:$BD$29,$A1189,$B1189)="",N(INDEX(Employees!$H$5:$H$29,$A1189)),INDEX('Hours Worked'!$D$5:$BD$29,$A1189,$B1189)))</f>
        <v/>
      </c>
      <c r="J1189" s="48">
        <f>IF(OR($G1189=0,INDEX(Employees!$O$5:$O$29,$A1189)&lt;&gt;"Yes"),0,IF(COUNTIF(Settings!$D$4:$D$9,"&lt;="&amp;$H1189)=0,0,INDEX(Settings!$E$4:$E$9,COUNTIF(Settings!$D$4:$D$9,"&lt;="&amp;$H1189))))</f>
        <v/>
      </c>
      <c r="K1189" s="48">
        <f>IF($G1189=0,0,IF(INDEX(Employees!$I$5:$I$29,$A1189)="Per pay period",(N(INDEX(Employees!$J$5:$J$29,$A1189))+$J1189)/Settings!$B$13,IF(INDEX(Employees!$I$5:$I$29,$A1189)="Per hour worked",N(INDEX(Employees!$K$5:$K$29,$A1189))*$I1189,IF(INDEX(Employees!$I$5:$I$29,$A1189)="Front-loaded",IF(OR($B1189=1,N($G1188)=0),N(INDEX(Employees!$J$5:$J$29,$A1189))+$J1189,0),0))))</f>
        <v/>
      </c>
      <c r="L1189" s="48">
        <f>IF($F1189=0,0,SUMIFS('Time Off Log'!$H$5:$H$504,'Time Off Log'!$A$5:$A$504,$C1189,'Time Off Log'!$B$5:$B$504,"PTO",'Time Off Log'!$E$5:$E$504,"Approved",'Time Off Log'!$C$5:$C$504,"&gt;="&amp;INDEX(Periods!$E$5:$E$57,$B1189),'Time Off Log'!$C$5:$C$504,"&lt;="&amp;INDEX(Periods!$F$5:$F$57,$B1189)))</f>
        <v/>
      </c>
      <c r="M1189" s="48">
        <f>IF($B1189=1,N(INDEX(Employees!$N$5:$N$29,$A1189)),P1188)</f>
        <v/>
      </c>
      <c r="N1189" s="48">
        <f>IF(INDEX(Employees!$L$5:$L$29,$A1189)="",K1189,MAX(0,MIN(K1189,INDEX(Employees!$L$5:$L$29,$A1189)-(M1189-L1189))))</f>
        <v/>
      </c>
      <c r="O1189" s="48">
        <f>K1189-N1189</f>
        <v/>
      </c>
      <c r="P1189" s="48">
        <f>M1189-L1189+N1189</f>
        <v/>
      </c>
      <c r="Q1189" s="48">
        <f>IF($G1189=0,0,IF(INDEX(Employees!$P$5:$P$29,$A1189)="Per pay period",(N(INDEX(Employees!$Q$5:$Q$29,$A1189)))/Settings!$B$13,IF(INDEX(Employees!$P$5:$P$29,$A1189)="Per hour worked",N(INDEX(Employees!$R$5:$R$29,$A1189))*$I1189,IF(INDEX(Employees!$P$5:$P$29,$A1189)="Front-loaded",IF(OR($B1189=1,N($G1188)=0),N(INDEX(Employees!$Q$5:$Q$29,$A1189)),0),0))))</f>
        <v/>
      </c>
      <c r="R1189" s="48">
        <f>IF($F1189=0,0,SUMIFS('Time Off Log'!$H$5:$H$504,'Time Off Log'!$A$5:$A$504,$C1189,'Time Off Log'!$B$5:$B$504,"Sick",'Time Off Log'!$E$5:$E$504,"Approved",'Time Off Log'!$C$5:$C$504,"&gt;="&amp;INDEX(Periods!$E$5:$E$57,$B1189),'Time Off Log'!$C$5:$C$504,"&lt;="&amp;INDEX(Periods!$F$5:$F$57,$B1189)))</f>
        <v/>
      </c>
      <c r="S1189" s="48">
        <f>IF($B1189=1,N(INDEX(Employees!$T$5:$T$29,$A1189)),V1188)</f>
        <v/>
      </c>
      <c r="T1189" s="48">
        <f>IF(INDEX(Employees!$S$5:$S$29,$A1189)="",Q1189,MAX(0,MIN(Q1189,INDEX(Employees!$S$5:$S$29,$A1189)-(S1189-R1189))))</f>
        <v/>
      </c>
      <c r="U1189" s="48">
        <f>Q1189-T1189</f>
        <v/>
      </c>
      <c r="V1189" s="48">
        <f>S1189-R1189+T1189</f>
        <v/>
      </c>
    </row>
    <row r="1190">
      <c r="A1190" s="47" t="n">
        <v>23</v>
      </c>
      <c r="B1190" s="47" t="n">
        <v>20</v>
      </c>
      <c r="C1190" s="48">
        <f>INDEX(Employees!$B$5:$B$29,$A1190)&amp;""</f>
        <v/>
      </c>
      <c r="D1190" s="49">
        <f>INDEX(Periods!$B$5:$B$57,$B1190)</f>
        <v/>
      </c>
      <c r="E1190" s="49">
        <f>INDEX(Periods!$C$5:$C$57,$B1190)</f>
        <v/>
      </c>
      <c r="F1190" s="47">
        <f>IF(AND($C1190&lt;&gt;"",INDEX(Periods!$D$5:$D$57,$B1190)=1),1,0)</f>
        <v/>
      </c>
      <c r="G1190" s="47">
        <f>IF($F1190=0,0,IF(AND(OR(INDEX(Employees!$D$5:$D$29,$A1190)="",$E1190&gt;=INDEX(Employees!$D$5:$D$29,$A1190)+N(INDEX(Employees!$U$5:$U$29,$A1190))),OR(INDEX(Employees!$E$5:$E$29,$A1190)="",$D1190&lt;=INDEX(Employees!$E$5:$E$29,$A1190))),1,0))</f>
        <v/>
      </c>
      <c r="H1190" s="47">
        <f>IF($G1190=0,0,IF(INDEX(Employees!$D$5:$D$29,$A1190)="",0,DATEDIF(INDEX(Employees!$D$5:$D$29,$A1190),$E1190,"y")))</f>
        <v/>
      </c>
      <c r="I1190" s="48">
        <f>IF($G1190=0,0,IF(INDEX('Hours Worked'!$D$5:$BD$29,$A1190,$B1190)="",N(INDEX(Employees!$H$5:$H$29,$A1190)),INDEX('Hours Worked'!$D$5:$BD$29,$A1190,$B1190)))</f>
        <v/>
      </c>
      <c r="J1190" s="48">
        <f>IF(OR($G1190=0,INDEX(Employees!$O$5:$O$29,$A1190)&lt;&gt;"Yes"),0,IF(COUNTIF(Settings!$D$4:$D$9,"&lt;="&amp;$H1190)=0,0,INDEX(Settings!$E$4:$E$9,COUNTIF(Settings!$D$4:$D$9,"&lt;="&amp;$H1190))))</f>
        <v/>
      </c>
      <c r="K1190" s="48">
        <f>IF($G1190=0,0,IF(INDEX(Employees!$I$5:$I$29,$A1190)="Per pay period",(N(INDEX(Employees!$J$5:$J$29,$A1190))+$J1190)/Settings!$B$13,IF(INDEX(Employees!$I$5:$I$29,$A1190)="Per hour worked",N(INDEX(Employees!$K$5:$K$29,$A1190))*$I1190,IF(INDEX(Employees!$I$5:$I$29,$A1190)="Front-loaded",IF(OR($B1190=1,N($G1189)=0),N(INDEX(Employees!$J$5:$J$29,$A1190))+$J1190,0),0))))</f>
        <v/>
      </c>
      <c r="L1190" s="48">
        <f>IF($F1190=0,0,SUMIFS('Time Off Log'!$H$5:$H$504,'Time Off Log'!$A$5:$A$504,$C1190,'Time Off Log'!$B$5:$B$504,"PTO",'Time Off Log'!$E$5:$E$504,"Approved",'Time Off Log'!$C$5:$C$504,"&gt;="&amp;INDEX(Periods!$E$5:$E$57,$B1190),'Time Off Log'!$C$5:$C$504,"&lt;="&amp;INDEX(Periods!$F$5:$F$57,$B1190)))</f>
        <v/>
      </c>
      <c r="M1190" s="48">
        <f>IF($B1190=1,N(INDEX(Employees!$N$5:$N$29,$A1190)),P1189)</f>
        <v/>
      </c>
      <c r="N1190" s="48">
        <f>IF(INDEX(Employees!$L$5:$L$29,$A1190)="",K1190,MAX(0,MIN(K1190,INDEX(Employees!$L$5:$L$29,$A1190)-(M1190-L1190))))</f>
        <v/>
      </c>
      <c r="O1190" s="48">
        <f>K1190-N1190</f>
        <v/>
      </c>
      <c r="P1190" s="48">
        <f>M1190-L1190+N1190</f>
        <v/>
      </c>
      <c r="Q1190" s="48">
        <f>IF($G1190=0,0,IF(INDEX(Employees!$P$5:$P$29,$A1190)="Per pay period",(N(INDEX(Employees!$Q$5:$Q$29,$A1190)))/Settings!$B$13,IF(INDEX(Employees!$P$5:$P$29,$A1190)="Per hour worked",N(INDEX(Employees!$R$5:$R$29,$A1190))*$I1190,IF(INDEX(Employees!$P$5:$P$29,$A1190)="Front-loaded",IF(OR($B1190=1,N($G1189)=0),N(INDEX(Employees!$Q$5:$Q$29,$A1190)),0),0))))</f>
        <v/>
      </c>
      <c r="R1190" s="48">
        <f>IF($F1190=0,0,SUMIFS('Time Off Log'!$H$5:$H$504,'Time Off Log'!$A$5:$A$504,$C1190,'Time Off Log'!$B$5:$B$504,"Sick",'Time Off Log'!$E$5:$E$504,"Approved",'Time Off Log'!$C$5:$C$504,"&gt;="&amp;INDEX(Periods!$E$5:$E$57,$B1190),'Time Off Log'!$C$5:$C$504,"&lt;="&amp;INDEX(Periods!$F$5:$F$57,$B1190)))</f>
        <v/>
      </c>
      <c r="S1190" s="48">
        <f>IF($B1190=1,N(INDEX(Employees!$T$5:$T$29,$A1190)),V1189)</f>
        <v/>
      </c>
      <c r="T1190" s="48">
        <f>IF(INDEX(Employees!$S$5:$S$29,$A1190)="",Q1190,MAX(0,MIN(Q1190,INDEX(Employees!$S$5:$S$29,$A1190)-(S1190-R1190))))</f>
        <v/>
      </c>
      <c r="U1190" s="48">
        <f>Q1190-T1190</f>
        <v/>
      </c>
      <c r="V1190" s="48">
        <f>S1190-R1190+T1190</f>
        <v/>
      </c>
    </row>
    <row r="1191">
      <c r="A1191" s="47" t="n">
        <v>23</v>
      </c>
      <c r="B1191" s="47" t="n">
        <v>21</v>
      </c>
      <c r="C1191" s="48">
        <f>INDEX(Employees!$B$5:$B$29,$A1191)&amp;""</f>
        <v/>
      </c>
      <c r="D1191" s="49">
        <f>INDEX(Periods!$B$5:$B$57,$B1191)</f>
        <v/>
      </c>
      <c r="E1191" s="49">
        <f>INDEX(Periods!$C$5:$C$57,$B1191)</f>
        <v/>
      </c>
      <c r="F1191" s="47">
        <f>IF(AND($C1191&lt;&gt;"",INDEX(Periods!$D$5:$D$57,$B1191)=1),1,0)</f>
        <v/>
      </c>
      <c r="G1191" s="47">
        <f>IF($F1191=0,0,IF(AND(OR(INDEX(Employees!$D$5:$D$29,$A1191)="",$E1191&gt;=INDEX(Employees!$D$5:$D$29,$A1191)+N(INDEX(Employees!$U$5:$U$29,$A1191))),OR(INDEX(Employees!$E$5:$E$29,$A1191)="",$D1191&lt;=INDEX(Employees!$E$5:$E$29,$A1191))),1,0))</f>
        <v/>
      </c>
      <c r="H1191" s="47">
        <f>IF($G1191=0,0,IF(INDEX(Employees!$D$5:$D$29,$A1191)="",0,DATEDIF(INDEX(Employees!$D$5:$D$29,$A1191),$E1191,"y")))</f>
        <v/>
      </c>
      <c r="I1191" s="48">
        <f>IF($G1191=0,0,IF(INDEX('Hours Worked'!$D$5:$BD$29,$A1191,$B1191)="",N(INDEX(Employees!$H$5:$H$29,$A1191)),INDEX('Hours Worked'!$D$5:$BD$29,$A1191,$B1191)))</f>
        <v/>
      </c>
      <c r="J1191" s="48">
        <f>IF(OR($G1191=0,INDEX(Employees!$O$5:$O$29,$A1191)&lt;&gt;"Yes"),0,IF(COUNTIF(Settings!$D$4:$D$9,"&lt;="&amp;$H1191)=0,0,INDEX(Settings!$E$4:$E$9,COUNTIF(Settings!$D$4:$D$9,"&lt;="&amp;$H1191))))</f>
        <v/>
      </c>
      <c r="K1191" s="48">
        <f>IF($G1191=0,0,IF(INDEX(Employees!$I$5:$I$29,$A1191)="Per pay period",(N(INDEX(Employees!$J$5:$J$29,$A1191))+$J1191)/Settings!$B$13,IF(INDEX(Employees!$I$5:$I$29,$A1191)="Per hour worked",N(INDEX(Employees!$K$5:$K$29,$A1191))*$I1191,IF(INDEX(Employees!$I$5:$I$29,$A1191)="Front-loaded",IF(OR($B1191=1,N($G1190)=0),N(INDEX(Employees!$J$5:$J$29,$A1191))+$J1191,0),0))))</f>
        <v/>
      </c>
      <c r="L1191" s="48">
        <f>IF($F1191=0,0,SUMIFS('Time Off Log'!$H$5:$H$504,'Time Off Log'!$A$5:$A$504,$C1191,'Time Off Log'!$B$5:$B$504,"PTO",'Time Off Log'!$E$5:$E$504,"Approved",'Time Off Log'!$C$5:$C$504,"&gt;="&amp;INDEX(Periods!$E$5:$E$57,$B1191),'Time Off Log'!$C$5:$C$504,"&lt;="&amp;INDEX(Periods!$F$5:$F$57,$B1191)))</f>
        <v/>
      </c>
      <c r="M1191" s="48">
        <f>IF($B1191=1,N(INDEX(Employees!$N$5:$N$29,$A1191)),P1190)</f>
        <v/>
      </c>
      <c r="N1191" s="48">
        <f>IF(INDEX(Employees!$L$5:$L$29,$A1191)="",K1191,MAX(0,MIN(K1191,INDEX(Employees!$L$5:$L$29,$A1191)-(M1191-L1191))))</f>
        <v/>
      </c>
      <c r="O1191" s="48">
        <f>K1191-N1191</f>
        <v/>
      </c>
      <c r="P1191" s="48">
        <f>M1191-L1191+N1191</f>
        <v/>
      </c>
      <c r="Q1191" s="48">
        <f>IF($G1191=0,0,IF(INDEX(Employees!$P$5:$P$29,$A1191)="Per pay period",(N(INDEX(Employees!$Q$5:$Q$29,$A1191)))/Settings!$B$13,IF(INDEX(Employees!$P$5:$P$29,$A1191)="Per hour worked",N(INDEX(Employees!$R$5:$R$29,$A1191))*$I1191,IF(INDEX(Employees!$P$5:$P$29,$A1191)="Front-loaded",IF(OR($B1191=1,N($G1190)=0),N(INDEX(Employees!$Q$5:$Q$29,$A1191)),0),0))))</f>
        <v/>
      </c>
      <c r="R1191" s="48">
        <f>IF($F1191=0,0,SUMIFS('Time Off Log'!$H$5:$H$504,'Time Off Log'!$A$5:$A$504,$C1191,'Time Off Log'!$B$5:$B$504,"Sick",'Time Off Log'!$E$5:$E$504,"Approved",'Time Off Log'!$C$5:$C$504,"&gt;="&amp;INDEX(Periods!$E$5:$E$57,$B1191),'Time Off Log'!$C$5:$C$504,"&lt;="&amp;INDEX(Periods!$F$5:$F$57,$B1191)))</f>
        <v/>
      </c>
      <c r="S1191" s="48">
        <f>IF($B1191=1,N(INDEX(Employees!$T$5:$T$29,$A1191)),V1190)</f>
        <v/>
      </c>
      <c r="T1191" s="48">
        <f>IF(INDEX(Employees!$S$5:$S$29,$A1191)="",Q1191,MAX(0,MIN(Q1191,INDEX(Employees!$S$5:$S$29,$A1191)-(S1191-R1191))))</f>
        <v/>
      </c>
      <c r="U1191" s="48">
        <f>Q1191-T1191</f>
        <v/>
      </c>
      <c r="V1191" s="48">
        <f>S1191-R1191+T1191</f>
        <v/>
      </c>
    </row>
    <row r="1192">
      <c r="A1192" s="47" t="n">
        <v>23</v>
      </c>
      <c r="B1192" s="47" t="n">
        <v>22</v>
      </c>
      <c r="C1192" s="48">
        <f>INDEX(Employees!$B$5:$B$29,$A1192)&amp;""</f>
        <v/>
      </c>
      <c r="D1192" s="49">
        <f>INDEX(Periods!$B$5:$B$57,$B1192)</f>
        <v/>
      </c>
      <c r="E1192" s="49">
        <f>INDEX(Periods!$C$5:$C$57,$B1192)</f>
        <v/>
      </c>
      <c r="F1192" s="47">
        <f>IF(AND($C1192&lt;&gt;"",INDEX(Periods!$D$5:$D$57,$B1192)=1),1,0)</f>
        <v/>
      </c>
      <c r="G1192" s="47">
        <f>IF($F1192=0,0,IF(AND(OR(INDEX(Employees!$D$5:$D$29,$A1192)="",$E1192&gt;=INDEX(Employees!$D$5:$D$29,$A1192)+N(INDEX(Employees!$U$5:$U$29,$A1192))),OR(INDEX(Employees!$E$5:$E$29,$A1192)="",$D1192&lt;=INDEX(Employees!$E$5:$E$29,$A1192))),1,0))</f>
        <v/>
      </c>
      <c r="H1192" s="47">
        <f>IF($G1192=0,0,IF(INDEX(Employees!$D$5:$D$29,$A1192)="",0,DATEDIF(INDEX(Employees!$D$5:$D$29,$A1192),$E1192,"y")))</f>
        <v/>
      </c>
      <c r="I1192" s="48">
        <f>IF($G1192=0,0,IF(INDEX('Hours Worked'!$D$5:$BD$29,$A1192,$B1192)="",N(INDEX(Employees!$H$5:$H$29,$A1192)),INDEX('Hours Worked'!$D$5:$BD$29,$A1192,$B1192)))</f>
        <v/>
      </c>
      <c r="J1192" s="48">
        <f>IF(OR($G1192=0,INDEX(Employees!$O$5:$O$29,$A1192)&lt;&gt;"Yes"),0,IF(COUNTIF(Settings!$D$4:$D$9,"&lt;="&amp;$H1192)=0,0,INDEX(Settings!$E$4:$E$9,COUNTIF(Settings!$D$4:$D$9,"&lt;="&amp;$H1192))))</f>
        <v/>
      </c>
      <c r="K1192" s="48">
        <f>IF($G1192=0,0,IF(INDEX(Employees!$I$5:$I$29,$A1192)="Per pay period",(N(INDEX(Employees!$J$5:$J$29,$A1192))+$J1192)/Settings!$B$13,IF(INDEX(Employees!$I$5:$I$29,$A1192)="Per hour worked",N(INDEX(Employees!$K$5:$K$29,$A1192))*$I1192,IF(INDEX(Employees!$I$5:$I$29,$A1192)="Front-loaded",IF(OR($B1192=1,N($G1191)=0),N(INDEX(Employees!$J$5:$J$29,$A1192))+$J1192,0),0))))</f>
        <v/>
      </c>
      <c r="L1192" s="48">
        <f>IF($F1192=0,0,SUMIFS('Time Off Log'!$H$5:$H$504,'Time Off Log'!$A$5:$A$504,$C1192,'Time Off Log'!$B$5:$B$504,"PTO",'Time Off Log'!$E$5:$E$504,"Approved",'Time Off Log'!$C$5:$C$504,"&gt;="&amp;INDEX(Periods!$E$5:$E$57,$B1192),'Time Off Log'!$C$5:$C$504,"&lt;="&amp;INDEX(Periods!$F$5:$F$57,$B1192)))</f>
        <v/>
      </c>
      <c r="M1192" s="48">
        <f>IF($B1192=1,N(INDEX(Employees!$N$5:$N$29,$A1192)),P1191)</f>
        <v/>
      </c>
      <c r="N1192" s="48">
        <f>IF(INDEX(Employees!$L$5:$L$29,$A1192)="",K1192,MAX(0,MIN(K1192,INDEX(Employees!$L$5:$L$29,$A1192)-(M1192-L1192))))</f>
        <v/>
      </c>
      <c r="O1192" s="48">
        <f>K1192-N1192</f>
        <v/>
      </c>
      <c r="P1192" s="48">
        <f>M1192-L1192+N1192</f>
        <v/>
      </c>
      <c r="Q1192" s="48">
        <f>IF($G1192=0,0,IF(INDEX(Employees!$P$5:$P$29,$A1192)="Per pay period",(N(INDEX(Employees!$Q$5:$Q$29,$A1192)))/Settings!$B$13,IF(INDEX(Employees!$P$5:$P$29,$A1192)="Per hour worked",N(INDEX(Employees!$R$5:$R$29,$A1192))*$I1192,IF(INDEX(Employees!$P$5:$P$29,$A1192)="Front-loaded",IF(OR($B1192=1,N($G1191)=0),N(INDEX(Employees!$Q$5:$Q$29,$A1192)),0),0))))</f>
        <v/>
      </c>
      <c r="R1192" s="48">
        <f>IF($F1192=0,0,SUMIFS('Time Off Log'!$H$5:$H$504,'Time Off Log'!$A$5:$A$504,$C1192,'Time Off Log'!$B$5:$B$504,"Sick",'Time Off Log'!$E$5:$E$504,"Approved",'Time Off Log'!$C$5:$C$504,"&gt;="&amp;INDEX(Periods!$E$5:$E$57,$B1192),'Time Off Log'!$C$5:$C$504,"&lt;="&amp;INDEX(Periods!$F$5:$F$57,$B1192)))</f>
        <v/>
      </c>
      <c r="S1192" s="48">
        <f>IF($B1192=1,N(INDEX(Employees!$T$5:$T$29,$A1192)),V1191)</f>
        <v/>
      </c>
      <c r="T1192" s="48">
        <f>IF(INDEX(Employees!$S$5:$S$29,$A1192)="",Q1192,MAX(0,MIN(Q1192,INDEX(Employees!$S$5:$S$29,$A1192)-(S1192-R1192))))</f>
        <v/>
      </c>
      <c r="U1192" s="48">
        <f>Q1192-T1192</f>
        <v/>
      </c>
      <c r="V1192" s="48">
        <f>S1192-R1192+T1192</f>
        <v/>
      </c>
    </row>
    <row r="1193">
      <c r="A1193" s="47" t="n">
        <v>23</v>
      </c>
      <c r="B1193" s="47" t="n">
        <v>23</v>
      </c>
      <c r="C1193" s="48">
        <f>INDEX(Employees!$B$5:$B$29,$A1193)&amp;""</f>
        <v/>
      </c>
      <c r="D1193" s="49">
        <f>INDEX(Periods!$B$5:$B$57,$B1193)</f>
        <v/>
      </c>
      <c r="E1193" s="49">
        <f>INDEX(Periods!$C$5:$C$57,$B1193)</f>
        <v/>
      </c>
      <c r="F1193" s="47">
        <f>IF(AND($C1193&lt;&gt;"",INDEX(Periods!$D$5:$D$57,$B1193)=1),1,0)</f>
        <v/>
      </c>
      <c r="G1193" s="47">
        <f>IF($F1193=0,0,IF(AND(OR(INDEX(Employees!$D$5:$D$29,$A1193)="",$E1193&gt;=INDEX(Employees!$D$5:$D$29,$A1193)+N(INDEX(Employees!$U$5:$U$29,$A1193))),OR(INDEX(Employees!$E$5:$E$29,$A1193)="",$D1193&lt;=INDEX(Employees!$E$5:$E$29,$A1193))),1,0))</f>
        <v/>
      </c>
      <c r="H1193" s="47">
        <f>IF($G1193=0,0,IF(INDEX(Employees!$D$5:$D$29,$A1193)="",0,DATEDIF(INDEX(Employees!$D$5:$D$29,$A1193),$E1193,"y")))</f>
        <v/>
      </c>
      <c r="I1193" s="48">
        <f>IF($G1193=0,0,IF(INDEX('Hours Worked'!$D$5:$BD$29,$A1193,$B1193)="",N(INDEX(Employees!$H$5:$H$29,$A1193)),INDEX('Hours Worked'!$D$5:$BD$29,$A1193,$B1193)))</f>
        <v/>
      </c>
      <c r="J1193" s="48">
        <f>IF(OR($G1193=0,INDEX(Employees!$O$5:$O$29,$A1193)&lt;&gt;"Yes"),0,IF(COUNTIF(Settings!$D$4:$D$9,"&lt;="&amp;$H1193)=0,0,INDEX(Settings!$E$4:$E$9,COUNTIF(Settings!$D$4:$D$9,"&lt;="&amp;$H1193))))</f>
        <v/>
      </c>
      <c r="K1193" s="48">
        <f>IF($G1193=0,0,IF(INDEX(Employees!$I$5:$I$29,$A1193)="Per pay period",(N(INDEX(Employees!$J$5:$J$29,$A1193))+$J1193)/Settings!$B$13,IF(INDEX(Employees!$I$5:$I$29,$A1193)="Per hour worked",N(INDEX(Employees!$K$5:$K$29,$A1193))*$I1193,IF(INDEX(Employees!$I$5:$I$29,$A1193)="Front-loaded",IF(OR($B1193=1,N($G1192)=0),N(INDEX(Employees!$J$5:$J$29,$A1193))+$J1193,0),0))))</f>
        <v/>
      </c>
      <c r="L1193" s="48">
        <f>IF($F1193=0,0,SUMIFS('Time Off Log'!$H$5:$H$504,'Time Off Log'!$A$5:$A$504,$C1193,'Time Off Log'!$B$5:$B$504,"PTO",'Time Off Log'!$E$5:$E$504,"Approved",'Time Off Log'!$C$5:$C$504,"&gt;="&amp;INDEX(Periods!$E$5:$E$57,$B1193),'Time Off Log'!$C$5:$C$504,"&lt;="&amp;INDEX(Periods!$F$5:$F$57,$B1193)))</f>
        <v/>
      </c>
      <c r="M1193" s="48">
        <f>IF($B1193=1,N(INDEX(Employees!$N$5:$N$29,$A1193)),P1192)</f>
        <v/>
      </c>
      <c r="N1193" s="48">
        <f>IF(INDEX(Employees!$L$5:$L$29,$A1193)="",K1193,MAX(0,MIN(K1193,INDEX(Employees!$L$5:$L$29,$A1193)-(M1193-L1193))))</f>
        <v/>
      </c>
      <c r="O1193" s="48">
        <f>K1193-N1193</f>
        <v/>
      </c>
      <c r="P1193" s="48">
        <f>M1193-L1193+N1193</f>
        <v/>
      </c>
      <c r="Q1193" s="48">
        <f>IF($G1193=0,0,IF(INDEX(Employees!$P$5:$P$29,$A1193)="Per pay period",(N(INDEX(Employees!$Q$5:$Q$29,$A1193)))/Settings!$B$13,IF(INDEX(Employees!$P$5:$P$29,$A1193)="Per hour worked",N(INDEX(Employees!$R$5:$R$29,$A1193))*$I1193,IF(INDEX(Employees!$P$5:$P$29,$A1193)="Front-loaded",IF(OR($B1193=1,N($G1192)=0),N(INDEX(Employees!$Q$5:$Q$29,$A1193)),0),0))))</f>
        <v/>
      </c>
      <c r="R1193" s="48">
        <f>IF($F1193=0,0,SUMIFS('Time Off Log'!$H$5:$H$504,'Time Off Log'!$A$5:$A$504,$C1193,'Time Off Log'!$B$5:$B$504,"Sick",'Time Off Log'!$E$5:$E$504,"Approved",'Time Off Log'!$C$5:$C$504,"&gt;="&amp;INDEX(Periods!$E$5:$E$57,$B1193),'Time Off Log'!$C$5:$C$504,"&lt;="&amp;INDEX(Periods!$F$5:$F$57,$B1193)))</f>
        <v/>
      </c>
      <c r="S1193" s="48">
        <f>IF($B1193=1,N(INDEX(Employees!$T$5:$T$29,$A1193)),V1192)</f>
        <v/>
      </c>
      <c r="T1193" s="48">
        <f>IF(INDEX(Employees!$S$5:$S$29,$A1193)="",Q1193,MAX(0,MIN(Q1193,INDEX(Employees!$S$5:$S$29,$A1193)-(S1193-R1193))))</f>
        <v/>
      </c>
      <c r="U1193" s="48">
        <f>Q1193-T1193</f>
        <v/>
      </c>
      <c r="V1193" s="48">
        <f>S1193-R1193+T1193</f>
        <v/>
      </c>
    </row>
    <row r="1194">
      <c r="A1194" s="47" t="n">
        <v>23</v>
      </c>
      <c r="B1194" s="47" t="n">
        <v>24</v>
      </c>
      <c r="C1194" s="48">
        <f>INDEX(Employees!$B$5:$B$29,$A1194)&amp;""</f>
        <v/>
      </c>
      <c r="D1194" s="49">
        <f>INDEX(Periods!$B$5:$B$57,$B1194)</f>
        <v/>
      </c>
      <c r="E1194" s="49">
        <f>INDEX(Periods!$C$5:$C$57,$B1194)</f>
        <v/>
      </c>
      <c r="F1194" s="47">
        <f>IF(AND($C1194&lt;&gt;"",INDEX(Periods!$D$5:$D$57,$B1194)=1),1,0)</f>
        <v/>
      </c>
      <c r="G1194" s="47">
        <f>IF($F1194=0,0,IF(AND(OR(INDEX(Employees!$D$5:$D$29,$A1194)="",$E1194&gt;=INDEX(Employees!$D$5:$D$29,$A1194)+N(INDEX(Employees!$U$5:$U$29,$A1194))),OR(INDEX(Employees!$E$5:$E$29,$A1194)="",$D1194&lt;=INDEX(Employees!$E$5:$E$29,$A1194))),1,0))</f>
        <v/>
      </c>
      <c r="H1194" s="47">
        <f>IF($G1194=0,0,IF(INDEX(Employees!$D$5:$D$29,$A1194)="",0,DATEDIF(INDEX(Employees!$D$5:$D$29,$A1194),$E1194,"y")))</f>
        <v/>
      </c>
      <c r="I1194" s="48">
        <f>IF($G1194=0,0,IF(INDEX('Hours Worked'!$D$5:$BD$29,$A1194,$B1194)="",N(INDEX(Employees!$H$5:$H$29,$A1194)),INDEX('Hours Worked'!$D$5:$BD$29,$A1194,$B1194)))</f>
        <v/>
      </c>
      <c r="J1194" s="48">
        <f>IF(OR($G1194=0,INDEX(Employees!$O$5:$O$29,$A1194)&lt;&gt;"Yes"),0,IF(COUNTIF(Settings!$D$4:$D$9,"&lt;="&amp;$H1194)=0,0,INDEX(Settings!$E$4:$E$9,COUNTIF(Settings!$D$4:$D$9,"&lt;="&amp;$H1194))))</f>
        <v/>
      </c>
      <c r="K1194" s="48">
        <f>IF($G1194=0,0,IF(INDEX(Employees!$I$5:$I$29,$A1194)="Per pay period",(N(INDEX(Employees!$J$5:$J$29,$A1194))+$J1194)/Settings!$B$13,IF(INDEX(Employees!$I$5:$I$29,$A1194)="Per hour worked",N(INDEX(Employees!$K$5:$K$29,$A1194))*$I1194,IF(INDEX(Employees!$I$5:$I$29,$A1194)="Front-loaded",IF(OR($B1194=1,N($G1193)=0),N(INDEX(Employees!$J$5:$J$29,$A1194))+$J1194,0),0))))</f>
        <v/>
      </c>
      <c r="L1194" s="48">
        <f>IF($F1194=0,0,SUMIFS('Time Off Log'!$H$5:$H$504,'Time Off Log'!$A$5:$A$504,$C1194,'Time Off Log'!$B$5:$B$504,"PTO",'Time Off Log'!$E$5:$E$504,"Approved",'Time Off Log'!$C$5:$C$504,"&gt;="&amp;INDEX(Periods!$E$5:$E$57,$B1194),'Time Off Log'!$C$5:$C$504,"&lt;="&amp;INDEX(Periods!$F$5:$F$57,$B1194)))</f>
        <v/>
      </c>
      <c r="M1194" s="48">
        <f>IF($B1194=1,N(INDEX(Employees!$N$5:$N$29,$A1194)),P1193)</f>
        <v/>
      </c>
      <c r="N1194" s="48">
        <f>IF(INDEX(Employees!$L$5:$L$29,$A1194)="",K1194,MAX(0,MIN(K1194,INDEX(Employees!$L$5:$L$29,$A1194)-(M1194-L1194))))</f>
        <v/>
      </c>
      <c r="O1194" s="48">
        <f>K1194-N1194</f>
        <v/>
      </c>
      <c r="P1194" s="48">
        <f>M1194-L1194+N1194</f>
        <v/>
      </c>
      <c r="Q1194" s="48">
        <f>IF($G1194=0,0,IF(INDEX(Employees!$P$5:$P$29,$A1194)="Per pay period",(N(INDEX(Employees!$Q$5:$Q$29,$A1194)))/Settings!$B$13,IF(INDEX(Employees!$P$5:$P$29,$A1194)="Per hour worked",N(INDEX(Employees!$R$5:$R$29,$A1194))*$I1194,IF(INDEX(Employees!$P$5:$P$29,$A1194)="Front-loaded",IF(OR($B1194=1,N($G1193)=0),N(INDEX(Employees!$Q$5:$Q$29,$A1194)),0),0))))</f>
        <v/>
      </c>
      <c r="R1194" s="48">
        <f>IF($F1194=0,0,SUMIFS('Time Off Log'!$H$5:$H$504,'Time Off Log'!$A$5:$A$504,$C1194,'Time Off Log'!$B$5:$B$504,"Sick",'Time Off Log'!$E$5:$E$504,"Approved",'Time Off Log'!$C$5:$C$504,"&gt;="&amp;INDEX(Periods!$E$5:$E$57,$B1194),'Time Off Log'!$C$5:$C$504,"&lt;="&amp;INDEX(Periods!$F$5:$F$57,$B1194)))</f>
        <v/>
      </c>
      <c r="S1194" s="48">
        <f>IF($B1194=1,N(INDEX(Employees!$T$5:$T$29,$A1194)),V1193)</f>
        <v/>
      </c>
      <c r="T1194" s="48">
        <f>IF(INDEX(Employees!$S$5:$S$29,$A1194)="",Q1194,MAX(0,MIN(Q1194,INDEX(Employees!$S$5:$S$29,$A1194)-(S1194-R1194))))</f>
        <v/>
      </c>
      <c r="U1194" s="48">
        <f>Q1194-T1194</f>
        <v/>
      </c>
      <c r="V1194" s="48">
        <f>S1194-R1194+T1194</f>
        <v/>
      </c>
    </row>
    <row r="1195">
      <c r="A1195" s="47" t="n">
        <v>23</v>
      </c>
      <c r="B1195" s="47" t="n">
        <v>25</v>
      </c>
      <c r="C1195" s="48">
        <f>INDEX(Employees!$B$5:$B$29,$A1195)&amp;""</f>
        <v/>
      </c>
      <c r="D1195" s="49">
        <f>INDEX(Periods!$B$5:$B$57,$B1195)</f>
        <v/>
      </c>
      <c r="E1195" s="49">
        <f>INDEX(Periods!$C$5:$C$57,$B1195)</f>
        <v/>
      </c>
      <c r="F1195" s="47">
        <f>IF(AND($C1195&lt;&gt;"",INDEX(Periods!$D$5:$D$57,$B1195)=1),1,0)</f>
        <v/>
      </c>
      <c r="G1195" s="47">
        <f>IF($F1195=0,0,IF(AND(OR(INDEX(Employees!$D$5:$D$29,$A1195)="",$E1195&gt;=INDEX(Employees!$D$5:$D$29,$A1195)+N(INDEX(Employees!$U$5:$U$29,$A1195))),OR(INDEX(Employees!$E$5:$E$29,$A1195)="",$D1195&lt;=INDEX(Employees!$E$5:$E$29,$A1195))),1,0))</f>
        <v/>
      </c>
      <c r="H1195" s="47">
        <f>IF($G1195=0,0,IF(INDEX(Employees!$D$5:$D$29,$A1195)="",0,DATEDIF(INDEX(Employees!$D$5:$D$29,$A1195),$E1195,"y")))</f>
        <v/>
      </c>
      <c r="I1195" s="48">
        <f>IF($G1195=0,0,IF(INDEX('Hours Worked'!$D$5:$BD$29,$A1195,$B1195)="",N(INDEX(Employees!$H$5:$H$29,$A1195)),INDEX('Hours Worked'!$D$5:$BD$29,$A1195,$B1195)))</f>
        <v/>
      </c>
      <c r="J1195" s="48">
        <f>IF(OR($G1195=0,INDEX(Employees!$O$5:$O$29,$A1195)&lt;&gt;"Yes"),0,IF(COUNTIF(Settings!$D$4:$D$9,"&lt;="&amp;$H1195)=0,0,INDEX(Settings!$E$4:$E$9,COUNTIF(Settings!$D$4:$D$9,"&lt;="&amp;$H1195))))</f>
        <v/>
      </c>
      <c r="K1195" s="48">
        <f>IF($G1195=0,0,IF(INDEX(Employees!$I$5:$I$29,$A1195)="Per pay period",(N(INDEX(Employees!$J$5:$J$29,$A1195))+$J1195)/Settings!$B$13,IF(INDEX(Employees!$I$5:$I$29,$A1195)="Per hour worked",N(INDEX(Employees!$K$5:$K$29,$A1195))*$I1195,IF(INDEX(Employees!$I$5:$I$29,$A1195)="Front-loaded",IF(OR($B1195=1,N($G1194)=0),N(INDEX(Employees!$J$5:$J$29,$A1195))+$J1195,0),0))))</f>
        <v/>
      </c>
      <c r="L1195" s="48">
        <f>IF($F1195=0,0,SUMIFS('Time Off Log'!$H$5:$H$504,'Time Off Log'!$A$5:$A$504,$C1195,'Time Off Log'!$B$5:$B$504,"PTO",'Time Off Log'!$E$5:$E$504,"Approved",'Time Off Log'!$C$5:$C$504,"&gt;="&amp;INDEX(Periods!$E$5:$E$57,$B1195),'Time Off Log'!$C$5:$C$504,"&lt;="&amp;INDEX(Periods!$F$5:$F$57,$B1195)))</f>
        <v/>
      </c>
      <c r="M1195" s="48">
        <f>IF($B1195=1,N(INDEX(Employees!$N$5:$N$29,$A1195)),P1194)</f>
        <v/>
      </c>
      <c r="N1195" s="48">
        <f>IF(INDEX(Employees!$L$5:$L$29,$A1195)="",K1195,MAX(0,MIN(K1195,INDEX(Employees!$L$5:$L$29,$A1195)-(M1195-L1195))))</f>
        <v/>
      </c>
      <c r="O1195" s="48">
        <f>K1195-N1195</f>
        <v/>
      </c>
      <c r="P1195" s="48">
        <f>M1195-L1195+N1195</f>
        <v/>
      </c>
      <c r="Q1195" s="48">
        <f>IF($G1195=0,0,IF(INDEX(Employees!$P$5:$P$29,$A1195)="Per pay period",(N(INDEX(Employees!$Q$5:$Q$29,$A1195)))/Settings!$B$13,IF(INDEX(Employees!$P$5:$P$29,$A1195)="Per hour worked",N(INDEX(Employees!$R$5:$R$29,$A1195))*$I1195,IF(INDEX(Employees!$P$5:$P$29,$A1195)="Front-loaded",IF(OR($B1195=1,N($G1194)=0),N(INDEX(Employees!$Q$5:$Q$29,$A1195)),0),0))))</f>
        <v/>
      </c>
      <c r="R1195" s="48">
        <f>IF($F1195=0,0,SUMIFS('Time Off Log'!$H$5:$H$504,'Time Off Log'!$A$5:$A$504,$C1195,'Time Off Log'!$B$5:$B$504,"Sick",'Time Off Log'!$E$5:$E$504,"Approved",'Time Off Log'!$C$5:$C$504,"&gt;="&amp;INDEX(Periods!$E$5:$E$57,$B1195),'Time Off Log'!$C$5:$C$504,"&lt;="&amp;INDEX(Periods!$F$5:$F$57,$B1195)))</f>
        <v/>
      </c>
      <c r="S1195" s="48">
        <f>IF($B1195=1,N(INDEX(Employees!$T$5:$T$29,$A1195)),V1194)</f>
        <v/>
      </c>
      <c r="T1195" s="48">
        <f>IF(INDEX(Employees!$S$5:$S$29,$A1195)="",Q1195,MAX(0,MIN(Q1195,INDEX(Employees!$S$5:$S$29,$A1195)-(S1195-R1195))))</f>
        <v/>
      </c>
      <c r="U1195" s="48">
        <f>Q1195-T1195</f>
        <v/>
      </c>
      <c r="V1195" s="48">
        <f>S1195-R1195+T1195</f>
        <v/>
      </c>
    </row>
    <row r="1196">
      <c r="A1196" s="47" t="n">
        <v>23</v>
      </c>
      <c r="B1196" s="47" t="n">
        <v>26</v>
      </c>
      <c r="C1196" s="48">
        <f>INDEX(Employees!$B$5:$B$29,$A1196)&amp;""</f>
        <v/>
      </c>
      <c r="D1196" s="49">
        <f>INDEX(Periods!$B$5:$B$57,$B1196)</f>
        <v/>
      </c>
      <c r="E1196" s="49">
        <f>INDEX(Periods!$C$5:$C$57,$B1196)</f>
        <v/>
      </c>
      <c r="F1196" s="47">
        <f>IF(AND($C1196&lt;&gt;"",INDEX(Periods!$D$5:$D$57,$B1196)=1),1,0)</f>
        <v/>
      </c>
      <c r="G1196" s="47">
        <f>IF($F1196=0,0,IF(AND(OR(INDEX(Employees!$D$5:$D$29,$A1196)="",$E1196&gt;=INDEX(Employees!$D$5:$D$29,$A1196)+N(INDEX(Employees!$U$5:$U$29,$A1196))),OR(INDEX(Employees!$E$5:$E$29,$A1196)="",$D1196&lt;=INDEX(Employees!$E$5:$E$29,$A1196))),1,0))</f>
        <v/>
      </c>
      <c r="H1196" s="47">
        <f>IF($G1196=0,0,IF(INDEX(Employees!$D$5:$D$29,$A1196)="",0,DATEDIF(INDEX(Employees!$D$5:$D$29,$A1196),$E1196,"y")))</f>
        <v/>
      </c>
      <c r="I1196" s="48">
        <f>IF($G1196=0,0,IF(INDEX('Hours Worked'!$D$5:$BD$29,$A1196,$B1196)="",N(INDEX(Employees!$H$5:$H$29,$A1196)),INDEX('Hours Worked'!$D$5:$BD$29,$A1196,$B1196)))</f>
        <v/>
      </c>
      <c r="J1196" s="48">
        <f>IF(OR($G1196=0,INDEX(Employees!$O$5:$O$29,$A1196)&lt;&gt;"Yes"),0,IF(COUNTIF(Settings!$D$4:$D$9,"&lt;="&amp;$H1196)=0,0,INDEX(Settings!$E$4:$E$9,COUNTIF(Settings!$D$4:$D$9,"&lt;="&amp;$H1196))))</f>
        <v/>
      </c>
      <c r="K1196" s="48">
        <f>IF($G1196=0,0,IF(INDEX(Employees!$I$5:$I$29,$A1196)="Per pay period",(N(INDEX(Employees!$J$5:$J$29,$A1196))+$J1196)/Settings!$B$13,IF(INDEX(Employees!$I$5:$I$29,$A1196)="Per hour worked",N(INDEX(Employees!$K$5:$K$29,$A1196))*$I1196,IF(INDEX(Employees!$I$5:$I$29,$A1196)="Front-loaded",IF(OR($B1196=1,N($G1195)=0),N(INDEX(Employees!$J$5:$J$29,$A1196))+$J1196,0),0))))</f>
        <v/>
      </c>
      <c r="L1196" s="48">
        <f>IF($F1196=0,0,SUMIFS('Time Off Log'!$H$5:$H$504,'Time Off Log'!$A$5:$A$504,$C1196,'Time Off Log'!$B$5:$B$504,"PTO",'Time Off Log'!$E$5:$E$504,"Approved",'Time Off Log'!$C$5:$C$504,"&gt;="&amp;INDEX(Periods!$E$5:$E$57,$B1196),'Time Off Log'!$C$5:$C$504,"&lt;="&amp;INDEX(Periods!$F$5:$F$57,$B1196)))</f>
        <v/>
      </c>
      <c r="M1196" s="48">
        <f>IF($B1196=1,N(INDEX(Employees!$N$5:$N$29,$A1196)),P1195)</f>
        <v/>
      </c>
      <c r="N1196" s="48">
        <f>IF(INDEX(Employees!$L$5:$L$29,$A1196)="",K1196,MAX(0,MIN(K1196,INDEX(Employees!$L$5:$L$29,$A1196)-(M1196-L1196))))</f>
        <v/>
      </c>
      <c r="O1196" s="48">
        <f>K1196-N1196</f>
        <v/>
      </c>
      <c r="P1196" s="48">
        <f>M1196-L1196+N1196</f>
        <v/>
      </c>
      <c r="Q1196" s="48">
        <f>IF($G1196=0,0,IF(INDEX(Employees!$P$5:$P$29,$A1196)="Per pay period",(N(INDEX(Employees!$Q$5:$Q$29,$A1196)))/Settings!$B$13,IF(INDEX(Employees!$P$5:$P$29,$A1196)="Per hour worked",N(INDEX(Employees!$R$5:$R$29,$A1196))*$I1196,IF(INDEX(Employees!$P$5:$P$29,$A1196)="Front-loaded",IF(OR($B1196=1,N($G1195)=0),N(INDEX(Employees!$Q$5:$Q$29,$A1196)),0),0))))</f>
        <v/>
      </c>
      <c r="R1196" s="48">
        <f>IF($F1196=0,0,SUMIFS('Time Off Log'!$H$5:$H$504,'Time Off Log'!$A$5:$A$504,$C1196,'Time Off Log'!$B$5:$B$504,"Sick",'Time Off Log'!$E$5:$E$504,"Approved",'Time Off Log'!$C$5:$C$504,"&gt;="&amp;INDEX(Periods!$E$5:$E$57,$B1196),'Time Off Log'!$C$5:$C$504,"&lt;="&amp;INDEX(Periods!$F$5:$F$57,$B1196)))</f>
        <v/>
      </c>
      <c r="S1196" s="48">
        <f>IF($B1196=1,N(INDEX(Employees!$T$5:$T$29,$A1196)),V1195)</f>
        <v/>
      </c>
      <c r="T1196" s="48">
        <f>IF(INDEX(Employees!$S$5:$S$29,$A1196)="",Q1196,MAX(0,MIN(Q1196,INDEX(Employees!$S$5:$S$29,$A1196)-(S1196-R1196))))</f>
        <v/>
      </c>
      <c r="U1196" s="48">
        <f>Q1196-T1196</f>
        <v/>
      </c>
      <c r="V1196" s="48">
        <f>S1196-R1196+T1196</f>
        <v/>
      </c>
    </row>
    <row r="1197">
      <c r="A1197" s="47" t="n">
        <v>23</v>
      </c>
      <c r="B1197" s="47" t="n">
        <v>27</v>
      </c>
      <c r="C1197" s="48">
        <f>INDEX(Employees!$B$5:$B$29,$A1197)&amp;""</f>
        <v/>
      </c>
      <c r="D1197" s="49">
        <f>INDEX(Periods!$B$5:$B$57,$B1197)</f>
        <v/>
      </c>
      <c r="E1197" s="49">
        <f>INDEX(Periods!$C$5:$C$57,$B1197)</f>
        <v/>
      </c>
      <c r="F1197" s="47">
        <f>IF(AND($C1197&lt;&gt;"",INDEX(Periods!$D$5:$D$57,$B1197)=1),1,0)</f>
        <v/>
      </c>
      <c r="G1197" s="47">
        <f>IF($F1197=0,0,IF(AND(OR(INDEX(Employees!$D$5:$D$29,$A1197)="",$E1197&gt;=INDEX(Employees!$D$5:$D$29,$A1197)+N(INDEX(Employees!$U$5:$U$29,$A1197))),OR(INDEX(Employees!$E$5:$E$29,$A1197)="",$D1197&lt;=INDEX(Employees!$E$5:$E$29,$A1197))),1,0))</f>
        <v/>
      </c>
      <c r="H1197" s="47">
        <f>IF($G1197=0,0,IF(INDEX(Employees!$D$5:$D$29,$A1197)="",0,DATEDIF(INDEX(Employees!$D$5:$D$29,$A1197),$E1197,"y")))</f>
        <v/>
      </c>
      <c r="I1197" s="48">
        <f>IF($G1197=0,0,IF(INDEX('Hours Worked'!$D$5:$BD$29,$A1197,$B1197)="",N(INDEX(Employees!$H$5:$H$29,$A1197)),INDEX('Hours Worked'!$D$5:$BD$29,$A1197,$B1197)))</f>
        <v/>
      </c>
      <c r="J1197" s="48">
        <f>IF(OR($G1197=0,INDEX(Employees!$O$5:$O$29,$A1197)&lt;&gt;"Yes"),0,IF(COUNTIF(Settings!$D$4:$D$9,"&lt;="&amp;$H1197)=0,0,INDEX(Settings!$E$4:$E$9,COUNTIF(Settings!$D$4:$D$9,"&lt;="&amp;$H1197))))</f>
        <v/>
      </c>
      <c r="K1197" s="48">
        <f>IF($G1197=0,0,IF(INDEX(Employees!$I$5:$I$29,$A1197)="Per pay period",(N(INDEX(Employees!$J$5:$J$29,$A1197))+$J1197)/Settings!$B$13,IF(INDEX(Employees!$I$5:$I$29,$A1197)="Per hour worked",N(INDEX(Employees!$K$5:$K$29,$A1197))*$I1197,IF(INDEX(Employees!$I$5:$I$29,$A1197)="Front-loaded",IF(OR($B1197=1,N($G1196)=0),N(INDEX(Employees!$J$5:$J$29,$A1197))+$J1197,0),0))))</f>
        <v/>
      </c>
      <c r="L1197" s="48">
        <f>IF($F1197=0,0,SUMIFS('Time Off Log'!$H$5:$H$504,'Time Off Log'!$A$5:$A$504,$C1197,'Time Off Log'!$B$5:$B$504,"PTO",'Time Off Log'!$E$5:$E$504,"Approved",'Time Off Log'!$C$5:$C$504,"&gt;="&amp;INDEX(Periods!$E$5:$E$57,$B1197),'Time Off Log'!$C$5:$C$504,"&lt;="&amp;INDEX(Periods!$F$5:$F$57,$B1197)))</f>
        <v/>
      </c>
      <c r="M1197" s="48">
        <f>IF($B1197=1,N(INDEX(Employees!$N$5:$N$29,$A1197)),P1196)</f>
        <v/>
      </c>
      <c r="N1197" s="48">
        <f>IF(INDEX(Employees!$L$5:$L$29,$A1197)="",K1197,MAX(0,MIN(K1197,INDEX(Employees!$L$5:$L$29,$A1197)-(M1197-L1197))))</f>
        <v/>
      </c>
      <c r="O1197" s="48">
        <f>K1197-N1197</f>
        <v/>
      </c>
      <c r="P1197" s="48">
        <f>M1197-L1197+N1197</f>
        <v/>
      </c>
      <c r="Q1197" s="48">
        <f>IF($G1197=0,0,IF(INDEX(Employees!$P$5:$P$29,$A1197)="Per pay period",(N(INDEX(Employees!$Q$5:$Q$29,$A1197)))/Settings!$B$13,IF(INDEX(Employees!$P$5:$P$29,$A1197)="Per hour worked",N(INDEX(Employees!$R$5:$R$29,$A1197))*$I1197,IF(INDEX(Employees!$P$5:$P$29,$A1197)="Front-loaded",IF(OR($B1197=1,N($G1196)=0),N(INDEX(Employees!$Q$5:$Q$29,$A1197)),0),0))))</f>
        <v/>
      </c>
      <c r="R1197" s="48">
        <f>IF($F1197=0,0,SUMIFS('Time Off Log'!$H$5:$H$504,'Time Off Log'!$A$5:$A$504,$C1197,'Time Off Log'!$B$5:$B$504,"Sick",'Time Off Log'!$E$5:$E$504,"Approved",'Time Off Log'!$C$5:$C$504,"&gt;="&amp;INDEX(Periods!$E$5:$E$57,$B1197),'Time Off Log'!$C$5:$C$504,"&lt;="&amp;INDEX(Periods!$F$5:$F$57,$B1197)))</f>
        <v/>
      </c>
      <c r="S1197" s="48">
        <f>IF($B1197=1,N(INDEX(Employees!$T$5:$T$29,$A1197)),V1196)</f>
        <v/>
      </c>
      <c r="T1197" s="48">
        <f>IF(INDEX(Employees!$S$5:$S$29,$A1197)="",Q1197,MAX(0,MIN(Q1197,INDEX(Employees!$S$5:$S$29,$A1197)-(S1197-R1197))))</f>
        <v/>
      </c>
      <c r="U1197" s="48">
        <f>Q1197-T1197</f>
        <v/>
      </c>
      <c r="V1197" s="48">
        <f>S1197-R1197+T1197</f>
        <v/>
      </c>
    </row>
    <row r="1198">
      <c r="A1198" s="47" t="n">
        <v>23</v>
      </c>
      <c r="B1198" s="47" t="n">
        <v>28</v>
      </c>
      <c r="C1198" s="48">
        <f>INDEX(Employees!$B$5:$B$29,$A1198)&amp;""</f>
        <v/>
      </c>
      <c r="D1198" s="49">
        <f>INDEX(Periods!$B$5:$B$57,$B1198)</f>
        <v/>
      </c>
      <c r="E1198" s="49">
        <f>INDEX(Periods!$C$5:$C$57,$B1198)</f>
        <v/>
      </c>
      <c r="F1198" s="47">
        <f>IF(AND($C1198&lt;&gt;"",INDEX(Periods!$D$5:$D$57,$B1198)=1),1,0)</f>
        <v/>
      </c>
      <c r="G1198" s="47">
        <f>IF($F1198=0,0,IF(AND(OR(INDEX(Employees!$D$5:$D$29,$A1198)="",$E1198&gt;=INDEX(Employees!$D$5:$D$29,$A1198)+N(INDEX(Employees!$U$5:$U$29,$A1198))),OR(INDEX(Employees!$E$5:$E$29,$A1198)="",$D1198&lt;=INDEX(Employees!$E$5:$E$29,$A1198))),1,0))</f>
        <v/>
      </c>
      <c r="H1198" s="47">
        <f>IF($G1198=0,0,IF(INDEX(Employees!$D$5:$D$29,$A1198)="",0,DATEDIF(INDEX(Employees!$D$5:$D$29,$A1198),$E1198,"y")))</f>
        <v/>
      </c>
      <c r="I1198" s="48">
        <f>IF($G1198=0,0,IF(INDEX('Hours Worked'!$D$5:$BD$29,$A1198,$B1198)="",N(INDEX(Employees!$H$5:$H$29,$A1198)),INDEX('Hours Worked'!$D$5:$BD$29,$A1198,$B1198)))</f>
        <v/>
      </c>
      <c r="J1198" s="48">
        <f>IF(OR($G1198=0,INDEX(Employees!$O$5:$O$29,$A1198)&lt;&gt;"Yes"),0,IF(COUNTIF(Settings!$D$4:$D$9,"&lt;="&amp;$H1198)=0,0,INDEX(Settings!$E$4:$E$9,COUNTIF(Settings!$D$4:$D$9,"&lt;="&amp;$H1198))))</f>
        <v/>
      </c>
      <c r="K1198" s="48">
        <f>IF($G1198=0,0,IF(INDEX(Employees!$I$5:$I$29,$A1198)="Per pay period",(N(INDEX(Employees!$J$5:$J$29,$A1198))+$J1198)/Settings!$B$13,IF(INDEX(Employees!$I$5:$I$29,$A1198)="Per hour worked",N(INDEX(Employees!$K$5:$K$29,$A1198))*$I1198,IF(INDEX(Employees!$I$5:$I$29,$A1198)="Front-loaded",IF(OR($B1198=1,N($G1197)=0),N(INDEX(Employees!$J$5:$J$29,$A1198))+$J1198,0),0))))</f>
        <v/>
      </c>
      <c r="L1198" s="48">
        <f>IF($F1198=0,0,SUMIFS('Time Off Log'!$H$5:$H$504,'Time Off Log'!$A$5:$A$504,$C1198,'Time Off Log'!$B$5:$B$504,"PTO",'Time Off Log'!$E$5:$E$504,"Approved",'Time Off Log'!$C$5:$C$504,"&gt;="&amp;INDEX(Periods!$E$5:$E$57,$B1198),'Time Off Log'!$C$5:$C$504,"&lt;="&amp;INDEX(Periods!$F$5:$F$57,$B1198)))</f>
        <v/>
      </c>
      <c r="M1198" s="48">
        <f>IF($B1198=1,N(INDEX(Employees!$N$5:$N$29,$A1198)),P1197)</f>
        <v/>
      </c>
      <c r="N1198" s="48">
        <f>IF(INDEX(Employees!$L$5:$L$29,$A1198)="",K1198,MAX(0,MIN(K1198,INDEX(Employees!$L$5:$L$29,$A1198)-(M1198-L1198))))</f>
        <v/>
      </c>
      <c r="O1198" s="48">
        <f>K1198-N1198</f>
        <v/>
      </c>
      <c r="P1198" s="48">
        <f>M1198-L1198+N1198</f>
        <v/>
      </c>
      <c r="Q1198" s="48">
        <f>IF($G1198=0,0,IF(INDEX(Employees!$P$5:$P$29,$A1198)="Per pay period",(N(INDEX(Employees!$Q$5:$Q$29,$A1198)))/Settings!$B$13,IF(INDEX(Employees!$P$5:$P$29,$A1198)="Per hour worked",N(INDEX(Employees!$R$5:$R$29,$A1198))*$I1198,IF(INDEX(Employees!$P$5:$P$29,$A1198)="Front-loaded",IF(OR($B1198=1,N($G1197)=0),N(INDEX(Employees!$Q$5:$Q$29,$A1198)),0),0))))</f>
        <v/>
      </c>
      <c r="R1198" s="48">
        <f>IF($F1198=0,0,SUMIFS('Time Off Log'!$H$5:$H$504,'Time Off Log'!$A$5:$A$504,$C1198,'Time Off Log'!$B$5:$B$504,"Sick",'Time Off Log'!$E$5:$E$504,"Approved",'Time Off Log'!$C$5:$C$504,"&gt;="&amp;INDEX(Periods!$E$5:$E$57,$B1198),'Time Off Log'!$C$5:$C$504,"&lt;="&amp;INDEX(Periods!$F$5:$F$57,$B1198)))</f>
        <v/>
      </c>
      <c r="S1198" s="48">
        <f>IF($B1198=1,N(INDEX(Employees!$T$5:$T$29,$A1198)),V1197)</f>
        <v/>
      </c>
      <c r="T1198" s="48">
        <f>IF(INDEX(Employees!$S$5:$S$29,$A1198)="",Q1198,MAX(0,MIN(Q1198,INDEX(Employees!$S$5:$S$29,$A1198)-(S1198-R1198))))</f>
        <v/>
      </c>
      <c r="U1198" s="48">
        <f>Q1198-T1198</f>
        <v/>
      </c>
      <c r="V1198" s="48">
        <f>S1198-R1198+T1198</f>
        <v/>
      </c>
    </row>
    <row r="1199">
      <c r="A1199" s="47" t="n">
        <v>23</v>
      </c>
      <c r="B1199" s="47" t="n">
        <v>29</v>
      </c>
      <c r="C1199" s="48">
        <f>INDEX(Employees!$B$5:$B$29,$A1199)&amp;""</f>
        <v/>
      </c>
      <c r="D1199" s="49">
        <f>INDEX(Periods!$B$5:$B$57,$B1199)</f>
        <v/>
      </c>
      <c r="E1199" s="49">
        <f>INDEX(Periods!$C$5:$C$57,$B1199)</f>
        <v/>
      </c>
      <c r="F1199" s="47">
        <f>IF(AND($C1199&lt;&gt;"",INDEX(Periods!$D$5:$D$57,$B1199)=1),1,0)</f>
        <v/>
      </c>
      <c r="G1199" s="47">
        <f>IF($F1199=0,0,IF(AND(OR(INDEX(Employees!$D$5:$D$29,$A1199)="",$E1199&gt;=INDEX(Employees!$D$5:$D$29,$A1199)+N(INDEX(Employees!$U$5:$U$29,$A1199))),OR(INDEX(Employees!$E$5:$E$29,$A1199)="",$D1199&lt;=INDEX(Employees!$E$5:$E$29,$A1199))),1,0))</f>
        <v/>
      </c>
      <c r="H1199" s="47">
        <f>IF($G1199=0,0,IF(INDEX(Employees!$D$5:$D$29,$A1199)="",0,DATEDIF(INDEX(Employees!$D$5:$D$29,$A1199),$E1199,"y")))</f>
        <v/>
      </c>
      <c r="I1199" s="48">
        <f>IF($G1199=0,0,IF(INDEX('Hours Worked'!$D$5:$BD$29,$A1199,$B1199)="",N(INDEX(Employees!$H$5:$H$29,$A1199)),INDEX('Hours Worked'!$D$5:$BD$29,$A1199,$B1199)))</f>
        <v/>
      </c>
      <c r="J1199" s="48">
        <f>IF(OR($G1199=0,INDEX(Employees!$O$5:$O$29,$A1199)&lt;&gt;"Yes"),0,IF(COUNTIF(Settings!$D$4:$D$9,"&lt;="&amp;$H1199)=0,0,INDEX(Settings!$E$4:$E$9,COUNTIF(Settings!$D$4:$D$9,"&lt;="&amp;$H1199))))</f>
        <v/>
      </c>
      <c r="K1199" s="48">
        <f>IF($G1199=0,0,IF(INDEX(Employees!$I$5:$I$29,$A1199)="Per pay period",(N(INDEX(Employees!$J$5:$J$29,$A1199))+$J1199)/Settings!$B$13,IF(INDEX(Employees!$I$5:$I$29,$A1199)="Per hour worked",N(INDEX(Employees!$K$5:$K$29,$A1199))*$I1199,IF(INDEX(Employees!$I$5:$I$29,$A1199)="Front-loaded",IF(OR($B1199=1,N($G1198)=0),N(INDEX(Employees!$J$5:$J$29,$A1199))+$J1199,0),0))))</f>
        <v/>
      </c>
      <c r="L1199" s="48">
        <f>IF($F1199=0,0,SUMIFS('Time Off Log'!$H$5:$H$504,'Time Off Log'!$A$5:$A$504,$C1199,'Time Off Log'!$B$5:$B$504,"PTO",'Time Off Log'!$E$5:$E$504,"Approved",'Time Off Log'!$C$5:$C$504,"&gt;="&amp;INDEX(Periods!$E$5:$E$57,$B1199),'Time Off Log'!$C$5:$C$504,"&lt;="&amp;INDEX(Periods!$F$5:$F$57,$B1199)))</f>
        <v/>
      </c>
      <c r="M1199" s="48">
        <f>IF($B1199=1,N(INDEX(Employees!$N$5:$N$29,$A1199)),P1198)</f>
        <v/>
      </c>
      <c r="N1199" s="48">
        <f>IF(INDEX(Employees!$L$5:$L$29,$A1199)="",K1199,MAX(0,MIN(K1199,INDEX(Employees!$L$5:$L$29,$A1199)-(M1199-L1199))))</f>
        <v/>
      </c>
      <c r="O1199" s="48">
        <f>K1199-N1199</f>
        <v/>
      </c>
      <c r="P1199" s="48">
        <f>M1199-L1199+N1199</f>
        <v/>
      </c>
      <c r="Q1199" s="48">
        <f>IF($G1199=0,0,IF(INDEX(Employees!$P$5:$P$29,$A1199)="Per pay period",(N(INDEX(Employees!$Q$5:$Q$29,$A1199)))/Settings!$B$13,IF(INDEX(Employees!$P$5:$P$29,$A1199)="Per hour worked",N(INDEX(Employees!$R$5:$R$29,$A1199))*$I1199,IF(INDEX(Employees!$P$5:$P$29,$A1199)="Front-loaded",IF(OR($B1199=1,N($G1198)=0),N(INDEX(Employees!$Q$5:$Q$29,$A1199)),0),0))))</f>
        <v/>
      </c>
      <c r="R1199" s="48">
        <f>IF($F1199=0,0,SUMIFS('Time Off Log'!$H$5:$H$504,'Time Off Log'!$A$5:$A$504,$C1199,'Time Off Log'!$B$5:$B$504,"Sick",'Time Off Log'!$E$5:$E$504,"Approved",'Time Off Log'!$C$5:$C$504,"&gt;="&amp;INDEX(Periods!$E$5:$E$57,$B1199),'Time Off Log'!$C$5:$C$504,"&lt;="&amp;INDEX(Periods!$F$5:$F$57,$B1199)))</f>
        <v/>
      </c>
      <c r="S1199" s="48">
        <f>IF($B1199=1,N(INDEX(Employees!$T$5:$T$29,$A1199)),V1198)</f>
        <v/>
      </c>
      <c r="T1199" s="48">
        <f>IF(INDEX(Employees!$S$5:$S$29,$A1199)="",Q1199,MAX(0,MIN(Q1199,INDEX(Employees!$S$5:$S$29,$A1199)-(S1199-R1199))))</f>
        <v/>
      </c>
      <c r="U1199" s="48">
        <f>Q1199-T1199</f>
        <v/>
      </c>
      <c r="V1199" s="48">
        <f>S1199-R1199+T1199</f>
        <v/>
      </c>
    </row>
    <row r="1200">
      <c r="A1200" s="47" t="n">
        <v>23</v>
      </c>
      <c r="B1200" s="47" t="n">
        <v>30</v>
      </c>
      <c r="C1200" s="48">
        <f>INDEX(Employees!$B$5:$B$29,$A1200)&amp;""</f>
        <v/>
      </c>
      <c r="D1200" s="49">
        <f>INDEX(Periods!$B$5:$B$57,$B1200)</f>
        <v/>
      </c>
      <c r="E1200" s="49">
        <f>INDEX(Periods!$C$5:$C$57,$B1200)</f>
        <v/>
      </c>
      <c r="F1200" s="47">
        <f>IF(AND($C1200&lt;&gt;"",INDEX(Periods!$D$5:$D$57,$B1200)=1),1,0)</f>
        <v/>
      </c>
      <c r="G1200" s="47">
        <f>IF($F1200=0,0,IF(AND(OR(INDEX(Employees!$D$5:$D$29,$A1200)="",$E1200&gt;=INDEX(Employees!$D$5:$D$29,$A1200)+N(INDEX(Employees!$U$5:$U$29,$A1200))),OR(INDEX(Employees!$E$5:$E$29,$A1200)="",$D1200&lt;=INDEX(Employees!$E$5:$E$29,$A1200))),1,0))</f>
        <v/>
      </c>
      <c r="H1200" s="47">
        <f>IF($G1200=0,0,IF(INDEX(Employees!$D$5:$D$29,$A1200)="",0,DATEDIF(INDEX(Employees!$D$5:$D$29,$A1200),$E1200,"y")))</f>
        <v/>
      </c>
      <c r="I1200" s="48">
        <f>IF($G1200=0,0,IF(INDEX('Hours Worked'!$D$5:$BD$29,$A1200,$B1200)="",N(INDEX(Employees!$H$5:$H$29,$A1200)),INDEX('Hours Worked'!$D$5:$BD$29,$A1200,$B1200)))</f>
        <v/>
      </c>
      <c r="J1200" s="48">
        <f>IF(OR($G1200=0,INDEX(Employees!$O$5:$O$29,$A1200)&lt;&gt;"Yes"),0,IF(COUNTIF(Settings!$D$4:$D$9,"&lt;="&amp;$H1200)=0,0,INDEX(Settings!$E$4:$E$9,COUNTIF(Settings!$D$4:$D$9,"&lt;="&amp;$H1200))))</f>
        <v/>
      </c>
      <c r="K1200" s="48">
        <f>IF($G1200=0,0,IF(INDEX(Employees!$I$5:$I$29,$A1200)="Per pay period",(N(INDEX(Employees!$J$5:$J$29,$A1200))+$J1200)/Settings!$B$13,IF(INDEX(Employees!$I$5:$I$29,$A1200)="Per hour worked",N(INDEX(Employees!$K$5:$K$29,$A1200))*$I1200,IF(INDEX(Employees!$I$5:$I$29,$A1200)="Front-loaded",IF(OR($B1200=1,N($G1199)=0),N(INDEX(Employees!$J$5:$J$29,$A1200))+$J1200,0),0))))</f>
        <v/>
      </c>
      <c r="L1200" s="48">
        <f>IF($F1200=0,0,SUMIFS('Time Off Log'!$H$5:$H$504,'Time Off Log'!$A$5:$A$504,$C1200,'Time Off Log'!$B$5:$B$504,"PTO",'Time Off Log'!$E$5:$E$504,"Approved",'Time Off Log'!$C$5:$C$504,"&gt;="&amp;INDEX(Periods!$E$5:$E$57,$B1200),'Time Off Log'!$C$5:$C$504,"&lt;="&amp;INDEX(Periods!$F$5:$F$57,$B1200)))</f>
        <v/>
      </c>
      <c r="M1200" s="48">
        <f>IF($B1200=1,N(INDEX(Employees!$N$5:$N$29,$A1200)),P1199)</f>
        <v/>
      </c>
      <c r="N1200" s="48">
        <f>IF(INDEX(Employees!$L$5:$L$29,$A1200)="",K1200,MAX(0,MIN(K1200,INDEX(Employees!$L$5:$L$29,$A1200)-(M1200-L1200))))</f>
        <v/>
      </c>
      <c r="O1200" s="48">
        <f>K1200-N1200</f>
        <v/>
      </c>
      <c r="P1200" s="48">
        <f>M1200-L1200+N1200</f>
        <v/>
      </c>
      <c r="Q1200" s="48">
        <f>IF($G1200=0,0,IF(INDEX(Employees!$P$5:$P$29,$A1200)="Per pay period",(N(INDEX(Employees!$Q$5:$Q$29,$A1200)))/Settings!$B$13,IF(INDEX(Employees!$P$5:$P$29,$A1200)="Per hour worked",N(INDEX(Employees!$R$5:$R$29,$A1200))*$I1200,IF(INDEX(Employees!$P$5:$P$29,$A1200)="Front-loaded",IF(OR($B1200=1,N($G1199)=0),N(INDEX(Employees!$Q$5:$Q$29,$A1200)),0),0))))</f>
        <v/>
      </c>
      <c r="R1200" s="48">
        <f>IF($F1200=0,0,SUMIFS('Time Off Log'!$H$5:$H$504,'Time Off Log'!$A$5:$A$504,$C1200,'Time Off Log'!$B$5:$B$504,"Sick",'Time Off Log'!$E$5:$E$504,"Approved",'Time Off Log'!$C$5:$C$504,"&gt;="&amp;INDEX(Periods!$E$5:$E$57,$B1200),'Time Off Log'!$C$5:$C$504,"&lt;="&amp;INDEX(Periods!$F$5:$F$57,$B1200)))</f>
        <v/>
      </c>
      <c r="S1200" s="48">
        <f>IF($B1200=1,N(INDEX(Employees!$T$5:$T$29,$A1200)),V1199)</f>
        <v/>
      </c>
      <c r="T1200" s="48">
        <f>IF(INDEX(Employees!$S$5:$S$29,$A1200)="",Q1200,MAX(0,MIN(Q1200,INDEX(Employees!$S$5:$S$29,$A1200)-(S1200-R1200))))</f>
        <v/>
      </c>
      <c r="U1200" s="48">
        <f>Q1200-T1200</f>
        <v/>
      </c>
      <c r="V1200" s="48">
        <f>S1200-R1200+T1200</f>
        <v/>
      </c>
    </row>
    <row r="1201">
      <c r="A1201" s="47" t="n">
        <v>23</v>
      </c>
      <c r="B1201" s="47" t="n">
        <v>31</v>
      </c>
      <c r="C1201" s="48">
        <f>INDEX(Employees!$B$5:$B$29,$A1201)&amp;""</f>
        <v/>
      </c>
      <c r="D1201" s="49">
        <f>INDEX(Periods!$B$5:$B$57,$B1201)</f>
        <v/>
      </c>
      <c r="E1201" s="49">
        <f>INDEX(Periods!$C$5:$C$57,$B1201)</f>
        <v/>
      </c>
      <c r="F1201" s="47">
        <f>IF(AND($C1201&lt;&gt;"",INDEX(Periods!$D$5:$D$57,$B1201)=1),1,0)</f>
        <v/>
      </c>
      <c r="G1201" s="47">
        <f>IF($F1201=0,0,IF(AND(OR(INDEX(Employees!$D$5:$D$29,$A1201)="",$E1201&gt;=INDEX(Employees!$D$5:$D$29,$A1201)+N(INDEX(Employees!$U$5:$U$29,$A1201))),OR(INDEX(Employees!$E$5:$E$29,$A1201)="",$D1201&lt;=INDEX(Employees!$E$5:$E$29,$A1201))),1,0))</f>
        <v/>
      </c>
      <c r="H1201" s="47">
        <f>IF($G1201=0,0,IF(INDEX(Employees!$D$5:$D$29,$A1201)="",0,DATEDIF(INDEX(Employees!$D$5:$D$29,$A1201),$E1201,"y")))</f>
        <v/>
      </c>
      <c r="I1201" s="48">
        <f>IF($G1201=0,0,IF(INDEX('Hours Worked'!$D$5:$BD$29,$A1201,$B1201)="",N(INDEX(Employees!$H$5:$H$29,$A1201)),INDEX('Hours Worked'!$D$5:$BD$29,$A1201,$B1201)))</f>
        <v/>
      </c>
      <c r="J1201" s="48">
        <f>IF(OR($G1201=0,INDEX(Employees!$O$5:$O$29,$A1201)&lt;&gt;"Yes"),0,IF(COUNTIF(Settings!$D$4:$D$9,"&lt;="&amp;$H1201)=0,0,INDEX(Settings!$E$4:$E$9,COUNTIF(Settings!$D$4:$D$9,"&lt;="&amp;$H1201))))</f>
        <v/>
      </c>
      <c r="K1201" s="48">
        <f>IF($G1201=0,0,IF(INDEX(Employees!$I$5:$I$29,$A1201)="Per pay period",(N(INDEX(Employees!$J$5:$J$29,$A1201))+$J1201)/Settings!$B$13,IF(INDEX(Employees!$I$5:$I$29,$A1201)="Per hour worked",N(INDEX(Employees!$K$5:$K$29,$A1201))*$I1201,IF(INDEX(Employees!$I$5:$I$29,$A1201)="Front-loaded",IF(OR($B1201=1,N($G1200)=0),N(INDEX(Employees!$J$5:$J$29,$A1201))+$J1201,0),0))))</f>
        <v/>
      </c>
      <c r="L1201" s="48">
        <f>IF($F1201=0,0,SUMIFS('Time Off Log'!$H$5:$H$504,'Time Off Log'!$A$5:$A$504,$C1201,'Time Off Log'!$B$5:$B$504,"PTO",'Time Off Log'!$E$5:$E$504,"Approved",'Time Off Log'!$C$5:$C$504,"&gt;="&amp;INDEX(Periods!$E$5:$E$57,$B1201),'Time Off Log'!$C$5:$C$504,"&lt;="&amp;INDEX(Periods!$F$5:$F$57,$B1201)))</f>
        <v/>
      </c>
      <c r="M1201" s="48">
        <f>IF($B1201=1,N(INDEX(Employees!$N$5:$N$29,$A1201)),P1200)</f>
        <v/>
      </c>
      <c r="N1201" s="48">
        <f>IF(INDEX(Employees!$L$5:$L$29,$A1201)="",K1201,MAX(0,MIN(K1201,INDEX(Employees!$L$5:$L$29,$A1201)-(M1201-L1201))))</f>
        <v/>
      </c>
      <c r="O1201" s="48">
        <f>K1201-N1201</f>
        <v/>
      </c>
      <c r="P1201" s="48">
        <f>M1201-L1201+N1201</f>
        <v/>
      </c>
      <c r="Q1201" s="48">
        <f>IF($G1201=0,0,IF(INDEX(Employees!$P$5:$P$29,$A1201)="Per pay period",(N(INDEX(Employees!$Q$5:$Q$29,$A1201)))/Settings!$B$13,IF(INDEX(Employees!$P$5:$P$29,$A1201)="Per hour worked",N(INDEX(Employees!$R$5:$R$29,$A1201))*$I1201,IF(INDEX(Employees!$P$5:$P$29,$A1201)="Front-loaded",IF(OR($B1201=1,N($G1200)=0),N(INDEX(Employees!$Q$5:$Q$29,$A1201)),0),0))))</f>
        <v/>
      </c>
      <c r="R1201" s="48">
        <f>IF($F1201=0,0,SUMIFS('Time Off Log'!$H$5:$H$504,'Time Off Log'!$A$5:$A$504,$C1201,'Time Off Log'!$B$5:$B$504,"Sick",'Time Off Log'!$E$5:$E$504,"Approved",'Time Off Log'!$C$5:$C$504,"&gt;="&amp;INDEX(Periods!$E$5:$E$57,$B1201),'Time Off Log'!$C$5:$C$504,"&lt;="&amp;INDEX(Periods!$F$5:$F$57,$B1201)))</f>
        <v/>
      </c>
      <c r="S1201" s="48">
        <f>IF($B1201=1,N(INDEX(Employees!$T$5:$T$29,$A1201)),V1200)</f>
        <v/>
      </c>
      <c r="T1201" s="48">
        <f>IF(INDEX(Employees!$S$5:$S$29,$A1201)="",Q1201,MAX(0,MIN(Q1201,INDEX(Employees!$S$5:$S$29,$A1201)-(S1201-R1201))))</f>
        <v/>
      </c>
      <c r="U1201" s="48">
        <f>Q1201-T1201</f>
        <v/>
      </c>
      <c r="V1201" s="48">
        <f>S1201-R1201+T1201</f>
        <v/>
      </c>
    </row>
    <row r="1202">
      <c r="A1202" s="47" t="n">
        <v>23</v>
      </c>
      <c r="B1202" s="47" t="n">
        <v>32</v>
      </c>
      <c r="C1202" s="48">
        <f>INDEX(Employees!$B$5:$B$29,$A1202)&amp;""</f>
        <v/>
      </c>
      <c r="D1202" s="49">
        <f>INDEX(Periods!$B$5:$B$57,$B1202)</f>
        <v/>
      </c>
      <c r="E1202" s="49">
        <f>INDEX(Periods!$C$5:$C$57,$B1202)</f>
        <v/>
      </c>
      <c r="F1202" s="47">
        <f>IF(AND($C1202&lt;&gt;"",INDEX(Periods!$D$5:$D$57,$B1202)=1),1,0)</f>
        <v/>
      </c>
      <c r="G1202" s="47">
        <f>IF($F1202=0,0,IF(AND(OR(INDEX(Employees!$D$5:$D$29,$A1202)="",$E1202&gt;=INDEX(Employees!$D$5:$D$29,$A1202)+N(INDEX(Employees!$U$5:$U$29,$A1202))),OR(INDEX(Employees!$E$5:$E$29,$A1202)="",$D1202&lt;=INDEX(Employees!$E$5:$E$29,$A1202))),1,0))</f>
        <v/>
      </c>
      <c r="H1202" s="47">
        <f>IF($G1202=0,0,IF(INDEX(Employees!$D$5:$D$29,$A1202)="",0,DATEDIF(INDEX(Employees!$D$5:$D$29,$A1202),$E1202,"y")))</f>
        <v/>
      </c>
      <c r="I1202" s="48">
        <f>IF($G1202=0,0,IF(INDEX('Hours Worked'!$D$5:$BD$29,$A1202,$B1202)="",N(INDEX(Employees!$H$5:$H$29,$A1202)),INDEX('Hours Worked'!$D$5:$BD$29,$A1202,$B1202)))</f>
        <v/>
      </c>
      <c r="J1202" s="48">
        <f>IF(OR($G1202=0,INDEX(Employees!$O$5:$O$29,$A1202)&lt;&gt;"Yes"),0,IF(COUNTIF(Settings!$D$4:$D$9,"&lt;="&amp;$H1202)=0,0,INDEX(Settings!$E$4:$E$9,COUNTIF(Settings!$D$4:$D$9,"&lt;="&amp;$H1202))))</f>
        <v/>
      </c>
      <c r="K1202" s="48">
        <f>IF($G1202=0,0,IF(INDEX(Employees!$I$5:$I$29,$A1202)="Per pay period",(N(INDEX(Employees!$J$5:$J$29,$A1202))+$J1202)/Settings!$B$13,IF(INDEX(Employees!$I$5:$I$29,$A1202)="Per hour worked",N(INDEX(Employees!$K$5:$K$29,$A1202))*$I1202,IF(INDEX(Employees!$I$5:$I$29,$A1202)="Front-loaded",IF(OR($B1202=1,N($G1201)=0),N(INDEX(Employees!$J$5:$J$29,$A1202))+$J1202,0),0))))</f>
        <v/>
      </c>
      <c r="L1202" s="48">
        <f>IF($F1202=0,0,SUMIFS('Time Off Log'!$H$5:$H$504,'Time Off Log'!$A$5:$A$504,$C1202,'Time Off Log'!$B$5:$B$504,"PTO",'Time Off Log'!$E$5:$E$504,"Approved",'Time Off Log'!$C$5:$C$504,"&gt;="&amp;INDEX(Periods!$E$5:$E$57,$B1202),'Time Off Log'!$C$5:$C$504,"&lt;="&amp;INDEX(Periods!$F$5:$F$57,$B1202)))</f>
        <v/>
      </c>
      <c r="M1202" s="48">
        <f>IF($B1202=1,N(INDEX(Employees!$N$5:$N$29,$A1202)),P1201)</f>
        <v/>
      </c>
      <c r="N1202" s="48">
        <f>IF(INDEX(Employees!$L$5:$L$29,$A1202)="",K1202,MAX(0,MIN(K1202,INDEX(Employees!$L$5:$L$29,$A1202)-(M1202-L1202))))</f>
        <v/>
      </c>
      <c r="O1202" s="48">
        <f>K1202-N1202</f>
        <v/>
      </c>
      <c r="P1202" s="48">
        <f>M1202-L1202+N1202</f>
        <v/>
      </c>
      <c r="Q1202" s="48">
        <f>IF($G1202=0,0,IF(INDEX(Employees!$P$5:$P$29,$A1202)="Per pay period",(N(INDEX(Employees!$Q$5:$Q$29,$A1202)))/Settings!$B$13,IF(INDEX(Employees!$P$5:$P$29,$A1202)="Per hour worked",N(INDEX(Employees!$R$5:$R$29,$A1202))*$I1202,IF(INDEX(Employees!$P$5:$P$29,$A1202)="Front-loaded",IF(OR($B1202=1,N($G1201)=0),N(INDEX(Employees!$Q$5:$Q$29,$A1202)),0),0))))</f>
        <v/>
      </c>
      <c r="R1202" s="48">
        <f>IF($F1202=0,0,SUMIFS('Time Off Log'!$H$5:$H$504,'Time Off Log'!$A$5:$A$504,$C1202,'Time Off Log'!$B$5:$B$504,"Sick",'Time Off Log'!$E$5:$E$504,"Approved",'Time Off Log'!$C$5:$C$504,"&gt;="&amp;INDEX(Periods!$E$5:$E$57,$B1202),'Time Off Log'!$C$5:$C$504,"&lt;="&amp;INDEX(Periods!$F$5:$F$57,$B1202)))</f>
        <v/>
      </c>
      <c r="S1202" s="48">
        <f>IF($B1202=1,N(INDEX(Employees!$T$5:$T$29,$A1202)),V1201)</f>
        <v/>
      </c>
      <c r="T1202" s="48">
        <f>IF(INDEX(Employees!$S$5:$S$29,$A1202)="",Q1202,MAX(0,MIN(Q1202,INDEX(Employees!$S$5:$S$29,$A1202)-(S1202-R1202))))</f>
        <v/>
      </c>
      <c r="U1202" s="48">
        <f>Q1202-T1202</f>
        <v/>
      </c>
      <c r="V1202" s="48">
        <f>S1202-R1202+T1202</f>
        <v/>
      </c>
    </row>
    <row r="1203">
      <c r="A1203" s="47" t="n">
        <v>23</v>
      </c>
      <c r="B1203" s="47" t="n">
        <v>33</v>
      </c>
      <c r="C1203" s="48">
        <f>INDEX(Employees!$B$5:$B$29,$A1203)&amp;""</f>
        <v/>
      </c>
      <c r="D1203" s="49">
        <f>INDEX(Periods!$B$5:$B$57,$B1203)</f>
        <v/>
      </c>
      <c r="E1203" s="49">
        <f>INDEX(Periods!$C$5:$C$57,$B1203)</f>
        <v/>
      </c>
      <c r="F1203" s="47">
        <f>IF(AND($C1203&lt;&gt;"",INDEX(Periods!$D$5:$D$57,$B1203)=1),1,0)</f>
        <v/>
      </c>
      <c r="G1203" s="47">
        <f>IF($F1203=0,0,IF(AND(OR(INDEX(Employees!$D$5:$D$29,$A1203)="",$E1203&gt;=INDEX(Employees!$D$5:$D$29,$A1203)+N(INDEX(Employees!$U$5:$U$29,$A1203))),OR(INDEX(Employees!$E$5:$E$29,$A1203)="",$D1203&lt;=INDEX(Employees!$E$5:$E$29,$A1203))),1,0))</f>
        <v/>
      </c>
      <c r="H1203" s="47">
        <f>IF($G1203=0,0,IF(INDEX(Employees!$D$5:$D$29,$A1203)="",0,DATEDIF(INDEX(Employees!$D$5:$D$29,$A1203),$E1203,"y")))</f>
        <v/>
      </c>
      <c r="I1203" s="48">
        <f>IF($G1203=0,0,IF(INDEX('Hours Worked'!$D$5:$BD$29,$A1203,$B1203)="",N(INDEX(Employees!$H$5:$H$29,$A1203)),INDEX('Hours Worked'!$D$5:$BD$29,$A1203,$B1203)))</f>
        <v/>
      </c>
      <c r="J1203" s="48">
        <f>IF(OR($G1203=0,INDEX(Employees!$O$5:$O$29,$A1203)&lt;&gt;"Yes"),0,IF(COUNTIF(Settings!$D$4:$D$9,"&lt;="&amp;$H1203)=0,0,INDEX(Settings!$E$4:$E$9,COUNTIF(Settings!$D$4:$D$9,"&lt;="&amp;$H1203))))</f>
        <v/>
      </c>
      <c r="K1203" s="48">
        <f>IF($G1203=0,0,IF(INDEX(Employees!$I$5:$I$29,$A1203)="Per pay period",(N(INDEX(Employees!$J$5:$J$29,$A1203))+$J1203)/Settings!$B$13,IF(INDEX(Employees!$I$5:$I$29,$A1203)="Per hour worked",N(INDEX(Employees!$K$5:$K$29,$A1203))*$I1203,IF(INDEX(Employees!$I$5:$I$29,$A1203)="Front-loaded",IF(OR($B1203=1,N($G1202)=0),N(INDEX(Employees!$J$5:$J$29,$A1203))+$J1203,0),0))))</f>
        <v/>
      </c>
      <c r="L1203" s="48">
        <f>IF($F1203=0,0,SUMIFS('Time Off Log'!$H$5:$H$504,'Time Off Log'!$A$5:$A$504,$C1203,'Time Off Log'!$B$5:$B$504,"PTO",'Time Off Log'!$E$5:$E$504,"Approved",'Time Off Log'!$C$5:$C$504,"&gt;="&amp;INDEX(Periods!$E$5:$E$57,$B1203),'Time Off Log'!$C$5:$C$504,"&lt;="&amp;INDEX(Periods!$F$5:$F$57,$B1203)))</f>
        <v/>
      </c>
      <c r="M1203" s="48">
        <f>IF($B1203=1,N(INDEX(Employees!$N$5:$N$29,$A1203)),P1202)</f>
        <v/>
      </c>
      <c r="N1203" s="48">
        <f>IF(INDEX(Employees!$L$5:$L$29,$A1203)="",K1203,MAX(0,MIN(K1203,INDEX(Employees!$L$5:$L$29,$A1203)-(M1203-L1203))))</f>
        <v/>
      </c>
      <c r="O1203" s="48">
        <f>K1203-N1203</f>
        <v/>
      </c>
      <c r="P1203" s="48">
        <f>M1203-L1203+N1203</f>
        <v/>
      </c>
      <c r="Q1203" s="48">
        <f>IF($G1203=0,0,IF(INDEX(Employees!$P$5:$P$29,$A1203)="Per pay period",(N(INDEX(Employees!$Q$5:$Q$29,$A1203)))/Settings!$B$13,IF(INDEX(Employees!$P$5:$P$29,$A1203)="Per hour worked",N(INDEX(Employees!$R$5:$R$29,$A1203))*$I1203,IF(INDEX(Employees!$P$5:$P$29,$A1203)="Front-loaded",IF(OR($B1203=1,N($G1202)=0),N(INDEX(Employees!$Q$5:$Q$29,$A1203)),0),0))))</f>
        <v/>
      </c>
      <c r="R1203" s="48">
        <f>IF($F1203=0,0,SUMIFS('Time Off Log'!$H$5:$H$504,'Time Off Log'!$A$5:$A$504,$C1203,'Time Off Log'!$B$5:$B$504,"Sick",'Time Off Log'!$E$5:$E$504,"Approved",'Time Off Log'!$C$5:$C$504,"&gt;="&amp;INDEX(Periods!$E$5:$E$57,$B1203),'Time Off Log'!$C$5:$C$504,"&lt;="&amp;INDEX(Periods!$F$5:$F$57,$B1203)))</f>
        <v/>
      </c>
      <c r="S1203" s="48">
        <f>IF($B1203=1,N(INDEX(Employees!$T$5:$T$29,$A1203)),V1202)</f>
        <v/>
      </c>
      <c r="T1203" s="48">
        <f>IF(INDEX(Employees!$S$5:$S$29,$A1203)="",Q1203,MAX(0,MIN(Q1203,INDEX(Employees!$S$5:$S$29,$A1203)-(S1203-R1203))))</f>
        <v/>
      </c>
      <c r="U1203" s="48">
        <f>Q1203-T1203</f>
        <v/>
      </c>
      <c r="V1203" s="48">
        <f>S1203-R1203+T1203</f>
        <v/>
      </c>
    </row>
    <row r="1204">
      <c r="A1204" s="47" t="n">
        <v>23</v>
      </c>
      <c r="B1204" s="47" t="n">
        <v>34</v>
      </c>
      <c r="C1204" s="48">
        <f>INDEX(Employees!$B$5:$B$29,$A1204)&amp;""</f>
        <v/>
      </c>
      <c r="D1204" s="49">
        <f>INDEX(Periods!$B$5:$B$57,$B1204)</f>
        <v/>
      </c>
      <c r="E1204" s="49">
        <f>INDEX(Periods!$C$5:$C$57,$B1204)</f>
        <v/>
      </c>
      <c r="F1204" s="47">
        <f>IF(AND($C1204&lt;&gt;"",INDEX(Periods!$D$5:$D$57,$B1204)=1),1,0)</f>
        <v/>
      </c>
      <c r="G1204" s="47">
        <f>IF($F1204=0,0,IF(AND(OR(INDEX(Employees!$D$5:$D$29,$A1204)="",$E1204&gt;=INDEX(Employees!$D$5:$D$29,$A1204)+N(INDEX(Employees!$U$5:$U$29,$A1204))),OR(INDEX(Employees!$E$5:$E$29,$A1204)="",$D1204&lt;=INDEX(Employees!$E$5:$E$29,$A1204))),1,0))</f>
        <v/>
      </c>
      <c r="H1204" s="47">
        <f>IF($G1204=0,0,IF(INDEX(Employees!$D$5:$D$29,$A1204)="",0,DATEDIF(INDEX(Employees!$D$5:$D$29,$A1204),$E1204,"y")))</f>
        <v/>
      </c>
      <c r="I1204" s="48">
        <f>IF($G1204=0,0,IF(INDEX('Hours Worked'!$D$5:$BD$29,$A1204,$B1204)="",N(INDEX(Employees!$H$5:$H$29,$A1204)),INDEX('Hours Worked'!$D$5:$BD$29,$A1204,$B1204)))</f>
        <v/>
      </c>
      <c r="J1204" s="48">
        <f>IF(OR($G1204=0,INDEX(Employees!$O$5:$O$29,$A1204)&lt;&gt;"Yes"),0,IF(COUNTIF(Settings!$D$4:$D$9,"&lt;="&amp;$H1204)=0,0,INDEX(Settings!$E$4:$E$9,COUNTIF(Settings!$D$4:$D$9,"&lt;="&amp;$H1204))))</f>
        <v/>
      </c>
      <c r="K1204" s="48">
        <f>IF($G1204=0,0,IF(INDEX(Employees!$I$5:$I$29,$A1204)="Per pay period",(N(INDEX(Employees!$J$5:$J$29,$A1204))+$J1204)/Settings!$B$13,IF(INDEX(Employees!$I$5:$I$29,$A1204)="Per hour worked",N(INDEX(Employees!$K$5:$K$29,$A1204))*$I1204,IF(INDEX(Employees!$I$5:$I$29,$A1204)="Front-loaded",IF(OR($B1204=1,N($G1203)=0),N(INDEX(Employees!$J$5:$J$29,$A1204))+$J1204,0),0))))</f>
        <v/>
      </c>
      <c r="L1204" s="48">
        <f>IF($F1204=0,0,SUMIFS('Time Off Log'!$H$5:$H$504,'Time Off Log'!$A$5:$A$504,$C1204,'Time Off Log'!$B$5:$B$504,"PTO",'Time Off Log'!$E$5:$E$504,"Approved",'Time Off Log'!$C$5:$C$504,"&gt;="&amp;INDEX(Periods!$E$5:$E$57,$B1204),'Time Off Log'!$C$5:$C$504,"&lt;="&amp;INDEX(Periods!$F$5:$F$57,$B1204)))</f>
        <v/>
      </c>
      <c r="M1204" s="48">
        <f>IF($B1204=1,N(INDEX(Employees!$N$5:$N$29,$A1204)),P1203)</f>
        <v/>
      </c>
      <c r="N1204" s="48">
        <f>IF(INDEX(Employees!$L$5:$L$29,$A1204)="",K1204,MAX(0,MIN(K1204,INDEX(Employees!$L$5:$L$29,$A1204)-(M1204-L1204))))</f>
        <v/>
      </c>
      <c r="O1204" s="48">
        <f>K1204-N1204</f>
        <v/>
      </c>
      <c r="P1204" s="48">
        <f>M1204-L1204+N1204</f>
        <v/>
      </c>
      <c r="Q1204" s="48">
        <f>IF($G1204=0,0,IF(INDEX(Employees!$P$5:$P$29,$A1204)="Per pay period",(N(INDEX(Employees!$Q$5:$Q$29,$A1204)))/Settings!$B$13,IF(INDEX(Employees!$P$5:$P$29,$A1204)="Per hour worked",N(INDEX(Employees!$R$5:$R$29,$A1204))*$I1204,IF(INDEX(Employees!$P$5:$P$29,$A1204)="Front-loaded",IF(OR($B1204=1,N($G1203)=0),N(INDEX(Employees!$Q$5:$Q$29,$A1204)),0),0))))</f>
        <v/>
      </c>
      <c r="R1204" s="48">
        <f>IF($F1204=0,0,SUMIFS('Time Off Log'!$H$5:$H$504,'Time Off Log'!$A$5:$A$504,$C1204,'Time Off Log'!$B$5:$B$504,"Sick",'Time Off Log'!$E$5:$E$504,"Approved",'Time Off Log'!$C$5:$C$504,"&gt;="&amp;INDEX(Periods!$E$5:$E$57,$B1204),'Time Off Log'!$C$5:$C$504,"&lt;="&amp;INDEX(Periods!$F$5:$F$57,$B1204)))</f>
        <v/>
      </c>
      <c r="S1204" s="48">
        <f>IF($B1204=1,N(INDEX(Employees!$T$5:$T$29,$A1204)),V1203)</f>
        <v/>
      </c>
      <c r="T1204" s="48">
        <f>IF(INDEX(Employees!$S$5:$S$29,$A1204)="",Q1204,MAX(0,MIN(Q1204,INDEX(Employees!$S$5:$S$29,$A1204)-(S1204-R1204))))</f>
        <v/>
      </c>
      <c r="U1204" s="48">
        <f>Q1204-T1204</f>
        <v/>
      </c>
      <c r="V1204" s="48">
        <f>S1204-R1204+T1204</f>
        <v/>
      </c>
    </row>
    <row r="1205">
      <c r="A1205" s="47" t="n">
        <v>23</v>
      </c>
      <c r="B1205" s="47" t="n">
        <v>35</v>
      </c>
      <c r="C1205" s="48">
        <f>INDEX(Employees!$B$5:$B$29,$A1205)&amp;""</f>
        <v/>
      </c>
      <c r="D1205" s="49">
        <f>INDEX(Periods!$B$5:$B$57,$B1205)</f>
        <v/>
      </c>
      <c r="E1205" s="49">
        <f>INDEX(Periods!$C$5:$C$57,$B1205)</f>
        <v/>
      </c>
      <c r="F1205" s="47">
        <f>IF(AND($C1205&lt;&gt;"",INDEX(Periods!$D$5:$D$57,$B1205)=1),1,0)</f>
        <v/>
      </c>
      <c r="G1205" s="47">
        <f>IF($F1205=0,0,IF(AND(OR(INDEX(Employees!$D$5:$D$29,$A1205)="",$E1205&gt;=INDEX(Employees!$D$5:$D$29,$A1205)+N(INDEX(Employees!$U$5:$U$29,$A1205))),OR(INDEX(Employees!$E$5:$E$29,$A1205)="",$D1205&lt;=INDEX(Employees!$E$5:$E$29,$A1205))),1,0))</f>
        <v/>
      </c>
      <c r="H1205" s="47">
        <f>IF($G1205=0,0,IF(INDEX(Employees!$D$5:$D$29,$A1205)="",0,DATEDIF(INDEX(Employees!$D$5:$D$29,$A1205),$E1205,"y")))</f>
        <v/>
      </c>
      <c r="I1205" s="48">
        <f>IF($G1205=0,0,IF(INDEX('Hours Worked'!$D$5:$BD$29,$A1205,$B1205)="",N(INDEX(Employees!$H$5:$H$29,$A1205)),INDEX('Hours Worked'!$D$5:$BD$29,$A1205,$B1205)))</f>
        <v/>
      </c>
      <c r="J1205" s="48">
        <f>IF(OR($G1205=0,INDEX(Employees!$O$5:$O$29,$A1205)&lt;&gt;"Yes"),0,IF(COUNTIF(Settings!$D$4:$D$9,"&lt;="&amp;$H1205)=0,0,INDEX(Settings!$E$4:$E$9,COUNTIF(Settings!$D$4:$D$9,"&lt;="&amp;$H1205))))</f>
        <v/>
      </c>
      <c r="K1205" s="48">
        <f>IF($G1205=0,0,IF(INDEX(Employees!$I$5:$I$29,$A1205)="Per pay period",(N(INDEX(Employees!$J$5:$J$29,$A1205))+$J1205)/Settings!$B$13,IF(INDEX(Employees!$I$5:$I$29,$A1205)="Per hour worked",N(INDEX(Employees!$K$5:$K$29,$A1205))*$I1205,IF(INDEX(Employees!$I$5:$I$29,$A1205)="Front-loaded",IF(OR($B1205=1,N($G1204)=0),N(INDEX(Employees!$J$5:$J$29,$A1205))+$J1205,0),0))))</f>
        <v/>
      </c>
      <c r="L1205" s="48">
        <f>IF($F1205=0,0,SUMIFS('Time Off Log'!$H$5:$H$504,'Time Off Log'!$A$5:$A$504,$C1205,'Time Off Log'!$B$5:$B$504,"PTO",'Time Off Log'!$E$5:$E$504,"Approved",'Time Off Log'!$C$5:$C$504,"&gt;="&amp;INDEX(Periods!$E$5:$E$57,$B1205),'Time Off Log'!$C$5:$C$504,"&lt;="&amp;INDEX(Periods!$F$5:$F$57,$B1205)))</f>
        <v/>
      </c>
      <c r="M1205" s="48">
        <f>IF($B1205=1,N(INDEX(Employees!$N$5:$N$29,$A1205)),P1204)</f>
        <v/>
      </c>
      <c r="N1205" s="48">
        <f>IF(INDEX(Employees!$L$5:$L$29,$A1205)="",K1205,MAX(0,MIN(K1205,INDEX(Employees!$L$5:$L$29,$A1205)-(M1205-L1205))))</f>
        <v/>
      </c>
      <c r="O1205" s="48">
        <f>K1205-N1205</f>
        <v/>
      </c>
      <c r="P1205" s="48">
        <f>M1205-L1205+N1205</f>
        <v/>
      </c>
      <c r="Q1205" s="48">
        <f>IF($G1205=0,0,IF(INDEX(Employees!$P$5:$P$29,$A1205)="Per pay period",(N(INDEX(Employees!$Q$5:$Q$29,$A1205)))/Settings!$B$13,IF(INDEX(Employees!$P$5:$P$29,$A1205)="Per hour worked",N(INDEX(Employees!$R$5:$R$29,$A1205))*$I1205,IF(INDEX(Employees!$P$5:$P$29,$A1205)="Front-loaded",IF(OR($B1205=1,N($G1204)=0),N(INDEX(Employees!$Q$5:$Q$29,$A1205)),0),0))))</f>
        <v/>
      </c>
      <c r="R1205" s="48">
        <f>IF($F1205=0,0,SUMIFS('Time Off Log'!$H$5:$H$504,'Time Off Log'!$A$5:$A$504,$C1205,'Time Off Log'!$B$5:$B$504,"Sick",'Time Off Log'!$E$5:$E$504,"Approved",'Time Off Log'!$C$5:$C$504,"&gt;="&amp;INDEX(Periods!$E$5:$E$57,$B1205),'Time Off Log'!$C$5:$C$504,"&lt;="&amp;INDEX(Periods!$F$5:$F$57,$B1205)))</f>
        <v/>
      </c>
      <c r="S1205" s="48">
        <f>IF($B1205=1,N(INDEX(Employees!$T$5:$T$29,$A1205)),V1204)</f>
        <v/>
      </c>
      <c r="T1205" s="48">
        <f>IF(INDEX(Employees!$S$5:$S$29,$A1205)="",Q1205,MAX(0,MIN(Q1205,INDEX(Employees!$S$5:$S$29,$A1205)-(S1205-R1205))))</f>
        <v/>
      </c>
      <c r="U1205" s="48">
        <f>Q1205-T1205</f>
        <v/>
      </c>
      <c r="V1205" s="48">
        <f>S1205-R1205+T1205</f>
        <v/>
      </c>
    </row>
    <row r="1206">
      <c r="A1206" s="47" t="n">
        <v>23</v>
      </c>
      <c r="B1206" s="47" t="n">
        <v>36</v>
      </c>
      <c r="C1206" s="48">
        <f>INDEX(Employees!$B$5:$B$29,$A1206)&amp;""</f>
        <v/>
      </c>
      <c r="D1206" s="49">
        <f>INDEX(Periods!$B$5:$B$57,$B1206)</f>
        <v/>
      </c>
      <c r="E1206" s="49">
        <f>INDEX(Periods!$C$5:$C$57,$B1206)</f>
        <v/>
      </c>
      <c r="F1206" s="47">
        <f>IF(AND($C1206&lt;&gt;"",INDEX(Periods!$D$5:$D$57,$B1206)=1),1,0)</f>
        <v/>
      </c>
      <c r="G1206" s="47">
        <f>IF($F1206=0,0,IF(AND(OR(INDEX(Employees!$D$5:$D$29,$A1206)="",$E1206&gt;=INDEX(Employees!$D$5:$D$29,$A1206)+N(INDEX(Employees!$U$5:$U$29,$A1206))),OR(INDEX(Employees!$E$5:$E$29,$A1206)="",$D1206&lt;=INDEX(Employees!$E$5:$E$29,$A1206))),1,0))</f>
        <v/>
      </c>
      <c r="H1206" s="47">
        <f>IF($G1206=0,0,IF(INDEX(Employees!$D$5:$D$29,$A1206)="",0,DATEDIF(INDEX(Employees!$D$5:$D$29,$A1206),$E1206,"y")))</f>
        <v/>
      </c>
      <c r="I1206" s="48">
        <f>IF($G1206=0,0,IF(INDEX('Hours Worked'!$D$5:$BD$29,$A1206,$B1206)="",N(INDEX(Employees!$H$5:$H$29,$A1206)),INDEX('Hours Worked'!$D$5:$BD$29,$A1206,$B1206)))</f>
        <v/>
      </c>
      <c r="J1206" s="48">
        <f>IF(OR($G1206=0,INDEX(Employees!$O$5:$O$29,$A1206)&lt;&gt;"Yes"),0,IF(COUNTIF(Settings!$D$4:$D$9,"&lt;="&amp;$H1206)=0,0,INDEX(Settings!$E$4:$E$9,COUNTIF(Settings!$D$4:$D$9,"&lt;="&amp;$H1206))))</f>
        <v/>
      </c>
      <c r="K1206" s="48">
        <f>IF($G1206=0,0,IF(INDEX(Employees!$I$5:$I$29,$A1206)="Per pay period",(N(INDEX(Employees!$J$5:$J$29,$A1206))+$J1206)/Settings!$B$13,IF(INDEX(Employees!$I$5:$I$29,$A1206)="Per hour worked",N(INDEX(Employees!$K$5:$K$29,$A1206))*$I1206,IF(INDEX(Employees!$I$5:$I$29,$A1206)="Front-loaded",IF(OR($B1206=1,N($G1205)=0),N(INDEX(Employees!$J$5:$J$29,$A1206))+$J1206,0),0))))</f>
        <v/>
      </c>
      <c r="L1206" s="48">
        <f>IF($F1206=0,0,SUMIFS('Time Off Log'!$H$5:$H$504,'Time Off Log'!$A$5:$A$504,$C1206,'Time Off Log'!$B$5:$B$504,"PTO",'Time Off Log'!$E$5:$E$504,"Approved",'Time Off Log'!$C$5:$C$504,"&gt;="&amp;INDEX(Periods!$E$5:$E$57,$B1206),'Time Off Log'!$C$5:$C$504,"&lt;="&amp;INDEX(Periods!$F$5:$F$57,$B1206)))</f>
        <v/>
      </c>
      <c r="M1206" s="48">
        <f>IF($B1206=1,N(INDEX(Employees!$N$5:$N$29,$A1206)),P1205)</f>
        <v/>
      </c>
      <c r="N1206" s="48">
        <f>IF(INDEX(Employees!$L$5:$L$29,$A1206)="",K1206,MAX(0,MIN(K1206,INDEX(Employees!$L$5:$L$29,$A1206)-(M1206-L1206))))</f>
        <v/>
      </c>
      <c r="O1206" s="48">
        <f>K1206-N1206</f>
        <v/>
      </c>
      <c r="P1206" s="48">
        <f>M1206-L1206+N1206</f>
        <v/>
      </c>
      <c r="Q1206" s="48">
        <f>IF($G1206=0,0,IF(INDEX(Employees!$P$5:$P$29,$A1206)="Per pay period",(N(INDEX(Employees!$Q$5:$Q$29,$A1206)))/Settings!$B$13,IF(INDEX(Employees!$P$5:$P$29,$A1206)="Per hour worked",N(INDEX(Employees!$R$5:$R$29,$A1206))*$I1206,IF(INDEX(Employees!$P$5:$P$29,$A1206)="Front-loaded",IF(OR($B1206=1,N($G1205)=0),N(INDEX(Employees!$Q$5:$Q$29,$A1206)),0),0))))</f>
        <v/>
      </c>
      <c r="R1206" s="48">
        <f>IF($F1206=0,0,SUMIFS('Time Off Log'!$H$5:$H$504,'Time Off Log'!$A$5:$A$504,$C1206,'Time Off Log'!$B$5:$B$504,"Sick",'Time Off Log'!$E$5:$E$504,"Approved",'Time Off Log'!$C$5:$C$504,"&gt;="&amp;INDEX(Periods!$E$5:$E$57,$B1206),'Time Off Log'!$C$5:$C$504,"&lt;="&amp;INDEX(Periods!$F$5:$F$57,$B1206)))</f>
        <v/>
      </c>
      <c r="S1206" s="48">
        <f>IF($B1206=1,N(INDEX(Employees!$T$5:$T$29,$A1206)),V1205)</f>
        <v/>
      </c>
      <c r="T1206" s="48">
        <f>IF(INDEX(Employees!$S$5:$S$29,$A1206)="",Q1206,MAX(0,MIN(Q1206,INDEX(Employees!$S$5:$S$29,$A1206)-(S1206-R1206))))</f>
        <v/>
      </c>
      <c r="U1206" s="48">
        <f>Q1206-T1206</f>
        <v/>
      </c>
      <c r="V1206" s="48">
        <f>S1206-R1206+T1206</f>
        <v/>
      </c>
    </row>
    <row r="1207">
      <c r="A1207" s="47" t="n">
        <v>23</v>
      </c>
      <c r="B1207" s="47" t="n">
        <v>37</v>
      </c>
      <c r="C1207" s="48">
        <f>INDEX(Employees!$B$5:$B$29,$A1207)&amp;""</f>
        <v/>
      </c>
      <c r="D1207" s="49">
        <f>INDEX(Periods!$B$5:$B$57,$B1207)</f>
        <v/>
      </c>
      <c r="E1207" s="49">
        <f>INDEX(Periods!$C$5:$C$57,$B1207)</f>
        <v/>
      </c>
      <c r="F1207" s="47">
        <f>IF(AND($C1207&lt;&gt;"",INDEX(Periods!$D$5:$D$57,$B1207)=1),1,0)</f>
        <v/>
      </c>
      <c r="G1207" s="47">
        <f>IF($F1207=0,0,IF(AND(OR(INDEX(Employees!$D$5:$D$29,$A1207)="",$E1207&gt;=INDEX(Employees!$D$5:$D$29,$A1207)+N(INDEX(Employees!$U$5:$U$29,$A1207))),OR(INDEX(Employees!$E$5:$E$29,$A1207)="",$D1207&lt;=INDEX(Employees!$E$5:$E$29,$A1207))),1,0))</f>
        <v/>
      </c>
      <c r="H1207" s="47">
        <f>IF($G1207=0,0,IF(INDEX(Employees!$D$5:$D$29,$A1207)="",0,DATEDIF(INDEX(Employees!$D$5:$D$29,$A1207),$E1207,"y")))</f>
        <v/>
      </c>
      <c r="I1207" s="48">
        <f>IF($G1207=0,0,IF(INDEX('Hours Worked'!$D$5:$BD$29,$A1207,$B1207)="",N(INDEX(Employees!$H$5:$H$29,$A1207)),INDEX('Hours Worked'!$D$5:$BD$29,$A1207,$B1207)))</f>
        <v/>
      </c>
      <c r="J1207" s="48">
        <f>IF(OR($G1207=0,INDEX(Employees!$O$5:$O$29,$A1207)&lt;&gt;"Yes"),0,IF(COUNTIF(Settings!$D$4:$D$9,"&lt;="&amp;$H1207)=0,0,INDEX(Settings!$E$4:$E$9,COUNTIF(Settings!$D$4:$D$9,"&lt;="&amp;$H1207))))</f>
        <v/>
      </c>
      <c r="K1207" s="48">
        <f>IF($G1207=0,0,IF(INDEX(Employees!$I$5:$I$29,$A1207)="Per pay period",(N(INDEX(Employees!$J$5:$J$29,$A1207))+$J1207)/Settings!$B$13,IF(INDEX(Employees!$I$5:$I$29,$A1207)="Per hour worked",N(INDEX(Employees!$K$5:$K$29,$A1207))*$I1207,IF(INDEX(Employees!$I$5:$I$29,$A1207)="Front-loaded",IF(OR($B1207=1,N($G1206)=0),N(INDEX(Employees!$J$5:$J$29,$A1207))+$J1207,0),0))))</f>
        <v/>
      </c>
      <c r="L1207" s="48">
        <f>IF($F1207=0,0,SUMIFS('Time Off Log'!$H$5:$H$504,'Time Off Log'!$A$5:$A$504,$C1207,'Time Off Log'!$B$5:$B$504,"PTO",'Time Off Log'!$E$5:$E$504,"Approved",'Time Off Log'!$C$5:$C$504,"&gt;="&amp;INDEX(Periods!$E$5:$E$57,$B1207),'Time Off Log'!$C$5:$C$504,"&lt;="&amp;INDEX(Periods!$F$5:$F$57,$B1207)))</f>
        <v/>
      </c>
      <c r="M1207" s="48">
        <f>IF($B1207=1,N(INDEX(Employees!$N$5:$N$29,$A1207)),P1206)</f>
        <v/>
      </c>
      <c r="N1207" s="48">
        <f>IF(INDEX(Employees!$L$5:$L$29,$A1207)="",K1207,MAX(0,MIN(K1207,INDEX(Employees!$L$5:$L$29,$A1207)-(M1207-L1207))))</f>
        <v/>
      </c>
      <c r="O1207" s="48">
        <f>K1207-N1207</f>
        <v/>
      </c>
      <c r="P1207" s="48">
        <f>M1207-L1207+N1207</f>
        <v/>
      </c>
      <c r="Q1207" s="48">
        <f>IF($G1207=0,0,IF(INDEX(Employees!$P$5:$P$29,$A1207)="Per pay period",(N(INDEX(Employees!$Q$5:$Q$29,$A1207)))/Settings!$B$13,IF(INDEX(Employees!$P$5:$P$29,$A1207)="Per hour worked",N(INDEX(Employees!$R$5:$R$29,$A1207))*$I1207,IF(INDEX(Employees!$P$5:$P$29,$A1207)="Front-loaded",IF(OR($B1207=1,N($G1206)=0),N(INDEX(Employees!$Q$5:$Q$29,$A1207)),0),0))))</f>
        <v/>
      </c>
      <c r="R1207" s="48">
        <f>IF($F1207=0,0,SUMIFS('Time Off Log'!$H$5:$H$504,'Time Off Log'!$A$5:$A$504,$C1207,'Time Off Log'!$B$5:$B$504,"Sick",'Time Off Log'!$E$5:$E$504,"Approved",'Time Off Log'!$C$5:$C$504,"&gt;="&amp;INDEX(Periods!$E$5:$E$57,$B1207),'Time Off Log'!$C$5:$C$504,"&lt;="&amp;INDEX(Periods!$F$5:$F$57,$B1207)))</f>
        <v/>
      </c>
      <c r="S1207" s="48">
        <f>IF($B1207=1,N(INDEX(Employees!$T$5:$T$29,$A1207)),V1206)</f>
        <v/>
      </c>
      <c r="T1207" s="48">
        <f>IF(INDEX(Employees!$S$5:$S$29,$A1207)="",Q1207,MAX(0,MIN(Q1207,INDEX(Employees!$S$5:$S$29,$A1207)-(S1207-R1207))))</f>
        <v/>
      </c>
      <c r="U1207" s="48">
        <f>Q1207-T1207</f>
        <v/>
      </c>
      <c r="V1207" s="48">
        <f>S1207-R1207+T1207</f>
        <v/>
      </c>
    </row>
    <row r="1208">
      <c r="A1208" s="47" t="n">
        <v>23</v>
      </c>
      <c r="B1208" s="47" t="n">
        <v>38</v>
      </c>
      <c r="C1208" s="48">
        <f>INDEX(Employees!$B$5:$B$29,$A1208)&amp;""</f>
        <v/>
      </c>
      <c r="D1208" s="49">
        <f>INDEX(Periods!$B$5:$B$57,$B1208)</f>
        <v/>
      </c>
      <c r="E1208" s="49">
        <f>INDEX(Periods!$C$5:$C$57,$B1208)</f>
        <v/>
      </c>
      <c r="F1208" s="47">
        <f>IF(AND($C1208&lt;&gt;"",INDEX(Periods!$D$5:$D$57,$B1208)=1),1,0)</f>
        <v/>
      </c>
      <c r="G1208" s="47">
        <f>IF($F1208=0,0,IF(AND(OR(INDEX(Employees!$D$5:$D$29,$A1208)="",$E1208&gt;=INDEX(Employees!$D$5:$D$29,$A1208)+N(INDEX(Employees!$U$5:$U$29,$A1208))),OR(INDEX(Employees!$E$5:$E$29,$A1208)="",$D1208&lt;=INDEX(Employees!$E$5:$E$29,$A1208))),1,0))</f>
        <v/>
      </c>
      <c r="H1208" s="47">
        <f>IF($G1208=0,0,IF(INDEX(Employees!$D$5:$D$29,$A1208)="",0,DATEDIF(INDEX(Employees!$D$5:$D$29,$A1208),$E1208,"y")))</f>
        <v/>
      </c>
      <c r="I1208" s="48">
        <f>IF($G1208=0,0,IF(INDEX('Hours Worked'!$D$5:$BD$29,$A1208,$B1208)="",N(INDEX(Employees!$H$5:$H$29,$A1208)),INDEX('Hours Worked'!$D$5:$BD$29,$A1208,$B1208)))</f>
        <v/>
      </c>
      <c r="J1208" s="48">
        <f>IF(OR($G1208=0,INDEX(Employees!$O$5:$O$29,$A1208)&lt;&gt;"Yes"),0,IF(COUNTIF(Settings!$D$4:$D$9,"&lt;="&amp;$H1208)=0,0,INDEX(Settings!$E$4:$E$9,COUNTIF(Settings!$D$4:$D$9,"&lt;="&amp;$H1208))))</f>
        <v/>
      </c>
      <c r="K1208" s="48">
        <f>IF($G1208=0,0,IF(INDEX(Employees!$I$5:$I$29,$A1208)="Per pay period",(N(INDEX(Employees!$J$5:$J$29,$A1208))+$J1208)/Settings!$B$13,IF(INDEX(Employees!$I$5:$I$29,$A1208)="Per hour worked",N(INDEX(Employees!$K$5:$K$29,$A1208))*$I1208,IF(INDEX(Employees!$I$5:$I$29,$A1208)="Front-loaded",IF(OR($B1208=1,N($G1207)=0),N(INDEX(Employees!$J$5:$J$29,$A1208))+$J1208,0),0))))</f>
        <v/>
      </c>
      <c r="L1208" s="48">
        <f>IF($F1208=0,0,SUMIFS('Time Off Log'!$H$5:$H$504,'Time Off Log'!$A$5:$A$504,$C1208,'Time Off Log'!$B$5:$B$504,"PTO",'Time Off Log'!$E$5:$E$504,"Approved",'Time Off Log'!$C$5:$C$504,"&gt;="&amp;INDEX(Periods!$E$5:$E$57,$B1208),'Time Off Log'!$C$5:$C$504,"&lt;="&amp;INDEX(Periods!$F$5:$F$57,$B1208)))</f>
        <v/>
      </c>
      <c r="M1208" s="48">
        <f>IF($B1208=1,N(INDEX(Employees!$N$5:$N$29,$A1208)),P1207)</f>
        <v/>
      </c>
      <c r="N1208" s="48">
        <f>IF(INDEX(Employees!$L$5:$L$29,$A1208)="",K1208,MAX(0,MIN(K1208,INDEX(Employees!$L$5:$L$29,$A1208)-(M1208-L1208))))</f>
        <v/>
      </c>
      <c r="O1208" s="48">
        <f>K1208-N1208</f>
        <v/>
      </c>
      <c r="P1208" s="48">
        <f>M1208-L1208+N1208</f>
        <v/>
      </c>
      <c r="Q1208" s="48">
        <f>IF($G1208=0,0,IF(INDEX(Employees!$P$5:$P$29,$A1208)="Per pay period",(N(INDEX(Employees!$Q$5:$Q$29,$A1208)))/Settings!$B$13,IF(INDEX(Employees!$P$5:$P$29,$A1208)="Per hour worked",N(INDEX(Employees!$R$5:$R$29,$A1208))*$I1208,IF(INDEX(Employees!$P$5:$P$29,$A1208)="Front-loaded",IF(OR($B1208=1,N($G1207)=0),N(INDEX(Employees!$Q$5:$Q$29,$A1208)),0),0))))</f>
        <v/>
      </c>
      <c r="R1208" s="48">
        <f>IF($F1208=0,0,SUMIFS('Time Off Log'!$H$5:$H$504,'Time Off Log'!$A$5:$A$504,$C1208,'Time Off Log'!$B$5:$B$504,"Sick",'Time Off Log'!$E$5:$E$504,"Approved",'Time Off Log'!$C$5:$C$504,"&gt;="&amp;INDEX(Periods!$E$5:$E$57,$B1208),'Time Off Log'!$C$5:$C$504,"&lt;="&amp;INDEX(Periods!$F$5:$F$57,$B1208)))</f>
        <v/>
      </c>
      <c r="S1208" s="48">
        <f>IF($B1208=1,N(INDEX(Employees!$T$5:$T$29,$A1208)),V1207)</f>
        <v/>
      </c>
      <c r="T1208" s="48">
        <f>IF(INDEX(Employees!$S$5:$S$29,$A1208)="",Q1208,MAX(0,MIN(Q1208,INDEX(Employees!$S$5:$S$29,$A1208)-(S1208-R1208))))</f>
        <v/>
      </c>
      <c r="U1208" s="48">
        <f>Q1208-T1208</f>
        <v/>
      </c>
      <c r="V1208" s="48">
        <f>S1208-R1208+T1208</f>
        <v/>
      </c>
    </row>
    <row r="1209">
      <c r="A1209" s="47" t="n">
        <v>23</v>
      </c>
      <c r="B1209" s="47" t="n">
        <v>39</v>
      </c>
      <c r="C1209" s="48">
        <f>INDEX(Employees!$B$5:$B$29,$A1209)&amp;""</f>
        <v/>
      </c>
      <c r="D1209" s="49">
        <f>INDEX(Periods!$B$5:$B$57,$B1209)</f>
        <v/>
      </c>
      <c r="E1209" s="49">
        <f>INDEX(Periods!$C$5:$C$57,$B1209)</f>
        <v/>
      </c>
      <c r="F1209" s="47">
        <f>IF(AND($C1209&lt;&gt;"",INDEX(Periods!$D$5:$D$57,$B1209)=1),1,0)</f>
        <v/>
      </c>
      <c r="G1209" s="47">
        <f>IF($F1209=0,0,IF(AND(OR(INDEX(Employees!$D$5:$D$29,$A1209)="",$E1209&gt;=INDEX(Employees!$D$5:$D$29,$A1209)+N(INDEX(Employees!$U$5:$U$29,$A1209))),OR(INDEX(Employees!$E$5:$E$29,$A1209)="",$D1209&lt;=INDEX(Employees!$E$5:$E$29,$A1209))),1,0))</f>
        <v/>
      </c>
      <c r="H1209" s="47">
        <f>IF($G1209=0,0,IF(INDEX(Employees!$D$5:$D$29,$A1209)="",0,DATEDIF(INDEX(Employees!$D$5:$D$29,$A1209),$E1209,"y")))</f>
        <v/>
      </c>
      <c r="I1209" s="48">
        <f>IF($G1209=0,0,IF(INDEX('Hours Worked'!$D$5:$BD$29,$A1209,$B1209)="",N(INDEX(Employees!$H$5:$H$29,$A1209)),INDEX('Hours Worked'!$D$5:$BD$29,$A1209,$B1209)))</f>
        <v/>
      </c>
      <c r="J1209" s="48">
        <f>IF(OR($G1209=0,INDEX(Employees!$O$5:$O$29,$A1209)&lt;&gt;"Yes"),0,IF(COUNTIF(Settings!$D$4:$D$9,"&lt;="&amp;$H1209)=0,0,INDEX(Settings!$E$4:$E$9,COUNTIF(Settings!$D$4:$D$9,"&lt;="&amp;$H1209))))</f>
        <v/>
      </c>
      <c r="K1209" s="48">
        <f>IF($G1209=0,0,IF(INDEX(Employees!$I$5:$I$29,$A1209)="Per pay period",(N(INDEX(Employees!$J$5:$J$29,$A1209))+$J1209)/Settings!$B$13,IF(INDEX(Employees!$I$5:$I$29,$A1209)="Per hour worked",N(INDEX(Employees!$K$5:$K$29,$A1209))*$I1209,IF(INDEX(Employees!$I$5:$I$29,$A1209)="Front-loaded",IF(OR($B1209=1,N($G1208)=0),N(INDEX(Employees!$J$5:$J$29,$A1209))+$J1209,0),0))))</f>
        <v/>
      </c>
      <c r="L1209" s="48">
        <f>IF($F1209=0,0,SUMIFS('Time Off Log'!$H$5:$H$504,'Time Off Log'!$A$5:$A$504,$C1209,'Time Off Log'!$B$5:$B$504,"PTO",'Time Off Log'!$E$5:$E$504,"Approved",'Time Off Log'!$C$5:$C$504,"&gt;="&amp;INDEX(Periods!$E$5:$E$57,$B1209),'Time Off Log'!$C$5:$C$504,"&lt;="&amp;INDEX(Periods!$F$5:$F$57,$B1209)))</f>
        <v/>
      </c>
      <c r="M1209" s="48">
        <f>IF($B1209=1,N(INDEX(Employees!$N$5:$N$29,$A1209)),P1208)</f>
        <v/>
      </c>
      <c r="N1209" s="48">
        <f>IF(INDEX(Employees!$L$5:$L$29,$A1209)="",K1209,MAX(0,MIN(K1209,INDEX(Employees!$L$5:$L$29,$A1209)-(M1209-L1209))))</f>
        <v/>
      </c>
      <c r="O1209" s="48">
        <f>K1209-N1209</f>
        <v/>
      </c>
      <c r="P1209" s="48">
        <f>M1209-L1209+N1209</f>
        <v/>
      </c>
      <c r="Q1209" s="48">
        <f>IF($G1209=0,0,IF(INDEX(Employees!$P$5:$P$29,$A1209)="Per pay period",(N(INDEX(Employees!$Q$5:$Q$29,$A1209)))/Settings!$B$13,IF(INDEX(Employees!$P$5:$P$29,$A1209)="Per hour worked",N(INDEX(Employees!$R$5:$R$29,$A1209))*$I1209,IF(INDEX(Employees!$P$5:$P$29,$A1209)="Front-loaded",IF(OR($B1209=1,N($G1208)=0),N(INDEX(Employees!$Q$5:$Q$29,$A1209)),0),0))))</f>
        <v/>
      </c>
      <c r="R1209" s="48">
        <f>IF($F1209=0,0,SUMIFS('Time Off Log'!$H$5:$H$504,'Time Off Log'!$A$5:$A$504,$C1209,'Time Off Log'!$B$5:$B$504,"Sick",'Time Off Log'!$E$5:$E$504,"Approved",'Time Off Log'!$C$5:$C$504,"&gt;="&amp;INDEX(Periods!$E$5:$E$57,$B1209),'Time Off Log'!$C$5:$C$504,"&lt;="&amp;INDEX(Periods!$F$5:$F$57,$B1209)))</f>
        <v/>
      </c>
      <c r="S1209" s="48">
        <f>IF($B1209=1,N(INDEX(Employees!$T$5:$T$29,$A1209)),V1208)</f>
        <v/>
      </c>
      <c r="T1209" s="48">
        <f>IF(INDEX(Employees!$S$5:$S$29,$A1209)="",Q1209,MAX(0,MIN(Q1209,INDEX(Employees!$S$5:$S$29,$A1209)-(S1209-R1209))))</f>
        <v/>
      </c>
      <c r="U1209" s="48">
        <f>Q1209-T1209</f>
        <v/>
      </c>
      <c r="V1209" s="48">
        <f>S1209-R1209+T1209</f>
        <v/>
      </c>
    </row>
    <row r="1210">
      <c r="A1210" s="47" t="n">
        <v>23</v>
      </c>
      <c r="B1210" s="47" t="n">
        <v>40</v>
      </c>
      <c r="C1210" s="48">
        <f>INDEX(Employees!$B$5:$B$29,$A1210)&amp;""</f>
        <v/>
      </c>
      <c r="D1210" s="49">
        <f>INDEX(Periods!$B$5:$B$57,$B1210)</f>
        <v/>
      </c>
      <c r="E1210" s="49">
        <f>INDEX(Periods!$C$5:$C$57,$B1210)</f>
        <v/>
      </c>
      <c r="F1210" s="47">
        <f>IF(AND($C1210&lt;&gt;"",INDEX(Periods!$D$5:$D$57,$B1210)=1),1,0)</f>
        <v/>
      </c>
      <c r="G1210" s="47">
        <f>IF($F1210=0,0,IF(AND(OR(INDEX(Employees!$D$5:$D$29,$A1210)="",$E1210&gt;=INDEX(Employees!$D$5:$D$29,$A1210)+N(INDEX(Employees!$U$5:$U$29,$A1210))),OR(INDEX(Employees!$E$5:$E$29,$A1210)="",$D1210&lt;=INDEX(Employees!$E$5:$E$29,$A1210))),1,0))</f>
        <v/>
      </c>
      <c r="H1210" s="47">
        <f>IF($G1210=0,0,IF(INDEX(Employees!$D$5:$D$29,$A1210)="",0,DATEDIF(INDEX(Employees!$D$5:$D$29,$A1210),$E1210,"y")))</f>
        <v/>
      </c>
      <c r="I1210" s="48">
        <f>IF($G1210=0,0,IF(INDEX('Hours Worked'!$D$5:$BD$29,$A1210,$B1210)="",N(INDEX(Employees!$H$5:$H$29,$A1210)),INDEX('Hours Worked'!$D$5:$BD$29,$A1210,$B1210)))</f>
        <v/>
      </c>
      <c r="J1210" s="48">
        <f>IF(OR($G1210=0,INDEX(Employees!$O$5:$O$29,$A1210)&lt;&gt;"Yes"),0,IF(COUNTIF(Settings!$D$4:$D$9,"&lt;="&amp;$H1210)=0,0,INDEX(Settings!$E$4:$E$9,COUNTIF(Settings!$D$4:$D$9,"&lt;="&amp;$H1210))))</f>
        <v/>
      </c>
      <c r="K1210" s="48">
        <f>IF($G1210=0,0,IF(INDEX(Employees!$I$5:$I$29,$A1210)="Per pay period",(N(INDEX(Employees!$J$5:$J$29,$A1210))+$J1210)/Settings!$B$13,IF(INDEX(Employees!$I$5:$I$29,$A1210)="Per hour worked",N(INDEX(Employees!$K$5:$K$29,$A1210))*$I1210,IF(INDEX(Employees!$I$5:$I$29,$A1210)="Front-loaded",IF(OR($B1210=1,N($G1209)=0),N(INDEX(Employees!$J$5:$J$29,$A1210))+$J1210,0),0))))</f>
        <v/>
      </c>
      <c r="L1210" s="48">
        <f>IF($F1210=0,0,SUMIFS('Time Off Log'!$H$5:$H$504,'Time Off Log'!$A$5:$A$504,$C1210,'Time Off Log'!$B$5:$B$504,"PTO",'Time Off Log'!$E$5:$E$504,"Approved",'Time Off Log'!$C$5:$C$504,"&gt;="&amp;INDEX(Periods!$E$5:$E$57,$B1210),'Time Off Log'!$C$5:$C$504,"&lt;="&amp;INDEX(Periods!$F$5:$F$57,$B1210)))</f>
        <v/>
      </c>
      <c r="M1210" s="48">
        <f>IF($B1210=1,N(INDEX(Employees!$N$5:$N$29,$A1210)),P1209)</f>
        <v/>
      </c>
      <c r="N1210" s="48">
        <f>IF(INDEX(Employees!$L$5:$L$29,$A1210)="",K1210,MAX(0,MIN(K1210,INDEX(Employees!$L$5:$L$29,$A1210)-(M1210-L1210))))</f>
        <v/>
      </c>
      <c r="O1210" s="48">
        <f>K1210-N1210</f>
        <v/>
      </c>
      <c r="P1210" s="48">
        <f>M1210-L1210+N1210</f>
        <v/>
      </c>
      <c r="Q1210" s="48">
        <f>IF($G1210=0,0,IF(INDEX(Employees!$P$5:$P$29,$A1210)="Per pay period",(N(INDEX(Employees!$Q$5:$Q$29,$A1210)))/Settings!$B$13,IF(INDEX(Employees!$P$5:$P$29,$A1210)="Per hour worked",N(INDEX(Employees!$R$5:$R$29,$A1210))*$I1210,IF(INDEX(Employees!$P$5:$P$29,$A1210)="Front-loaded",IF(OR($B1210=1,N($G1209)=0),N(INDEX(Employees!$Q$5:$Q$29,$A1210)),0),0))))</f>
        <v/>
      </c>
      <c r="R1210" s="48">
        <f>IF($F1210=0,0,SUMIFS('Time Off Log'!$H$5:$H$504,'Time Off Log'!$A$5:$A$504,$C1210,'Time Off Log'!$B$5:$B$504,"Sick",'Time Off Log'!$E$5:$E$504,"Approved",'Time Off Log'!$C$5:$C$504,"&gt;="&amp;INDEX(Periods!$E$5:$E$57,$B1210),'Time Off Log'!$C$5:$C$504,"&lt;="&amp;INDEX(Periods!$F$5:$F$57,$B1210)))</f>
        <v/>
      </c>
      <c r="S1210" s="48">
        <f>IF($B1210=1,N(INDEX(Employees!$T$5:$T$29,$A1210)),V1209)</f>
        <v/>
      </c>
      <c r="T1210" s="48">
        <f>IF(INDEX(Employees!$S$5:$S$29,$A1210)="",Q1210,MAX(0,MIN(Q1210,INDEX(Employees!$S$5:$S$29,$A1210)-(S1210-R1210))))</f>
        <v/>
      </c>
      <c r="U1210" s="48">
        <f>Q1210-T1210</f>
        <v/>
      </c>
      <c r="V1210" s="48">
        <f>S1210-R1210+T1210</f>
        <v/>
      </c>
    </row>
    <row r="1211">
      <c r="A1211" s="47" t="n">
        <v>23</v>
      </c>
      <c r="B1211" s="47" t="n">
        <v>41</v>
      </c>
      <c r="C1211" s="48">
        <f>INDEX(Employees!$B$5:$B$29,$A1211)&amp;""</f>
        <v/>
      </c>
      <c r="D1211" s="49">
        <f>INDEX(Periods!$B$5:$B$57,$B1211)</f>
        <v/>
      </c>
      <c r="E1211" s="49">
        <f>INDEX(Periods!$C$5:$C$57,$B1211)</f>
        <v/>
      </c>
      <c r="F1211" s="47">
        <f>IF(AND($C1211&lt;&gt;"",INDEX(Periods!$D$5:$D$57,$B1211)=1),1,0)</f>
        <v/>
      </c>
      <c r="G1211" s="47">
        <f>IF($F1211=0,0,IF(AND(OR(INDEX(Employees!$D$5:$D$29,$A1211)="",$E1211&gt;=INDEX(Employees!$D$5:$D$29,$A1211)+N(INDEX(Employees!$U$5:$U$29,$A1211))),OR(INDEX(Employees!$E$5:$E$29,$A1211)="",$D1211&lt;=INDEX(Employees!$E$5:$E$29,$A1211))),1,0))</f>
        <v/>
      </c>
      <c r="H1211" s="47">
        <f>IF($G1211=0,0,IF(INDEX(Employees!$D$5:$D$29,$A1211)="",0,DATEDIF(INDEX(Employees!$D$5:$D$29,$A1211),$E1211,"y")))</f>
        <v/>
      </c>
      <c r="I1211" s="48">
        <f>IF($G1211=0,0,IF(INDEX('Hours Worked'!$D$5:$BD$29,$A1211,$B1211)="",N(INDEX(Employees!$H$5:$H$29,$A1211)),INDEX('Hours Worked'!$D$5:$BD$29,$A1211,$B1211)))</f>
        <v/>
      </c>
      <c r="J1211" s="48">
        <f>IF(OR($G1211=0,INDEX(Employees!$O$5:$O$29,$A1211)&lt;&gt;"Yes"),0,IF(COUNTIF(Settings!$D$4:$D$9,"&lt;="&amp;$H1211)=0,0,INDEX(Settings!$E$4:$E$9,COUNTIF(Settings!$D$4:$D$9,"&lt;="&amp;$H1211))))</f>
        <v/>
      </c>
      <c r="K1211" s="48">
        <f>IF($G1211=0,0,IF(INDEX(Employees!$I$5:$I$29,$A1211)="Per pay period",(N(INDEX(Employees!$J$5:$J$29,$A1211))+$J1211)/Settings!$B$13,IF(INDEX(Employees!$I$5:$I$29,$A1211)="Per hour worked",N(INDEX(Employees!$K$5:$K$29,$A1211))*$I1211,IF(INDEX(Employees!$I$5:$I$29,$A1211)="Front-loaded",IF(OR($B1211=1,N($G1210)=0),N(INDEX(Employees!$J$5:$J$29,$A1211))+$J1211,0),0))))</f>
        <v/>
      </c>
      <c r="L1211" s="48">
        <f>IF($F1211=0,0,SUMIFS('Time Off Log'!$H$5:$H$504,'Time Off Log'!$A$5:$A$504,$C1211,'Time Off Log'!$B$5:$B$504,"PTO",'Time Off Log'!$E$5:$E$504,"Approved",'Time Off Log'!$C$5:$C$504,"&gt;="&amp;INDEX(Periods!$E$5:$E$57,$B1211),'Time Off Log'!$C$5:$C$504,"&lt;="&amp;INDEX(Periods!$F$5:$F$57,$B1211)))</f>
        <v/>
      </c>
      <c r="M1211" s="48">
        <f>IF($B1211=1,N(INDEX(Employees!$N$5:$N$29,$A1211)),P1210)</f>
        <v/>
      </c>
      <c r="N1211" s="48">
        <f>IF(INDEX(Employees!$L$5:$L$29,$A1211)="",K1211,MAX(0,MIN(K1211,INDEX(Employees!$L$5:$L$29,$A1211)-(M1211-L1211))))</f>
        <v/>
      </c>
      <c r="O1211" s="48">
        <f>K1211-N1211</f>
        <v/>
      </c>
      <c r="P1211" s="48">
        <f>M1211-L1211+N1211</f>
        <v/>
      </c>
      <c r="Q1211" s="48">
        <f>IF($G1211=0,0,IF(INDEX(Employees!$P$5:$P$29,$A1211)="Per pay period",(N(INDEX(Employees!$Q$5:$Q$29,$A1211)))/Settings!$B$13,IF(INDEX(Employees!$P$5:$P$29,$A1211)="Per hour worked",N(INDEX(Employees!$R$5:$R$29,$A1211))*$I1211,IF(INDEX(Employees!$P$5:$P$29,$A1211)="Front-loaded",IF(OR($B1211=1,N($G1210)=0),N(INDEX(Employees!$Q$5:$Q$29,$A1211)),0),0))))</f>
        <v/>
      </c>
      <c r="R1211" s="48">
        <f>IF($F1211=0,0,SUMIFS('Time Off Log'!$H$5:$H$504,'Time Off Log'!$A$5:$A$504,$C1211,'Time Off Log'!$B$5:$B$504,"Sick",'Time Off Log'!$E$5:$E$504,"Approved",'Time Off Log'!$C$5:$C$504,"&gt;="&amp;INDEX(Periods!$E$5:$E$57,$B1211),'Time Off Log'!$C$5:$C$504,"&lt;="&amp;INDEX(Periods!$F$5:$F$57,$B1211)))</f>
        <v/>
      </c>
      <c r="S1211" s="48">
        <f>IF($B1211=1,N(INDEX(Employees!$T$5:$T$29,$A1211)),V1210)</f>
        <v/>
      </c>
      <c r="T1211" s="48">
        <f>IF(INDEX(Employees!$S$5:$S$29,$A1211)="",Q1211,MAX(0,MIN(Q1211,INDEX(Employees!$S$5:$S$29,$A1211)-(S1211-R1211))))</f>
        <v/>
      </c>
      <c r="U1211" s="48">
        <f>Q1211-T1211</f>
        <v/>
      </c>
      <c r="V1211" s="48">
        <f>S1211-R1211+T1211</f>
        <v/>
      </c>
    </row>
    <row r="1212">
      <c r="A1212" s="47" t="n">
        <v>23</v>
      </c>
      <c r="B1212" s="47" t="n">
        <v>42</v>
      </c>
      <c r="C1212" s="48">
        <f>INDEX(Employees!$B$5:$B$29,$A1212)&amp;""</f>
        <v/>
      </c>
      <c r="D1212" s="49">
        <f>INDEX(Periods!$B$5:$B$57,$B1212)</f>
        <v/>
      </c>
      <c r="E1212" s="49">
        <f>INDEX(Periods!$C$5:$C$57,$B1212)</f>
        <v/>
      </c>
      <c r="F1212" s="47">
        <f>IF(AND($C1212&lt;&gt;"",INDEX(Periods!$D$5:$D$57,$B1212)=1),1,0)</f>
        <v/>
      </c>
      <c r="G1212" s="47">
        <f>IF($F1212=0,0,IF(AND(OR(INDEX(Employees!$D$5:$D$29,$A1212)="",$E1212&gt;=INDEX(Employees!$D$5:$D$29,$A1212)+N(INDEX(Employees!$U$5:$U$29,$A1212))),OR(INDEX(Employees!$E$5:$E$29,$A1212)="",$D1212&lt;=INDEX(Employees!$E$5:$E$29,$A1212))),1,0))</f>
        <v/>
      </c>
      <c r="H1212" s="47">
        <f>IF($G1212=0,0,IF(INDEX(Employees!$D$5:$D$29,$A1212)="",0,DATEDIF(INDEX(Employees!$D$5:$D$29,$A1212),$E1212,"y")))</f>
        <v/>
      </c>
      <c r="I1212" s="48">
        <f>IF($G1212=0,0,IF(INDEX('Hours Worked'!$D$5:$BD$29,$A1212,$B1212)="",N(INDEX(Employees!$H$5:$H$29,$A1212)),INDEX('Hours Worked'!$D$5:$BD$29,$A1212,$B1212)))</f>
        <v/>
      </c>
      <c r="J1212" s="48">
        <f>IF(OR($G1212=0,INDEX(Employees!$O$5:$O$29,$A1212)&lt;&gt;"Yes"),0,IF(COUNTIF(Settings!$D$4:$D$9,"&lt;="&amp;$H1212)=0,0,INDEX(Settings!$E$4:$E$9,COUNTIF(Settings!$D$4:$D$9,"&lt;="&amp;$H1212))))</f>
        <v/>
      </c>
      <c r="K1212" s="48">
        <f>IF($G1212=0,0,IF(INDEX(Employees!$I$5:$I$29,$A1212)="Per pay period",(N(INDEX(Employees!$J$5:$J$29,$A1212))+$J1212)/Settings!$B$13,IF(INDEX(Employees!$I$5:$I$29,$A1212)="Per hour worked",N(INDEX(Employees!$K$5:$K$29,$A1212))*$I1212,IF(INDEX(Employees!$I$5:$I$29,$A1212)="Front-loaded",IF(OR($B1212=1,N($G1211)=0),N(INDEX(Employees!$J$5:$J$29,$A1212))+$J1212,0),0))))</f>
        <v/>
      </c>
      <c r="L1212" s="48">
        <f>IF($F1212=0,0,SUMIFS('Time Off Log'!$H$5:$H$504,'Time Off Log'!$A$5:$A$504,$C1212,'Time Off Log'!$B$5:$B$504,"PTO",'Time Off Log'!$E$5:$E$504,"Approved",'Time Off Log'!$C$5:$C$504,"&gt;="&amp;INDEX(Periods!$E$5:$E$57,$B1212),'Time Off Log'!$C$5:$C$504,"&lt;="&amp;INDEX(Periods!$F$5:$F$57,$B1212)))</f>
        <v/>
      </c>
      <c r="M1212" s="48">
        <f>IF($B1212=1,N(INDEX(Employees!$N$5:$N$29,$A1212)),P1211)</f>
        <v/>
      </c>
      <c r="N1212" s="48">
        <f>IF(INDEX(Employees!$L$5:$L$29,$A1212)="",K1212,MAX(0,MIN(K1212,INDEX(Employees!$L$5:$L$29,$A1212)-(M1212-L1212))))</f>
        <v/>
      </c>
      <c r="O1212" s="48">
        <f>K1212-N1212</f>
        <v/>
      </c>
      <c r="P1212" s="48">
        <f>M1212-L1212+N1212</f>
        <v/>
      </c>
      <c r="Q1212" s="48">
        <f>IF($G1212=0,0,IF(INDEX(Employees!$P$5:$P$29,$A1212)="Per pay period",(N(INDEX(Employees!$Q$5:$Q$29,$A1212)))/Settings!$B$13,IF(INDEX(Employees!$P$5:$P$29,$A1212)="Per hour worked",N(INDEX(Employees!$R$5:$R$29,$A1212))*$I1212,IF(INDEX(Employees!$P$5:$P$29,$A1212)="Front-loaded",IF(OR($B1212=1,N($G1211)=0),N(INDEX(Employees!$Q$5:$Q$29,$A1212)),0),0))))</f>
        <v/>
      </c>
      <c r="R1212" s="48">
        <f>IF($F1212=0,0,SUMIFS('Time Off Log'!$H$5:$H$504,'Time Off Log'!$A$5:$A$504,$C1212,'Time Off Log'!$B$5:$B$504,"Sick",'Time Off Log'!$E$5:$E$504,"Approved",'Time Off Log'!$C$5:$C$504,"&gt;="&amp;INDEX(Periods!$E$5:$E$57,$B1212),'Time Off Log'!$C$5:$C$504,"&lt;="&amp;INDEX(Periods!$F$5:$F$57,$B1212)))</f>
        <v/>
      </c>
      <c r="S1212" s="48">
        <f>IF($B1212=1,N(INDEX(Employees!$T$5:$T$29,$A1212)),V1211)</f>
        <v/>
      </c>
      <c r="T1212" s="48">
        <f>IF(INDEX(Employees!$S$5:$S$29,$A1212)="",Q1212,MAX(0,MIN(Q1212,INDEX(Employees!$S$5:$S$29,$A1212)-(S1212-R1212))))</f>
        <v/>
      </c>
      <c r="U1212" s="48">
        <f>Q1212-T1212</f>
        <v/>
      </c>
      <c r="V1212" s="48">
        <f>S1212-R1212+T1212</f>
        <v/>
      </c>
    </row>
    <row r="1213">
      <c r="A1213" s="47" t="n">
        <v>23</v>
      </c>
      <c r="B1213" s="47" t="n">
        <v>43</v>
      </c>
      <c r="C1213" s="48">
        <f>INDEX(Employees!$B$5:$B$29,$A1213)&amp;""</f>
        <v/>
      </c>
      <c r="D1213" s="49">
        <f>INDEX(Periods!$B$5:$B$57,$B1213)</f>
        <v/>
      </c>
      <c r="E1213" s="49">
        <f>INDEX(Periods!$C$5:$C$57,$B1213)</f>
        <v/>
      </c>
      <c r="F1213" s="47">
        <f>IF(AND($C1213&lt;&gt;"",INDEX(Periods!$D$5:$D$57,$B1213)=1),1,0)</f>
        <v/>
      </c>
      <c r="G1213" s="47">
        <f>IF($F1213=0,0,IF(AND(OR(INDEX(Employees!$D$5:$D$29,$A1213)="",$E1213&gt;=INDEX(Employees!$D$5:$D$29,$A1213)+N(INDEX(Employees!$U$5:$U$29,$A1213))),OR(INDEX(Employees!$E$5:$E$29,$A1213)="",$D1213&lt;=INDEX(Employees!$E$5:$E$29,$A1213))),1,0))</f>
        <v/>
      </c>
      <c r="H1213" s="47">
        <f>IF($G1213=0,0,IF(INDEX(Employees!$D$5:$D$29,$A1213)="",0,DATEDIF(INDEX(Employees!$D$5:$D$29,$A1213),$E1213,"y")))</f>
        <v/>
      </c>
      <c r="I1213" s="48">
        <f>IF($G1213=0,0,IF(INDEX('Hours Worked'!$D$5:$BD$29,$A1213,$B1213)="",N(INDEX(Employees!$H$5:$H$29,$A1213)),INDEX('Hours Worked'!$D$5:$BD$29,$A1213,$B1213)))</f>
        <v/>
      </c>
      <c r="J1213" s="48">
        <f>IF(OR($G1213=0,INDEX(Employees!$O$5:$O$29,$A1213)&lt;&gt;"Yes"),0,IF(COUNTIF(Settings!$D$4:$D$9,"&lt;="&amp;$H1213)=0,0,INDEX(Settings!$E$4:$E$9,COUNTIF(Settings!$D$4:$D$9,"&lt;="&amp;$H1213))))</f>
        <v/>
      </c>
      <c r="K1213" s="48">
        <f>IF($G1213=0,0,IF(INDEX(Employees!$I$5:$I$29,$A1213)="Per pay period",(N(INDEX(Employees!$J$5:$J$29,$A1213))+$J1213)/Settings!$B$13,IF(INDEX(Employees!$I$5:$I$29,$A1213)="Per hour worked",N(INDEX(Employees!$K$5:$K$29,$A1213))*$I1213,IF(INDEX(Employees!$I$5:$I$29,$A1213)="Front-loaded",IF(OR($B1213=1,N($G1212)=0),N(INDEX(Employees!$J$5:$J$29,$A1213))+$J1213,0),0))))</f>
        <v/>
      </c>
      <c r="L1213" s="48">
        <f>IF($F1213=0,0,SUMIFS('Time Off Log'!$H$5:$H$504,'Time Off Log'!$A$5:$A$504,$C1213,'Time Off Log'!$B$5:$B$504,"PTO",'Time Off Log'!$E$5:$E$504,"Approved",'Time Off Log'!$C$5:$C$504,"&gt;="&amp;INDEX(Periods!$E$5:$E$57,$B1213),'Time Off Log'!$C$5:$C$504,"&lt;="&amp;INDEX(Periods!$F$5:$F$57,$B1213)))</f>
        <v/>
      </c>
      <c r="M1213" s="48">
        <f>IF($B1213=1,N(INDEX(Employees!$N$5:$N$29,$A1213)),P1212)</f>
        <v/>
      </c>
      <c r="N1213" s="48">
        <f>IF(INDEX(Employees!$L$5:$L$29,$A1213)="",K1213,MAX(0,MIN(K1213,INDEX(Employees!$L$5:$L$29,$A1213)-(M1213-L1213))))</f>
        <v/>
      </c>
      <c r="O1213" s="48">
        <f>K1213-N1213</f>
        <v/>
      </c>
      <c r="P1213" s="48">
        <f>M1213-L1213+N1213</f>
        <v/>
      </c>
      <c r="Q1213" s="48">
        <f>IF($G1213=0,0,IF(INDEX(Employees!$P$5:$P$29,$A1213)="Per pay period",(N(INDEX(Employees!$Q$5:$Q$29,$A1213)))/Settings!$B$13,IF(INDEX(Employees!$P$5:$P$29,$A1213)="Per hour worked",N(INDEX(Employees!$R$5:$R$29,$A1213))*$I1213,IF(INDEX(Employees!$P$5:$P$29,$A1213)="Front-loaded",IF(OR($B1213=1,N($G1212)=0),N(INDEX(Employees!$Q$5:$Q$29,$A1213)),0),0))))</f>
        <v/>
      </c>
      <c r="R1213" s="48">
        <f>IF($F1213=0,0,SUMIFS('Time Off Log'!$H$5:$H$504,'Time Off Log'!$A$5:$A$504,$C1213,'Time Off Log'!$B$5:$B$504,"Sick",'Time Off Log'!$E$5:$E$504,"Approved",'Time Off Log'!$C$5:$C$504,"&gt;="&amp;INDEX(Periods!$E$5:$E$57,$B1213),'Time Off Log'!$C$5:$C$504,"&lt;="&amp;INDEX(Periods!$F$5:$F$57,$B1213)))</f>
        <v/>
      </c>
      <c r="S1213" s="48">
        <f>IF($B1213=1,N(INDEX(Employees!$T$5:$T$29,$A1213)),V1212)</f>
        <v/>
      </c>
      <c r="T1213" s="48">
        <f>IF(INDEX(Employees!$S$5:$S$29,$A1213)="",Q1213,MAX(0,MIN(Q1213,INDEX(Employees!$S$5:$S$29,$A1213)-(S1213-R1213))))</f>
        <v/>
      </c>
      <c r="U1213" s="48">
        <f>Q1213-T1213</f>
        <v/>
      </c>
      <c r="V1213" s="48">
        <f>S1213-R1213+T1213</f>
        <v/>
      </c>
    </row>
    <row r="1214">
      <c r="A1214" s="47" t="n">
        <v>23</v>
      </c>
      <c r="B1214" s="47" t="n">
        <v>44</v>
      </c>
      <c r="C1214" s="48">
        <f>INDEX(Employees!$B$5:$B$29,$A1214)&amp;""</f>
        <v/>
      </c>
      <c r="D1214" s="49">
        <f>INDEX(Periods!$B$5:$B$57,$B1214)</f>
        <v/>
      </c>
      <c r="E1214" s="49">
        <f>INDEX(Periods!$C$5:$C$57,$B1214)</f>
        <v/>
      </c>
      <c r="F1214" s="47">
        <f>IF(AND($C1214&lt;&gt;"",INDEX(Periods!$D$5:$D$57,$B1214)=1),1,0)</f>
        <v/>
      </c>
      <c r="G1214" s="47">
        <f>IF($F1214=0,0,IF(AND(OR(INDEX(Employees!$D$5:$D$29,$A1214)="",$E1214&gt;=INDEX(Employees!$D$5:$D$29,$A1214)+N(INDEX(Employees!$U$5:$U$29,$A1214))),OR(INDEX(Employees!$E$5:$E$29,$A1214)="",$D1214&lt;=INDEX(Employees!$E$5:$E$29,$A1214))),1,0))</f>
        <v/>
      </c>
      <c r="H1214" s="47">
        <f>IF($G1214=0,0,IF(INDEX(Employees!$D$5:$D$29,$A1214)="",0,DATEDIF(INDEX(Employees!$D$5:$D$29,$A1214),$E1214,"y")))</f>
        <v/>
      </c>
      <c r="I1214" s="48">
        <f>IF($G1214=0,0,IF(INDEX('Hours Worked'!$D$5:$BD$29,$A1214,$B1214)="",N(INDEX(Employees!$H$5:$H$29,$A1214)),INDEX('Hours Worked'!$D$5:$BD$29,$A1214,$B1214)))</f>
        <v/>
      </c>
      <c r="J1214" s="48">
        <f>IF(OR($G1214=0,INDEX(Employees!$O$5:$O$29,$A1214)&lt;&gt;"Yes"),0,IF(COUNTIF(Settings!$D$4:$D$9,"&lt;="&amp;$H1214)=0,0,INDEX(Settings!$E$4:$E$9,COUNTIF(Settings!$D$4:$D$9,"&lt;="&amp;$H1214))))</f>
        <v/>
      </c>
      <c r="K1214" s="48">
        <f>IF($G1214=0,0,IF(INDEX(Employees!$I$5:$I$29,$A1214)="Per pay period",(N(INDEX(Employees!$J$5:$J$29,$A1214))+$J1214)/Settings!$B$13,IF(INDEX(Employees!$I$5:$I$29,$A1214)="Per hour worked",N(INDEX(Employees!$K$5:$K$29,$A1214))*$I1214,IF(INDEX(Employees!$I$5:$I$29,$A1214)="Front-loaded",IF(OR($B1214=1,N($G1213)=0),N(INDEX(Employees!$J$5:$J$29,$A1214))+$J1214,0),0))))</f>
        <v/>
      </c>
      <c r="L1214" s="48">
        <f>IF($F1214=0,0,SUMIFS('Time Off Log'!$H$5:$H$504,'Time Off Log'!$A$5:$A$504,$C1214,'Time Off Log'!$B$5:$B$504,"PTO",'Time Off Log'!$E$5:$E$504,"Approved",'Time Off Log'!$C$5:$C$504,"&gt;="&amp;INDEX(Periods!$E$5:$E$57,$B1214),'Time Off Log'!$C$5:$C$504,"&lt;="&amp;INDEX(Periods!$F$5:$F$57,$B1214)))</f>
        <v/>
      </c>
      <c r="M1214" s="48">
        <f>IF($B1214=1,N(INDEX(Employees!$N$5:$N$29,$A1214)),P1213)</f>
        <v/>
      </c>
      <c r="N1214" s="48">
        <f>IF(INDEX(Employees!$L$5:$L$29,$A1214)="",K1214,MAX(0,MIN(K1214,INDEX(Employees!$L$5:$L$29,$A1214)-(M1214-L1214))))</f>
        <v/>
      </c>
      <c r="O1214" s="48">
        <f>K1214-N1214</f>
        <v/>
      </c>
      <c r="P1214" s="48">
        <f>M1214-L1214+N1214</f>
        <v/>
      </c>
      <c r="Q1214" s="48">
        <f>IF($G1214=0,0,IF(INDEX(Employees!$P$5:$P$29,$A1214)="Per pay period",(N(INDEX(Employees!$Q$5:$Q$29,$A1214)))/Settings!$B$13,IF(INDEX(Employees!$P$5:$P$29,$A1214)="Per hour worked",N(INDEX(Employees!$R$5:$R$29,$A1214))*$I1214,IF(INDEX(Employees!$P$5:$P$29,$A1214)="Front-loaded",IF(OR($B1214=1,N($G1213)=0),N(INDEX(Employees!$Q$5:$Q$29,$A1214)),0),0))))</f>
        <v/>
      </c>
      <c r="R1214" s="48">
        <f>IF($F1214=0,0,SUMIFS('Time Off Log'!$H$5:$H$504,'Time Off Log'!$A$5:$A$504,$C1214,'Time Off Log'!$B$5:$B$504,"Sick",'Time Off Log'!$E$5:$E$504,"Approved",'Time Off Log'!$C$5:$C$504,"&gt;="&amp;INDEX(Periods!$E$5:$E$57,$B1214),'Time Off Log'!$C$5:$C$504,"&lt;="&amp;INDEX(Periods!$F$5:$F$57,$B1214)))</f>
        <v/>
      </c>
      <c r="S1214" s="48">
        <f>IF($B1214=1,N(INDEX(Employees!$T$5:$T$29,$A1214)),V1213)</f>
        <v/>
      </c>
      <c r="T1214" s="48">
        <f>IF(INDEX(Employees!$S$5:$S$29,$A1214)="",Q1214,MAX(0,MIN(Q1214,INDEX(Employees!$S$5:$S$29,$A1214)-(S1214-R1214))))</f>
        <v/>
      </c>
      <c r="U1214" s="48">
        <f>Q1214-T1214</f>
        <v/>
      </c>
      <c r="V1214" s="48">
        <f>S1214-R1214+T1214</f>
        <v/>
      </c>
    </row>
    <row r="1215">
      <c r="A1215" s="47" t="n">
        <v>23</v>
      </c>
      <c r="B1215" s="47" t="n">
        <v>45</v>
      </c>
      <c r="C1215" s="48">
        <f>INDEX(Employees!$B$5:$B$29,$A1215)&amp;""</f>
        <v/>
      </c>
      <c r="D1215" s="49">
        <f>INDEX(Periods!$B$5:$B$57,$B1215)</f>
        <v/>
      </c>
      <c r="E1215" s="49">
        <f>INDEX(Periods!$C$5:$C$57,$B1215)</f>
        <v/>
      </c>
      <c r="F1215" s="47">
        <f>IF(AND($C1215&lt;&gt;"",INDEX(Periods!$D$5:$D$57,$B1215)=1),1,0)</f>
        <v/>
      </c>
      <c r="G1215" s="47">
        <f>IF($F1215=0,0,IF(AND(OR(INDEX(Employees!$D$5:$D$29,$A1215)="",$E1215&gt;=INDEX(Employees!$D$5:$D$29,$A1215)+N(INDEX(Employees!$U$5:$U$29,$A1215))),OR(INDEX(Employees!$E$5:$E$29,$A1215)="",$D1215&lt;=INDEX(Employees!$E$5:$E$29,$A1215))),1,0))</f>
        <v/>
      </c>
      <c r="H1215" s="47">
        <f>IF($G1215=0,0,IF(INDEX(Employees!$D$5:$D$29,$A1215)="",0,DATEDIF(INDEX(Employees!$D$5:$D$29,$A1215),$E1215,"y")))</f>
        <v/>
      </c>
      <c r="I1215" s="48">
        <f>IF($G1215=0,0,IF(INDEX('Hours Worked'!$D$5:$BD$29,$A1215,$B1215)="",N(INDEX(Employees!$H$5:$H$29,$A1215)),INDEX('Hours Worked'!$D$5:$BD$29,$A1215,$B1215)))</f>
        <v/>
      </c>
      <c r="J1215" s="48">
        <f>IF(OR($G1215=0,INDEX(Employees!$O$5:$O$29,$A1215)&lt;&gt;"Yes"),0,IF(COUNTIF(Settings!$D$4:$D$9,"&lt;="&amp;$H1215)=0,0,INDEX(Settings!$E$4:$E$9,COUNTIF(Settings!$D$4:$D$9,"&lt;="&amp;$H1215))))</f>
        <v/>
      </c>
      <c r="K1215" s="48">
        <f>IF($G1215=0,0,IF(INDEX(Employees!$I$5:$I$29,$A1215)="Per pay period",(N(INDEX(Employees!$J$5:$J$29,$A1215))+$J1215)/Settings!$B$13,IF(INDEX(Employees!$I$5:$I$29,$A1215)="Per hour worked",N(INDEX(Employees!$K$5:$K$29,$A1215))*$I1215,IF(INDEX(Employees!$I$5:$I$29,$A1215)="Front-loaded",IF(OR($B1215=1,N($G1214)=0),N(INDEX(Employees!$J$5:$J$29,$A1215))+$J1215,0),0))))</f>
        <v/>
      </c>
      <c r="L1215" s="48">
        <f>IF($F1215=0,0,SUMIFS('Time Off Log'!$H$5:$H$504,'Time Off Log'!$A$5:$A$504,$C1215,'Time Off Log'!$B$5:$B$504,"PTO",'Time Off Log'!$E$5:$E$504,"Approved",'Time Off Log'!$C$5:$C$504,"&gt;="&amp;INDEX(Periods!$E$5:$E$57,$B1215),'Time Off Log'!$C$5:$C$504,"&lt;="&amp;INDEX(Periods!$F$5:$F$57,$B1215)))</f>
        <v/>
      </c>
      <c r="M1215" s="48">
        <f>IF($B1215=1,N(INDEX(Employees!$N$5:$N$29,$A1215)),P1214)</f>
        <v/>
      </c>
      <c r="N1215" s="48">
        <f>IF(INDEX(Employees!$L$5:$L$29,$A1215)="",K1215,MAX(0,MIN(K1215,INDEX(Employees!$L$5:$L$29,$A1215)-(M1215-L1215))))</f>
        <v/>
      </c>
      <c r="O1215" s="48">
        <f>K1215-N1215</f>
        <v/>
      </c>
      <c r="P1215" s="48">
        <f>M1215-L1215+N1215</f>
        <v/>
      </c>
      <c r="Q1215" s="48">
        <f>IF($G1215=0,0,IF(INDEX(Employees!$P$5:$P$29,$A1215)="Per pay period",(N(INDEX(Employees!$Q$5:$Q$29,$A1215)))/Settings!$B$13,IF(INDEX(Employees!$P$5:$P$29,$A1215)="Per hour worked",N(INDEX(Employees!$R$5:$R$29,$A1215))*$I1215,IF(INDEX(Employees!$P$5:$P$29,$A1215)="Front-loaded",IF(OR($B1215=1,N($G1214)=0),N(INDEX(Employees!$Q$5:$Q$29,$A1215)),0),0))))</f>
        <v/>
      </c>
      <c r="R1215" s="48">
        <f>IF($F1215=0,0,SUMIFS('Time Off Log'!$H$5:$H$504,'Time Off Log'!$A$5:$A$504,$C1215,'Time Off Log'!$B$5:$B$504,"Sick",'Time Off Log'!$E$5:$E$504,"Approved",'Time Off Log'!$C$5:$C$504,"&gt;="&amp;INDEX(Periods!$E$5:$E$57,$B1215),'Time Off Log'!$C$5:$C$504,"&lt;="&amp;INDEX(Periods!$F$5:$F$57,$B1215)))</f>
        <v/>
      </c>
      <c r="S1215" s="48">
        <f>IF($B1215=1,N(INDEX(Employees!$T$5:$T$29,$A1215)),V1214)</f>
        <v/>
      </c>
      <c r="T1215" s="48">
        <f>IF(INDEX(Employees!$S$5:$S$29,$A1215)="",Q1215,MAX(0,MIN(Q1215,INDEX(Employees!$S$5:$S$29,$A1215)-(S1215-R1215))))</f>
        <v/>
      </c>
      <c r="U1215" s="48">
        <f>Q1215-T1215</f>
        <v/>
      </c>
      <c r="V1215" s="48">
        <f>S1215-R1215+T1215</f>
        <v/>
      </c>
    </row>
    <row r="1216">
      <c r="A1216" s="47" t="n">
        <v>23</v>
      </c>
      <c r="B1216" s="47" t="n">
        <v>46</v>
      </c>
      <c r="C1216" s="48">
        <f>INDEX(Employees!$B$5:$B$29,$A1216)&amp;""</f>
        <v/>
      </c>
      <c r="D1216" s="49">
        <f>INDEX(Periods!$B$5:$B$57,$B1216)</f>
        <v/>
      </c>
      <c r="E1216" s="49">
        <f>INDEX(Periods!$C$5:$C$57,$B1216)</f>
        <v/>
      </c>
      <c r="F1216" s="47">
        <f>IF(AND($C1216&lt;&gt;"",INDEX(Periods!$D$5:$D$57,$B1216)=1),1,0)</f>
        <v/>
      </c>
      <c r="G1216" s="47">
        <f>IF($F1216=0,0,IF(AND(OR(INDEX(Employees!$D$5:$D$29,$A1216)="",$E1216&gt;=INDEX(Employees!$D$5:$D$29,$A1216)+N(INDEX(Employees!$U$5:$U$29,$A1216))),OR(INDEX(Employees!$E$5:$E$29,$A1216)="",$D1216&lt;=INDEX(Employees!$E$5:$E$29,$A1216))),1,0))</f>
        <v/>
      </c>
      <c r="H1216" s="47">
        <f>IF($G1216=0,0,IF(INDEX(Employees!$D$5:$D$29,$A1216)="",0,DATEDIF(INDEX(Employees!$D$5:$D$29,$A1216),$E1216,"y")))</f>
        <v/>
      </c>
      <c r="I1216" s="48">
        <f>IF($G1216=0,0,IF(INDEX('Hours Worked'!$D$5:$BD$29,$A1216,$B1216)="",N(INDEX(Employees!$H$5:$H$29,$A1216)),INDEX('Hours Worked'!$D$5:$BD$29,$A1216,$B1216)))</f>
        <v/>
      </c>
      <c r="J1216" s="48">
        <f>IF(OR($G1216=0,INDEX(Employees!$O$5:$O$29,$A1216)&lt;&gt;"Yes"),0,IF(COUNTIF(Settings!$D$4:$D$9,"&lt;="&amp;$H1216)=0,0,INDEX(Settings!$E$4:$E$9,COUNTIF(Settings!$D$4:$D$9,"&lt;="&amp;$H1216))))</f>
        <v/>
      </c>
      <c r="K1216" s="48">
        <f>IF($G1216=0,0,IF(INDEX(Employees!$I$5:$I$29,$A1216)="Per pay period",(N(INDEX(Employees!$J$5:$J$29,$A1216))+$J1216)/Settings!$B$13,IF(INDEX(Employees!$I$5:$I$29,$A1216)="Per hour worked",N(INDEX(Employees!$K$5:$K$29,$A1216))*$I1216,IF(INDEX(Employees!$I$5:$I$29,$A1216)="Front-loaded",IF(OR($B1216=1,N($G1215)=0),N(INDEX(Employees!$J$5:$J$29,$A1216))+$J1216,0),0))))</f>
        <v/>
      </c>
      <c r="L1216" s="48">
        <f>IF($F1216=0,0,SUMIFS('Time Off Log'!$H$5:$H$504,'Time Off Log'!$A$5:$A$504,$C1216,'Time Off Log'!$B$5:$B$504,"PTO",'Time Off Log'!$E$5:$E$504,"Approved",'Time Off Log'!$C$5:$C$504,"&gt;="&amp;INDEX(Periods!$E$5:$E$57,$B1216),'Time Off Log'!$C$5:$C$504,"&lt;="&amp;INDEX(Periods!$F$5:$F$57,$B1216)))</f>
        <v/>
      </c>
      <c r="M1216" s="48">
        <f>IF($B1216=1,N(INDEX(Employees!$N$5:$N$29,$A1216)),P1215)</f>
        <v/>
      </c>
      <c r="N1216" s="48">
        <f>IF(INDEX(Employees!$L$5:$L$29,$A1216)="",K1216,MAX(0,MIN(K1216,INDEX(Employees!$L$5:$L$29,$A1216)-(M1216-L1216))))</f>
        <v/>
      </c>
      <c r="O1216" s="48">
        <f>K1216-N1216</f>
        <v/>
      </c>
      <c r="P1216" s="48">
        <f>M1216-L1216+N1216</f>
        <v/>
      </c>
      <c r="Q1216" s="48">
        <f>IF($G1216=0,0,IF(INDEX(Employees!$P$5:$P$29,$A1216)="Per pay period",(N(INDEX(Employees!$Q$5:$Q$29,$A1216)))/Settings!$B$13,IF(INDEX(Employees!$P$5:$P$29,$A1216)="Per hour worked",N(INDEX(Employees!$R$5:$R$29,$A1216))*$I1216,IF(INDEX(Employees!$P$5:$P$29,$A1216)="Front-loaded",IF(OR($B1216=1,N($G1215)=0),N(INDEX(Employees!$Q$5:$Q$29,$A1216)),0),0))))</f>
        <v/>
      </c>
      <c r="R1216" s="48">
        <f>IF($F1216=0,0,SUMIFS('Time Off Log'!$H$5:$H$504,'Time Off Log'!$A$5:$A$504,$C1216,'Time Off Log'!$B$5:$B$504,"Sick",'Time Off Log'!$E$5:$E$504,"Approved",'Time Off Log'!$C$5:$C$504,"&gt;="&amp;INDEX(Periods!$E$5:$E$57,$B1216),'Time Off Log'!$C$5:$C$504,"&lt;="&amp;INDEX(Periods!$F$5:$F$57,$B1216)))</f>
        <v/>
      </c>
      <c r="S1216" s="48">
        <f>IF($B1216=1,N(INDEX(Employees!$T$5:$T$29,$A1216)),V1215)</f>
        <v/>
      </c>
      <c r="T1216" s="48">
        <f>IF(INDEX(Employees!$S$5:$S$29,$A1216)="",Q1216,MAX(0,MIN(Q1216,INDEX(Employees!$S$5:$S$29,$A1216)-(S1216-R1216))))</f>
        <v/>
      </c>
      <c r="U1216" s="48">
        <f>Q1216-T1216</f>
        <v/>
      </c>
      <c r="V1216" s="48">
        <f>S1216-R1216+T1216</f>
        <v/>
      </c>
    </row>
    <row r="1217">
      <c r="A1217" s="47" t="n">
        <v>23</v>
      </c>
      <c r="B1217" s="47" t="n">
        <v>47</v>
      </c>
      <c r="C1217" s="48">
        <f>INDEX(Employees!$B$5:$B$29,$A1217)&amp;""</f>
        <v/>
      </c>
      <c r="D1217" s="49">
        <f>INDEX(Periods!$B$5:$B$57,$B1217)</f>
        <v/>
      </c>
      <c r="E1217" s="49">
        <f>INDEX(Periods!$C$5:$C$57,$B1217)</f>
        <v/>
      </c>
      <c r="F1217" s="47">
        <f>IF(AND($C1217&lt;&gt;"",INDEX(Periods!$D$5:$D$57,$B1217)=1),1,0)</f>
        <v/>
      </c>
      <c r="G1217" s="47">
        <f>IF($F1217=0,0,IF(AND(OR(INDEX(Employees!$D$5:$D$29,$A1217)="",$E1217&gt;=INDEX(Employees!$D$5:$D$29,$A1217)+N(INDEX(Employees!$U$5:$U$29,$A1217))),OR(INDEX(Employees!$E$5:$E$29,$A1217)="",$D1217&lt;=INDEX(Employees!$E$5:$E$29,$A1217))),1,0))</f>
        <v/>
      </c>
      <c r="H1217" s="47">
        <f>IF($G1217=0,0,IF(INDEX(Employees!$D$5:$D$29,$A1217)="",0,DATEDIF(INDEX(Employees!$D$5:$D$29,$A1217),$E1217,"y")))</f>
        <v/>
      </c>
      <c r="I1217" s="48">
        <f>IF($G1217=0,0,IF(INDEX('Hours Worked'!$D$5:$BD$29,$A1217,$B1217)="",N(INDEX(Employees!$H$5:$H$29,$A1217)),INDEX('Hours Worked'!$D$5:$BD$29,$A1217,$B1217)))</f>
        <v/>
      </c>
      <c r="J1217" s="48">
        <f>IF(OR($G1217=0,INDEX(Employees!$O$5:$O$29,$A1217)&lt;&gt;"Yes"),0,IF(COUNTIF(Settings!$D$4:$D$9,"&lt;="&amp;$H1217)=0,0,INDEX(Settings!$E$4:$E$9,COUNTIF(Settings!$D$4:$D$9,"&lt;="&amp;$H1217))))</f>
        <v/>
      </c>
      <c r="K1217" s="48">
        <f>IF($G1217=0,0,IF(INDEX(Employees!$I$5:$I$29,$A1217)="Per pay period",(N(INDEX(Employees!$J$5:$J$29,$A1217))+$J1217)/Settings!$B$13,IF(INDEX(Employees!$I$5:$I$29,$A1217)="Per hour worked",N(INDEX(Employees!$K$5:$K$29,$A1217))*$I1217,IF(INDEX(Employees!$I$5:$I$29,$A1217)="Front-loaded",IF(OR($B1217=1,N($G1216)=0),N(INDEX(Employees!$J$5:$J$29,$A1217))+$J1217,0),0))))</f>
        <v/>
      </c>
      <c r="L1217" s="48">
        <f>IF($F1217=0,0,SUMIFS('Time Off Log'!$H$5:$H$504,'Time Off Log'!$A$5:$A$504,$C1217,'Time Off Log'!$B$5:$B$504,"PTO",'Time Off Log'!$E$5:$E$504,"Approved",'Time Off Log'!$C$5:$C$504,"&gt;="&amp;INDEX(Periods!$E$5:$E$57,$B1217),'Time Off Log'!$C$5:$C$504,"&lt;="&amp;INDEX(Periods!$F$5:$F$57,$B1217)))</f>
        <v/>
      </c>
      <c r="M1217" s="48">
        <f>IF($B1217=1,N(INDEX(Employees!$N$5:$N$29,$A1217)),P1216)</f>
        <v/>
      </c>
      <c r="N1217" s="48">
        <f>IF(INDEX(Employees!$L$5:$L$29,$A1217)="",K1217,MAX(0,MIN(K1217,INDEX(Employees!$L$5:$L$29,$A1217)-(M1217-L1217))))</f>
        <v/>
      </c>
      <c r="O1217" s="48">
        <f>K1217-N1217</f>
        <v/>
      </c>
      <c r="P1217" s="48">
        <f>M1217-L1217+N1217</f>
        <v/>
      </c>
      <c r="Q1217" s="48">
        <f>IF($G1217=0,0,IF(INDEX(Employees!$P$5:$P$29,$A1217)="Per pay period",(N(INDEX(Employees!$Q$5:$Q$29,$A1217)))/Settings!$B$13,IF(INDEX(Employees!$P$5:$P$29,$A1217)="Per hour worked",N(INDEX(Employees!$R$5:$R$29,$A1217))*$I1217,IF(INDEX(Employees!$P$5:$P$29,$A1217)="Front-loaded",IF(OR($B1217=1,N($G1216)=0),N(INDEX(Employees!$Q$5:$Q$29,$A1217)),0),0))))</f>
        <v/>
      </c>
      <c r="R1217" s="48">
        <f>IF($F1217=0,0,SUMIFS('Time Off Log'!$H$5:$H$504,'Time Off Log'!$A$5:$A$504,$C1217,'Time Off Log'!$B$5:$B$504,"Sick",'Time Off Log'!$E$5:$E$504,"Approved",'Time Off Log'!$C$5:$C$504,"&gt;="&amp;INDEX(Periods!$E$5:$E$57,$B1217),'Time Off Log'!$C$5:$C$504,"&lt;="&amp;INDEX(Periods!$F$5:$F$57,$B1217)))</f>
        <v/>
      </c>
      <c r="S1217" s="48">
        <f>IF($B1217=1,N(INDEX(Employees!$T$5:$T$29,$A1217)),V1216)</f>
        <v/>
      </c>
      <c r="T1217" s="48">
        <f>IF(INDEX(Employees!$S$5:$S$29,$A1217)="",Q1217,MAX(0,MIN(Q1217,INDEX(Employees!$S$5:$S$29,$A1217)-(S1217-R1217))))</f>
        <v/>
      </c>
      <c r="U1217" s="48">
        <f>Q1217-T1217</f>
        <v/>
      </c>
      <c r="V1217" s="48">
        <f>S1217-R1217+T1217</f>
        <v/>
      </c>
    </row>
    <row r="1218">
      <c r="A1218" s="47" t="n">
        <v>23</v>
      </c>
      <c r="B1218" s="47" t="n">
        <v>48</v>
      </c>
      <c r="C1218" s="48">
        <f>INDEX(Employees!$B$5:$B$29,$A1218)&amp;""</f>
        <v/>
      </c>
      <c r="D1218" s="49">
        <f>INDEX(Periods!$B$5:$B$57,$B1218)</f>
        <v/>
      </c>
      <c r="E1218" s="49">
        <f>INDEX(Periods!$C$5:$C$57,$B1218)</f>
        <v/>
      </c>
      <c r="F1218" s="47">
        <f>IF(AND($C1218&lt;&gt;"",INDEX(Periods!$D$5:$D$57,$B1218)=1),1,0)</f>
        <v/>
      </c>
      <c r="G1218" s="47">
        <f>IF($F1218=0,0,IF(AND(OR(INDEX(Employees!$D$5:$D$29,$A1218)="",$E1218&gt;=INDEX(Employees!$D$5:$D$29,$A1218)+N(INDEX(Employees!$U$5:$U$29,$A1218))),OR(INDEX(Employees!$E$5:$E$29,$A1218)="",$D1218&lt;=INDEX(Employees!$E$5:$E$29,$A1218))),1,0))</f>
        <v/>
      </c>
      <c r="H1218" s="47">
        <f>IF($G1218=0,0,IF(INDEX(Employees!$D$5:$D$29,$A1218)="",0,DATEDIF(INDEX(Employees!$D$5:$D$29,$A1218),$E1218,"y")))</f>
        <v/>
      </c>
      <c r="I1218" s="48">
        <f>IF($G1218=0,0,IF(INDEX('Hours Worked'!$D$5:$BD$29,$A1218,$B1218)="",N(INDEX(Employees!$H$5:$H$29,$A1218)),INDEX('Hours Worked'!$D$5:$BD$29,$A1218,$B1218)))</f>
        <v/>
      </c>
      <c r="J1218" s="48">
        <f>IF(OR($G1218=0,INDEX(Employees!$O$5:$O$29,$A1218)&lt;&gt;"Yes"),0,IF(COUNTIF(Settings!$D$4:$D$9,"&lt;="&amp;$H1218)=0,0,INDEX(Settings!$E$4:$E$9,COUNTIF(Settings!$D$4:$D$9,"&lt;="&amp;$H1218))))</f>
        <v/>
      </c>
      <c r="K1218" s="48">
        <f>IF($G1218=0,0,IF(INDEX(Employees!$I$5:$I$29,$A1218)="Per pay period",(N(INDEX(Employees!$J$5:$J$29,$A1218))+$J1218)/Settings!$B$13,IF(INDEX(Employees!$I$5:$I$29,$A1218)="Per hour worked",N(INDEX(Employees!$K$5:$K$29,$A1218))*$I1218,IF(INDEX(Employees!$I$5:$I$29,$A1218)="Front-loaded",IF(OR($B1218=1,N($G1217)=0),N(INDEX(Employees!$J$5:$J$29,$A1218))+$J1218,0),0))))</f>
        <v/>
      </c>
      <c r="L1218" s="48">
        <f>IF($F1218=0,0,SUMIFS('Time Off Log'!$H$5:$H$504,'Time Off Log'!$A$5:$A$504,$C1218,'Time Off Log'!$B$5:$B$504,"PTO",'Time Off Log'!$E$5:$E$504,"Approved",'Time Off Log'!$C$5:$C$504,"&gt;="&amp;INDEX(Periods!$E$5:$E$57,$B1218),'Time Off Log'!$C$5:$C$504,"&lt;="&amp;INDEX(Periods!$F$5:$F$57,$B1218)))</f>
        <v/>
      </c>
      <c r="M1218" s="48">
        <f>IF($B1218=1,N(INDEX(Employees!$N$5:$N$29,$A1218)),P1217)</f>
        <v/>
      </c>
      <c r="N1218" s="48">
        <f>IF(INDEX(Employees!$L$5:$L$29,$A1218)="",K1218,MAX(0,MIN(K1218,INDEX(Employees!$L$5:$L$29,$A1218)-(M1218-L1218))))</f>
        <v/>
      </c>
      <c r="O1218" s="48">
        <f>K1218-N1218</f>
        <v/>
      </c>
      <c r="P1218" s="48">
        <f>M1218-L1218+N1218</f>
        <v/>
      </c>
      <c r="Q1218" s="48">
        <f>IF($G1218=0,0,IF(INDEX(Employees!$P$5:$P$29,$A1218)="Per pay period",(N(INDEX(Employees!$Q$5:$Q$29,$A1218)))/Settings!$B$13,IF(INDEX(Employees!$P$5:$P$29,$A1218)="Per hour worked",N(INDEX(Employees!$R$5:$R$29,$A1218))*$I1218,IF(INDEX(Employees!$P$5:$P$29,$A1218)="Front-loaded",IF(OR($B1218=1,N($G1217)=0),N(INDEX(Employees!$Q$5:$Q$29,$A1218)),0),0))))</f>
        <v/>
      </c>
      <c r="R1218" s="48">
        <f>IF($F1218=0,0,SUMIFS('Time Off Log'!$H$5:$H$504,'Time Off Log'!$A$5:$A$504,$C1218,'Time Off Log'!$B$5:$B$504,"Sick",'Time Off Log'!$E$5:$E$504,"Approved",'Time Off Log'!$C$5:$C$504,"&gt;="&amp;INDEX(Periods!$E$5:$E$57,$B1218),'Time Off Log'!$C$5:$C$504,"&lt;="&amp;INDEX(Periods!$F$5:$F$57,$B1218)))</f>
        <v/>
      </c>
      <c r="S1218" s="48">
        <f>IF($B1218=1,N(INDEX(Employees!$T$5:$T$29,$A1218)),V1217)</f>
        <v/>
      </c>
      <c r="T1218" s="48">
        <f>IF(INDEX(Employees!$S$5:$S$29,$A1218)="",Q1218,MAX(0,MIN(Q1218,INDEX(Employees!$S$5:$S$29,$A1218)-(S1218-R1218))))</f>
        <v/>
      </c>
      <c r="U1218" s="48">
        <f>Q1218-T1218</f>
        <v/>
      </c>
      <c r="V1218" s="48">
        <f>S1218-R1218+T1218</f>
        <v/>
      </c>
    </row>
    <row r="1219">
      <c r="A1219" s="47" t="n">
        <v>23</v>
      </c>
      <c r="B1219" s="47" t="n">
        <v>49</v>
      </c>
      <c r="C1219" s="48">
        <f>INDEX(Employees!$B$5:$B$29,$A1219)&amp;""</f>
        <v/>
      </c>
      <c r="D1219" s="49">
        <f>INDEX(Periods!$B$5:$B$57,$B1219)</f>
        <v/>
      </c>
      <c r="E1219" s="49">
        <f>INDEX(Periods!$C$5:$C$57,$B1219)</f>
        <v/>
      </c>
      <c r="F1219" s="47">
        <f>IF(AND($C1219&lt;&gt;"",INDEX(Periods!$D$5:$D$57,$B1219)=1),1,0)</f>
        <v/>
      </c>
      <c r="G1219" s="47">
        <f>IF($F1219=0,0,IF(AND(OR(INDEX(Employees!$D$5:$D$29,$A1219)="",$E1219&gt;=INDEX(Employees!$D$5:$D$29,$A1219)+N(INDEX(Employees!$U$5:$U$29,$A1219))),OR(INDEX(Employees!$E$5:$E$29,$A1219)="",$D1219&lt;=INDEX(Employees!$E$5:$E$29,$A1219))),1,0))</f>
        <v/>
      </c>
      <c r="H1219" s="47">
        <f>IF($G1219=0,0,IF(INDEX(Employees!$D$5:$D$29,$A1219)="",0,DATEDIF(INDEX(Employees!$D$5:$D$29,$A1219),$E1219,"y")))</f>
        <v/>
      </c>
      <c r="I1219" s="48">
        <f>IF($G1219=0,0,IF(INDEX('Hours Worked'!$D$5:$BD$29,$A1219,$B1219)="",N(INDEX(Employees!$H$5:$H$29,$A1219)),INDEX('Hours Worked'!$D$5:$BD$29,$A1219,$B1219)))</f>
        <v/>
      </c>
      <c r="J1219" s="48">
        <f>IF(OR($G1219=0,INDEX(Employees!$O$5:$O$29,$A1219)&lt;&gt;"Yes"),0,IF(COUNTIF(Settings!$D$4:$D$9,"&lt;="&amp;$H1219)=0,0,INDEX(Settings!$E$4:$E$9,COUNTIF(Settings!$D$4:$D$9,"&lt;="&amp;$H1219))))</f>
        <v/>
      </c>
      <c r="K1219" s="48">
        <f>IF($G1219=0,0,IF(INDEX(Employees!$I$5:$I$29,$A1219)="Per pay period",(N(INDEX(Employees!$J$5:$J$29,$A1219))+$J1219)/Settings!$B$13,IF(INDEX(Employees!$I$5:$I$29,$A1219)="Per hour worked",N(INDEX(Employees!$K$5:$K$29,$A1219))*$I1219,IF(INDEX(Employees!$I$5:$I$29,$A1219)="Front-loaded",IF(OR($B1219=1,N($G1218)=0),N(INDEX(Employees!$J$5:$J$29,$A1219))+$J1219,0),0))))</f>
        <v/>
      </c>
      <c r="L1219" s="48">
        <f>IF($F1219=0,0,SUMIFS('Time Off Log'!$H$5:$H$504,'Time Off Log'!$A$5:$A$504,$C1219,'Time Off Log'!$B$5:$B$504,"PTO",'Time Off Log'!$E$5:$E$504,"Approved",'Time Off Log'!$C$5:$C$504,"&gt;="&amp;INDEX(Periods!$E$5:$E$57,$B1219),'Time Off Log'!$C$5:$C$504,"&lt;="&amp;INDEX(Periods!$F$5:$F$57,$B1219)))</f>
        <v/>
      </c>
      <c r="M1219" s="48">
        <f>IF($B1219=1,N(INDEX(Employees!$N$5:$N$29,$A1219)),P1218)</f>
        <v/>
      </c>
      <c r="N1219" s="48">
        <f>IF(INDEX(Employees!$L$5:$L$29,$A1219)="",K1219,MAX(0,MIN(K1219,INDEX(Employees!$L$5:$L$29,$A1219)-(M1219-L1219))))</f>
        <v/>
      </c>
      <c r="O1219" s="48">
        <f>K1219-N1219</f>
        <v/>
      </c>
      <c r="P1219" s="48">
        <f>M1219-L1219+N1219</f>
        <v/>
      </c>
      <c r="Q1219" s="48">
        <f>IF($G1219=0,0,IF(INDEX(Employees!$P$5:$P$29,$A1219)="Per pay period",(N(INDEX(Employees!$Q$5:$Q$29,$A1219)))/Settings!$B$13,IF(INDEX(Employees!$P$5:$P$29,$A1219)="Per hour worked",N(INDEX(Employees!$R$5:$R$29,$A1219))*$I1219,IF(INDEX(Employees!$P$5:$P$29,$A1219)="Front-loaded",IF(OR($B1219=1,N($G1218)=0),N(INDEX(Employees!$Q$5:$Q$29,$A1219)),0),0))))</f>
        <v/>
      </c>
      <c r="R1219" s="48">
        <f>IF($F1219=0,0,SUMIFS('Time Off Log'!$H$5:$H$504,'Time Off Log'!$A$5:$A$504,$C1219,'Time Off Log'!$B$5:$B$504,"Sick",'Time Off Log'!$E$5:$E$504,"Approved",'Time Off Log'!$C$5:$C$504,"&gt;="&amp;INDEX(Periods!$E$5:$E$57,$B1219),'Time Off Log'!$C$5:$C$504,"&lt;="&amp;INDEX(Periods!$F$5:$F$57,$B1219)))</f>
        <v/>
      </c>
      <c r="S1219" s="48">
        <f>IF($B1219=1,N(INDEX(Employees!$T$5:$T$29,$A1219)),V1218)</f>
        <v/>
      </c>
      <c r="T1219" s="48">
        <f>IF(INDEX(Employees!$S$5:$S$29,$A1219)="",Q1219,MAX(0,MIN(Q1219,INDEX(Employees!$S$5:$S$29,$A1219)-(S1219-R1219))))</f>
        <v/>
      </c>
      <c r="U1219" s="48">
        <f>Q1219-T1219</f>
        <v/>
      </c>
      <c r="V1219" s="48">
        <f>S1219-R1219+T1219</f>
        <v/>
      </c>
    </row>
    <row r="1220">
      <c r="A1220" s="47" t="n">
        <v>23</v>
      </c>
      <c r="B1220" s="47" t="n">
        <v>50</v>
      </c>
      <c r="C1220" s="48">
        <f>INDEX(Employees!$B$5:$B$29,$A1220)&amp;""</f>
        <v/>
      </c>
      <c r="D1220" s="49">
        <f>INDEX(Periods!$B$5:$B$57,$B1220)</f>
        <v/>
      </c>
      <c r="E1220" s="49">
        <f>INDEX(Periods!$C$5:$C$57,$B1220)</f>
        <v/>
      </c>
      <c r="F1220" s="47">
        <f>IF(AND($C1220&lt;&gt;"",INDEX(Periods!$D$5:$D$57,$B1220)=1),1,0)</f>
        <v/>
      </c>
      <c r="G1220" s="47">
        <f>IF($F1220=0,0,IF(AND(OR(INDEX(Employees!$D$5:$D$29,$A1220)="",$E1220&gt;=INDEX(Employees!$D$5:$D$29,$A1220)+N(INDEX(Employees!$U$5:$U$29,$A1220))),OR(INDEX(Employees!$E$5:$E$29,$A1220)="",$D1220&lt;=INDEX(Employees!$E$5:$E$29,$A1220))),1,0))</f>
        <v/>
      </c>
      <c r="H1220" s="47">
        <f>IF($G1220=0,0,IF(INDEX(Employees!$D$5:$D$29,$A1220)="",0,DATEDIF(INDEX(Employees!$D$5:$D$29,$A1220),$E1220,"y")))</f>
        <v/>
      </c>
      <c r="I1220" s="48">
        <f>IF($G1220=0,0,IF(INDEX('Hours Worked'!$D$5:$BD$29,$A1220,$B1220)="",N(INDEX(Employees!$H$5:$H$29,$A1220)),INDEX('Hours Worked'!$D$5:$BD$29,$A1220,$B1220)))</f>
        <v/>
      </c>
      <c r="J1220" s="48">
        <f>IF(OR($G1220=0,INDEX(Employees!$O$5:$O$29,$A1220)&lt;&gt;"Yes"),0,IF(COUNTIF(Settings!$D$4:$D$9,"&lt;="&amp;$H1220)=0,0,INDEX(Settings!$E$4:$E$9,COUNTIF(Settings!$D$4:$D$9,"&lt;="&amp;$H1220))))</f>
        <v/>
      </c>
      <c r="K1220" s="48">
        <f>IF($G1220=0,0,IF(INDEX(Employees!$I$5:$I$29,$A1220)="Per pay period",(N(INDEX(Employees!$J$5:$J$29,$A1220))+$J1220)/Settings!$B$13,IF(INDEX(Employees!$I$5:$I$29,$A1220)="Per hour worked",N(INDEX(Employees!$K$5:$K$29,$A1220))*$I1220,IF(INDEX(Employees!$I$5:$I$29,$A1220)="Front-loaded",IF(OR($B1220=1,N($G1219)=0),N(INDEX(Employees!$J$5:$J$29,$A1220))+$J1220,0),0))))</f>
        <v/>
      </c>
      <c r="L1220" s="48">
        <f>IF($F1220=0,0,SUMIFS('Time Off Log'!$H$5:$H$504,'Time Off Log'!$A$5:$A$504,$C1220,'Time Off Log'!$B$5:$B$504,"PTO",'Time Off Log'!$E$5:$E$504,"Approved",'Time Off Log'!$C$5:$C$504,"&gt;="&amp;INDEX(Periods!$E$5:$E$57,$B1220),'Time Off Log'!$C$5:$C$504,"&lt;="&amp;INDEX(Periods!$F$5:$F$57,$B1220)))</f>
        <v/>
      </c>
      <c r="M1220" s="48">
        <f>IF($B1220=1,N(INDEX(Employees!$N$5:$N$29,$A1220)),P1219)</f>
        <v/>
      </c>
      <c r="N1220" s="48">
        <f>IF(INDEX(Employees!$L$5:$L$29,$A1220)="",K1220,MAX(0,MIN(K1220,INDEX(Employees!$L$5:$L$29,$A1220)-(M1220-L1220))))</f>
        <v/>
      </c>
      <c r="O1220" s="48">
        <f>K1220-N1220</f>
        <v/>
      </c>
      <c r="P1220" s="48">
        <f>M1220-L1220+N1220</f>
        <v/>
      </c>
      <c r="Q1220" s="48">
        <f>IF($G1220=0,0,IF(INDEX(Employees!$P$5:$P$29,$A1220)="Per pay period",(N(INDEX(Employees!$Q$5:$Q$29,$A1220)))/Settings!$B$13,IF(INDEX(Employees!$P$5:$P$29,$A1220)="Per hour worked",N(INDEX(Employees!$R$5:$R$29,$A1220))*$I1220,IF(INDEX(Employees!$P$5:$P$29,$A1220)="Front-loaded",IF(OR($B1220=1,N($G1219)=0),N(INDEX(Employees!$Q$5:$Q$29,$A1220)),0),0))))</f>
        <v/>
      </c>
      <c r="R1220" s="48">
        <f>IF($F1220=0,0,SUMIFS('Time Off Log'!$H$5:$H$504,'Time Off Log'!$A$5:$A$504,$C1220,'Time Off Log'!$B$5:$B$504,"Sick",'Time Off Log'!$E$5:$E$504,"Approved",'Time Off Log'!$C$5:$C$504,"&gt;="&amp;INDEX(Periods!$E$5:$E$57,$B1220),'Time Off Log'!$C$5:$C$504,"&lt;="&amp;INDEX(Periods!$F$5:$F$57,$B1220)))</f>
        <v/>
      </c>
      <c r="S1220" s="48">
        <f>IF($B1220=1,N(INDEX(Employees!$T$5:$T$29,$A1220)),V1219)</f>
        <v/>
      </c>
      <c r="T1220" s="48">
        <f>IF(INDEX(Employees!$S$5:$S$29,$A1220)="",Q1220,MAX(0,MIN(Q1220,INDEX(Employees!$S$5:$S$29,$A1220)-(S1220-R1220))))</f>
        <v/>
      </c>
      <c r="U1220" s="48">
        <f>Q1220-T1220</f>
        <v/>
      </c>
      <c r="V1220" s="48">
        <f>S1220-R1220+T1220</f>
        <v/>
      </c>
    </row>
    <row r="1221">
      <c r="A1221" s="47" t="n">
        <v>23</v>
      </c>
      <c r="B1221" s="47" t="n">
        <v>51</v>
      </c>
      <c r="C1221" s="48">
        <f>INDEX(Employees!$B$5:$B$29,$A1221)&amp;""</f>
        <v/>
      </c>
      <c r="D1221" s="49">
        <f>INDEX(Periods!$B$5:$B$57,$B1221)</f>
        <v/>
      </c>
      <c r="E1221" s="49">
        <f>INDEX(Periods!$C$5:$C$57,$B1221)</f>
        <v/>
      </c>
      <c r="F1221" s="47">
        <f>IF(AND($C1221&lt;&gt;"",INDEX(Periods!$D$5:$D$57,$B1221)=1),1,0)</f>
        <v/>
      </c>
      <c r="G1221" s="47">
        <f>IF($F1221=0,0,IF(AND(OR(INDEX(Employees!$D$5:$D$29,$A1221)="",$E1221&gt;=INDEX(Employees!$D$5:$D$29,$A1221)+N(INDEX(Employees!$U$5:$U$29,$A1221))),OR(INDEX(Employees!$E$5:$E$29,$A1221)="",$D1221&lt;=INDEX(Employees!$E$5:$E$29,$A1221))),1,0))</f>
        <v/>
      </c>
      <c r="H1221" s="47">
        <f>IF($G1221=0,0,IF(INDEX(Employees!$D$5:$D$29,$A1221)="",0,DATEDIF(INDEX(Employees!$D$5:$D$29,$A1221),$E1221,"y")))</f>
        <v/>
      </c>
      <c r="I1221" s="48">
        <f>IF($G1221=0,0,IF(INDEX('Hours Worked'!$D$5:$BD$29,$A1221,$B1221)="",N(INDEX(Employees!$H$5:$H$29,$A1221)),INDEX('Hours Worked'!$D$5:$BD$29,$A1221,$B1221)))</f>
        <v/>
      </c>
      <c r="J1221" s="48">
        <f>IF(OR($G1221=0,INDEX(Employees!$O$5:$O$29,$A1221)&lt;&gt;"Yes"),0,IF(COUNTIF(Settings!$D$4:$D$9,"&lt;="&amp;$H1221)=0,0,INDEX(Settings!$E$4:$E$9,COUNTIF(Settings!$D$4:$D$9,"&lt;="&amp;$H1221))))</f>
        <v/>
      </c>
      <c r="K1221" s="48">
        <f>IF($G1221=0,0,IF(INDEX(Employees!$I$5:$I$29,$A1221)="Per pay period",(N(INDEX(Employees!$J$5:$J$29,$A1221))+$J1221)/Settings!$B$13,IF(INDEX(Employees!$I$5:$I$29,$A1221)="Per hour worked",N(INDEX(Employees!$K$5:$K$29,$A1221))*$I1221,IF(INDEX(Employees!$I$5:$I$29,$A1221)="Front-loaded",IF(OR($B1221=1,N($G1220)=0),N(INDEX(Employees!$J$5:$J$29,$A1221))+$J1221,0),0))))</f>
        <v/>
      </c>
      <c r="L1221" s="48">
        <f>IF($F1221=0,0,SUMIFS('Time Off Log'!$H$5:$H$504,'Time Off Log'!$A$5:$A$504,$C1221,'Time Off Log'!$B$5:$B$504,"PTO",'Time Off Log'!$E$5:$E$504,"Approved",'Time Off Log'!$C$5:$C$504,"&gt;="&amp;INDEX(Periods!$E$5:$E$57,$B1221),'Time Off Log'!$C$5:$C$504,"&lt;="&amp;INDEX(Periods!$F$5:$F$57,$B1221)))</f>
        <v/>
      </c>
      <c r="M1221" s="48">
        <f>IF($B1221=1,N(INDEX(Employees!$N$5:$N$29,$A1221)),P1220)</f>
        <v/>
      </c>
      <c r="N1221" s="48">
        <f>IF(INDEX(Employees!$L$5:$L$29,$A1221)="",K1221,MAX(0,MIN(K1221,INDEX(Employees!$L$5:$L$29,$A1221)-(M1221-L1221))))</f>
        <v/>
      </c>
      <c r="O1221" s="48">
        <f>K1221-N1221</f>
        <v/>
      </c>
      <c r="P1221" s="48">
        <f>M1221-L1221+N1221</f>
        <v/>
      </c>
      <c r="Q1221" s="48">
        <f>IF($G1221=0,0,IF(INDEX(Employees!$P$5:$P$29,$A1221)="Per pay period",(N(INDEX(Employees!$Q$5:$Q$29,$A1221)))/Settings!$B$13,IF(INDEX(Employees!$P$5:$P$29,$A1221)="Per hour worked",N(INDEX(Employees!$R$5:$R$29,$A1221))*$I1221,IF(INDEX(Employees!$P$5:$P$29,$A1221)="Front-loaded",IF(OR($B1221=1,N($G1220)=0),N(INDEX(Employees!$Q$5:$Q$29,$A1221)),0),0))))</f>
        <v/>
      </c>
      <c r="R1221" s="48">
        <f>IF($F1221=0,0,SUMIFS('Time Off Log'!$H$5:$H$504,'Time Off Log'!$A$5:$A$504,$C1221,'Time Off Log'!$B$5:$B$504,"Sick",'Time Off Log'!$E$5:$E$504,"Approved",'Time Off Log'!$C$5:$C$504,"&gt;="&amp;INDEX(Periods!$E$5:$E$57,$B1221),'Time Off Log'!$C$5:$C$504,"&lt;="&amp;INDEX(Periods!$F$5:$F$57,$B1221)))</f>
        <v/>
      </c>
      <c r="S1221" s="48">
        <f>IF($B1221=1,N(INDEX(Employees!$T$5:$T$29,$A1221)),V1220)</f>
        <v/>
      </c>
      <c r="T1221" s="48">
        <f>IF(INDEX(Employees!$S$5:$S$29,$A1221)="",Q1221,MAX(0,MIN(Q1221,INDEX(Employees!$S$5:$S$29,$A1221)-(S1221-R1221))))</f>
        <v/>
      </c>
      <c r="U1221" s="48">
        <f>Q1221-T1221</f>
        <v/>
      </c>
      <c r="V1221" s="48">
        <f>S1221-R1221+T1221</f>
        <v/>
      </c>
    </row>
    <row r="1222">
      <c r="A1222" s="47" t="n">
        <v>23</v>
      </c>
      <c r="B1222" s="47" t="n">
        <v>52</v>
      </c>
      <c r="C1222" s="48">
        <f>INDEX(Employees!$B$5:$B$29,$A1222)&amp;""</f>
        <v/>
      </c>
      <c r="D1222" s="49">
        <f>INDEX(Periods!$B$5:$B$57,$B1222)</f>
        <v/>
      </c>
      <c r="E1222" s="49">
        <f>INDEX(Periods!$C$5:$C$57,$B1222)</f>
        <v/>
      </c>
      <c r="F1222" s="47">
        <f>IF(AND($C1222&lt;&gt;"",INDEX(Periods!$D$5:$D$57,$B1222)=1),1,0)</f>
        <v/>
      </c>
      <c r="G1222" s="47">
        <f>IF($F1222=0,0,IF(AND(OR(INDEX(Employees!$D$5:$D$29,$A1222)="",$E1222&gt;=INDEX(Employees!$D$5:$D$29,$A1222)+N(INDEX(Employees!$U$5:$U$29,$A1222))),OR(INDEX(Employees!$E$5:$E$29,$A1222)="",$D1222&lt;=INDEX(Employees!$E$5:$E$29,$A1222))),1,0))</f>
        <v/>
      </c>
      <c r="H1222" s="47">
        <f>IF($G1222=0,0,IF(INDEX(Employees!$D$5:$D$29,$A1222)="",0,DATEDIF(INDEX(Employees!$D$5:$D$29,$A1222),$E1222,"y")))</f>
        <v/>
      </c>
      <c r="I1222" s="48">
        <f>IF($G1222=0,0,IF(INDEX('Hours Worked'!$D$5:$BD$29,$A1222,$B1222)="",N(INDEX(Employees!$H$5:$H$29,$A1222)),INDEX('Hours Worked'!$D$5:$BD$29,$A1222,$B1222)))</f>
        <v/>
      </c>
      <c r="J1222" s="48">
        <f>IF(OR($G1222=0,INDEX(Employees!$O$5:$O$29,$A1222)&lt;&gt;"Yes"),0,IF(COUNTIF(Settings!$D$4:$D$9,"&lt;="&amp;$H1222)=0,0,INDEX(Settings!$E$4:$E$9,COUNTIF(Settings!$D$4:$D$9,"&lt;="&amp;$H1222))))</f>
        <v/>
      </c>
      <c r="K1222" s="48">
        <f>IF($G1222=0,0,IF(INDEX(Employees!$I$5:$I$29,$A1222)="Per pay period",(N(INDEX(Employees!$J$5:$J$29,$A1222))+$J1222)/Settings!$B$13,IF(INDEX(Employees!$I$5:$I$29,$A1222)="Per hour worked",N(INDEX(Employees!$K$5:$K$29,$A1222))*$I1222,IF(INDEX(Employees!$I$5:$I$29,$A1222)="Front-loaded",IF(OR($B1222=1,N($G1221)=0),N(INDEX(Employees!$J$5:$J$29,$A1222))+$J1222,0),0))))</f>
        <v/>
      </c>
      <c r="L1222" s="48">
        <f>IF($F1222=0,0,SUMIFS('Time Off Log'!$H$5:$H$504,'Time Off Log'!$A$5:$A$504,$C1222,'Time Off Log'!$B$5:$B$504,"PTO",'Time Off Log'!$E$5:$E$504,"Approved",'Time Off Log'!$C$5:$C$504,"&gt;="&amp;INDEX(Periods!$E$5:$E$57,$B1222),'Time Off Log'!$C$5:$C$504,"&lt;="&amp;INDEX(Periods!$F$5:$F$57,$B1222)))</f>
        <v/>
      </c>
      <c r="M1222" s="48">
        <f>IF($B1222=1,N(INDEX(Employees!$N$5:$N$29,$A1222)),P1221)</f>
        <v/>
      </c>
      <c r="N1222" s="48">
        <f>IF(INDEX(Employees!$L$5:$L$29,$A1222)="",K1222,MAX(0,MIN(K1222,INDEX(Employees!$L$5:$L$29,$A1222)-(M1222-L1222))))</f>
        <v/>
      </c>
      <c r="O1222" s="48">
        <f>K1222-N1222</f>
        <v/>
      </c>
      <c r="P1222" s="48">
        <f>M1222-L1222+N1222</f>
        <v/>
      </c>
      <c r="Q1222" s="48">
        <f>IF($G1222=0,0,IF(INDEX(Employees!$P$5:$P$29,$A1222)="Per pay period",(N(INDEX(Employees!$Q$5:$Q$29,$A1222)))/Settings!$B$13,IF(INDEX(Employees!$P$5:$P$29,$A1222)="Per hour worked",N(INDEX(Employees!$R$5:$R$29,$A1222))*$I1222,IF(INDEX(Employees!$P$5:$P$29,$A1222)="Front-loaded",IF(OR($B1222=1,N($G1221)=0),N(INDEX(Employees!$Q$5:$Q$29,$A1222)),0),0))))</f>
        <v/>
      </c>
      <c r="R1222" s="48">
        <f>IF($F1222=0,0,SUMIFS('Time Off Log'!$H$5:$H$504,'Time Off Log'!$A$5:$A$504,$C1222,'Time Off Log'!$B$5:$B$504,"Sick",'Time Off Log'!$E$5:$E$504,"Approved",'Time Off Log'!$C$5:$C$504,"&gt;="&amp;INDEX(Periods!$E$5:$E$57,$B1222),'Time Off Log'!$C$5:$C$504,"&lt;="&amp;INDEX(Periods!$F$5:$F$57,$B1222)))</f>
        <v/>
      </c>
      <c r="S1222" s="48">
        <f>IF($B1222=1,N(INDEX(Employees!$T$5:$T$29,$A1222)),V1221)</f>
        <v/>
      </c>
      <c r="T1222" s="48">
        <f>IF(INDEX(Employees!$S$5:$S$29,$A1222)="",Q1222,MAX(0,MIN(Q1222,INDEX(Employees!$S$5:$S$29,$A1222)-(S1222-R1222))))</f>
        <v/>
      </c>
      <c r="U1222" s="48">
        <f>Q1222-T1222</f>
        <v/>
      </c>
      <c r="V1222" s="48">
        <f>S1222-R1222+T1222</f>
        <v/>
      </c>
    </row>
    <row r="1223">
      <c r="A1223" s="47" t="n">
        <v>23</v>
      </c>
      <c r="B1223" s="47" t="n">
        <v>53</v>
      </c>
      <c r="C1223" s="48">
        <f>INDEX(Employees!$B$5:$B$29,$A1223)&amp;""</f>
        <v/>
      </c>
      <c r="D1223" s="49">
        <f>INDEX(Periods!$B$5:$B$57,$B1223)</f>
        <v/>
      </c>
      <c r="E1223" s="49">
        <f>INDEX(Periods!$C$5:$C$57,$B1223)</f>
        <v/>
      </c>
      <c r="F1223" s="47">
        <f>IF(AND($C1223&lt;&gt;"",INDEX(Periods!$D$5:$D$57,$B1223)=1),1,0)</f>
        <v/>
      </c>
      <c r="G1223" s="47">
        <f>IF($F1223=0,0,IF(AND(OR(INDEX(Employees!$D$5:$D$29,$A1223)="",$E1223&gt;=INDEX(Employees!$D$5:$D$29,$A1223)+N(INDEX(Employees!$U$5:$U$29,$A1223))),OR(INDEX(Employees!$E$5:$E$29,$A1223)="",$D1223&lt;=INDEX(Employees!$E$5:$E$29,$A1223))),1,0))</f>
        <v/>
      </c>
      <c r="H1223" s="47">
        <f>IF($G1223=0,0,IF(INDEX(Employees!$D$5:$D$29,$A1223)="",0,DATEDIF(INDEX(Employees!$D$5:$D$29,$A1223),$E1223,"y")))</f>
        <v/>
      </c>
      <c r="I1223" s="48">
        <f>IF($G1223=0,0,IF(INDEX('Hours Worked'!$D$5:$BD$29,$A1223,$B1223)="",N(INDEX(Employees!$H$5:$H$29,$A1223)),INDEX('Hours Worked'!$D$5:$BD$29,$A1223,$B1223)))</f>
        <v/>
      </c>
      <c r="J1223" s="48">
        <f>IF(OR($G1223=0,INDEX(Employees!$O$5:$O$29,$A1223)&lt;&gt;"Yes"),0,IF(COUNTIF(Settings!$D$4:$D$9,"&lt;="&amp;$H1223)=0,0,INDEX(Settings!$E$4:$E$9,COUNTIF(Settings!$D$4:$D$9,"&lt;="&amp;$H1223))))</f>
        <v/>
      </c>
      <c r="K1223" s="48">
        <f>IF($G1223=0,0,IF(INDEX(Employees!$I$5:$I$29,$A1223)="Per pay period",(N(INDEX(Employees!$J$5:$J$29,$A1223))+$J1223)/Settings!$B$13,IF(INDEX(Employees!$I$5:$I$29,$A1223)="Per hour worked",N(INDEX(Employees!$K$5:$K$29,$A1223))*$I1223,IF(INDEX(Employees!$I$5:$I$29,$A1223)="Front-loaded",IF(OR($B1223=1,N($G1222)=0),N(INDEX(Employees!$J$5:$J$29,$A1223))+$J1223,0),0))))</f>
        <v/>
      </c>
      <c r="L1223" s="48">
        <f>IF($F1223=0,0,SUMIFS('Time Off Log'!$H$5:$H$504,'Time Off Log'!$A$5:$A$504,$C1223,'Time Off Log'!$B$5:$B$504,"PTO",'Time Off Log'!$E$5:$E$504,"Approved",'Time Off Log'!$C$5:$C$504,"&gt;="&amp;INDEX(Periods!$E$5:$E$57,$B1223),'Time Off Log'!$C$5:$C$504,"&lt;="&amp;INDEX(Periods!$F$5:$F$57,$B1223)))</f>
        <v/>
      </c>
      <c r="M1223" s="48">
        <f>IF($B1223=1,N(INDEX(Employees!$N$5:$N$29,$A1223)),P1222)</f>
        <v/>
      </c>
      <c r="N1223" s="48">
        <f>IF(INDEX(Employees!$L$5:$L$29,$A1223)="",K1223,MAX(0,MIN(K1223,INDEX(Employees!$L$5:$L$29,$A1223)-(M1223-L1223))))</f>
        <v/>
      </c>
      <c r="O1223" s="48">
        <f>K1223-N1223</f>
        <v/>
      </c>
      <c r="P1223" s="48">
        <f>M1223-L1223+N1223</f>
        <v/>
      </c>
      <c r="Q1223" s="48">
        <f>IF($G1223=0,0,IF(INDEX(Employees!$P$5:$P$29,$A1223)="Per pay period",(N(INDEX(Employees!$Q$5:$Q$29,$A1223)))/Settings!$B$13,IF(INDEX(Employees!$P$5:$P$29,$A1223)="Per hour worked",N(INDEX(Employees!$R$5:$R$29,$A1223))*$I1223,IF(INDEX(Employees!$P$5:$P$29,$A1223)="Front-loaded",IF(OR($B1223=1,N($G1222)=0),N(INDEX(Employees!$Q$5:$Q$29,$A1223)),0),0))))</f>
        <v/>
      </c>
      <c r="R1223" s="48">
        <f>IF($F1223=0,0,SUMIFS('Time Off Log'!$H$5:$H$504,'Time Off Log'!$A$5:$A$504,$C1223,'Time Off Log'!$B$5:$B$504,"Sick",'Time Off Log'!$E$5:$E$504,"Approved",'Time Off Log'!$C$5:$C$504,"&gt;="&amp;INDEX(Periods!$E$5:$E$57,$B1223),'Time Off Log'!$C$5:$C$504,"&lt;="&amp;INDEX(Periods!$F$5:$F$57,$B1223)))</f>
        <v/>
      </c>
      <c r="S1223" s="48">
        <f>IF($B1223=1,N(INDEX(Employees!$T$5:$T$29,$A1223)),V1222)</f>
        <v/>
      </c>
      <c r="T1223" s="48">
        <f>IF(INDEX(Employees!$S$5:$S$29,$A1223)="",Q1223,MAX(0,MIN(Q1223,INDEX(Employees!$S$5:$S$29,$A1223)-(S1223-R1223))))</f>
        <v/>
      </c>
      <c r="U1223" s="48">
        <f>Q1223-T1223</f>
        <v/>
      </c>
      <c r="V1223" s="48">
        <f>S1223-R1223+T1223</f>
        <v/>
      </c>
    </row>
    <row r="1224">
      <c r="A1224" s="50" t="n">
        <v>24</v>
      </c>
      <c r="B1224" s="50" t="n">
        <v>1</v>
      </c>
      <c r="C1224" s="51">
        <f>INDEX(Employees!$B$5:$B$29,$A1224)&amp;""</f>
        <v/>
      </c>
      <c r="D1224" s="52">
        <f>INDEX(Periods!$B$5:$B$57,$B1224)</f>
        <v/>
      </c>
      <c r="E1224" s="52">
        <f>INDEX(Periods!$C$5:$C$57,$B1224)</f>
        <v/>
      </c>
      <c r="F1224" s="50">
        <f>IF(AND($C1224&lt;&gt;"",INDEX(Periods!$D$5:$D$57,$B1224)=1),1,0)</f>
        <v/>
      </c>
      <c r="G1224" s="50">
        <f>IF($F1224=0,0,IF(AND(OR(INDEX(Employees!$D$5:$D$29,$A1224)="",$E1224&gt;=INDEX(Employees!$D$5:$D$29,$A1224)+N(INDEX(Employees!$U$5:$U$29,$A1224))),OR(INDEX(Employees!$E$5:$E$29,$A1224)="",$D1224&lt;=INDEX(Employees!$E$5:$E$29,$A1224))),1,0))</f>
        <v/>
      </c>
      <c r="H1224" s="50">
        <f>IF($G1224=0,0,IF(INDEX(Employees!$D$5:$D$29,$A1224)="",0,DATEDIF(INDEX(Employees!$D$5:$D$29,$A1224),$E1224,"y")))</f>
        <v/>
      </c>
      <c r="I1224" s="51">
        <f>IF($G1224=0,0,IF(INDEX('Hours Worked'!$D$5:$BD$29,$A1224,$B1224)="",N(INDEX(Employees!$H$5:$H$29,$A1224)),INDEX('Hours Worked'!$D$5:$BD$29,$A1224,$B1224)))</f>
        <v/>
      </c>
      <c r="J1224" s="51">
        <f>IF(OR($G1224=0,INDEX(Employees!$O$5:$O$29,$A1224)&lt;&gt;"Yes"),0,IF(COUNTIF(Settings!$D$4:$D$9,"&lt;="&amp;$H1224)=0,0,INDEX(Settings!$E$4:$E$9,COUNTIF(Settings!$D$4:$D$9,"&lt;="&amp;$H1224))))</f>
        <v/>
      </c>
      <c r="K1224" s="51">
        <f>IF($G1224=0,0,IF(INDEX(Employees!$I$5:$I$29,$A1224)="Per pay period",(N(INDEX(Employees!$J$5:$J$29,$A1224))+$J1224)/Settings!$B$13,IF(INDEX(Employees!$I$5:$I$29,$A1224)="Per hour worked",N(INDEX(Employees!$K$5:$K$29,$A1224))*$I1224,IF(INDEX(Employees!$I$5:$I$29,$A1224)="Front-loaded",IF(OR($B1224=1,N($G1223)=0),N(INDEX(Employees!$J$5:$J$29,$A1224))+$J1224,0),0))))</f>
        <v/>
      </c>
      <c r="L1224" s="51">
        <f>IF($F1224=0,0,SUMIFS('Time Off Log'!$H$5:$H$504,'Time Off Log'!$A$5:$A$504,$C1224,'Time Off Log'!$B$5:$B$504,"PTO",'Time Off Log'!$E$5:$E$504,"Approved",'Time Off Log'!$C$5:$C$504,"&gt;="&amp;INDEX(Periods!$E$5:$E$57,$B1224),'Time Off Log'!$C$5:$C$504,"&lt;="&amp;INDEX(Periods!$F$5:$F$57,$B1224)))</f>
        <v/>
      </c>
      <c r="M1224" s="51">
        <f>N(INDEX(Employees!$N$5:$N$29,$A1224))</f>
        <v/>
      </c>
      <c r="N1224" s="51">
        <f>IF(INDEX(Employees!$L$5:$L$29,$A1224)="",K1224,MAX(0,MIN(K1224,INDEX(Employees!$L$5:$L$29,$A1224)-(M1224-L1224))))</f>
        <v/>
      </c>
      <c r="O1224" s="51">
        <f>K1224-N1224</f>
        <v/>
      </c>
      <c r="P1224" s="51">
        <f>M1224-L1224+N1224</f>
        <v/>
      </c>
      <c r="Q1224" s="51">
        <f>IF($G1224=0,0,IF(INDEX(Employees!$P$5:$P$29,$A1224)="Per pay period",(N(INDEX(Employees!$Q$5:$Q$29,$A1224)))/Settings!$B$13,IF(INDEX(Employees!$P$5:$P$29,$A1224)="Per hour worked",N(INDEX(Employees!$R$5:$R$29,$A1224))*$I1224,IF(INDEX(Employees!$P$5:$P$29,$A1224)="Front-loaded",IF(OR($B1224=1,N($G1223)=0),N(INDEX(Employees!$Q$5:$Q$29,$A1224)),0),0))))</f>
        <v/>
      </c>
      <c r="R1224" s="51">
        <f>IF($F1224=0,0,SUMIFS('Time Off Log'!$H$5:$H$504,'Time Off Log'!$A$5:$A$504,$C1224,'Time Off Log'!$B$5:$B$504,"Sick",'Time Off Log'!$E$5:$E$504,"Approved",'Time Off Log'!$C$5:$C$504,"&gt;="&amp;INDEX(Periods!$E$5:$E$57,$B1224),'Time Off Log'!$C$5:$C$504,"&lt;="&amp;INDEX(Periods!$F$5:$F$57,$B1224)))</f>
        <v/>
      </c>
      <c r="S1224" s="51">
        <f>N(INDEX(Employees!$T$5:$T$29,$A1224))</f>
        <v/>
      </c>
      <c r="T1224" s="51">
        <f>IF(INDEX(Employees!$S$5:$S$29,$A1224)="",Q1224,MAX(0,MIN(Q1224,INDEX(Employees!$S$5:$S$29,$A1224)-(S1224-R1224))))</f>
        <v/>
      </c>
      <c r="U1224" s="51">
        <f>Q1224-T1224</f>
        <v/>
      </c>
      <c r="V1224" s="51">
        <f>S1224-R1224+T1224</f>
        <v/>
      </c>
    </row>
    <row r="1225">
      <c r="A1225" s="50" t="n">
        <v>24</v>
      </c>
      <c r="B1225" s="50" t="n">
        <v>2</v>
      </c>
      <c r="C1225" s="51">
        <f>INDEX(Employees!$B$5:$B$29,$A1225)&amp;""</f>
        <v/>
      </c>
      <c r="D1225" s="52">
        <f>INDEX(Periods!$B$5:$B$57,$B1225)</f>
        <v/>
      </c>
      <c r="E1225" s="52">
        <f>INDEX(Periods!$C$5:$C$57,$B1225)</f>
        <v/>
      </c>
      <c r="F1225" s="50">
        <f>IF(AND($C1225&lt;&gt;"",INDEX(Periods!$D$5:$D$57,$B1225)=1),1,0)</f>
        <v/>
      </c>
      <c r="G1225" s="50">
        <f>IF($F1225=0,0,IF(AND(OR(INDEX(Employees!$D$5:$D$29,$A1225)="",$E1225&gt;=INDEX(Employees!$D$5:$D$29,$A1225)+N(INDEX(Employees!$U$5:$U$29,$A1225))),OR(INDEX(Employees!$E$5:$E$29,$A1225)="",$D1225&lt;=INDEX(Employees!$E$5:$E$29,$A1225))),1,0))</f>
        <v/>
      </c>
      <c r="H1225" s="50">
        <f>IF($G1225=0,0,IF(INDEX(Employees!$D$5:$D$29,$A1225)="",0,DATEDIF(INDEX(Employees!$D$5:$D$29,$A1225),$E1225,"y")))</f>
        <v/>
      </c>
      <c r="I1225" s="51">
        <f>IF($G1225=0,0,IF(INDEX('Hours Worked'!$D$5:$BD$29,$A1225,$B1225)="",N(INDEX(Employees!$H$5:$H$29,$A1225)),INDEX('Hours Worked'!$D$5:$BD$29,$A1225,$B1225)))</f>
        <v/>
      </c>
      <c r="J1225" s="51">
        <f>IF(OR($G1225=0,INDEX(Employees!$O$5:$O$29,$A1225)&lt;&gt;"Yes"),0,IF(COUNTIF(Settings!$D$4:$D$9,"&lt;="&amp;$H1225)=0,0,INDEX(Settings!$E$4:$E$9,COUNTIF(Settings!$D$4:$D$9,"&lt;="&amp;$H1225))))</f>
        <v/>
      </c>
      <c r="K1225" s="51">
        <f>IF($G1225=0,0,IF(INDEX(Employees!$I$5:$I$29,$A1225)="Per pay period",(N(INDEX(Employees!$J$5:$J$29,$A1225))+$J1225)/Settings!$B$13,IF(INDEX(Employees!$I$5:$I$29,$A1225)="Per hour worked",N(INDEX(Employees!$K$5:$K$29,$A1225))*$I1225,IF(INDEX(Employees!$I$5:$I$29,$A1225)="Front-loaded",IF(OR($B1225=1,N($G1224)=0),N(INDEX(Employees!$J$5:$J$29,$A1225))+$J1225,0),0))))</f>
        <v/>
      </c>
      <c r="L1225" s="51">
        <f>IF($F1225=0,0,SUMIFS('Time Off Log'!$H$5:$H$504,'Time Off Log'!$A$5:$A$504,$C1225,'Time Off Log'!$B$5:$B$504,"PTO",'Time Off Log'!$E$5:$E$504,"Approved",'Time Off Log'!$C$5:$C$504,"&gt;="&amp;INDEX(Periods!$E$5:$E$57,$B1225),'Time Off Log'!$C$5:$C$504,"&lt;="&amp;INDEX(Periods!$F$5:$F$57,$B1225)))</f>
        <v/>
      </c>
      <c r="M1225" s="51">
        <f>IF($B1225=1,N(INDEX(Employees!$N$5:$N$29,$A1225)),P1224)</f>
        <v/>
      </c>
      <c r="N1225" s="51">
        <f>IF(INDEX(Employees!$L$5:$L$29,$A1225)="",K1225,MAX(0,MIN(K1225,INDEX(Employees!$L$5:$L$29,$A1225)-(M1225-L1225))))</f>
        <v/>
      </c>
      <c r="O1225" s="51">
        <f>K1225-N1225</f>
        <v/>
      </c>
      <c r="P1225" s="51">
        <f>M1225-L1225+N1225</f>
        <v/>
      </c>
      <c r="Q1225" s="51">
        <f>IF($G1225=0,0,IF(INDEX(Employees!$P$5:$P$29,$A1225)="Per pay period",(N(INDEX(Employees!$Q$5:$Q$29,$A1225)))/Settings!$B$13,IF(INDEX(Employees!$P$5:$P$29,$A1225)="Per hour worked",N(INDEX(Employees!$R$5:$R$29,$A1225))*$I1225,IF(INDEX(Employees!$P$5:$P$29,$A1225)="Front-loaded",IF(OR($B1225=1,N($G1224)=0),N(INDEX(Employees!$Q$5:$Q$29,$A1225)),0),0))))</f>
        <v/>
      </c>
      <c r="R1225" s="51">
        <f>IF($F1225=0,0,SUMIFS('Time Off Log'!$H$5:$H$504,'Time Off Log'!$A$5:$A$504,$C1225,'Time Off Log'!$B$5:$B$504,"Sick",'Time Off Log'!$E$5:$E$504,"Approved",'Time Off Log'!$C$5:$C$504,"&gt;="&amp;INDEX(Periods!$E$5:$E$57,$B1225),'Time Off Log'!$C$5:$C$504,"&lt;="&amp;INDEX(Periods!$F$5:$F$57,$B1225)))</f>
        <v/>
      </c>
      <c r="S1225" s="51">
        <f>IF($B1225=1,N(INDEX(Employees!$T$5:$T$29,$A1225)),V1224)</f>
        <v/>
      </c>
      <c r="T1225" s="51">
        <f>IF(INDEX(Employees!$S$5:$S$29,$A1225)="",Q1225,MAX(0,MIN(Q1225,INDEX(Employees!$S$5:$S$29,$A1225)-(S1225-R1225))))</f>
        <v/>
      </c>
      <c r="U1225" s="51">
        <f>Q1225-T1225</f>
        <v/>
      </c>
      <c r="V1225" s="51">
        <f>S1225-R1225+T1225</f>
        <v/>
      </c>
    </row>
    <row r="1226">
      <c r="A1226" s="50" t="n">
        <v>24</v>
      </c>
      <c r="B1226" s="50" t="n">
        <v>3</v>
      </c>
      <c r="C1226" s="51">
        <f>INDEX(Employees!$B$5:$B$29,$A1226)&amp;""</f>
        <v/>
      </c>
      <c r="D1226" s="52">
        <f>INDEX(Periods!$B$5:$B$57,$B1226)</f>
        <v/>
      </c>
      <c r="E1226" s="52">
        <f>INDEX(Periods!$C$5:$C$57,$B1226)</f>
        <v/>
      </c>
      <c r="F1226" s="50">
        <f>IF(AND($C1226&lt;&gt;"",INDEX(Periods!$D$5:$D$57,$B1226)=1),1,0)</f>
        <v/>
      </c>
      <c r="G1226" s="50">
        <f>IF($F1226=0,0,IF(AND(OR(INDEX(Employees!$D$5:$D$29,$A1226)="",$E1226&gt;=INDEX(Employees!$D$5:$D$29,$A1226)+N(INDEX(Employees!$U$5:$U$29,$A1226))),OR(INDEX(Employees!$E$5:$E$29,$A1226)="",$D1226&lt;=INDEX(Employees!$E$5:$E$29,$A1226))),1,0))</f>
        <v/>
      </c>
      <c r="H1226" s="50">
        <f>IF($G1226=0,0,IF(INDEX(Employees!$D$5:$D$29,$A1226)="",0,DATEDIF(INDEX(Employees!$D$5:$D$29,$A1226),$E1226,"y")))</f>
        <v/>
      </c>
      <c r="I1226" s="51">
        <f>IF($G1226=0,0,IF(INDEX('Hours Worked'!$D$5:$BD$29,$A1226,$B1226)="",N(INDEX(Employees!$H$5:$H$29,$A1226)),INDEX('Hours Worked'!$D$5:$BD$29,$A1226,$B1226)))</f>
        <v/>
      </c>
      <c r="J1226" s="51">
        <f>IF(OR($G1226=0,INDEX(Employees!$O$5:$O$29,$A1226)&lt;&gt;"Yes"),0,IF(COUNTIF(Settings!$D$4:$D$9,"&lt;="&amp;$H1226)=0,0,INDEX(Settings!$E$4:$E$9,COUNTIF(Settings!$D$4:$D$9,"&lt;="&amp;$H1226))))</f>
        <v/>
      </c>
      <c r="K1226" s="51">
        <f>IF($G1226=0,0,IF(INDEX(Employees!$I$5:$I$29,$A1226)="Per pay period",(N(INDEX(Employees!$J$5:$J$29,$A1226))+$J1226)/Settings!$B$13,IF(INDEX(Employees!$I$5:$I$29,$A1226)="Per hour worked",N(INDEX(Employees!$K$5:$K$29,$A1226))*$I1226,IF(INDEX(Employees!$I$5:$I$29,$A1226)="Front-loaded",IF(OR($B1226=1,N($G1225)=0),N(INDEX(Employees!$J$5:$J$29,$A1226))+$J1226,0),0))))</f>
        <v/>
      </c>
      <c r="L1226" s="51">
        <f>IF($F1226=0,0,SUMIFS('Time Off Log'!$H$5:$H$504,'Time Off Log'!$A$5:$A$504,$C1226,'Time Off Log'!$B$5:$B$504,"PTO",'Time Off Log'!$E$5:$E$504,"Approved",'Time Off Log'!$C$5:$C$504,"&gt;="&amp;INDEX(Periods!$E$5:$E$57,$B1226),'Time Off Log'!$C$5:$C$504,"&lt;="&amp;INDEX(Periods!$F$5:$F$57,$B1226)))</f>
        <v/>
      </c>
      <c r="M1226" s="51">
        <f>IF($B1226=1,N(INDEX(Employees!$N$5:$N$29,$A1226)),P1225)</f>
        <v/>
      </c>
      <c r="N1226" s="51">
        <f>IF(INDEX(Employees!$L$5:$L$29,$A1226)="",K1226,MAX(0,MIN(K1226,INDEX(Employees!$L$5:$L$29,$A1226)-(M1226-L1226))))</f>
        <v/>
      </c>
      <c r="O1226" s="51">
        <f>K1226-N1226</f>
        <v/>
      </c>
      <c r="P1226" s="51">
        <f>M1226-L1226+N1226</f>
        <v/>
      </c>
      <c r="Q1226" s="51">
        <f>IF($G1226=0,0,IF(INDEX(Employees!$P$5:$P$29,$A1226)="Per pay period",(N(INDEX(Employees!$Q$5:$Q$29,$A1226)))/Settings!$B$13,IF(INDEX(Employees!$P$5:$P$29,$A1226)="Per hour worked",N(INDEX(Employees!$R$5:$R$29,$A1226))*$I1226,IF(INDEX(Employees!$P$5:$P$29,$A1226)="Front-loaded",IF(OR($B1226=1,N($G1225)=0),N(INDEX(Employees!$Q$5:$Q$29,$A1226)),0),0))))</f>
        <v/>
      </c>
      <c r="R1226" s="51">
        <f>IF($F1226=0,0,SUMIFS('Time Off Log'!$H$5:$H$504,'Time Off Log'!$A$5:$A$504,$C1226,'Time Off Log'!$B$5:$B$504,"Sick",'Time Off Log'!$E$5:$E$504,"Approved",'Time Off Log'!$C$5:$C$504,"&gt;="&amp;INDEX(Periods!$E$5:$E$57,$B1226),'Time Off Log'!$C$5:$C$504,"&lt;="&amp;INDEX(Periods!$F$5:$F$57,$B1226)))</f>
        <v/>
      </c>
      <c r="S1226" s="51">
        <f>IF($B1226=1,N(INDEX(Employees!$T$5:$T$29,$A1226)),V1225)</f>
        <v/>
      </c>
      <c r="T1226" s="51">
        <f>IF(INDEX(Employees!$S$5:$S$29,$A1226)="",Q1226,MAX(0,MIN(Q1226,INDEX(Employees!$S$5:$S$29,$A1226)-(S1226-R1226))))</f>
        <v/>
      </c>
      <c r="U1226" s="51">
        <f>Q1226-T1226</f>
        <v/>
      </c>
      <c r="V1226" s="51">
        <f>S1226-R1226+T1226</f>
        <v/>
      </c>
    </row>
    <row r="1227">
      <c r="A1227" s="50" t="n">
        <v>24</v>
      </c>
      <c r="B1227" s="50" t="n">
        <v>4</v>
      </c>
      <c r="C1227" s="51">
        <f>INDEX(Employees!$B$5:$B$29,$A1227)&amp;""</f>
        <v/>
      </c>
      <c r="D1227" s="52">
        <f>INDEX(Periods!$B$5:$B$57,$B1227)</f>
        <v/>
      </c>
      <c r="E1227" s="52">
        <f>INDEX(Periods!$C$5:$C$57,$B1227)</f>
        <v/>
      </c>
      <c r="F1227" s="50">
        <f>IF(AND($C1227&lt;&gt;"",INDEX(Periods!$D$5:$D$57,$B1227)=1),1,0)</f>
        <v/>
      </c>
      <c r="G1227" s="50">
        <f>IF($F1227=0,0,IF(AND(OR(INDEX(Employees!$D$5:$D$29,$A1227)="",$E1227&gt;=INDEX(Employees!$D$5:$D$29,$A1227)+N(INDEX(Employees!$U$5:$U$29,$A1227))),OR(INDEX(Employees!$E$5:$E$29,$A1227)="",$D1227&lt;=INDEX(Employees!$E$5:$E$29,$A1227))),1,0))</f>
        <v/>
      </c>
      <c r="H1227" s="50">
        <f>IF($G1227=0,0,IF(INDEX(Employees!$D$5:$D$29,$A1227)="",0,DATEDIF(INDEX(Employees!$D$5:$D$29,$A1227),$E1227,"y")))</f>
        <v/>
      </c>
      <c r="I1227" s="51">
        <f>IF($G1227=0,0,IF(INDEX('Hours Worked'!$D$5:$BD$29,$A1227,$B1227)="",N(INDEX(Employees!$H$5:$H$29,$A1227)),INDEX('Hours Worked'!$D$5:$BD$29,$A1227,$B1227)))</f>
        <v/>
      </c>
      <c r="J1227" s="51">
        <f>IF(OR($G1227=0,INDEX(Employees!$O$5:$O$29,$A1227)&lt;&gt;"Yes"),0,IF(COUNTIF(Settings!$D$4:$D$9,"&lt;="&amp;$H1227)=0,0,INDEX(Settings!$E$4:$E$9,COUNTIF(Settings!$D$4:$D$9,"&lt;="&amp;$H1227))))</f>
        <v/>
      </c>
      <c r="K1227" s="51">
        <f>IF($G1227=0,0,IF(INDEX(Employees!$I$5:$I$29,$A1227)="Per pay period",(N(INDEX(Employees!$J$5:$J$29,$A1227))+$J1227)/Settings!$B$13,IF(INDEX(Employees!$I$5:$I$29,$A1227)="Per hour worked",N(INDEX(Employees!$K$5:$K$29,$A1227))*$I1227,IF(INDEX(Employees!$I$5:$I$29,$A1227)="Front-loaded",IF(OR($B1227=1,N($G1226)=0),N(INDEX(Employees!$J$5:$J$29,$A1227))+$J1227,0),0))))</f>
        <v/>
      </c>
      <c r="L1227" s="51">
        <f>IF($F1227=0,0,SUMIFS('Time Off Log'!$H$5:$H$504,'Time Off Log'!$A$5:$A$504,$C1227,'Time Off Log'!$B$5:$B$504,"PTO",'Time Off Log'!$E$5:$E$504,"Approved",'Time Off Log'!$C$5:$C$504,"&gt;="&amp;INDEX(Periods!$E$5:$E$57,$B1227),'Time Off Log'!$C$5:$C$504,"&lt;="&amp;INDEX(Periods!$F$5:$F$57,$B1227)))</f>
        <v/>
      </c>
      <c r="M1227" s="51">
        <f>IF($B1227=1,N(INDEX(Employees!$N$5:$N$29,$A1227)),P1226)</f>
        <v/>
      </c>
      <c r="N1227" s="51">
        <f>IF(INDEX(Employees!$L$5:$L$29,$A1227)="",K1227,MAX(0,MIN(K1227,INDEX(Employees!$L$5:$L$29,$A1227)-(M1227-L1227))))</f>
        <v/>
      </c>
      <c r="O1227" s="51">
        <f>K1227-N1227</f>
        <v/>
      </c>
      <c r="P1227" s="51">
        <f>M1227-L1227+N1227</f>
        <v/>
      </c>
      <c r="Q1227" s="51">
        <f>IF($G1227=0,0,IF(INDEX(Employees!$P$5:$P$29,$A1227)="Per pay period",(N(INDEX(Employees!$Q$5:$Q$29,$A1227)))/Settings!$B$13,IF(INDEX(Employees!$P$5:$P$29,$A1227)="Per hour worked",N(INDEX(Employees!$R$5:$R$29,$A1227))*$I1227,IF(INDEX(Employees!$P$5:$P$29,$A1227)="Front-loaded",IF(OR($B1227=1,N($G1226)=0),N(INDEX(Employees!$Q$5:$Q$29,$A1227)),0),0))))</f>
        <v/>
      </c>
      <c r="R1227" s="51">
        <f>IF($F1227=0,0,SUMIFS('Time Off Log'!$H$5:$H$504,'Time Off Log'!$A$5:$A$504,$C1227,'Time Off Log'!$B$5:$B$504,"Sick",'Time Off Log'!$E$5:$E$504,"Approved",'Time Off Log'!$C$5:$C$504,"&gt;="&amp;INDEX(Periods!$E$5:$E$57,$B1227),'Time Off Log'!$C$5:$C$504,"&lt;="&amp;INDEX(Periods!$F$5:$F$57,$B1227)))</f>
        <v/>
      </c>
      <c r="S1227" s="51">
        <f>IF($B1227=1,N(INDEX(Employees!$T$5:$T$29,$A1227)),V1226)</f>
        <v/>
      </c>
      <c r="T1227" s="51">
        <f>IF(INDEX(Employees!$S$5:$S$29,$A1227)="",Q1227,MAX(0,MIN(Q1227,INDEX(Employees!$S$5:$S$29,$A1227)-(S1227-R1227))))</f>
        <v/>
      </c>
      <c r="U1227" s="51">
        <f>Q1227-T1227</f>
        <v/>
      </c>
      <c r="V1227" s="51">
        <f>S1227-R1227+T1227</f>
        <v/>
      </c>
    </row>
    <row r="1228">
      <c r="A1228" s="50" t="n">
        <v>24</v>
      </c>
      <c r="B1228" s="50" t="n">
        <v>5</v>
      </c>
      <c r="C1228" s="51">
        <f>INDEX(Employees!$B$5:$B$29,$A1228)&amp;""</f>
        <v/>
      </c>
      <c r="D1228" s="52">
        <f>INDEX(Periods!$B$5:$B$57,$B1228)</f>
        <v/>
      </c>
      <c r="E1228" s="52">
        <f>INDEX(Periods!$C$5:$C$57,$B1228)</f>
        <v/>
      </c>
      <c r="F1228" s="50">
        <f>IF(AND($C1228&lt;&gt;"",INDEX(Periods!$D$5:$D$57,$B1228)=1),1,0)</f>
        <v/>
      </c>
      <c r="G1228" s="50">
        <f>IF($F1228=0,0,IF(AND(OR(INDEX(Employees!$D$5:$D$29,$A1228)="",$E1228&gt;=INDEX(Employees!$D$5:$D$29,$A1228)+N(INDEX(Employees!$U$5:$U$29,$A1228))),OR(INDEX(Employees!$E$5:$E$29,$A1228)="",$D1228&lt;=INDEX(Employees!$E$5:$E$29,$A1228))),1,0))</f>
        <v/>
      </c>
      <c r="H1228" s="50">
        <f>IF($G1228=0,0,IF(INDEX(Employees!$D$5:$D$29,$A1228)="",0,DATEDIF(INDEX(Employees!$D$5:$D$29,$A1228),$E1228,"y")))</f>
        <v/>
      </c>
      <c r="I1228" s="51">
        <f>IF($G1228=0,0,IF(INDEX('Hours Worked'!$D$5:$BD$29,$A1228,$B1228)="",N(INDEX(Employees!$H$5:$H$29,$A1228)),INDEX('Hours Worked'!$D$5:$BD$29,$A1228,$B1228)))</f>
        <v/>
      </c>
      <c r="J1228" s="51">
        <f>IF(OR($G1228=0,INDEX(Employees!$O$5:$O$29,$A1228)&lt;&gt;"Yes"),0,IF(COUNTIF(Settings!$D$4:$D$9,"&lt;="&amp;$H1228)=0,0,INDEX(Settings!$E$4:$E$9,COUNTIF(Settings!$D$4:$D$9,"&lt;="&amp;$H1228))))</f>
        <v/>
      </c>
      <c r="K1228" s="51">
        <f>IF($G1228=0,0,IF(INDEX(Employees!$I$5:$I$29,$A1228)="Per pay period",(N(INDEX(Employees!$J$5:$J$29,$A1228))+$J1228)/Settings!$B$13,IF(INDEX(Employees!$I$5:$I$29,$A1228)="Per hour worked",N(INDEX(Employees!$K$5:$K$29,$A1228))*$I1228,IF(INDEX(Employees!$I$5:$I$29,$A1228)="Front-loaded",IF(OR($B1228=1,N($G1227)=0),N(INDEX(Employees!$J$5:$J$29,$A1228))+$J1228,0),0))))</f>
        <v/>
      </c>
      <c r="L1228" s="51">
        <f>IF($F1228=0,0,SUMIFS('Time Off Log'!$H$5:$H$504,'Time Off Log'!$A$5:$A$504,$C1228,'Time Off Log'!$B$5:$B$504,"PTO",'Time Off Log'!$E$5:$E$504,"Approved",'Time Off Log'!$C$5:$C$504,"&gt;="&amp;INDEX(Periods!$E$5:$E$57,$B1228),'Time Off Log'!$C$5:$C$504,"&lt;="&amp;INDEX(Periods!$F$5:$F$57,$B1228)))</f>
        <v/>
      </c>
      <c r="M1228" s="51">
        <f>IF($B1228=1,N(INDEX(Employees!$N$5:$N$29,$A1228)),P1227)</f>
        <v/>
      </c>
      <c r="N1228" s="51">
        <f>IF(INDEX(Employees!$L$5:$L$29,$A1228)="",K1228,MAX(0,MIN(K1228,INDEX(Employees!$L$5:$L$29,$A1228)-(M1228-L1228))))</f>
        <v/>
      </c>
      <c r="O1228" s="51">
        <f>K1228-N1228</f>
        <v/>
      </c>
      <c r="P1228" s="51">
        <f>M1228-L1228+N1228</f>
        <v/>
      </c>
      <c r="Q1228" s="51">
        <f>IF($G1228=0,0,IF(INDEX(Employees!$P$5:$P$29,$A1228)="Per pay period",(N(INDEX(Employees!$Q$5:$Q$29,$A1228)))/Settings!$B$13,IF(INDEX(Employees!$P$5:$P$29,$A1228)="Per hour worked",N(INDEX(Employees!$R$5:$R$29,$A1228))*$I1228,IF(INDEX(Employees!$P$5:$P$29,$A1228)="Front-loaded",IF(OR($B1228=1,N($G1227)=0),N(INDEX(Employees!$Q$5:$Q$29,$A1228)),0),0))))</f>
        <v/>
      </c>
      <c r="R1228" s="51">
        <f>IF($F1228=0,0,SUMIFS('Time Off Log'!$H$5:$H$504,'Time Off Log'!$A$5:$A$504,$C1228,'Time Off Log'!$B$5:$B$504,"Sick",'Time Off Log'!$E$5:$E$504,"Approved",'Time Off Log'!$C$5:$C$504,"&gt;="&amp;INDEX(Periods!$E$5:$E$57,$B1228),'Time Off Log'!$C$5:$C$504,"&lt;="&amp;INDEX(Periods!$F$5:$F$57,$B1228)))</f>
        <v/>
      </c>
      <c r="S1228" s="51">
        <f>IF($B1228=1,N(INDEX(Employees!$T$5:$T$29,$A1228)),V1227)</f>
        <v/>
      </c>
      <c r="T1228" s="51">
        <f>IF(INDEX(Employees!$S$5:$S$29,$A1228)="",Q1228,MAX(0,MIN(Q1228,INDEX(Employees!$S$5:$S$29,$A1228)-(S1228-R1228))))</f>
        <v/>
      </c>
      <c r="U1228" s="51">
        <f>Q1228-T1228</f>
        <v/>
      </c>
      <c r="V1228" s="51">
        <f>S1228-R1228+T1228</f>
        <v/>
      </c>
    </row>
    <row r="1229">
      <c r="A1229" s="50" t="n">
        <v>24</v>
      </c>
      <c r="B1229" s="50" t="n">
        <v>6</v>
      </c>
      <c r="C1229" s="51">
        <f>INDEX(Employees!$B$5:$B$29,$A1229)&amp;""</f>
        <v/>
      </c>
      <c r="D1229" s="52">
        <f>INDEX(Periods!$B$5:$B$57,$B1229)</f>
        <v/>
      </c>
      <c r="E1229" s="52">
        <f>INDEX(Periods!$C$5:$C$57,$B1229)</f>
        <v/>
      </c>
      <c r="F1229" s="50">
        <f>IF(AND($C1229&lt;&gt;"",INDEX(Periods!$D$5:$D$57,$B1229)=1),1,0)</f>
        <v/>
      </c>
      <c r="G1229" s="50">
        <f>IF($F1229=0,0,IF(AND(OR(INDEX(Employees!$D$5:$D$29,$A1229)="",$E1229&gt;=INDEX(Employees!$D$5:$D$29,$A1229)+N(INDEX(Employees!$U$5:$U$29,$A1229))),OR(INDEX(Employees!$E$5:$E$29,$A1229)="",$D1229&lt;=INDEX(Employees!$E$5:$E$29,$A1229))),1,0))</f>
        <v/>
      </c>
      <c r="H1229" s="50">
        <f>IF($G1229=0,0,IF(INDEX(Employees!$D$5:$D$29,$A1229)="",0,DATEDIF(INDEX(Employees!$D$5:$D$29,$A1229),$E1229,"y")))</f>
        <v/>
      </c>
      <c r="I1229" s="51">
        <f>IF($G1229=0,0,IF(INDEX('Hours Worked'!$D$5:$BD$29,$A1229,$B1229)="",N(INDEX(Employees!$H$5:$H$29,$A1229)),INDEX('Hours Worked'!$D$5:$BD$29,$A1229,$B1229)))</f>
        <v/>
      </c>
      <c r="J1229" s="51">
        <f>IF(OR($G1229=0,INDEX(Employees!$O$5:$O$29,$A1229)&lt;&gt;"Yes"),0,IF(COUNTIF(Settings!$D$4:$D$9,"&lt;="&amp;$H1229)=0,0,INDEX(Settings!$E$4:$E$9,COUNTIF(Settings!$D$4:$D$9,"&lt;="&amp;$H1229))))</f>
        <v/>
      </c>
      <c r="K1229" s="51">
        <f>IF($G1229=0,0,IF(INDEX(Employees!$I$5:$I$29,$A1229)="Per pay period",(N(INDEX(Employees!$J$5:$J$29,$A1229))+$J1229)/Settings!$B$13,IF(INDEX(Employees!$I$5:$I$29,$A1229)="Per hour worked",N(INDEX(Employees!$K$5:$K$29,$A1229))*$I1229,IF(INDEX(Employees!$I$5:$I$29,$A1229)="Front-loaded",IF(OR($B1229=1,N($G1228)=0),N(INDEX(Employees!$J$5:$J$29,$A1229))+$J1229,0),0))))</f>
        <v/>
      </c>
      <c r="L1229" s="51">
        <f>IF($F1229=0,0,SUMIFS('Time Off Log'!$H$5:$H$504,'Time Off Log'!$A$5:$A$504,$C1229,'Time Off Log'!$B$5:$B$504,"PTO",'Time Off Log'!$E$5:$E$504,"Approved",'Time Off Log'!$C$5:$C$504,"&gt;="&amp;INDEX(Periods!$E$5:$E$57,$B1229),'Time Off Log'!$C$5:$C$504,"&lt;="&amp;INDEX(Periods!$F$5:$F$57,$B1229)))</f>
        <v/>
      </c>
      <c r="M1229" s="51">
        <f>IF($B1229=1,N(INDEX(Employees!$N$5:$N$29,$A1229)),P1228)</f>
        <v/>
      </c>
      <c r="N1229" s="51">
        <f>IF(INDEX(Employees!$L$5:$L$29,$A1229)="",K1229,MAX(0,MIN(K1229,INDEX(Employees!$L$5:$L$29,$A1229)-(M1229-L1229))))</f>
        <v/>
      </c>
      <c r="O1229" s="51">
        <f>K1229-N1229</f>
        <v/>
      </c>
      <c r="P1229" s="51">
        <f>M1229-L1229+N1229</f>
        <v/>
      </c>
      <c r="Q1229" s="51">
        <f>IF($G1229=0,0,IF(INDEX(Employees!$P$5:$P$29,$A1229)="Per pay period",(N(INDEX(Employees!$Q$5:$Q$29,$A1229)))/Settings!$B$13,IF(INDEX(Employees!$P$5:$P$29,$A1229)="Per hour worked",N(INDEX(Employees!$R$5:$R$29,$A1229))*$I1229,IF(INDEX(Employees!$P$5:$P$29,$A1229)="Front-loaded",IF(OR($B1229=1,N($G1228)=0),N(INDEX(Employees!$Q$5:$Q$29,$A1229)),0),0))))</f>
        <v/>
      </c>
      <c r="R1229" s="51">
        <f>IF($F1229=0,0,SUMIFS('Time Off Log'!$H$5:$H$504,'Time Off Log'!$A$5:$A$504,$C1229,'Time Off Log'!$B$5:$B$504,"Sick",'Time Off Log'!$E$5:$E$504,"Approved",'Time Off Log'!$C$5:$C$504,"&gt;="&amp;INDEX(Periods!$E$5:$E$57,$B1229),'Time Off Log'!$C$5:$C$504,"&lt;="&amp;INDEX(Periods!$F$5:$F$57,$B1229)))</f>
        <v/>
      </c>
      <c r="S1229" s="51">
        <f>IF($B1229=1,N(INDEX(Employees!$T$5:$T$29,$A1229)),V1228)</f>
        <v/>
      </c>
      <c r="T1229" s="51">
        <f>IF(INDEX(Employees!$S$5:$S$29,$A1229)="",Q1229,MAX(0,MIN(Q1229,INDEX(Employees!$S$5:$S$29,$A1229)-(S1229-R1229))))</f>
        <v/>
      </c>
      <c r="U1229" s="51">
        <f>Q1229-T1229</f>
        <v/>
      </c>
      <c r="V1229" s="51">
        <f>S1229-R1229+T1229</f>
        <v/>
      </c>
    </row>
    <row r="1230">
      <c r="A1230" s="50" t="n">
        <v>24</v>
      </c>
      <c r="B1230" s="50" t="n">
        <v>7</v>
      </c>
      <c r="C1230" s="51">
        <f>INDEX(Employees!$B$5:$B$29,$A1230)&amp;""</f>
        <v/>
      </c>
      <c r="D1230" s="52">
        <f>INDEX(Periods!$B$5:$B$57,$B1230)</f>
        <v/>
      </c>
      <c r="E1230" s="52">
        <f>INDEX(Periods!$C$5:$C$57,$B1230)</f>
        <v/>
      </c>
      <c r="F1230" s="50">
        <f>IF(AND($C1230&lt;&gt;"",INDEX(Periods!$D$5:$D$57,$B1230)=1),1,0)</f>
        <v/>
      </c>
      <c r="G1230" s="50">
        <f>IF($F1230=0,0,IF(AND(OR(INDEX(Employees!$D$5:$D$29,$A1230)="",$E1230&gt;=INDEX(Employees!$D$5:$D$29,$A1230)+N(INDEX(Employees!$U$5:$U$29,$A1230))),OR(INDEX(Employees!$E$5:$E$29,$A1230)="",$D1230&lt;=INDEX(Employees!$E$5:$E$29,$A1230))),1,0))</f>
        <v/>
      </c>
      <c r="H1230" s="50">
        <f>IF($G1230=0,0,IF(INDEX(Employees!$D$5:$D$29,$A1230)="",0,DATEDIF(INDEX(Employees!$D$5:$D$29,$A1230),$E1230,"y")))</f>
        <v/>
      </c>
      <c r="I1230" s="51">
        <f>IF($G1230=0,0,IF(INDEX('Hours Worked'!$D$5:$BD$29,$A1230,$B1230)="",N(INDEX(Employees!$H$5:$H$29,$A1230)),INDEX('Hours Worked'!$D$5:$BD$29,$A1230,$B1230)))</f>
        <v/>
      </c>
      <c r="J1230" s="51">
        <f>IF(OR($G1230=0,INDEX(Employees!$O$5:$O$29,$A1230)&lt;&gt;"Yes"),0,IF(COUNTIF(Settings!$D$4:$D$9,"&lt;="&amp;$H1230)=0,0,INDEX(Settings!$E$4:$E$9,COUNTIF(Settings!$D$4:$D$9,"&lt;="&amp;$H1230))))</f>
        <v/>
      </c>
      <c r="K1230" s="51">
        <f>IF($G1230=0,0,IF(INDEX(Employees!$I$5:$I$29,$A1230)="Per pay period",(N(INDEX(Employees!$J$5:$J$29,$A1230))+$J1230)/Settings!$B$13,IF(INDEX(Employees!$I$5:$I$29,$A1230)="Per hour worked",N(INDEX(Employees!$K$5:$K$29,$A1230))*$I1230,IF(INDEX(Employees!$I$5:$I$29,$A1230)="Front-loaded",IF(OR($B1230=1,N($G1229)=0),N(INDEX(Employees!$J$5:$J$29,$A1230))+$J1230,0),0))))</f>
        <v/>
      </c>
      <c r="L1230" s="51">
        <f>IF($F1230=0,0,SUMIFS('Time Off Log'!$H$5:$H$504,'Time Off Log'!$A$5:$A$504,$C1230,'Time Off Log'!$B$5:$B$504,"PTO",'Time Off Log'!$E$5:$E$504,"Approved",'Time Off Log'!$C$5:$C$504,"&gt;="&amp;INDEX(Periods!$E$5:$E$57,$B1230),'Time Off Log'!$C$5:$C$504,"&lt;="&amp;INDEX(Periods!$F$5:$F$57,$B1230)))</f>
        <v/>
      </c>
      <c r="M1230" s="51">
        <f>IF($B1230=1,N(INDEX(Employees!$N$5:$N$29,$A1230)),P1229)</f>
        <v/>
      </c>
      <c r="N1230" s="51">
        <f>IF(INDEX(Employees!$L$5:$L$29,$A1230)="",K1230,MAX(0,MIN(K1230,INDEX(Employees!$L$5:$L$29,$A1230)-(M1230-L1230))))</f>
        <v/>
      </c>
      <c r="O1230" s="51">
        <f>K1230-N1230</f>
        <v/>
      </c>
      <c r="P1230" s="51">
        <f>M1230-L1230+N1230</f>
        <v/>
      </c>
      <c r="Q1230" s="51">
        <f>IF($G1230=0,0,IF(INDEX(Employees!$P$5:$P$29,$A1230)="Per pay period",(N(INDEX(Employees!$Q$5:$Q$29,$A1230)))/Settings!$B$13,IF(INDEX(Employees!$P$5:$P$29,$A1230)="Per hour worked",N(INDEX(Employees!$R$5:$R$29,$A1230))*$I1230,IF(INDEX(Employees!$P$5:$P$29,$A1230)="Front-loaded",IF(OR($B1230=1,N($G1229)=0),N(INDEX(Employees!$Q$5:$Q$29,$A1230)),0),0))))</f>
        <v/>
      </c>
      <c r="R1230" s="51">
        <f>IF($F1230=0,0,SUMIFS('Time Off Log'!$H$5:$H$504,'Time Off Log'!$A$5:$A$504,$C1230,'Time Off Log'!$B$5:$B$504,"Sick",'Time Off Log'!$E$5:$E$504,"Approved",'Time Off Log'!$C$5:$C$504,"&gt;="&amp;INDEX(Periods!$E$5:$E$57,$B1230),'Time Off Log'!$C$5:$C$504,"&lt;="&amp;INDEX(Periods!$F$5:$F$57,$B1230)))</f>
        <v/>
      </c>
      <c r="S1230" s="51">
        <f>IF($B1230=1,N(INDEX(Employees!$T$5:$T$29,$A1230)),V1229)</f>
        <v/>
      </c>
      <c r="T1230" s="51">
        <f>IF(INDEX(Employees!$S$5:$S$29,$A1230)="",Q1230,MAX(0,MIN(Q1230,INDEX(Employees!$S$5:$S$29,$A1230)-(S1230-R1230))))</f>
        <v/>
      </c>
      <c r="U1230" s="51">
        <f>Q1230-T1230</f>
        <v/>
      </c>
      <c r="V1230" s="51">
        <f>S1230-R1230+T1230</f>
        <v/>
      </c>
    </row>
    <row r="1231">
      <c r="A1231" s="50" t="n">
        <v>24</v>
      </c>
      <c r="B1231" s="50" t="n">
        <v>8</v>
      </c>
      <c r="C1231" s="51">
        <f>INDEX(Employees!$B$5:$B$29,$A1231)&amp;""</f>
        <v/>
      </c>
      <c r="D1231" s="52">
        <f>INDEX(Periods!$B$5:$B$57,$B1231)</f>
        <v/>
      </c>
      <c r="E1231" s="52">
        <f>INDEX(Periods!$C$5:$C$57,$B1231)</f>
        <v/>
      </c>
      <c r="F1231" s="50">
        <f>IF(AND($C1231&lt;&gt;"",INDEX(Periods!$D$5:$D$57,$B1231)=1),1,0)</f>
        <v/>
      </c>
      <c r="G1231" s="50">
        <f>IF($F1231=0,0,IF(AND(OR(INDEX(Employees!$D$5:$D$29,$A1231)="",$E1231&gt;=INDEX(Employees!$D$5:$D$29,$A1231)+N(INDEX(Employees!$U$5:$U$29,$A1231))),OR(INDEX(Employees!$E$5:$E$29,$A1231)="",$D1231&lt;=INDEX(Employees!$E$5:$E$29,$A1231))),1,0))</f>
        <v/>
      </c>
      <c r="H1231" s="50">
        <f>IF($G1231=0,0,IF(INDEX(Employees!$D$5:$D$29,$A1231)="",0,DATEDIF(INDEX(Employees!$D$5:$D$29,$A1231),$E1231,"y")))</f>
        <v/>
      </c>
      <c r="I1231" s="51">
        <f>IF($G1231=0,0,IF(INDEX('Hours Worked'!$D$5:$BD$29,$A1231,$B1231)="",N(INDEX(Employees!$H$5:$H$29,$A1231)),INDEX('Hours Worked'!$D$5:$BD$29,$A1231,$B1231)))</f>
        <v/>
      </c>
      <c r="J1231" s="51">
        <f>IF(OR($G1231=0,INDEX(Employees!$O$5:$O$29,$A1231)&lt;&gt;"Yes"),0,IF(COUNTIF(Settings!$D$4:$D$9,"&lt;="&amp;$H1231)=0,0,INDEX(Settings!$E$4:$E$9,COUNTIF(Settings!$D$4:$D$9,"&lt;="&amp;$H1231))))</f>
        <v/>
      </c>
      <c r="K1231" s="51">
        <f>IF($G1231=0,0,IF(INDEX(Employees!$I$5:$I$29,$A1231)="Per pay period",(N(INDEX(Employees!$J$5:$J$29,$A1231))+$J1231)/Settings!$B$13,IF(INDEX(Employees!$I$5:$I$29,$A1231)="Per hour worked",N(INDEX(Employees!$K$5:$K$29,$A1231))*$I1231,IF(INDEX(Employees!$I$5:$I$29,$A1231)="Front-loaded",IF(OR($B1231=1,N($G1230)=0),N(INDEX(Employees!$J$5:$J$29,$A1231))+$J1231,0),0))))</f>
        <v/>
      </c>
      <c r="L1231" s="51">
        <f>IF($F1231=0,0,SUMIFS('Time Off Log'!$H$5:$H$504,'Time Off Log'!$A$5:$A$504,$C1231,'Time Off Log'!$B$5:$B$504,"PTO",'Time Off Log'!$E$5:$E$504,"Approved",'Time Off Log'!$C$5:$C$504,"&gt;="&amp;INDEX(Periods!$E$5:$E$57,$B1231),'Time Off Log'!$C$5:$C$504,"&lt;="&amp;INDEX(Periods!$F$5:$F$57,$B1231)))</f>
        <v/>
      </c>
      <c r="M1231" s="51">
        <f>IF($B1231=1,N(INDEX(Employees!$N$5:$N$29,$A1231)),P1230)</f>
        <v/>
      </c>
      <c r="N1231" s="51">
        <f>IF(INDEX(Employees!$L$5:$L$29,$A1231)="",K1231,MAX(0,MIN(K1231,INDEX(Employees!$L$5:$L$29,$A1231)-(M1231-L1231))))</f>
        <v/>
      </c>
      <c r="O1231" s="51">
        <f>K1231-N1231</f>
        <v/>
      </c>
      <c r="P1231" s="51">
        <f>M1231-L1231+N1231</f>
        <v/>
      </c>
      <c r="Q1231" s="51">
        <f>IF($G1231=0,0,IF(INDEX(Employees!$P$5:$P$29,$A1231)="Per pay period",(N(INDEX(Employees!$Q$5:$Q$29,$A1231)))/Settings!$B$13,IF(INDEX(Employees!$P$5:$P$29,$A1231)="Per hour worked",N(INDEX(Employees!$R$5:$R$29,$A1231))*$I1231,IF(INDEX(Employees!$P$5:$P$29,$A1231)="Front-loaded",IF(OR($B1231=1,N($G1230)=0),N(INDEX(Employees!$Q$5:$Q$29,$A1231)),0),0))))</f>
        <v/>
      </c>
      <c r="R1231" s="51">
        <f>IF($F1231=0,0,SUMIFS('Time Off Log'!$H$5:$H$504,'Time Off Log'!$A$5:$A$504,$C1231,'Time Off Log'!$B$5:$B$504,"Sick",'Time Off Log'!$E$5:$E$504,"Approved",'Time Off Log'!$C$5:$C$504,"&gt;="&amp;INDEX(Periods!$E$5:$E$57,$B1231),'Time Off Log'!$C$5:$C$504,"&lt;="&amp;INDEX(Periods!$F$5:$F$57,$B1231)))</f>
        <v/>
      </c>
      <c r="S1231" s="51">
        <f>IF($B1231=1,N(INDEX(Employees!$T$5:$T$29,$A1231)),V1230)</f>
        <v/>
      </c>
      <c r="T1231" s="51">
        <f>IF(INDEX(Employees!$S$5:$S$29,$A1231)="",Q1231,MAX(0,MIN(Q1231,INDEX(Employees!$S$5:$S$29,$A1231)-(S1231-R1231))))</f>
        <v/>
      </c>
      <c r="U1231" s="51">
        <f>Q1231-T1231</f>
        <v/>
      </c>
      <c r="V1231" s="51">
        <f>S1231-R1231+T1231</f>
        <v/>
      </c>
    </row>
    <row r="1232">
      <c r="A1232" s="50" t="n">
        <v>24</v>
      </c>
      <c r="B1232" s="50" t="n">
        <v>9</v>
      </c>
      <c r="C1232" s="51">
        <f>INDEX(Employees!$B$5:$B$29,$A1232)&amp;""</f>
        <v/>
      </c>
      <c r="D1232" s="52">
        <f>INDEX(Periods!$B$5:$B$57,$B1232)</f>
        <v/>
      </c>
      <c r="E1232" s="52">
        <f>INDEX(Periods!$C$5:$C$57,$B1232)</f>
        <v/>
      </c>
      <c r="F1232" s="50">
        <f>IF(AND($C1232&lt;&gt;"",INDEX(Periods!$D$5:$D$57,$B1232)=1),1,0)</f>
        <v/>
      </c>
      <c r="G1232" s="50">
        <f>IF($F1232=0,0,IF(AND(OR(INDEX(Employees!$D$5:$D$29,$A1232)="",$E1232&gt;=INDEX(Employees!$D$5:$D$29,$A1232)+N(INDEX(Employees!$U$5:$U$29,$A1232))),OR(INDEX(Employees!$E$5:$E$29,$A1232)="",$D1232&lt;=INDEX(Employees!$E$5:$E$29,$A1232))),1,0))</f>
        <v/>
      </c>
      <c r="H1232" s="50">
        <f>IF($G1232=0,0,IF(INDEX(Employees!$D$5:$D$29,$A1232)="",0,DATEDIF(INDEX(Employees!$D$5:$D$29,$A1232),$E1232,"y")))</f>
        <v/>
      </c>
      <c r="I1232" s="51">
        <f>IF($G1232=0,0,IF(INDEX('Hours Worked'!$D$5:$BD$29,$A1232,$B1232)="",N(INDEX(Employees!$H$5:$H$29,$A1232)),INDEX('Hours Worked'!$D$5:$BD$29,$A1232,$B1232)))</f>
        <v/>
      </c>
      <c r="J1232" s="51">
        <f>IF(OR($G1232=0,INDEX(Employees!$O$5:$O$29,$A1232)&lt;&gt;"Yes"),0,IF(COUNTIF(Settings!$D$4:$D$9,"&lt;="&amp;$H1232)=0,0,INDEX(Settings!$E$4:$E$9,COUNTIF(Settings!$D$4:$D$9,"&lt;="&amp;$H1232))))</f>
        <v/>
      </c>
      <c r="K1232" s="51">
        <f>IF($G1232=0,0,IF(INDEX(Employees!$I$5:$I$29,$A1232)="Per pay period",(N(INDEX(Employees!$J$5:$J$29,$A1232))+$J1232)/Settings!$B$13,IF(INDEX(Employees!$I$5:$I$29,$A1232)="Per hour worked",N(INDEX(Employees!$K$5:$K$29,$A1232))*$I1232,IF(INDEX(Employees!$I$5:$I$29,$A1232)="Front-loaded",IF(OR($B1232=1,N($G1231)=0),N(INDEX(Employees!$J$5:$J$29,$A1232))+$J1232,0),0))))</f>
        <v/>
      </c>
      <c r="L1232" s="51">
        <f>IF($F1232=0,0,SUMIFS('Time Off Log'!$H$5:$H$504,'Time Off Log'!$A$5:$A$504,$C1232,'Time Off Log'!$B$5:$B$504,"PTO",'Time Off Log'!$E$5:$E$504,"Approved",'Time Off Log'!$C$5:$C$504,"&gt;="&amp;INDEX(Periods!$E$5:$E$57,$B1232),'Time Off Log'!$C$5:$C$504,"&lt;="&amp;INDEX(Periods!$F$5:$F$57,$B1232)))</f>
        <v/>
      </c>
      <c r="M1232" s="51">
        <f>IF($B1232=1,N(INDEX(Employees!$N$5:$N$29,$A1232)),P1231)</f>
        <v/>
      </c>
      <c r="N1232" s="51">
        <f>IF(INDEX(Employees!$L$5:$L$29,$A1232)="",K1232,MAX(0,MIN(K1232,INDEX(Employees!$L$5:$L$29,$A1232)-(M1232-L1232))))</f>
        <v/>
      </c>
      <c r="O1232" s="51">
        <f>K1232-N1232</f>
        <v/>
      </c>
      <c r="P1232" s="51">
        <f>M1232-L1232+N1232</f>
        <v/>
      </c>
      <c r="Q1232" s="51">
        <f>IF($G1232=0,0,IF(INDEX(Employees!$P$5:$P$29,$A1232)="Per pay period",(N(INDEX(Employees!$Q$5:$Q$29,$A1232)))/Settings!$B$13,IF(INDEX(Employees!$P$5:$P$29,$A1232)="Per hour worked",N(INDEX(Employees!$R$5:$R$29,$A1232))*$I1232,IF(INDEX(Employees!$P$5:$P$29,$A1232)="Front-loaded",IF(OR($B1232=1,N($G1231)=0),N(INDEX(Employees!$Q$5:$Q$29,$A1232)),0),0))))</f>
        <v/>
      </c>
      <c r="R1232" s="51">
        <f>IF($F1232=0,0,SUMIFS('Time Off Log'!$H$5:$H$504,'Time Off Log'!$A$5:$A$504,$C1232,'Time Off Log'!$B$5:$B$504,"Sick",'Time Off Log'!$E$5:$E$504,"Approved",'Time Off Log'!$C$5:$C$504,"&gt;="&amp;INDEX(Periods!$E$5:$E$57,$B1232),'Time Off Log'!$C$5:$C$504,"&lt;="&amp;INDEX(Periods!$F$5:$F$57,$B1232)))</f>
        <v/>
      </c>
      <c r="S1232" s="51">
        <f>IF($B1232=1,N(INDEX(Employees!$T$5:$T$29,$A1232)),V1231)</f>
        <v/>
      </c>
      <c r="T1232" s="51">
        <f>IF(INDEX(Employees!$S$5:$S$29,$A1232)="",Q1232,MAX(0,MIN(Q1232,INDEX(Employees!$S$5:$S$29,$A1232)-(S1232-R1232))))</f>
        <v/>
      </c>
      <c r="U1232" s="51">
        <f>Q1232-T1232</f>
        <v/>
      </c>
      <c r="V1232" s="51">
        <f>S1232-R1232+T1232</f>
        <v/>
      </c>
    </row>
    <row r="1233">
      <c r="A1233" s="50" t="n">
        <v>24</v>
      </c>
      <c r="B1233" s="50" t="n">
        <v>10</v>
      </c>
      <c r="C1233" s="51">
        <f>INDEX(Employees!$B$5:$B$29,$A1233)&amp;""</f>
        <v/>
      </c>
      <c r="D1233" s="52">
        <f>INDEX(Periods!$B$5:$B$57,$B1233)</f>
        <v/>
      </c>
      <c r="E1233" s="52">
        <f>INDEX(Periods!$C$5:$C$57,$B1233)</f>
        <v/>
      </c>
      <c r="F1233" s="50">
        <f>IF(AND($C1233&lt;&gt;"",INDEX(Periods!$D$5:$D$57,$B1233)=1),1,0)</f>
        <v/>
      </c>
      <c r="G1233" s="50">
        <f>IF($F1233=0,0,IF(AND(OR(INDEX(Employees!$D$5:$D$29,$A1233)="",$E1233&gt;=INDEX(Employees!$D$5:$D$29,$A1233)+N(INDEX(Employees!$U$5:$U$29,$A1233))),OR(INDEX(Employees!$E$5:$E$29,$A1233)="",$D1233&lt;=INDEX(Employees!$E$5:$E$29,$A1233))),1,0))</f>
        <v/>
      </c>
      <c r="H1233" s="50">
        <f>IF($G1233=0,0,IF(INDEX(Employees!$D$5:$D$29,$A1233)="",0,DATEDIF(INDEX(Employees!$D$5:$D$29,$A1233),$E1233,"y")))</f>
        <v/>
      </c>
      <c r="I1233" s="51">
        <f>IF($G1233=0,0,IF(INDEX('Hours Worked'!$D$5:$BD$29,$A1233,$B1233)="",N(INDEX(Employees!$H$5:$H$29,$A1233)),INDEX('Hours Worked'!$D$5:$BD$29,$A1233,$B1233)))</f>
        <v/>
      </c>
      <c r="J1233" s="51">
        <f>IF(OR($G1233=0,INDEX(Employees!$O$5:$O$29,$A1233)&lt;&gt;"Yes"),0,IF(COUNTIF(Settings!$D$4:$D$9,"&lt;="&amp;$H1233)=0,0,INDEX(Settings!$E$4:$E$9,COUNTIF(Settings!$D$4:$D$9,"&lt;="&amp;$H1233))))</f>
        <v/>
      </c>
      <c r="K1233" s="51">
        <f>IF($G1233=0,0,IF(INDEX(Employees!$I$5:$I$29,$A1233)="Per pay period",(N(INDEX(Employees!$J$5:$J$29,$A1233))+$J1233)/Settings!$B$13,IF(INDEX(Employees!$I$5:$I$29,$A1233)="Per hour worked",N(INDEX(Employees!$K$5:$K$29,$A1233))*$I1233,IF(INDEX(Employees!$I$5:$I$29,$A1233)="Front-loaded",IF(OR($B1233=1,N($G1232)=0),N(INDEX(Employees!$J$5:$J$29,$A1233))+$J1233,0),0))))</f>
        <v/>
      </c>
      <c r="L1233" s="51">
        <f>IF($F1233=0,0,SUMIFS('Time Off Log'!$H$5:$H$504,'Time Off Log'!$A$5:$A$504,$C1233,'Time Off Log'!$B$5:$B$504,"PTO",'Time Off Log'!$E$5:$E$504,"Approved",'Time Off Log'!$C$5:$C$504,"&gt;="&amp;INDEX(Periods!$E$5:$E$57,$B1233),'Time Off Log'!$C$5:$C$504,"&lt;="&amp;INDEX(Periods!$F$5:$F$57,$B1233)))</f>
        <v/>
      </c>
      <c r="M1233" s="51">
        <f>IF($B1233=1,N(INDEX(Employees!$N$5:$N$29,$A1233)),P1232)</f>
        <v/>
      </c>
      <c r="N1233" s="51">
        <f>IF(INDEX(Employees!$L$5:$L$29,$A1233)="",K1233,MAX(0,MIN(K1233,INDEX(Employees!$L$5:$L$29,$A1233)-(M1233-L1233))))</f>
        <v/>
      </c>
      <c r="O1233" s="51">
        <f>K1233-N1233</f>
        <v/>
      </c>
      <c r="P1233" s="51">
        <f>M1233-L1233+N1233</f>
        <v/>
      </c>
      <c r="Q1233" s="51">
        <f>IF($G1233=0,0,IF(INDEX(Employees!$P$5:$P$29,$A1233)="Per pay period",(N(INDEX(Employees!$Q$5:$Q$29,$A1233)))/Settings!$B$13,IF(INDEX(Employees!$P$5:$P$29,$A1233)="Per hour worked",N(INDEX(Employees!$R$5:$R$29,$A1233))*$I1233,IF(INDEX(Employees!$P$5:$P$29,$A1233)="Front-loaded",IF(OR($B1233=1,N($G1232)=0),N(INDEX(Employees!$Q$5:$Q$29,$A1233)),0),0))))</f>
        <v/>
      </c>
      <c r="R1233" s="51">
        <f>IF($F1233=0,0,SUMIFS('Time Off Log'!$H$5:$H$504,'Time Off Log'!$A$5:$A$504,$C1233,'Time Off Log'!$B$5:$B$504,"Sick",'Time Off Log'!$E$5:$E$504,"Approved",'Time Off Log'!$C$5:$C$504,"&gt;="&amp;INDEX(Periods!$E$5:$E$57,$B1233),'Time Off Log'!$C$5:$C$504,"&lt;="&amp;INDEX(Periods!$F$5:$F$57,$B1233)))</f>
        <v/>
      </c>
      <c r="S1233" s="51">
        <f>IF($B1233=1,N(INDEX(Employees!$T$5:$T$29,$A1233)),V1232)</f>
        <v/>
      </c>
      <c r="T1233" s="51">
        <f>IF(INDEX(Employees!$S$5:$S$29,$A1233)="",Q1233,MAX(0,MIN(Q1233,INDEX(Employees!$S$5:$S$29,$A1233)-(S1233-R1233))))</f>
        <v/>
      </c>
      <c r="U1233" s="51">
        <f>Q1233-T1233</f>
        <v/>
      </c>
      <c r="V1233" s="51">
        <f>S1233-R1233+T1233</f>
        <v/>
      </c>
    </row>
    <row r="1234">
      <c r="A1234" s="50" t="n">
        <v>24</v>
      </c>
      <c r="B1234" s="50" t="n">
        <v>11</v>
      </c>
      <c r="C1234" s="51">
        <f>INDEX(Employees!$B$5:$B$29,$A1234)&amp;""</f>
        <v/>
      </c>
      <c r="D1234" s="52">
        <f>INDEX(Periods!$B$5:$B$57,$B1234)</f>
        <v/>
      </c>
      <c r="E1234" s="52">
        <f>INDEX(Periods!$C$5:$C$57,$B1234)</f>
        <v/>
      </c>
      <c r="F1234" s="50">
        <f>IF(AND($C1234&lt;&gt;"",INDEX(Periods!$D$5:$D$57,$B1234)=1),1,0)</f>
        <v/>
      </c>
      <c r="G1234" s="50">
        <f>IF($F1234=0,0,IF(AND(OR(INDEX(Employees!$D$5:$D$29,$A1234)="",$E1234&gt;=INDEX(Employees!$D$5:$D$29,$A1234)+N(INDEX(Employees!$U$5:$U$29,$A1234))),OR(INDEX(Employees!$E$5:$E$29,$A1234)="",$D1234&lt;=INDEX(Employees!$E$5:$E$29,$A1234))),1,0))</f>
        <v/>
      </c>
      <c r="H1234" s="50">
        <f>IF($G1234=0,0,IF(INDEX(Employees!$D$5:$D$29,$A1234)="",0,DATEDIF(INDEX(Employees!$D$5:$D$29,$A1234),$E1234,"y")))</f>
        <v/>
      </c>
      <c r="I1234" s="51">
        <f>IF($G1234=0,0,IF(INDEX('Hours Worked'!$D$5:$BD$29,$A1234,$B1234)="",N(INDEX(Employees!$H$5:$H$29,$A1234)),INDEX('Hours Worked'!$D$5:$BD$29,$A1234,$B1234)))</f>
        <v/>
      </c>
      <c r="J1234" s="51">
        <f>IF(OR($G1234=0,INDEX(Employees!$O$5:$O$29,$A1234)&lt;&gt;"Yes"),0,IF(COUNTIF(Settings!$D$4:$D$9,"&lt;="&amp;$H1234)=0,0,INDEX(Settings!$E$4:$E$9,COUNTIF(Settings!$D$4:$D$9,"&lt;="&amp;$H1234))))</f>
        <v/>
      </c>
      <c r="K1234" s="51">
        <f>IF($G1234=0,0,IF(INDEX(Employees!$I$5:$I$29,$A1234)="Per pay period",(N(INDEX(Employees!$J$5:$J$29,$A1234))+$J1234)/Settings!$B$13,IF(INDEX(Employees!$I$5:$I$29,$A1234)="Per hour worked",N(INDEX(Employees!$K$5:$K$29,$A1234))*$I1234,IF(INDEX(Employees!$I$5:$I$29,$A1234)="Front-loaded",IF(OR($B1234=1,N($G1233)=0),N(INDEX(Employees!$J$5:$J$29,$A1234))+$J1234,0),0))))</f>
        <v/>
      </c>
      <c r="L1234" s="51">
        <f>IF($F1234=0,0,SUMIFS('Time Off Log'!$H$5:$H$504,'Time Off Log'!$A$5:$A$504,$C1234,'Time Off Log'!$B$5:$B$504,"PTO",'Time Off Log'!$E$5:$E$504,"Approved",'Time Off Log'!$C$5:$C$504,"&gt;="&amp;INDEX(Periods!$E$5:$E$57,$B1234),'Time Off Log'!$C$5:$C$504,"&lt;="&amp;INDEX(Periods!$F$5:$F$57,$B1234)))</f>
        <v/>
      </c>
      <c r="M1234" s="51">
        <f>IF($B1234=1,N(INDEX(Employees!$N$5:$N$29,$A1234)),P1233)</f>
        <v/>
      </c>
      <c r="N1234" s="51">
        <f>IF(INDEX(Employees!$L$5:$L$29,$A1234)="",K1234,MAX(0,MIN(K1234,INDEX(Employees!$L$5:$L$29,$A1234)-(M1234-L1234))))</f>
        <v/>
      </c>
      <c r="O1234" s="51">
        <f>K1234-N1234</f>
        <v/>
      </c>
      <c r="P1234" s="51">
        <f>M1234-L1234+N1234</f>
        <v/>
      </c>
      <c r="Q1234" s="51">
        <f>IF($G1234=0,0,IF(INDEX(Employees!$P$5:$P$29,$A1234)="Per pay period",(N(INDEX(Employees!$Q$5:$Q$29,$A1234)))/Settings!$B$13,IF(INDEX(Employees!$P$5:$P$29,$A1234)="Per hour worked",N(INDEX(Employees!$R$5:$R$29,$A1234))*$I1234,IF(INDEX(Employees!$P$5:$P$29,$A1234)="Front-loaded",IF(OR($B1234=1,N($G1233)=0),N(INDEX(Employees!$Q$5:$Q$29,$A1234)),0),0))))</f>
        <v/>
      </c>
      <c r="R1234" s="51">
        <f>IF($F1234=0,0,SUMIFS('Time Off Log'!$H$5:$H$504,'Time Off Log'!$A$5:$A$504,$C1234,'Time Off Log'!$B$5:$B$504,"Sick",'Time Off Log'!$E$5:$E$504,"Approved",'Time Off Log'!$C$5:$C$504,"&gt;="&amp;INDEX(Periods!$E$5:$E$57,$B1234),'Time Off Log'!$C$5:$C$504,"&lt;="&amp;INDEX(Periods!$F$5:$F$57,$B1234)))</f>
        <v/>
      </c>
      <c r="S1234" s="51">
        <f>IF($B1234=1,N(INDEX(Employees!$T$5:$T$29,$A1234)),V1233)</f>
        <v/>
      </c>
      <c r="T1234" s="51">
        <f>IF(INDEX(Employees!$S$5:$S$29,$A1234)="",Q1234,MAX(0,MIN(Q1234,INDEX(Employees!$S$5:$S$29,$A1234)-(S1234-R1234))))</f>
        <v/>
      </c>
      <c r="U1234" s="51">
        <f>Q1234-T1234</f>
        <v/>
      </c>
      <c r="V1234" s="51">
        <f>S1234-R1234+T1234</f>
        <v/>
      </c>
    </row>
    <row r="1235">
      <c r="A1235" s="50" t="n">
        <v>24</v>
      </c>
      <c r="B1235" s="50" t="n">
        <v>12</v>
      </c>
      <c r="C1235" s="51">
        <f>INDEX(Employees!$B$5:$B$29,$A1235)&amp;""</f>
        <v/>
      </c>
      <c r="D1235" s="52">
        <f>INDEX(Periods!$B$5:$B$57,$B1235)</f>
        <v/>
      </c>
      <c r="E1235" s="52">
        <f>INDEX(Periods!$C$5:$C$57,$B1235)</f>
        <v/>
      </c>
      <c r="F1235" s="50">
        <f>IF(AND($C1235&lt;&gt;"",INDEX(Periods!$D$5:$D$57,$B1235)=1),1,0)</f>
        <v/>
      </c>
      <c r="G1235" s="50">
        <f>IF($F1235=0,0,IF(AND(OR(INDEX(Employees!$D$5:$D$29,$A1235)="",$E1235&gt;=INDEX(Employees!$D$5:$D$29,$A1235)+N(INDEX(Employees!$U$5:$U$29,$A1235))),OR(INDEX(Employees!$E$5:$E$29,$A1235)="",$D1235&lt;=INDEX(Employees!$E$5:$E$29,$A1235))),1,0))</f>
        <v/>
      </c>
      <c r="H1235" s="50">
        <f>IF($G1235=0,0,IF(INDEX(Employees!$D$5:$D$29,$A1235)="",0,DATEDIF(INDEX(Employees!$D$5:$D$29,$A1235),$E1235,"y")))</f>
        <v/>
      </c>
      <c r="I1235" s="51">
        <f>IF($G1235=0,0,IF(INDEX('Hours Worked'!$D$5:$BD$29,$A1235,$B1235)="",N(INDEX(Employees!$H$5:$H$29,$A1235)),INDEX('Hours Worked'!$D$5:$BD$29,$A1235,$B1235)))</f>
        <v/>
      </c>
      <c r="J1235" s="51">
        <f>IF(OR($G1235=0,INDEX(Employees!$O$5:$O$29,$A1235)&lt;&gt;"Yes"),0,IF(COUNTIF(Settings!$D$4:$D$9,"&lt;="&amp;$H1235)=0,0,INDEX(Settings!$E$4:$E$9,COUNTIF(Settings!$D$4:$D$9,"&lt;="&amp;$H1235))))</f>
        <v/>
      </c>
      <c r="K1235" s="51">
        <f>IF($G1235=0,0,IF(INDEX(Employees!$I$5:$I$29,$A1235)="Per pay period",(N(INDEX(Employees!$J$5:$J$29,$A1235))+$J1235)/Settings!$B$13,IF(INDEX(Employees!$I$5:$I$29,$A1235)="Per hour worked",N(INDEX(Employees!$K$5:$K$29,$A1235))*$I1235,IF(INDEX(Employees!$I$5:$I$29,$A1235)="Front-loaded",IF(OR($B1235=1,N($G1234)=0),N(INDEX(Employees!$J$5:$J$29,$A1235))+$J1235,0),0))))</f>
        <v/>
      </c>
      <c r="L1235" s="51">
        <f>IF($F1235=0,0,SUMIFS('Time Off Log'!$H$5:$H$504,'Time Off Log'!$A$5:$A$504,$C1235,'Time Off Log'!$B$5:$B$504,"PTO",'Time Off Log'!$E$5:$E$504,"Approved",'Time Off Log'!$C$5:$C$504,"&gt;="&amp;INDEX(Periods!$E$5:$E$57,$B1235),'Time Off Log'!$C$5:$C$504,"&lt;="&amp;INDEX(Periods!$F$5:$F$57,$B1235)))</f>
        <v/>
      </c>
      <c r="M1235" s="51">
        <f>IF($B1235=1,N(INDEX(Employees!$N$5:$N$29,$A1235)),P1234)</f>
        <v/>
      </c>
      <c r="N1235" s="51">
        <f>IF(INDEX(Employees!$L$5:$L$29,$A1235)="",K1235,MAX(0,MIN(K1235,INDEX(Employees!$L$5:$L$29,$A1235)-(M1235-L1235))))</f>
        <v/>
      </c>
      <c r="O1235" s="51">
        <f>K1235-N1235</f>
        <v/>
      </c>
      <c r="P1235" s="51">
        <f>M1235-L1235+N1235</f>
        <v/>
      </c>
      <c r="Q1235" s="51">
        <f>IF($G1235=0,0,IF(INDEX(Employees!$P$5:$P$29,$A1235)="Per pay period",(N(INDEX(Employees!$Q$5:$Q$29,$A1235)))/Settings!$B$13,IF(INDEX(Employees!$P$5:$P$29,$A1235)="Per hour worked",N(INDEX(Employees!$R$5:$R$29,$A1235))*$I1235,IF(INDEX(Employees!$P$5:$P$29,$A1235)="Front-loaded",IF(OR($B1235=1,N($G1234)=0),N(INDEX(Employees!$Q$5:$Q$29,$A1235)),0),0))))</f>
        <v/>
      </c>
      <c r="R1235" s="51">
        <f>IF($F1235=0,0,SUMIFS('Time Off Log'!$H$5:$H$504,'Time Off Log'!$A$5:$A$504,$C1235,'Time Off Log'!$B$5:$B$504,"Sick",'Time Off Log'!$E$5:$E$504,"Approved",'Time Off Log'!$C$5:$C$504,"&gt;="&amp;INDEX(Periods!$E$5:$E$57,$B1235),'Time Off Log'!$C$5:$C$504,"&lt;="&amp;INDEX(Periods!$F$5:$F$57,$B1235)))</f>
        <v/>
      </c>
      <c r="S1235" s="51">
        <f>IF($B1235=1,N(INDEX(Employees!$T$5:$T$29,$A1235)),V1234)</f>
        <v/>
      </c>
      <c r="T1235" s="51">
        <f>IF(INDEX(Employees!$S$5:$S$29,$A1235)="",Q1235,MAX(0,MIN(Q1235,INDEX(Employees!$S$5:$S$29,$A1235)-(S1235-R1235))))</f>
        <v/>
      </c>
      <c r="U1235" s="51">
        <f>Q1235-T1235</f>
        <v/>
      </c>
      <c r="V1235" s="51">
        <f>S1235-R1235+T1235</f>
        <v/>
      </c>
    </row>
    <row r="1236">
      <c r="A1236" s="50" t="n">
        <v>24</v>
      </c>
      <c r="B1236" s="50" t="n">
        <v>13</v>
      </c>
      <c r="C1236" s="51">
        <f>INDEX(Employees!$B$5:$B$29,$A1236)&amp;""</f>
        <v/>
      </c>
      <c r="D1236" s="52">
        <f>INDEX(Periods!$B$5:$B$57,$B1236)</f>
        <v/>
      </c>
      <c r="E1236" s="52">
        <f>INDEX(Periods!$C$5:$C$57,$B1236)</f>
        <v/>
      </c>
      <c r="F1236" s="50">
        <f>IF(AND($C1236&lt;&gt;"",INDEX(Periods!$D$5:$D$57,$B1236)=1),1,0)</f>
        <v/>
      </c>
      <c r="G1236" s="50">
        <f>IF($F1236=0,0,IF(AND(OR(INDEX(Employees!$D$5:$D$29,$A1236)="",$E1236&gt;=INDEX(Employees!$D$5:$D$29,$A1236)+N(INDEX(Employees!$U$5:$U$29,$A1236))),OR(INDEX(Employees!$E$5:$E$29,$A1236)="",$D1236&lt;=INDEX(Employees!$E$5:$E$29,$A1236))),1,0))</f>
        <v/>
      </c>
      <c r="H1236" s="50">
        <f>IF($G1236=0,0,IF(INDEX(Employees!$D$5:$D$29,$A1236)="",0,DATEDIF(INDEX(Employees!$D$5:$D$29,$A1236),$E1236,"y")))</f>
        <v/>
      </c>
      <c r="I1236" s="51">
        <f>IF($G1236=0,0,IF(INDEX('Hours Worked'!$D$5:$BD$29,$A1236,$B1236)="",N(INDEX(Employees!$H$5:$H$29,$A1236)),INDEX('Hours Worked'!$D$5:$BD$29,$A1236,$B1236)))</f>
        <v/>
      </c>
      <c r="J1236" s="51">
        <f>IF(OR($G1236=0,INDEX(Employees!$O$5:$O$29,$A1236)&lt;&gt;"Yes"),0,IF(COUNTIF(Settings!$D$4:$D$9,"&lt;="&amp;$H1236)=0,0,INDEX(Settings!$E$4:$E$9,COUNTIF(Settings!$D$4:$D$9,"&lt;="&amp;$H1236))))</f>
        <v/>
      </c>
      <c r="K1236" s="51">
        <f>IF($G1236=0,0,IF(INDEX(Employees!$I$5:$I$29,$A1236)="Per pay period",(N(INDEX(Employees!$J$5:$J$29,$A1236))+$J1236)/Settings!$B$13,IF(INDEX(Employees!$I$5:$I$29,$A1236)="Per hour worked",N(INDEX(Employees!$K$5:$K$29,$A1236))*$I1236,IF(INDEX(Employees!$I$5:$I$29,$A1236)="Front-loaded",IF(OR($B1236=1,N($G1235)=0),N(INDEX(Employees!$J$5:$J$29,$A1236))+$J1236,0),0))))</f>
        <v/>
      </c>
      <c r="L1236" s="51">
        <f>IF($F1236=0,0,SUMIFS('Time Off Log'!$H$5:$H$504,'Time Off Log'!$A$5:$A$504,$C1236,'Time Off Log'!$B$5:$B$504,"PTO",'Time Off Log'!$E$5:$E$504,"Approved",'Time Off Log'!$C$5:$C$504,"&gt;="&amp;INDEX(Periods!$E$5:$E$57,$B1236),'Time Off Log'!$C$5:$C$504,"&lt;="&amp;INDEX(Periods!$F$5:$F$57,$B1236)))</f>
        <v/>
      </c>
      <c r="M1236" s="51">
        <f>IF($B1236=1,N(INDEX(Employees!$N$5:$N$29,$A1236)),P1235)</f>
        <v/>
      </c>
      <c r="N1236" s="51">
        <f>IF(INDEX(Employees!$L$5:$L$29,$A1236)="",K1236,MAX(0,MIN(K1236,INDEX(Employees!$L$5:$L$29,$A1236)-(M1236-L1236))))</f>
        <v/>
      </c>
      <c r="O1236" s="51">
        <f>K1236-N1236</f>
        <v/>
      </c>
      <c r="P1236" s="51">
        <f>M1236-L1236+N1236</f>
        <v/>
      </c>
      <c r="Q1236" s="51">
        <f>IF($G1236=0,0,IF(INDEX(Employees!$P$5:$P$29,$A1236)="Per pay period",(N(INDEX(Employees!$Q$5:$Q$29,$A1236)))/Settings!$B$13,IF(INDEX(Employees!$P$5:$P$29,$A1236)="Per hour worked",N(INDEX(Employees!$R$5:$R$29,$A1236))*$I1236,IF(INDEX(Employees!$P$5:$P$29,$A1236)="Front-loaded",IF(OR($B1236=1,N($G1235)=0),N(INDEX(Employees!$Q$5:$Q$29,$A1236)),0),0))))</f>
        <v/>
      </c>
      <c r="R1236" s="51">
        <f>IF($F1236=0,0,SUMIFS('Time Off Log'!$H$5:$H$504,'Time Off Log'!$A$5:$A$504,$C1236,'Time Off Log'!$B$5:$B$504,"Sick",'Time Off Log'!$E$5:$E$504,"Approved",'Time Off Log'!$C$5:$C$504,"&gt;="&amp;INDEX(Periods!$E$5:$E$57,$B1236),'Time Off Log'!$C$5:$C$504,"&lt;="&amp;INDEX(Periods!$F$5:$F$57,$B1236)))</f>
        <v/>
      </c>
      <c r="S1236" s="51">
        <f>IF($B1236=1,N(INDEX(Employees!$T$5:$T$29,$A1236)),V1235)</f>
        <v/>
      </c>
      <c r="T1236" s="51">
        <f>IF(INDEX(Employees!$S$5:$S$29,$A1236)="",Q1236,MAX(0,MIN(Q1236,INDEX(Employees!$S$5:$S$29,$A1236)-(S1236-R1236))))</f>
        <v/>
      </c>
      <c r="U1236" s="51">
        <f>Q1236-T1236</f>
        <v/>
      </c>
      <c r="V1236" s="51">
        <f>S1236-R1236+T1236</f>
        <v/>
      </c>
    </row>
    <row r="1237">
      <c r="A1237" s="50" t="n">
        <v>24</v>
      </c>
      <c r="B1237" s="50" t="n">
        <v>14</v>
      </c>
      <c r="C1237" s="51">
        <f>INDEX(Employees!$B$5:$B$29,$A1237)&amp;""</f>
        <v/>
      </c>
      <c r="D1237" s="52">
        <f>INDEX(Periods!$B$5:$B$57,$B1237)</f>
        <v/>
      </c>
      <c r="E1237" s="52">
        <f>INDEX(Periods!$C$5:$C$57,$B1237)</f>
        <v/>
      </c>
      <c r="F1237" s="50">
        <f>IF(AND($C1237&lt;&gt;"",INDEX(Periods!$D$5:$D$57,$B1237)=1),1,0)</f>
        <v/>
      </c>
      <c r="G1237" s="50">
        <f>IF($F1237=0,0,IF(AND(OR(INDEX(Employees!$D$5:$D$29,$A1237)="",$E1237&gt;=INDEX(Employees!$D$5:$D$29,$A1237)+N(INDEX(Employees!$U$5:$U$29,$A1237))),OR(INDEX(Employees!$E$5:$E$29,$A1237)="",$D1237&lt;=INDEX(Employees!$E$5:$E$29,$A1237))),1,0))</f>
        <v/>
      </c>
      <c r="H1237" s="50">
        <f>IF($G1237=0,0,IF(INDEX(Employees!$D$5:$D$29,$A1237)="",0,DATEDIF(INDEX(Employees!$D$5:$D$29,$A1237),$E1237,"y")))</f>
        <v/>
      </c>
      <c r="I1237" s="51">
        <f>IF($G1237=0,0,IF(INDEX('Hours Worked'!$D$5:$BD$29,$A1237,$B1237)="",N(INDEX(Employees!$H$5:$H$29,$A1237)),INDEX('Hours Worked'!$D$5:$BD$29,$A1237,$B1237)))</f>
        <v/>
      </c>
      <c r="J1237" s="51">
        <f>IF(OR($G1237=0,INDEX(Employees!$O$5:$O$29,$A1237)&lt;&gt;"Yes"),0,IF(COUNTIF(Settings!$D$4:$D$9,"&lt;="&amp;$H1237)=0,0,INDEX(Settings!$E$4:$E$9,COUNTIF(Settings!$D$4:$D$9,"&lt;="&amp;$H1237))))</f>
        <v/>
      </c>
      <c r="K1237" s="51">
        <f>IF($G1237=0,0,IF(INDEX(Employees!$I$5:$I$29,$A1237)="Per pay period",(N(INDEX(Employees!$J$5:$J$29,$A1237))+$J1237)/Settings!$B$13,IF(INDEX(Employees!$I$5:$I$29,$A1237)="Per hour worked",N(INDEX(Employees!$K$5:$K$29,$A1237))*$I1237,IF(INDEX(Employees!$I$5:$I$29,$A1237)="Front-loaded",IF(OR($B1237=1,N($G1236)=0),N(INDEX(Employees!$J$5:$J$29,$A1237))+$J1237,0),0))))</f>
        <v/>
      </c>
      <c r="L1237" s="51">
        <f>IF($F1237=0,0,SUMIFS('Time Off Log'!$H$5:$H$504,'Time Off Log'!$A$5:$A$504,$C1237,'Time Off Log'!$B$5:$B$504,"PTO",'Time Off Log'!$E$5:$E$504,"Approved",'Time Off Log'!$C$5:$C$504,"&gt;="&amp;INDEX(Periods!$E$5:$E$57,$B1237),'Time Off Log'!$C$5:$C$504,"&lt;="&amp;INDEX(Periods!$F$5:$F$57,$B1237)))</f>
        <v/>
      </c>
      <c r="M1237" s="51">
        <f>IF($B1237=1,N(INDEX(Employees!$N$5:$N$29,$A1237)),P1236)</f>
        <v/>
      </c>
      <c r="N1237" s="51">
        <f>IF(INDEX(Employees!$L$5:$L$29,$A1237)="",K1237,MAX(0,MIN(K1237,INDEX(Employees!$L$5:$L$29,$A1237)-(M1237-L1237))))</f>
        <v/>
      </c>
      <c r="O1237" s="51">
        <f>K1237-N1237</f>
        <v/>
      </c>
      <c r="P1237" s="51">
        <f>M1237-L1237+N1237</f>
        <v/>
      </c>
      <c r="Q1237" s="51">
        <f>IF($G1237=0,0,IF(INDEX(Employees!$P$5:$P$29,$A1237)="Per pay period",(N(INDEX(Employees!$Q$5:$Q$29,$A1237)))/Settings!$B$13,IF(INDEX(Employees!$P$5:$P$29,$A1237)="Per hour worked",N(INDEX(Employees!$R$5:$R$29,$A1237))*$I1237,IF(INDEX(Employees!$P$5:$P$29,$A1237)="Front-loaded",IF(OR($B1237=1,N($G1236)=0),N(INDEX(Employees!$Q$5:$Q$29,$A1237)),0),0))))</f>
        <v/>
      </c>
      <c r="R1237" s="51">
        <f>IF($F1237=0,0,SUMIFS('Time Off Log'!$H$5:$H$504,'Time Off Log'!$A$5:$A$504,$C1237,'Time Off Log'!$B$5:$B$504,"Sick",'Time Off Log'!$E$5:$E$504,"Approved",'Time Off Log'!$C$5:$C$504,"&gt;="&amp;INDEX(Periods!$E$5:$E$57,$B1237),'Time Off Log'!$C$5:$C$504,"&lt;="&amp;INDEX(Periods!$F$5:$F$57,$B1237)))</f>
        <v/>
      </c>
      <c r="S1237" s="51">
        <f>IF($B1237=1,N(INDEX(Employees!$T$5:$T$29,$A1237)),V1236)</f>
        <v/>
      </c>
      <c r="T1237" s="51">
        <f>IF(INDEX(Employees!$S$5:$S$29,$A1237)="",Q1237,MAX(0,MIN(Q1237,INDEX(Employees!$S$5:$S$29,$A1237)-(S1237-R1237))))</f>
        <v/>
      </c>
      <c r="U1237" s="51">
        <f>Q1237-T1237</f>
        <v/>
      </c>
      <c r="V1237" s="51">
        <f>S1237-R1237+T1237</f>
        <v/>
      </c>
    </row>
    <row r="1238">
      <c r="A1238" s="50" t="n">
        <v>24</v>
      </c>
      <c r="B1238" s="50" t="n">
        <v>15</v>
      </c>
      <c r="C1238" s="51">
        <f>INDEX(Employees!$B$5:$B$29,$A1238)&amp;""</f>
        <v/>
      </c>
      <c r="D1238" s="52">
        <f>INDEX(Periods!$B$5:$B$57,$B1238)</f>
        <v/>
      </c>
      <c r="E1238" s="52">
        <f>INDEX(Periods!$C$5:$C$57,$B1238)</f>
        <v/>
      </c>
      <c r="F1238" s="50">
        <f>IF(AND($C1238&lt;&gt;"",INDEX(Periods!$D$5:$D$57,$B1238)=1),1,0)</f>
        <v/>
      </c>
      <c r="G1238" s="50">
        <f>IF($F1238=0,0,IF(AND(OR(INDEX(Employees!$D$5:$D$29,$A1238)="",$E1238&gt;=INDEX(Employees!$D$5:$D$29,$A1238)+N(INDEX(Employees!$U$5:$U$29,$A1238))),OR(INDEX(Employees!$E$5:$E$29,$A1238)="",$D1238&lt;=INDEX(Employees!$E$5:$E$29,$A1238))),1,0))</f>
        <v/>
      </c>
      <c r="H1238" s="50">
        <f>IF($G1238=0,0,IF(INDEX(Employees!$D$5:$D$29,$A1238)="",0,DATEDIF(INDEX(Employees!$D$5:$D$29,$A1238),$E1238,"y")))</f>
        <v/>
      </c>
      <c r="I1238" s="51">
        <f>IF($G1238=0,0,IF(INDEX('Hours Worked'!$D$5:$BD$29,$A1238,$B1238)="",N(INDEX(Employees!$H$5:$H$29,$A1238)),INDEX('Hours Worked'!$D$5:$BD$29,$A1238,$B1238)))</f>
        <v/>
      </c>
      <c r="J1238" s="51">
        <f>IF(OR($G1238=0,INDEX(Employees!$O$5:$O$29,$A1238)&lt;&gt;"Yes"),0,IF(COUNTIF(Settings!$D$4:$D$9,"&lt;="&amp;$H1238)=0,0,INDEX(Settings!$E$4:$E$9,COUNTIF(Settings!$D$4:$D$9,"&lt;="&amp;$H1238))))</f>
        <v/>
      </c>
      <c r="K1238" s="51">
        <f>IF($G1238=0,0,IF(INDEX(Employees!$I$5:$I$29,$A1238)="Per pay period",(N(INDEX(Employees!$J$5:$J$29,$A1238))+$J1238)/Settings!$B$13,IF(INDEX(Employees!$I$5:$I$29,$A1238)="Per hour worked",N(INDEX(Employees!$K$5:$K$29,$A1238))*$I1238,IF(INDEX(Employees!$I$5:$I$29,$A1238)="Front-loaded",IF(OR($B1238=1,N($G1237)=0),N(INDEX(Employees!$J$5:$J$29,$A1238))+$J1238,0),0))))</f>
        <v/>
      </c>
      <c r="L1238" s="51">
        <f>IF($F1238=0,0,SUMIFS('Time Off Log'!$H$5:$H$504,'Time Off Log'!$A$5:$A$504,$C1238,'Time Off Log'!$B$5:$B$504,"PTO",'Time Off Log'!$E$5:$E$504,"Approved",'Time Off Log'!$C$5:$C$504,"&gt;="&amp;INDEX(Periods!$E$5:$E$57,$B1238),'Time Off Log'!$C$5:$C$504,"&lt;="&amp;INDEX(Periods!$F$5:$F$57,$B1238)))</f>
        <v/>
      </c>
      <c r="M1238" s="51">
        <f>IF($B1238=1,N(INDEX(Employees!$N$5:$N$29,$A1238)),P1237)</f>
        <v/>
      </c>
      <c r="N1238" s="51">
        <f>IF(INDEX(Employees!$L$5:$L$29,$A1238)="",K1238,MAX(0,MIN(K1238,INDEX(Employees!$L$5:$L$29,$A1238)-(M1238-L1238))))</f>
        <v/>
      </c>
      <c r="O1238" s="51">
        <f>K1238-N1238</f>
        <v/>
      </c>
      <c r="P1238" s="51">
        <f>M1238-L1238+N1238</f>
        <v/>
      </c>
      <c r="Q1238" s="51">
        <f>IF($G1238=0,0,IF(INDEX(Employees!$P$5:$P$29,$A1238)="Per pay period",(N(INDEX(Employees!$Q$5:$Q$29,$A1238)))/Settings!$B$13,IF(INDEX(Employees!$P$5:$P$29,$A1238)="Per hour worked",N(INDEX(Employees!$R$5:$R$29,$A1238))*$I1238,IF(INDEX(Employees!$P$5:$P$29,$A1238)="Front-loaded",IF(OR($B1238=1,N($G1237)=0),N(INDEX(Employees!$Q$5:$Q$29,$A1238)),0),0))))</f>
        <v/>
      </c>
      <c r="R1238" s="51">
        <f>IF($F1238=0,0,SUMIFS('Time Off Log'!$H$5:$H$504,'Time Off Log'!$A$5:$A$504,$C1238,'Time Off Log'!$B$5:$B$504,"Sick",'Time Off Log'!$E$5:$E$504,"Approved",'Time Off Log'!$C$5:$C$504,"&gt;="&amp;INDEX(Periods!$E$5:$E$57,$B1238),'Time Off Log'!$C$5:$C$504,"&lt;="&amp;INDEX(Periods!$F$5:$F$57,$B1238)))</f>
        <v/>
      </c>
      <c r="S1238" s="51">
        <f>IF($B1238=1,N(INDEX(Employees!$T$5:$T$29,$A1238)),V1237)</f>
        <v/>
      </c>
      <c r="T1238" s="51">
        <f>IF(INDEX(Employees!$S$5:$S$29,$A1238)="",Q1238,MAX(0,MIN(Q1238,INDEX(Employees!$S$5:$S$29,$A1238)-(S1238-R1238))))</f>
        <v/>
      </c>
      <c r="U1238" s="51">
        <f>Q1238-T1238</f>
        <v/>
      </c>
      <c r="V1238" s="51">
        <f>S1238-R1238+T1238</f>
        <v/>
      </c>
    </row>
    <row r="1239">
      <c r="A1239" s="50" t="n">
        <v>24</v>
      </c>
      <c r="B1239" s="50" t="n">
        <v>16</v>
      </c>
      <c r="C1239" s="51">
        <f>INDEX(Employees!$B$5:$B$29,$A1239)&amp;""</f>
        <v/>
      </c>
      <c r="D1239" s="52">
        <f>INDEX(Periods!$B$5:$B$57,$B1239)</f>
        <v/>
      </c>
      <c r="E1239" s="52">
        <f>INDEX(Periods!$C$5:$C$57,$B1239)</f>
        <v/>
      </c>
      <c r="F1239" s="50">
        <f>IF(AND($C1239&lt;&gt;"",INDEX(Periods!$D$5:$D$57,$B1239)=1),1,0)</f>
        <v/>
      </c>
      <c r="G1239" s="50">
        <f>IF($F1239=0,0,IF(AND(OR(INDEX(Employees!$D$5:$D$29,$A1239)="",$E1239&gt;=INDEX(Employees!$D$5:$D$29,$A1239)+N(INDEX(Employees!$U$5:$U$29,$A1239))),OR(INDEX(Employees!$E$5:$E$29,$A1239)="",$D1239&lt;=INDEX(Employees!$E$5:$E$29,$A1239))),1,0))</f>
        <v/>
      </c>
      <c r="H1239" s="50">
        <f>IF($G1239=0,0,IF(INDEX(Employees!$D$5:$D$29,$A1239)="",0,DATEDIF(INDEX(Employees!$D$5:$D$29,$A1239),$E1239,"y")))</f>
        <v/>
      </c>
      <c r="I1239" s="51">
        <f>IF($G1239=0,0,IF(INDEX('Hours Worked'!$D$5:$BD$29,$A1239,$B1239)="",N(INDEX(Employees!$H$5:$H$29,$A1239)),INDEX('Hours Worked'!$D$5:$BD$29,$A1239,$B1239)))</f>
        <v/>
      </c>
      <c r="J1239" s="51">
        <f>IF(OR($G1239=0,INDEX(Employees!$O$5:$O$29,$A1239)&lt;&gt;"Yes"),0,IF(COUNTIF(Settings!$D$4:$D$9,"&lt;="&amp;$H1239)=0,0,INDEX(Settings!$E$4:$E$9,COUNTIF(Settings!$D$4:$D$9,"&lt;="&amp;$H1239))))</f>
        <v/>
      </c>
      <c r="K1239" s="51">
        <f>IF($G1239=0,0,IF(INDEX(Employees!$I$5:$I$29,$A1239)="Per pay period",(N(INDEX(Employees!$J$5:$J$29,$A1239))+$J1239)/Settings!$B$13,IF(INDEX(Employees!$I$5:$I$29,$A1239)="Per hour worked",N(INDEX(Employees!$K$5:$K$29,$A1239))*$I1239,IF(INDEX(Employees!$I$5:$I$29,$A1239)="Front-loaded",IF(OR($B1239=1,N($G1238)=0),N(INDEX(Employees!$J$5:$J$29,$A1239))+$J1239,0),0))))</f>
        <v/>
      </c>
      <c r="L1239" s="51">
        <f>IF($F1239=0,0,SUMIFS('Time Off Log'!$H$5:$H$504,'Time Off Log'!$A$5:$A$504,$C1239,'Time Off Log'!$B$5:$B$504,"PTO",'Time Off Log'!$E$5:$E$504,"Approved",'Time Off Log'!$C$5:$C$504,"&gt;="&amp;INDEX(Periods!$E$5:$E$57,$B1239),'Time Off Log'!$C$5:$C$504,"&lt;="&amp;INDEX(Periods!$F$5:$F$57,$B1239)))</f>
        <v/>
      </c>
      <c r="M1239" s="51">
        <f>IF($B1239=1,N(INDEX(Employees!$N$5:$N$29,$A1239)),P1238)</f>
        <v/>
      </c>
      <c r="N1239" s="51">
        <f>IF(INDEX(Employees!$L$5:$L$29,$A1239)="",K1239,MAX(0,MIN(K1239,INDEX(Employees!$L$5:$L$29,$A1239)-(M1239-L1239))))</f>
        <v/>
      </c>
      <c r="O1239" s="51">
        <f>K1239-N1239</f>
        <v/>
      </c>
      <c r="P1239" s="51">
        <f>M1239-L1239+N1239</f>
        <v/>
      </c>
      <c r="Q1239" s="51">
        <f>IF($G1239=0,0,IF(INDEX(Employees!$P$5:$P$29,$A1239)="Per pay period",(N(INDEX(Employees!$Q$5:$Q$29,$A1239)))/Settings!$B$13,IF(INDEX(Employees!$P$5:$P$29,$A1239)="Per hour worked",N(INDEX(Employees!$R$5:$R$29,$A1239))*$I1239,IF(INDEX(Employees!$P$5:$P$29,$A1239)="Front-loaded",IF(OR($B1239=1,N($G1238)=0),N(INDEX(Employees!$Q$5:$Q$29,$A1239)),0),0))))</f>
        <v/>
      </c>
      <c r="R1239" s="51">
        <f>IF($F1239=0,0,SUMIFS('Time Off Log'!$H$5:$H$504,'Time Off Log'!$A$5:$A$504,$C1239,'Time Off Log'!$B$5:$B$504,"Sick",'Time Off Log'!$E$5:$E$504,"Approved",'Time Off Log'!$C$5:$C$504,"&gt;="&amp;INDEX(Periods!$E$5:$E$57,$B1239),'Time Off Log'!$C$5:$C$504,"&lt;="&amp;INDEX(Periods!$F$5:$F$57,$B1239)))</f>
        <v/>
      </c>
      <c r="S1239" s="51">
        <f>IF($B1239=1,N(INDEX(Employees!$T$5:$T$29,$A1239)),V1238)</f>
        <v/>
      </c>
      <c r="T1239" s="51">
        <f>IF(INDEX(Employees!$S$5:$S$29,$A1239)="",Q1239,MAX(0,MIN(Q1239,INDEX(Employees!$S$5:$S$29,$A1239)-(S1239-R1239))))</f>
        <v/>
      </c>
      <c r="U1239" s="51">
        <f>Q1239-T1239</f>
        <v/>
      </c>
      <c r="V1239" s="51">
        <f>S1239-R1239+T1239</f>
        <v/>
      </c>
    </row>
    <row r="1240">
      <c r="A1240" s="50" t="n">
        <v>24</v>
      </c>
      <c r="B1240" s="50" t="n">
        <v>17</v>
      </c>
      <c r="C1240" s="51">
        <f>INDEX(Employees!$B$5:$B$29,$A1240)&amp;""</f>
        <v/>
      </c>
      <c r="D1240" s="52">
        <f>INDEX(Periods!$B$5:$B$57,$B1240)</f>
        <v/>
      </c>
      <c r="E1240" s="52">
        <f>INDEX(Periods!$C$5:$C$57,$B1240)</f>
        <v/>
      </c>
      <c r="F1240" s="50">
        <f>IF(AND($C1240&lt;&gt;"",INDEX(Periods!$D$5:$D$57,$B1240)=1),1,0)</f>
        <v/>
      </c>
      <c r="G1240" s="50">
        <f>IF($F1240=0,0,IF(AND(OR(INDEX(Employees!$D$5:$D$29,$A1240)="",$E1240&gt;=INDEX(Employees!$D$5:$D$29,$A1240)+N(INDEX(Employees!$U$5:$U$29,$A1240))),OR(INDEX(Employees!$E$5:$E$29,$A1240)="",$D1240&lt;=INDEX(Employees!$E$5:$E$29,$A1240))),1,0))</f>
        <v/>
      </c>
      <c r="H1240" s="50">
        <f>IF($G1240=0,0,IF(INDEX(Employees!$D$5:$D$29,$A1240)="",0,DATEDIF(INDEX(Employees!$D$5:$D$29,$A1240),$E1240,"y")))</f>
        <v/>
      </c>
      <c r="I1240" s="51">
        <f>IF($G1240=0,0,IF(INDEX('Hours Worked'!$D$5:$BD$29,$A1240,$B1240)="",N(INDEX(Employees!$H$5:$H$29,$A1240)),INDEX('Hours Worked'!$D$5:$BD$29,$A1240,$B1240)))</f>
        <v/>
      </c>
      <c r="J1240" s="51">
        <f>IF(OR($G1240=0,INDEX(Employees!$O$5:$O$29,$A1240)&lt;&gt;"Yes"),0,IF(COUNTIF(Settings!$D$4:$D$9,"&lt;="&amp;$H1240)=0,0,INDEX(Settings!$E$4:$E$9,COUNTIF(Settings!$D$4:$D$9,"&lt;="&amp;$H1240))))</f>
        <v/>
      </c>
      <c r="K1240" s="51">
        <f>IF($G1240=0,0,IF(INDEX(Employees!$I$5:$I$29,$A1240)="Per pay period",(N(INDEX(Employees!$J$5:$J$29,$A1240))+$J1240)/Settings!$B$13,IF(INDEX(Employees!$I$5:$I$29,$A1240)="Per hour worked",N(INDEX(Employees!$K$5:$K$29,$A1240))*$I1240,IF(INDEX(Employees!$I$5:$I$29,$A1240)="Front-loaded",IF(OR($B1240=1,N($G1239)=0),N(INDEX(Employees!$J$5:$J$29,$A1240))+$J1240,0),0))))</f>
        <v/>
      </c>
      <c r="L1240" s="51">
        <f>IF($F1240=0,0,SUMIFS('Time Off Log'!$H$5:$H$504,'Time Off Log'!$A$5:$A$504,$C1240,'Time Off Log'!$B$5:$B$504,"PTO",'Time Off Log'!$E$5:$E$504,"Approved",'Time Off Log'!$C$5:$C$504,"&gt;="&amp;INDEX(Periods!$E$5:$E$57,$B1240),'Time Off Log'!$C$5:$C$504,"&lt;="&amp;INDEX(Periods!$F$5:$F$57,$B1240)))</f>
        <v/>
      </c>
      <c r="M1240" s="51">
        <f>IF($B1240=1,N(INDEX(Employees!$N$5:$N$29,$A1240)),P1239)</f>
        <v/>
      </c>
      <c r="N1240" s="51">
        <f>IF(INDEX(Employees!$L$5:$L$29,$A1240)="",K1240,MAX(0,MIN(K1240,INDEX(Employees!$L$5:$L$29,$A1240)-(M1240-L1240))))</f>
        <v/>
      </c>
      <c r="O1240" s="51">
        <f>K1240-N1240</f>
        <v/>
      </c>
      <c r="P1240" s="51">
        <f>M1240-L1240+N1240</f>
        <v/>
      </c>
      <c r="Q1240" s="51">
        <f>IF($G1240=0,0,IF(INDEX(Employees!$P$5:$P$29,$A1240)="Per pay period",(N(INDEX(Employees!$Q$5:$Q$29,$A1240)))/Settings!$B$13,IF(INDEX(Employees!$P$5:$P$29,$A1240)="Per hour worked",N(INDEX(Employees!$R$5:$R$29,$A1240))*$I1240,IF(INDEX(Employees!$P$5:$P$29,$A1240)="Front-loaded",IF(OR($B1240=1,N($G1239)=0),N(INDEX(Employees!$Q$5:$Q$29,$A1240)),0),0))))</f>
        <v/>
      </c>
      <c r="R1240" s="51">
        <f>IF($F1240=0,0,SUMIFS('Time Off Log'!$H$5:$H$504,'Time Off Log'!$A$5:$A$504,$C1240,'Time Off Log'!$B$5:$B$504,"Sick",'Time Off Log'!$E$5:$E$504,"Approved",'Time Off Log'!$C$5:$C$504,"&gt;="&amp;INDEX(Periods!$E$5:$E$57,$B1240),'Time Off Log'!$C$5:$C$504,"&lt;="&amp;INDEX(Periods!$F$5:$F$57,$B1240)))</f>
        <v/>
      </c>
      <c r="S1240" s="51">
        <f>IF($B1240=1,N(INDEX(Employees!$T$5:$T$29,$A1240)),V1239)</f>
        <v/>
      </c>
      <c r="T1240" s="51">
        <f>IF(INDEX(Employees!$S$5:$S$29,$A1240)="",Q1240,MAX(0,MIN(Q1240,INDEX(Employees!$S$5:$S$29,$A1240)-(S1240-R1240))))</f>
        <v/>
      </c>
      <c r="U1240" s="51">
        <f>Q1240-T1240</f>
        <v/>
      </c>
      <c r="V1240" s="51">
        <f>S1240-R1240+T1240</f>
        <v/>
      </c>
    </row>
    <row r="1241">
      <c r="A1241" s="50" t="n">
        <v>24</v>
      </c>
      <c r="B1241" s="50" t="n">
        <v>18</v>
      </c>
      <c r="C1241" s="51">
        <f>INDEX(Employees!$B$5:$B$29,$A1241)&amp;""</f>
        <v/>
      </c>
      <c r="D1241" s="52">
        <f>INDEX(Periods!$B$5:$B$57,$B1241)</f>
        <v/>
      </c>
      <c r="E1241" s="52">
        <f>INDEX(Periods!$C$5:$C$57,$B1241)</f>
        <v/>
      </c>
      <c r="F1241" s="50">
        <f>IF(AND($C1241&lt;&gt;"",INDEX(Periods!$D$5:$D$57,$B1241)=1),1,0)</f>
        <v/>
      </c>
      <c r="G1241" s="50">
        <f>IF($F1241=0,0,IF(AND(OR(INDEX(Employees!$D$5:$D$29,$A1241)="",$E1241&gt;=INDEX(Employees!$D$5:$D$29,$A1241)+N(INDEX(Employees!$U$5:$U$29,$A1241))),OR(INDEX(Employees!$E$5:$E$29,$A1241)="",$D1241&lt;=INDEX(Employees!$E$5:$E$29,$A1241))),1,0))</f>
        <v/>
      </c>
      <c r="H1241" s="50">
        <f>IF($G1241=0,0,IF(INDEX(Employees!$D$5:$D$29,$A1241)="",0,DATEDIF(INDEX(Employees!$D$5:$D$29,$A1241),$E1241,"y")))</f>
        <v/>
      </c>
      <c r="I1241" s="51">
        <f>IF($G1241=0,0,IF(INDEX('Hours Worked'!$D$5:$BD$29,$A1241,$B1241)="",N(INDEX(Employees!$H$5:$H$29,$A1241)),INDEX('Hours Worked'!$D$5:$BD$29,$A1241,$B1241)))</f>
        <v/>
      </c>
      <c r="J1241" s="51">
        <f>IF(OR($G1241=0,INDEX(Employees!$O$5:$O$29,$A1241)&lt;&gt;"Yes"),0,IF(COUNTIF(Settings!$D$4:$D$9,"&lt;="&amp;$H1241)=0,0,INDEX(Settings!$E$4:$E$9,COUNTIF(Settings!$D$4:$D$9,"&lt;="&amp;$H1241))))</f>
        <v/>
      </c>
      <c r="K1241" s="51">
        <f>IF($G1241=0,0,IF(INDEX(Employees!$I$5:$I$29,$A1241)="Per pay period",(N(INDEX(Employees!$J$5:$J$29,$A1241))+$J1241)/Settings!$B$13,IF(INDEX(Employees!$I$5:$I$29,$A1241)="Per hour worked",N(INDEX(Employees!$K$5:$K$29,$A1241))*$I1241,IF(INDEX(Employees!$I$5:$I$29,$A1241)="Front-loaded",IF(OR($B1241=1,N($G1240)=0),N(INDEX(Employees!$J$5:$J$29,$A1241))+$J1241,0),0))))</f>
        <v/>
      </c>
      <c r="L1241" s="51">
        <f>IF($F1241=0,0,SUMIFS('Time Off Log'!$H$5:$H$504,'Time Off Log'!$A$5:$A$504,$C1241,'Time Off Log'!$B$5:$B$504,"PTO",'Time Off Log'!$E$5:$E$504,"Approved",'Time Off Log'!$C$5:$C$504,"&gt;="&amp;INDEX(Periods!$E$5:$E$57,$B1241),'Time Off Log'!$C$5:$C$504,"&lt;="&amp;INDEX(Periods!$F$5:$F$57,$B1241)))</f>
        <v/>
      </c>
      <c r="M1241" s="51">
        <f>IF($B1241=1,N(INDEX(Employees!$N$5:$N$29,$A1241)),P1240)</f>
        <v/>
      </c>
      <c r="N1241" s="51">
        <f>IF(INDEX(Employees!$L$5:$L$29,$A1241)="",K1241,MAX(0,MIN(K1241,INDEX(Employees!$L$5:$L$29,$A1241)-(M1241-L1241))))</f>
        <v/>
      </c>
      <c r="O1241" s="51">
        <f>K1241-N1241</f>
        <v/>
      </c>
      <c r="P1241" s="51">
        <f>M1241-L1241+N1241</f>
        <v/>
      </c>
      <c r="Q1241" s="51">
        <f>IF($G1241=0,0,IF(INDEX(Employees!$P$5:$P$29,$A1241)="Per pay period",(N(INDEX(Employees!$Q$5:$Q$29,$A1241)))/Settings!$B$13,IF(INDEX(Employees!$P$5:$P$29,$A1241)="Per hour worked",N(INDEX(Employees!$R$5:$R$29,$A1241))*$I1241,IF(INDEX(Employees!$P$5:$P$29,$A1241)="Front-loaded",IF(OR($B1241=1,N($G1240)=0),N(INDEX(Employees!$Q$5:$Q$29,$A1241)),0),0))))</f>
        <v/>
      </c>
      <c r="R1241" s="51">
        <f>IF($F1241=0,0,SUMIFS('Time Off Log'!$H$5:$H$504,'Time Off Log'!$A$5:$A$504,$C1241,'Time Off Log'!$B$5:$B$504,"Sick",'Time Off Log'!$E$5:$E$504,"Approved",'Time Off Log'!$C$5:$C$504,"&gt;="&amp;INDEX(Periods!$E$5:$E$57,$B1241),'Time Off Log'!$C$5:$C$504,"&lt;="&amp;INDEX(Periods!$F$5:$F$57,$B1241)))</f>
        <v/>
      </c>
      <c r="S1241" s="51">
        <f>IF($B1241=1,N(INDEX(Employees!$T$5:$T$29,$A1241)),V1240)</f>
        <v/>
      </c>
      <c r="T1241" s="51">
        <f>IF(INDEX(Employees!$S$5:$S$29,$A1241)="",Q1241,MAX(0,MIN(Q1241,INDEX(Employees!$S$5:$S$29,$A1241)-(S1241-R1241))))</f>
        <v/>
      </c>
      <c r="U1241" s="51">
        <f>Q1241-T1241</f>
        <v/>
      </c>
      <c r="V1241" s="51">
        <f>S1241-R1241+T1241</f>
        <v/>
      </c>
    </row>
    <row r="1242">
      <c r="A1242" s="50" t="n">
        <v>24</v>
      </c>
      <c r="B1242" s="50" t="n">
        <v>19</v>
      </c>
      <c r="C1242" s="51">
        <f>INDEX(Employees!$B$5:$B$29,$A1242)&amp;""</f>
        <v/>
      </c>
      <c r="D1242" s="52">
        <f>INDEX(Periods!$B$5:$B$57,$B1242)</f>
        <v/>
      </c>
      <c r="E1242" s="52">
        <f>INDEX(Periods!$C$5:$C$57,$B1242)</f>
        <v/>
      </c>
      <c r="F1242" s="50">
        <f>IF(AND($C1242&lt;&gt;"",INDEX(Periods!$D$5:$D$57,$B1242)=1),1,0)</f>
        <v/>
      </c>
      <c r="G1242" s="50">
        <f>IF($F1242=0,0,IF(AND(OR(INDEX(Employees!$D$5:$D$29,$A1242)="",$E1242&gt;=INDEX(Employees!$D$5:$D$29,$A1242)+N(INDEX(Employees!$U$5:$U$29,$A1242))),OR(INDEX(Employees!$E$5:$E$29,$A1242)="",$D1242&lt;=INDEX(Employees!$E$5:$E$29,$A1242))),1,0))</f>
        <v/>
      </c>
      <c r="H1242" s="50">
        <f>IF($G1242=0,0,IF(INDEX(Employees!$D$5:$D$29,$A1242)="",0,DATEDIF(INDEX(Employees!$D$5:$D$29,$A1242),$E1242,"y")))</f>
        <v/>
      </c>
      <c r="I1242" s="51">
        <f>IF($G1242=0,0,IF(INDEX('Hours Worked'!$D$5:$BD$29,$A1242,$B1242)="",N(INDEX(Employees!$H$5:$H$29,$A1242)),INDEX('Hours Worked'!$D$5:$BD$29,$A1242,$B1242)))</f>
        <v/>
      </c>
      <c r="J1242" s="51">
        <f>IF(OR($G1242=0,INDEX(Employees!$O$5:$O$29,$A1242)&lt;&gt;"Yes"),0,IF(COUNTIF(Settings!$D$4:$D$9,"&lt;="&amp;$H1242)=0,0,INDEX(Settings!$E$4:$E$9,COUNTIF(Settings!$D$4:$D$9,"&lt;="&amp;$H1242))))</f>
        <v/>
      </c>
      <c r="K1242" s="51">
        <f>IF($G1242=0,0,IF(INDEX(Employees!$I$5:$I$29,$A1242)="Per pay period",(N(INDEX(Employees!$J$5:$J$29,$A1242))+$J1242)/Settings!$B$13,IF(INDEX(Employees!$I$5:$I$29,$A1242)="Per hour worked",N(INDEX(Employees!$K$5:$K$29,$A1242))*$I1242,IF(INDEX(Employees!$I$5:$I$29,$A1242)="Front-loaded",IF(OR($B1242=1,N($G1241)=0),N(INDEX(Employees!$J$5:$J$29,$A1242))+$J1242,0),0))))</f>
        <v/>
      </c>
      <c r="L1242" s="51">
        <f>IF($F1242=0,0,SUMIFS('Time Off Log'!$H$5:$H$504,'Time Off Log'!$A$5:$A$504,$C1242,'Time Off Log'!$B$5:$B$504,"PTO",'Time Off Log'!$E$5:$E$504,"Approved",'Time Off Log'!$C$5:$C$504,"&gt;="&amp;INDEX(Periods!$E$5:$E$57,$B1242),'Time Off Log'!$C$5:$C$504,"&lt;="&amp;INDEX(Periods!$F$5:$F$57,$B1242)))</f>
        <v/>
      </c>
      <c r="M1242" s="51">
        <f>IF($B1242=1,N(INDEX(Employees!$N$5:$N$29,$A1242)),P1241)</f>
        <v/>
      </c>
      <c r="N1242" s="51">
        <f>IF(INDEX(Employees!$L$5:$L$29,$A1242)="",K1242,MAX(0,MIN(K1242,INDEX(Employees!$L$5:$L$29,$A1242)-(M1242-L1242))))</f>
        <v/>
      </c>
      <c r="O1242" s="51">
        <f>K1242-N1242</f>
        <v/>
      </c>
      <c r="P1242" s="51">
        <f>M1242-L1242+N1242</f>
        <v/>
      </c>
      <c r="Q1242" s="51">
        <f>IF($G1242=0,0,IF(INDEX(Employees!$P$5:$P$29,$A1242)="Per pay period",(N(INDEX(Employees!$Q$5:$Q$29,$A1242)))/Settings!$B$13,IF(INDEX(Employees!$P$5:$P$29,$A1242)="Per hour worked",N(INDEX(Employees!$R$5:$R$29,$A1242))*$I1242,IF(INDEX(Employees!$P$5:$P$29,$A1242)="Front-loaded",IF(OR($B1242=1,N($G1241)=0),N(INDEX(Employees!$Q$5:$Q$29,$A1242)),0),0))))</f>
        <v/>
      </c>
      <c r="R1242" s="51">
        <f>IF($F1242=0,0,SUMIFS('Time Off Log'!$H$5:$H$504,'Time Off Log'!$A$5:$A$504,$C1242,'Time Off Log'!$B$5:$B$504,"Sick",'Time Off Log'!$E$5:$E$504,"Approved",'Time Off Log'!$C$5:$C$504,"&gt;="&amp;INDEX(Periods!$E$5:$E$57,$B1242),'Time Off Log'!$C$5:$C$504,"&lt;="&amp;INDEX(Periods!$F$5:$F$57,$B1242)))</f>
        <v/>
      </c>
      <c r="S1242" s="51">
        <f>IF($B1242=1,N(INDEX(Employees!$T$5:$T$29,$A1242)),V1241)</f>
        <v/>
      </c>
      <c r="T1242" s="51">
        <f>IF(INDEX(Employees!$S$5:$S$29,$A1242)="",Q1242,MAX(0,MIN(Q1242,INDEX(Employees!$S$5:$S$29,$A1242)-(S1242-R1242))))</f>
        <v/>
      </c>
      <c r="U1242" s="51">
        <f>Q1242-T1242</f>
        <v/>
      </c>
      <c r="V1242" s="51">
        <f>S1242-R1242+T1242</f>
        <v/>
      </c>
    </row>
    <row r="1243">
      <c r="A1243" s="50" t="n">
        <v>24</v>
      </c>
      <c r="B1243" s="50" t="n">
        <v>20</v>
      </c>
      <c r="C1243" s="51">
        <f>INDEX(Employees!$B$5:$B$29,$A1243)&amp;""</f>
        <v/>
      </c>
      <c r="D1243" s="52">
        <f>INDEX(Periods!$B$5:$B$57,$B1243)</f>
        <v/>
      </c>
      <c r="E1243" s="52">
        <f>INDEX(Periods!$C$5:$C$57,$B1243)</f>
        <v/>
      </c>
      <c r="F1243" s="50">
        <f>IF(AND($C1243&lt;&gt;"",INDEX(Periods!$D$5:$D$57,$B1243)=1),1,0)</f>
        <v/>
      </c>
      <c r="G1243" s="50">
        <f>IF($F1243=0,0,IF(AND(OR(INDEX(Employees!$D$5:$D$29,$A1243)="",$E1243&gt;=INDEX(Employees!$D$5:$D$29,$A1243)+N(INDEX(Employees!$U$5:$U$29,$A1243))),OR(INDEX(Employees!$E$5:$E$29,$A1243)="",$D1243&lt;=INDEX(Employees!$E$5:$E$29,$A1243))),1,0))</f>
        <v/>
      </c>
      <c r="H1243" s="50">
        <f>IF($G1243=0,0,IF(INDEX(Employees!$D$5:$D$29,$A1243)="",0,DATEDIF(INDEX(Employees!$D$5:$D$29,$A1243),$E1243,"y")))</f>
        <v/>
      </c>
      <c r="I1243" s="51">
        <f>IF($G1243=0,0,IF(INDEX('Hours Worked'!$D$5:$BD$29,$A1243,$B1243)="",N(INDEX(Employees!$H$5:$H$29,$A1243)),INDEX('Hours Worked'!$D$5:$BD$29,$A1243,$B1243)))</f>
        <v/>
      </c>
      <c r="J1243" s="51">
        <f>IF(OR($G1243=0,INDEX(Employees!$O$5:$O$29,$A1243)&lt;&gt;"Yes"),0,IF(COUNTIF(Settings!$D$4:$D$9,"&lt;="&amp;$H1243)=0,0,INDEX(Settings!$E$4:$E$9,COUNTIF(Settings!$D$4:$D$9,"&lt;="&amp;$H1243))))</f>
        <v/>
      </c>
      <c r="K1243" s="51">
        <f>IF($G1243=0,0,IF(INDEX(Employees!$I$5:$I$29,$A1243)="Per pay period",(N(INDEX(Employees!$J$5:$J$29,$A1243))+$J1243)/Settings!$B$13,IF(INDEX(Employees!$I$5:$I$29,$A1243)="Per hour worked",N(INDEX(Employees!$K$5:$K$29,$A1243))*$I1243,IF(INDEX(Employees!$I$5:$I$29,$A1243)="Front-loaded",IF(OR($B1243=1,N($G1242)=0),N(INDEX(Employees!$J$5:$J$29,$A1243))+$J1243,0),0))))</f>
        <v/>
      </c>
      <c r="L1243" s="51">
        <f>IF($F1243=0,0,SUMIFS('Time Off Log'!$H$5:$H$504,'Time Off Log'!$A$5:$A$504,$C1243,'Time Off Log'!$B$5:$B$504,"PTO",'Time Off Log'!$E$5:$E$504,"Approved",'Time Off Log'!$C$5:$C$504,"&gt;="&amp;INDEX(Periods!$E$5:$E$57,$B1243),'Time Off Log'!$C$5:$C$504,"&lt;="&amp;INDEX(Periods!$F$5:$F$57,$B1243)))</f>
        <v/>
      </c>
      <c r="M1243" s="51">
        <f>IF($B1243=1,N(INDEX(Employees!$N$5:$N$29,$A1243)),P1242)</f>
        <v/>
      </c>
      <c r="N1243" s="51">
        <f>IF(INDEX(Employees!$L$5:$L$29,$A1243)="",K1243,MAX(0,MIN(K1243,INDEX(Employees!$L$5:$L$29,$A1243)-(M1243-L1243))))</f>
        <v/>
      </c>
      <c r="O1243" s="51">
        <f>K1243-N1243</f>
        <v/>
      </c>
      <c r="P1243" s="51">
        <f>M1243-L1243+N1243</f>
        <v/>
      </c>
      <c r="Q1243" s="51">
        <f>IF($G1243=0,0,IF(INDEX(Employees!$P$5:$P$29,$A1243)="Per pay period",(N(INDEX(Employees!$Q$5:$Q$29,$A1243)))/Settings!$B$13,IF(INDEX(Employees!$P$5:$P$29,$A1243)="Per hour worked",N(INDEX(Employees!$R$5:$R$29,$A1243))*$I1243,IF(INDEX(Employees!$P$5:$P$29,$A1243)="Front-loaded",IF(OR($B1243=1,N($G1242)=0),N(INDEX(Employees!$Q$5:$Q$29,$A1243)),0),0))))</f>
        <v/>
      </c>
      <c r="R1243" s="51">
        <f>IF($F1243=0,0,SUMIFS('Time Off Log'!$H$5:$H$504,'Time Off Log'!$A$5:$A$504,$C1243,'Time Off Log'!$B$5:$B$504,"Sick",'Time Off Log'!$E$5:$E$504,"Approved",'Time Off Log'!$C$5:$C$504,"&gt;="&amp;INDEX(Periods!$E$5:$E$57,$B1243),'Time Off Log'!$C$5:$C$504,"&lt;="&amp;INDEX(Periods!$F$5:$F$57,$B1243)))</f>
        <v/>
      </c>
      <c r="S1243" s="51">
        <f>IF($B1243=1,N(INDEX(Employees!$T$5:$T$29,$A1243)),V1242)</f>
        <v/>
      </c>
      <c r="T1243" s="51">
        <f>IF(INDEX(Employees!$S$5:$S$29,$A1243)="",Q1243,MAX(0,MIN(Q1243,INDEX(Employees!$S$5:$S$29,$A1243)-(S1243-R1243))))</f>
        <v/>
      </c>
      <c r="U1243" s="51">
        <f>Q1243-T1243</f>
        <v/>
      </c>
      <c r="V1243" s="51">
        <f>S1243-R1243+T1243</f>
        <v/>
      </c>
    </row>
    <row r="1244">
      <c r="A1244" s="50" t="n">
        <v>24</v>
      </c>
      <c r="B1244" s="50" t="n">
        <v>21</v>
      </c>
      <c r="C1244" s="51">
        <f>INDEX(Employees!$B$5:$B$29,$A1244)&amp;""</f>
        <v/>
      </c>
      <c r="D1244" s="52">
        <f>INDEX(Periods!$B$5:$B$57,$B1244)</f>
        <v/>
      </c>
      <c r="E1244" s="52">
        <f>INDEX(Periods!$C$5:$C$57,$B1244)</f>
        <v/>
      </c>
      <c r="F1244" s="50">
        <f>IF(AND($C1244&lt;&gt;"",INDEX(Periods!$D$5:$D$57,$B1244)=1),1,0)</f>
        <v/>
      </c>
      <c r="G1244" s="50">
        <f>IF($F1244=0,0,IF(AND(OR(INDEX(Employees!$D$5:$D$29,$A1244)="",$E1244&gt;=INDEX(Employees!$D$5:$D$29,$A1244)+N(INDEX(Employees!$U$5:$U$29,$A1244))),OR(INDEX(Employees!$E$5:$E$29,$A1244)="",$D1244&lt;=INDEX(Employees!$E$5:$E$29,$A1244))),1,0))</f>
        <v/>
      </c>
      <c r="H1244" s="50">
        <f>IF($G1244=0,0,IF(INDEX(Employees!$D$5:$D$29,$A1244)="",0,DATEDIF(INDEX(Employees!$D$5:$D$29,$A1244),$E1244,"y")))</f>
        <v/>
      </c>
      <c r="I1244" s="51">
        <f>IF($G1244=0,0,IF(INDEX('Hours Worked'!$D$5:$BD$29,$A1244,$B1244)="",N(INDEX(Employees!$H$5:$H$29,$A1244)),INDEX('Hours Worked'!$D$5:$BD$29,$A1244,$B1244)))</f>
        <v/>
      </c>
      <c r="J1244" s="51">
        <f>IF(OR($G1244=0,INDEX(Employees!$O$5:$O$29,$A1244)&lt;&gt;"Yes"),0,IF(COUNTIF(Settings!$D$4:$D$9,"&lt;="&amp;$H1244)=0,0,INDEX(Settings!$E$4:$E$9,COUNTIF(Settings!$D$4:$D$9,"&lt;="&amp;$H1244))))</f>
        <v/>
      </c>
      <c r="K1244" s="51">
        <f>IF($G1244=0,0,IF(INDEX(Employees!$I$5:$I$29,$A1244)="Per pay period",(N(INDEX(Employees!$J$5:$J$29,$A1244))+$J1244)/Settings!$B$13,IF(INDEX(Employees!$I$5:$I$29,$A1244)="Per hour worked",N(INDEX(Employees!$K$5:$K$29,$A1244))*$I1244,IF(INDEX(Employees!$I$5:$I$29,$A1244)="Front-loaded",IF(OR($B1244=1,N($G1243)=0),N(INDEX(Employees!$J$5:$J$29,$A1244))+$J1244,0),0))))</f>
        <v/>
      </c>
      <c r="L1244" s="51">
        <f>IF($F1244=0,0,SUMIFS('Time Off Log'!$H$5:$H$504,'Time Off Log'!$A$5:$A$504,$C1244,'Time Off Log'!$B$5:$B$504,"PTO",'Time Off Log'!$E$5:$E$504,"Approved",'Time Off Log'!$C$5:$C$504,"&gt;="&amp;INDEX(Periods!$E$5:$E$57,$B1244),'Time Off Log'!$C$5:$C$504,"&lt;="&amp;INDEX(Periods!$F$5:$F$57,$B1244)))</f>
        <v/>
      </c>
      <c r="M1244" s="51">
        <f>IF($B1244=1,N(INDEX(Employees!$N$5:$N$29,$A1244)),P1243)</f>
        <v/>
      </c>
      <c r="N1244" s="51">
        <f>IF(INDEX(Employees!$L$5:$L$29,$A1244)="",K1244,MAX(0,MIN(K1244,INDEX(Employees!$L$5:$L$29,$A1244)-(M1244-L1244))))</f>
        <v/>
      </c>
      <c r="O1244" s="51">
        <f>K1244-N1244</f>
        <v/>
      </c>
      <c r="P1244" s="51">
        <f>M1244-L1244+N1244</f>
        <v/>
      </c>
      <c r="Q1244" s="51">
        <f>IF($G1244=0,0,IF(INDEX(Employees!$P$5:$P$29,$A1244)="Per pay period",(N(INDEX(Employees!$Q$5:$Q$29,$A1244)))/Settings!$B$13,IF(INDEX(Employees!$P$5:$P$29,$A1244)="Per hour worked",N(INDEX(Employees!$R$5:$R$29,$A1244))*$I1244,IF(INDEX(Employees!$P$5:$P$29,$A1244)="Front-loaded",IF(OR($B1244=1,N($G1243)=0),N(INDEX(Employees!$Q$5:$Q$29,$A1244)),0),0))))</f>
        <v/>
      </c>
      <c r="R1244" s="51">
        <f>IF($F1244=0,0,SUMIFS('Time Off Log'!$H$5:$H$504,'Time Off Log'!$A$5:$A$504,$C1244,'Time Off Log'!$B$5:$B$504,"Sick",'Time Off Log'!$E$5:$E$504,"Approved",'Time Off Log'!$C$5:$C$504,"&gt;="&amp;INDEX(Periods!$E$5:$E$57,$B1244),'Time Off Log'!$C$5:$C$504,"&lt;="&amp;INDEX(Periods!$F$5:$F$57,$B1244)))</f>
        <v/>
      </c>
      <c r="S1244" s="51">
        <f>IF($B1244=1,N(INDEX(Employees!$T$5:$T$29,$A1244)),V1243)</f>
        <v/>
      </c>
      <c r="T1244" s="51">
        <f>IF(INDEX(Employees!$S$5:$S$29,$A1244)="",Q1244,MAX(0,MIN(Q1244,INDEX(Employees!$S$5:$S$29,$A1244)-(S1244-R1244))))</f>
        <v/>
      </c>
      <c r="U1244" s="51">
        <f>Q1244-T1244</f>
        <v/>
      </c>
      <c r="V1244" s="51">
        <f>S1244-R1244+T1244</f>
        <v/>
      </c>
    </row>
    <row r="1245">
      <c r="A1245" s="50" t="n">
        <v>24</v>
      </c>
      <c r="B1245" s="50" t="n">
        <v>22</v>
      </c>
      <c r="C1245" s="51">
        <f>INDEX(Employees!$B$5:$B$29,$A1245)&amp;""</f>
        <v/>
      </c>
      <c r="D1245" s="52">
        <f>INDEX(Periods!$B$5:$B$57,$B1245)</f>
        <v/>
      </c>
      <c r="E1245" s="52">
        <f>INDEX(Periods!$C$5:$C$57,$B1245)</f>
        <v/>
      </c>
      <c r="F1245" s="50">
        <f>IF(AND($C1245&lt;&gt;"",INDEX(Periods!$D$5:$D$57,$B1245)=1),1,0)</f>
        <v/>
      </c>
      <c r="G1245" s="50">
        <f>IF($F1245=0,0,IF(AND(OR(INDEX(Employees!$D$5:$D$29,$A1245)="",$E1245&gt;=INDEX(Employees!$D$5:$D$29,$A1245)+N(INDEX(Employees!$U$5:$U$29,$A1245))),OR(INDEX(Employees!$E$5:$E$29,$A1245)="",$D1245&lt;=INDEX(Employees!$E$5:$E$29,$A1245))),1,0))</f>
        <v/>
      </c>
      <c r="H1245" s="50">
        <f>IF($G1245=0,0,IF(INDEX(Employees!$D$5:$D$29,$A1245)="",0,DATEDIF(INDEX(Employees!$D$5:$D$29,$A1245),$E1245,"y")))</f>
        <v/>
      </c>
      <c r="I1245" s="51">
        <f>IF($G1245=0,0,IF(INDEX('Hours Worked'!$D$5:$BD$29,$A1245,$B1245)="",N(INDEX(Employees!$H$5:$H$29,$A1245)),INDEX('Hours Worked'!$D$5:$BD$29,$A1245,$B1245)))</f>
        <v/>
      </c>
      <c r="J1245" s="51">
        <f>IF(OR($G1245=0,INDEX(Employees!$O$5:$O$29,$A1245)&lt;&gt;"Yes"),0,IF(COUNTIF(Settings!$D$4:$D$9,"&lt;="&amp;$H1245)=0,0,INDEX(Settings!$E$4:$E$9,COUNTIF(Settings!$D$4:$D$9,"&lt;="&amp;$H1245))))</f>
        <v/>
      </c>
      <c r="K1245" s="51">
        <f>IF($G1245=0,0,IF(INDEX(Employees!$I$5:$I$29,$A1245)="Per pay period",(N(INDEX(Employees!$J$5:$J$29,$A1245))+$J1245)/Settings!$B$13,IF(INDEX(Employees!$I$5:$I$29,$A1245)="Per hour worked",N(INDEX(Employees!$K$5:$K$29,$A1245))*$I1245,IF(INDEX(Employees!$I$5:$I$29,$A1245)="Front-loaded",IF(OR($B1245=1,N($G1244)=0),N(INDEX(Employees!$J$5:$J$29,$A1245))+$J1245,0),0))))</f>
        <v/>
      </c>
      <c r="L1245" s="51">
        <f>IF($F1245=0,0,SUMIFS('Time Off Log'!$H$5:$H$504,'Time Off Log'!$A$5:$A$504,$C1245,'Time Off Log'!$B$5:$B$504,"PTO",'Time Off Log'!$E$5:$E$504,"Approved",'Time Off Log'!$C$5:$C$504,"&gt;="&amp;INDEX(Periods!$E$5:$E$57,$B1245),'Time Off Log'!$C$5:$C$504,"&lt;="&amp;INDEX(Periods!$F$5:$F$57,$B1245)))</f>
        <v/>
      </c>
      <c r="M1245" s="51">
        <f>IF($B1245=1,N(INDEX(Employees!$N$5:$N$29,$A1245)),P1244)</f>
        <v/>
      </c>
      <c r="N1245" s="51">
        <f>IF(INDEX(Employees!$L$5:$L$29,$A1245)="",K1245,MAX(0,MIN(K1245,INDEX(Employees!$L$5:$L$29,$A1245)-(M1245-L1245))))</f>
        <v/>
      </c>
      <c r="O1245" s="51">
        <f>K1245-N1245</f>
        <v/>
      </c>
      <c r="P1245" s="51">
        <f>M1245-L1245+N1245</f>
        <v/>
      </c>
      <c r="Q1245" s="51">
        <f>IF($G1245=0,0,IF(INDEX(Employees!$P$5:$P$29,$A1245)="Per pay period",(N(INDEX(Employees!$Q$5:$Q$29,$A1245)))/Settings!$B$13,IF(INDEX(Employees!$P$5:$P$29,$A1245)="Per hour worked",N(INDEX(Employees!$R$5:$R$29,$A1245))*$I1245,IF(INDEX(Employees!$P$5:$P$29,$A1245)="Front-loaded",IF(OR($B1245=1,N($G1244)=0),N(INDEX(Employees!$Q$5:$Q$29,$A1245)),0),0))))</f>
        <v/>
      </c>
      <c r="R1245" s="51">
        <f>IF($F1245=0,0,SUMIFS('Time Off Log'!$H$5:$H$504,'Time Off Log'!$A$5:$A$504,$C1245,'Time Off Log'!$B$5:$B$504,"Sick",'Time Off Log'!$E$5:$E$504,"Approved",'Time Off Log'!$C$5:$C$504,"&gt;="&amp;INDEX(Periods!$E$5:$E$57,$B1245),'Time Off Log'!$C$5:$C$504,"&lt;="&amp;INDEX(Periods!$F$5:$F$57,$B1245)))</f>
        <v/>
      </c>
      <c r="S1245" s="51">
        <f>IF($B1245=1,N(INDEX(Employees!$T$5:$T$29,$A1245)),V1244)</f>
        <v/>
      </c>
      <c r="T1245" s="51">
        <f>IF(INDEX(Employees!$S$5:$S$29,$A1245)="",Q1245,MAX(0,MIN(Q1245,INDEX(Employees!$S$5:$S$29,$A1245)-(S1245-R1245))))</f>
        <v/>
      </c>
      <c r="U1245" s="51">
        <f>Q1245-T1245</f>
        <v/>
      </c>
      <c r="V1245" s="51">
        <f>S1245-R1245+T1245</f>
        <v/>
      </c>
    </row>
    <row r="1246">
      <c r="A1246" s="50" t="n">
        <v>24</v>
      </c>
      <c r="B1246" s="50" t="n">
        <v>23</v>
      </c>
      <c r="C1246" s="51">
        <f>INDEX(Employees!$B$5:$B$29,$A1246)&amp;""</f>
        <v/>
      </c>
      <c r="D1246" s="52">
        <f>INDEX(Periods!$B$5:$B$57,$B1246)</f>
        <v/>
      </c>
      <c r="E1246" s="52">
        <f>INDEX(Periods!$C$5:$C$57,$B1246)</f>
        <v/>
      </c>
      <c r="F1246" s="50">
        <f>IF(AND($C1246&lt;&gt;"",INDEX(Periods!$D$5:$D$57,$B1246)=1),1,0)</f>
        <v/>
      </c>
      <c r="G1246" s="50">
        <f>IF($F1246=0,0,IF(AND(OR(INDEX(Employees!$D$5:$D$29,$A1246)="",$E1246&gt;=INDEX(Employees!$D$5:$D$29,$A1246)+N(INDEX(Employees!$U$5:$U$29,$A1246))),OR(INDEX(Employees!$E$5:$E$29,$A1246)="",$D1246&lt;=INDEX(Employees!$E$5:$E$29,$A1246))),1,0))</f>
        <v/>
      </c>
      <c r="H1246" s="50">
        <f>IF($G1246=0,0,IF(INDEX(Employees!$D$5:$D$29,$A1246)="",0,DATEDIF(INDEX(Employees!$D$5:$D$29,$A1246),$E1246,"y")))</f>
        <v/>
      </c>
      <c r="I1246" s="51">
        <f>IF($G1246=0,0,IF(INDEX('Hours Worked'!$D$5:$BD$29,$A1246,$B1246)="",N(INDEX(Employees!$H$5:$H$29,$A1246)),INDEX('Hours Worked'!$D$5:$BD$29,$A1246,$B1246)))</f>
        <v/>
      </c>
      <c r="J1246" s="51">
        <f>IF(OR($G1246=0,INDEX(Employees!$O$5:$O$29,$A1246)&lt;&gt;"Yes"),0,IF(COUNTIF(Settings!$D$4:$D$9,"&lt;="&amp;$H1246)=0,0,INDEX(Settings!$E$4:$E$9,COUNTIF(Settings!$D$4:$D$9,"&lt;="&amp;$H1246))))</f>
        <v/>
      </c>
      <c r="K1246" s="51">
        <f>IF($G1246=0,0,IF(INDEX(Employees!$I$5:$I$29,$A1246)="Per pay period",(N(INDEX(Employees!$J$5:$J$29,$A1246))+$J1246)/Settings!$B$13,IF(INDEX(Employees!$I$5:$I$29,$A1246)="Per hour worked",N(INDEX(Employees!$K$5:$K$29,$A1246))*$I1246,IF(INDEX(Employees!$I$5:$I$29,$A1246)="Front-loaded",IF(OR($B1246=1,N($G1245)=0),N(INDEX(Employees!$J$5:$J$29,$A1246))+$J1246,0),0))))</f>
        <v/>
      </c>
      <c r="L1246" s="51">
        <f>IF($F1246=0,0,SUMIFS('Time Off Log'!$H$5:$H$504,'Time Off Log'!$A$5:$A$504,$C1246,'Time Off Log'!$B$5:$B$504,"PTO",'Time Off Log'!$E$5:$E$504,"Approved",'Time Off Log'!$C$5:$C$504,"&gt;="&amp;INDEX(Periods!$E$5:$E$57,$B1246),'Time Off Log'!$C$5:$C$504,"&lt;="&amp;INDEX(Periods!$F$5:$F$57,$B1246)))</f>
        <v/>
      </c>
      <c r="M1246" s="51">
        <f>IF($B1246=1,N(INDEX(Employees!$N$5:$N$29,$A1246)),P1245)</f>
        <v/>
      </c>
      <c r="N1246" s="51">
        <f>IF(INDEX(Employees!$L$5:$L$29,$A1246)="",K1246,MAX(0,MIN(K1246,INDEX(Employees!$L$5:$L$29,$A1246)-(M1246-L1246))))</f>
        <v/>
      </c>
      <c r="O1246" s="51">
        <f>K1246-N1246</f>
        <v/>
      </c>
      <c r="P1246" s="51">
        <f>M1246-L1246+N1246</f>
        <v/>
      </c>
      <c r="Q1246" s="51">
        <f>IF($G1246=0,0,IF(INDEX(Employees!$P$5:$P$29,$A1246)="Per pay period",(N(INDEX(Employees!$Q$5:$Q$29,$A1246)))/Settings!$B$13,IF(INDEX(Employees!$P$5:$P$29,$A1246)="Per hour worked",N(INDEX(Employees!$R$5:$R$29,$A1246))*$I1246,IF(INDEX(Employees!$P$5:$P$29,$A1246)="Front-loaded",IF(OR($B1246=1,N($G1245)=0),N(INDEX(Employees!$Q$5:$Q$29,$A1246)),0),0))))</f>
        <v/>
      </c>
      <c r="R1246" s="51">
        <f>IF($F1246=0,0,SUMIFS('Time Off Log'!$H$5:$H$504,'Time Off Log'!$A$5:$A$504,$C1246,'Time Off Log'!$B$5:$B$504,"Sick",'Time Off Log'!$E$5:$E$504,"Approved",'Time Off Log'!$C$5:$C$504,"&gt;="&amp;INDEX(Periods!$E$5:$E$57,$B1246),'Time Off Log'!$C$5:$C$504,"&lt;="&amp;INDEX(Periods!$F$5:$F$57,$B1246)))</f>
        <v/>
      </c>
      <c r="S1246" s="51">
        <f>IF($B1246=1,N(INDEX(Employees!$T$5:$T$29,$A1246)),V1245)</f>
        <v/>
      </c>
      <c r="T1246" s="51">
        <f>IF(INDEX(Employees!$S$5:$S$29,$A1246)="",Q1246,MAX(0,MIN(Q1246,INDEX(Employees!$S$5:$S$29,$A1246)-(S1246-R1246))))</f>
        <v/>
      </c>
      <c r="U1246" s="51">
        <f>Q1246-T1246</f>
        <v/>
      </c>
      <c r="V1246" s="51">
        <f>S1246-R1246+T1246</f>
        <v/>
      </c>
    </row>
    <row r="1247">
      <c r="A1247" s="50" t="n">
        <v>24</v>
      </c>
      <c r="B1247" s="50" t="n">
        <v>24</v>
      </c>
      <c r="C1247" s="51">
        <f>INDEX(Employees!$B$5:$B$29,$A1247)&amp;""</f>
        <v/>
      </c>
      <c r="D1247" s="52">
        <f>INDEX(Periods!$B$5:$B$57,$B1247)</f>
        <v/>
      </c>
      <c r="E1247" s="52">
        <f>INDEX(Periods!$C$5:$C$57,$B1247)</f>
        <v/>
      </c>
      <c r="F1247" s="50">
        <f>IF(AND($C1247&lt;&gt;"",INDEX(Periods!$D$5:$D$57,$B1247)=1),1,0)</f>
        <v/>
      </c>
      <c r="G1247" s="50">
        <f>IF($F1247=0,0,IF(AND(OR(INDEX(Employees!$D$5:$D$29,$A1247)="",$E1247&gt;=INDEX(Employees!$D$5:$D$29,$A1247)+N(INDEX(Employees!$U$5:$U$29,$A1247))),OR(INDEX(Employees!$E$5:$E$29,$A1247)="",$D1247&lt;=INDEX(Employees!$E$5:$E$29,$A1247))),1,0))</f>
        <v/>
      </c>
      <c r="H1247" s="50">
        <f>IF($G1247=0,0,IF(INDEX(Employees!$D$5:$D$29,$A1247)="",0,DATEDIF(INDEX(Employees!$D$5:$D$29,$A1247),$E1247,"y")))</f>
        <v/>
      </c>
      <c r="I1247" s="51">
        <f>IF($G1247=0,0,IF(INDEX('Hours Worked'!$D$5:$BD$29,$A1247,$B1247)="",N(INDEX(Employees!$H$5:$H$29,$A1247)),INDEX('Hours Worked'!$D$5:$BD$29,$A1247,$B1247)))</f>
        <v/>
      </c>
      <c r="J1247" s="51">
        <f>IF(OR($G1247=0,INDEX(Employees!$O$5:$O$29,$A1247)&lt;&gt;"Yes"),0,IF(COUNTIF(Settings!$D$4:$D$9,"&lt;="&amp;$H1247)=0,0,INDEX(Settings!$E$4:$E$9,COUNTIF(Settings!$D$4:$D$9,"&lt;="&amp;$H1247))))</f>
        <v/>
      </c>
      <c r="K1247" s="51">
        <f>IF($G1247=0,0,IF(INDEX(Employees!$I$5:$I$29,$A1247)="Per pay period",(N(INDEX(Employees!$J$5:$J$29,$A1247))+$J1247)/Settings!$B$13,IF(INDEX(Employees!$I$5:$I$29,$A1247)="Per hour worked",N(INDEX(Employees!$K$5:$K$29,$A1247))*$I1247,IF(INDEX(Employees!$I$5:$I$29,$A1247)="Front-loaded",IF(OR($B1247=1,N($G1246)=0),N(INDEX(Employees!$J$5:$J$29,$A1247))+$J1247,0),0))))</f>
        <v/>
      </c>
      <c r="L1247" s="51">
        <f>IF($F1247=0,0,SUMIFS('Time Off Log'!$H$5:$H$504,'Time Off Log'!$A$5:$A$504,$C1247,'Time Off Log'!$B$5:$B$504,"PTO",'Time Off Log'!$E$5:$E$504,"Approved",'Time Off Log'!$C$5:$C$504,"&gt;="&amp;INDEX(Periods!$E$5:$E$57,$B1247),'Time Off Log'!$C$5:$C$504,"&lt;="&amp;INDEX(Periods!$F$5:$F$57,$B1247)))</f>
        <v/>
      </c>
      <c r="M1247" s="51">
        <f>IF($B1247=1,N(INDEX(Employees!$N$5:$N$29,$A1247)),P1246)</f>
        <v/>
      </c>
      <c r="N1247" s="51">
        <f>IF(INDEX(Employees!$L$5:$L$29,$A1247)="",K1247,MAX(0,MIN(K1247,INDEX(Employees!$L$5:$L$29,$A1247)-(M1247-L1247))))</f>
        <v/>
      </c>
      <c r="O1247" s="51">
        <f>K1247-N1247</f>
        <v/>
      </c>
      <c r="P1247" s="51">
        <f>M1247-L1247+N1247</f>
        <v/>
      </c>
      <c r="Q1247" s="51">
        <f>IF($G1247=0,0,IF(INDEX(Employees!$P$5:$P$29,$A1247)="Per pay period",(N(INDEX(Employees!$Q$5:$Q$29,$A1247)))/Settings!$B$13,IF(INDEX(Employees!$P$5:$P$29,$A1247)="Per hour worked",N(INDEX(Employees!$R$5:$R$29,$A1247))*$I1247,IF(INDEX(Employees!$P$5:$P$29,$A1247)="Front-loaded",IF(OR($B1247=1,N($G1246)=0),N(INDEX(Employees!$Q$5:$Q$29,$A1247)),0),0))))</f>
        <v/>
      </c>
      <c r="R1247" s="51">
        <f>IF($F1247=0,0,SUMIFS('Time Off Log'!$H$5:$H$504,'Time Off Log'!$A$5:$A$504,$C1247,'Time Off Log'!$B$5:$B$504,"Sick",'Time Off Log'!$E$5:$E$504,"Approved",'Time Off Log'!$C$5:$C$504,"&gt;="&amp;INDEX(Periods!$E$5:$E$57,$B1247),'Time Off Log'!$C$5:$C$504,"&lt;="&amp;INDEX(Periods!$F$5:$F$57,$B1247)))</f>
        <v/>
      </c>
      <c r="S1247" s="51">
        <f>IF($B1247=1,N(INDEX(Employees!$T$5:$T$29,$A1247)),V1246)</f>
        <v/>
      </c>
      <c r="T1247" s="51">
        <f>IF(INDEX(Employees!$S$5:$S$29,$A1247)="",Q1247,MAX(0,MIN(Q1247,INDEX(Employees!$S$5:$S$29,$A1247)-(S1247-R1247))))</f>
        <v/>
      </c>
      <c r="U1247" s="51">
        <f>Q1247-T1247</f>
        <v/>
      </c>
      <c r="V1247" s="51">
        <f>S1247-R1247+T1247</f>
        <v/>
      </c>
    </row>
    <row r="1248">
      <c r="A1248" s="50" t="n">
        <v>24</v>
      </c>
      <c r="B1248" s="50" t="n">
        <v>25</v>
      </c>
      <c r="C1248" s="51">
        <f>INDEX(Employees!$B$5:$B$29,$A1248)&amp;""</f>
        <v/>
      </c>
      <c r="D1248" s="52">
        <f>INDEX(Periods!$B$5:$B$57,$B1248)</f>
        <v/>
      </c>
      <c r="E1248" s="52">
        <f>INDEX(Periods!$C$5:$C$57,$B1248)</f>
        <v/>
      </c>
      <c r="F1248" s="50">
        <f>IF(AND($C1248&lt;&gt;"",INDEX(Periods!$D$5:$D$57,$B1248)=1),1,0)</f>
        <v/>
      </c>
      <c r="G1248" s="50">
        <f>IF($F1248=0,0,IF(AND(OR(INDEX(Employees!$D$5:$D$29,$A1248)="",$E1248&gt;=INDEX(Employees!$D$5:$D$29,$A1248)+N(INDEX(Employees!$U$5:$U$29,$A1248))),OR(INDEX(Employees!$E$5:$E$29,$A1248)="",$D1248&lt;=INDEX(Employees!$E$5:$E$29,$A1248))),1,0))</f>
        <v/>
      </c>
      <c r="H1248" s="50">
        <f>IF($G1248=0,0,IF(INDEX(Employees!$D$5:$D$29,$A1248)="",0,DATEDIF(INDEX(Employees!$D$5:$D$29,$A1248),$E1248,"y")))</f>
        <v/>
      </c>
      <c r="I1248" s="51">
        <f>IF($G1248=0,0,IF(INDEX('Hours Worked'!$D$5:$BD$29,$A1248,$B1248)="",N(INDEX(Employees!$H$5:$H$29,$A1248)),INDEX('Hours Worked'!$D$5:$BD$29,$A1248,$B1248)))</f>
        <v/>
      </c>
      <c r="J1248" s="51">
        <f>IF(OR($G1248=0,INDEX(Employees!$O$5:$O$29,$A1248)&lt;&gt;"Yes"),0,IF(COUNTIF(Settings!$D$4:$D$9,"&lt;="&amp;$H1248)=0,0,INDEX(Settings!$E$4:$E$9,COUNTIF(Settings!$D$4:$D$9,"&lt;="&amp;$H1248))))</f>
        <v/>
      </c>
      <c r="K1248" s="51">
        <f>IF($G1248=0,0,IF(INDEX(Employees!$I$5:$I$29,$A1248)="Per pay period",(N(INDEX(Employees!$J$5:$J$29,$A1248))+$J1248)/Settings!$B$13,IF(INDEX(Employees!$I$5:$I$29,$A1248)="Per hour worked",N(INDEX(Employees!$K$5:$K$29,$A1248))*$I1248,IF(INDEX(Employees!$I$5:$I$29,$A1248)="Front-loaded",IF(OR($B1248=1,N($G1247)=0),N(INDEX(Employees!$J$5:$J$29,$A1248))+$J1248,0),0))))</f>
        <v/>
      </c>
      <c r="L1248" s="51">
        <f>IF($F1248=0,0,SUMIFS('Time Off Log'!$H$5:$H$504,'Time Off Log'!$A$5:$A$504,$C1248,'Time Off Log'!$B$5:$B$504,"PTO",'Time Off Log'!$E$5:$E$504,"Approved",'Time Off Log'!$C$5:$C$504,"&gt;="&amp;INDEX(Periods!$E$5:$E$57,$B1248),'Time Off Log'!$C$5:$C$504,"&lt;="&amp;INDEX(Periods!$F$5:$F$57,$B1248)))</f>
        <v/>
      </c>
      <c r="M1248" s="51">
        <f>IF($B1248=1,N(INDEX(Employees!$N$5:$N$29,$A1248)),P1247)</f>
        <v/>
      </c>
      <c r="N1248" s="51">
        <f>IF(INDEX(Employees!$L$5:$L$29,$A1248)="",K1248,MAX(0,MIN(K1248,INDEX(Employees!$L$5:$L$29,$A1248)-(M1248-L1248))))</f>
        <v/>
      </c>
      <c r="O1248" s="51">
        <f>K1248-N1248</f>
        <v/>
      </c>
      <c r="P1248" s="51">
        <f>M1248-L1248+N1248</f>
        <v/>
      </c>
      <c r="Q1248" s="51">
        <f>IF($G1248=0,0,IF(INDEX(Employees!$P$5:$P$29,$A1248)="Per pay period",(N(INDEX(Employees!$Q$5:$Q$29,$A1248)))/Settings!$B$13,IF(INDEX(Employees!$P$5:$P$29,$A1248)="Per hour worked",N(INDEX(Employees!$R$5:$R$29,$A1248))*$I1248,IF(INDEX(Employees!$P$5:$P$29,$A1248)="Front-loaded",IF(OR($B1248=1,N($G1247)=0),N(INDEX(Employees!$Q$5:$Q$29,$A1248)),0),0))))</f>
        <v/>
      </c>
      <c r="R1248" s="51">
        <f>IF($F1248=0,0,SUMIFS('Time Off Log'!$H$5:$H$504,'Time Off Log'!$A$5:$A$504,$C1248,'Time Off Log'!$B$5:$B$504,"Sick",'Time Off Log'!$E$5:$E$504,"Approved",'Time Off Log'!$C$5:$C$504,"&gt;="&amp;INDEX(Periods!$E$5:$E$57,$B1248),'Time Off Log'!$C$5:$C$504,"&lt;="&amp;INDEX(Periods!$F$5:$F$57,$B1248)))</f>
        <v/>
      </c>
      <c r="S1248" s="51">
        <f>IF($B1248=1,N(INDEX(Employees!$T$5:$T$29,$A1248)),V1247)</f>
        <v/>
      </c>
      <c r="T1248" s="51">
        <f>IF(INDEX(Employees!$S$5:$S$29,$A1248)="",Q1248,MAX(0,MIN(Q1248,INDEX(Employees!$S$5:$S$29,$A1248)-(S1248-R1248))))</f>
        <v/>
      </c>
      <c r="U1248" s="51">
        <f>Q1248-T1248</f>
        <v/>
      </c>
      <c r="V1248" s="51">
        <f>S1248-R1248+T1248</f>
        <v/>
      </c>
    </row>
    <row r="1249">
      <c r="A1249" s="50" t="n">
        <v>24</v>
      </c>
      <c r="B1249" s="50" t="n">
        <v>26</v>
      </c>
      <c r="C1249" s="51">
        <f>INDEX(Employees!$B$5:$B$29,$A1249)&amp;""</f>
        <v/>
      </c>
      <c r="D1249" s="52">
        <f>INDEX(Periods!$B$5:$B$57,$B1249)</f>
        <v/>
      </c>
      <c r="E1249" s="52">
        <f>INDEX(Periods!$C$5:$C$57,$B1249)</f>
        <v/>
      </c>
      <c r="F1249" s="50">
        <f>IF(AND($C1249&lt;&gt;"",INDEX(Periods!$D$5:$D$57,$B1249)=1),1,0)</f>
        <v/>
      </c>
      <c r="G1249" s="50">
        <f>IF($F1249=0,0,IF(AND(OR(INDEX(Employees!$D$5:$D$29,$A1249)="",$E1249&gt;=INDEX(Employees!$D$5:$D$29,$A1249)+N(INDEX(Employees!$U$5:$U$29,$A1249))),OR(INDEX(Employees!$E$5:$E$29,$A1249)="",$D1249&lt;=INDEX(Employees!$E$5:$E$29,$A1249))),1,0))</f>
        <v/>
      </c>
      <c r="H1249" s="50">
        <f>IF($G1249=0,0,IF(INDEX(Employees!$D$5:$D$29,$A1249)="",0,DATEDIF(INDEX(Employees!$D$5:$D$29,$A1249),$E1249,"y")))</f>
        <v/>
      </c>
      <c r="I1249" s="51">
        <f>IF($G1249=0,0,IF(INDEX('Hours Worked'!$D$5:$BD$29,$A1249,$B1249)="",N(INDEX(Employees!$H$5:$H$29,$A1249)),INDEX('Hours Worked'!$D$5:$BD$29,$A1249,$B1249)))</f>
        <v/>
      </c>
      <c r="J1249" s="51">
        <f>IF(OR($G1249=0,INDEX(Employees!$O$5:$O$29,$A1249)&lt;&gt;"Yes"),0,IF(COUNTIF(Settings!$D$4:$D$9,"&lt;="&amp;$H1249)=0,0,INDEX(Settings!$E$4:$E$9,COUNTIF(Settings!$D$4:$D$9,"&lt;="&amp;$H1249))))</f>
        <v/>
      </c>
      <c r="K1249" s="51">
        <f>IF($G1249=0,0,IF(INDEX(Employees!$I$5:$I$29,$A1249)="Per pay period",(N(INDEX(Employees!$J$5:$J$29,$A1249))+$J1249)/Settings!$B$13,IF(INDEX(Employees!$I$5:$I$29,$A1249)="Per hour worked",N(INDEX(Employees!$K$5:$K$29,$A1249))*$I1249,IF(INDEX(Employees!$I$5:$I$29,$A1249)="Front-loaded",IF(OR($B1249=1,N($G1248)=0),N(INDEX(Employees!$J$5:$J$29,$A1249))+$J1249,0),0))))</f>
        <v/>
      </c>
      <c r="L1249" s="51">
        <f>IF($F1249=0,0,SUMIFS('Time Off Log'!$H$5:$H$504,'Time Off Log'!$A$5:$A$504,$C1249,'Time Off Log'!$B$5:$B$504,"PTO",'Time Off Log'!$E$5:$E$504,"Approved",'Time Off Log'!$C$5:$C$504,"&gt;="&amp;INDEX(Periods!$E$5:$E$57,$B1249),'Time Off Log'!$C$5:$C$504,"&lt;="&amp;INDEX(Periods!$F$5:$F$57,$B1249)))</f>
        <v/>
      </c>
      <c r="M1249" s="51">
        <f>IF($B1249=1,N(INDEX(Employees!$N$5:$N$29,$A1249)),P1248)</f>
        <v/>
      </c>
      <c r="N1249" s="51">
        <f>IF(INDEX(Employees!$L$5:$L$29,$A1249)="",K1249,MAX(0,MIN(K1249,INDEX(Employees!$L$5:$L$29,$A1249)-(M1249-L1249))))</f>
        <v/>
      </c>
      <c r="O1249" s="51">
        <f>K1249-N1249</f>
        <v/>
      </c>
      <c r="P1249" s="51">
        <f>M1249-L1249+N1249</f>
        <v/>
      </c>
      <c r="Q1249" s="51">
        <f>IF($G1249=0,0,IF(INDEX(Employees!$P$5:$P$29,$A1249)="Per pay period",(N(INDEX(Employees!$Q$5:$Q$29,$A1249)))/Settings!$B$13,IF(INDEX(Employees!$P$5:$P$29,$A1249)="Per hour worked",N(INDEX(Employees!$R$5:$R$29,$A1249))*$I1249,IF(INDEX(Employees!$P$5:$P$29,$A1249)="Front-loaded",IF(OR($B1249=1,N($G1248)=0),N(INDEX(Employees!$Q$5:$Q$29,$A1249)),0),0))))</f>
        <v/>
      </c>
      <c r="R1249" s="51">
        <f>IF($F1249=0,0,SUMIFS('Time Off Log'!$H$5:$H$504,'Time Off Log'!$A$5:$A$504,$C1249,'Time Off Log'!$B$5:$B$504,"Sick",'Time Off Log'!$E$5:$E$504,"Approved",'Time Off Log'!$C$5:$C$504,"&gt;="&amp;INDEX(Periods!$E$5:$E$57,$B1249),'Time Off Log'!$C$5:$C$504,"&lt;="&amp;INDEX(Periods!$F$5:$F$57,$B1249)))</f>
        <v/>
      </c>
      <c r="S1249" s="51">
        <f>IF($B1249=1,N(INDEX(Employees!$T$5:$T$29,$A1249)),V1248)</f>
        <v/>
      </c>
      <c r="T1249" s="51">
        <f>IF(INDEX(Employees!$S$5:$S$29,$A1249)="",Q1249,MAX(0,MIN(Q1249,INDEX(Employees!$S$5:$S$29,$A1249)-(S1249-R1249))))</f>
        <v/>
      </c>
      <c r="U1249" s="51">
        <f>Q1249-T1249</f>
        <v/>
      </c>
      <c r="V1249" s="51">
        <f>S1249-R1249+T1249</f>
        <v/>
      </c>
    </row>
    <row r="1250">
      <c r="A1250" s="50" t="n">
        <v>24</v>
      </c>
      <c r="B1250" s="50" t="n">
        <v>27</v>
      </c>
      <c r="C1250" s="51">
        <f>INDEX(Employees!$B$5:$B$29,$A1250)&amp;""</f>
        <v/>
      </c>
      <c r="D1250" s="52">
        <f>INDEX(Periods!$B$5:$B$57,$B1250)</f>
        <v/>
      </c>
      <c r="E1250" s="52">
        <f>INDEX(Periods!$C$5:$C$57,$B1250)</f>
        <v/>
      </c>
      <c r="F1250" s="50">
        <f>IF(AND($C1250&lt;&gt;"",INDEX(Periods!$D$5:$D$57,$B1250)=1),1,0)</f>
        <v/>
      </c>
      <c r="G1250" s="50">
        <f>IF($F1250=0,0,IF(AND(OR(INDEX(Employees!$D$5:$D$29,$A1250)="",$E1250&gt;=INDEX(Employees!$D$5:$D$29,$A1250)+N(INDEX(Employees!$U$5:$U$29,$A1250))),OR(INDEX(Employees!$E$5:$E$29,$A1250)="",$D1250&lt;=INDEX(Employees!$E$5:$E$29,$A1250))),1,0))</f>
        <v/>
      </c>
      <c r="H1250" s="50">
        <f>IF($G1250=0,0,IF(INDEX(Employees!$D$5:$D$29,$A1250)="",0,DATEDIF(INDEX(Employees!$D$5:$D$29,$A1250),$E1250,"y")))</f>
        <v/>
      </c>
      <c r="I1250" s="51">
        <f>IF($G1250=0,0,IF(INDEX('Hours Worked'!$D$5:$BD$29,$A1250,$B1250)="",N(INDEX(Employees!$H$5:$H$29,$A1250)),INDEX('Hours Worked'!$D$5:$BD$29,$A1250,$B1250)))</f>
        <v/>
      </c>
      <c r="J1250" s="51">
        <f>IF(OR($G1250=0,INDEX(Employees!$O$5:$O$29,$A1250)&lt;&gt;"Yes"),0,IF(COUNTIF(Settings!$D$4:$D$9,"&lt;="&amp;$H1250)=0,0,INDEX(Settings!$E$4:$E$9,COUNTIF(Settings!$D$4:$D$9,"&lt;="&amp;$H1250))))</f>
        <v/>
      </c>
      <c r="K1250" s="51">
        <f>IF($G1250=0,0,IF(INDEX(Employees!$I$5:$I$29,$A1250)="Per pay period",(N(INDEX(Employees!$J$5:$J$29,$A1250))+$J1250)/Settings!$B$13,IF(INDEX(Employees!$I$5:$I$29,$A1250)="Per hour worked",N(INDEX(Employees!$K$5:$K$29,$A1250))*$I1250,IF(INDEX(Employees!$I$5:$I$29,$A1250)="Front-loaded",IF(OR($B1250=1,N($G1249)=0),N(INDEX(Employees!$J$5:$J$29,$A1250))+$J1250,0),0))))</f>
        <v/>
      </c>
      <c r="L1250" s="51">
        <f>IF($F1250=0,0,SUMIFS('Time Off Log'!$H$5:$H$504,'Time Off Log'!$A$5:$A$504,$C1250,'Time Off Log'!$B$5:$B$504,"PTO",'Time Off Log'!$E$5:$E$504,"Approved",'Time Off Log'!$C$5:$C$504,"&gt;="&amp;INDEX(Periods!$E$5:$E$57,$B1250),'Time Off Log'!$C$5:$C$504,"&lt;="&amp;INDEX(Periods!$F$5:$F$57,$B1250)))</f>
        <v/>
      </c>
      <c r="M1250" s="51">
        <f>IF($B1250=1,N(INDEX(Employees!$N$5:$N$29,$A1250)),P1249)</f>
        <v/>
      </c>
      <c r="N1250" s="51">
        <f>IF(INDEX(Employees!$L$5:$L$29,$A1250)="",K1250,MAX(0,MIN(K1250,INDEX(Employees!$L$5:$L$29,$A1250)-(M1250-L1250))))</f>
        <v/>
      </c>
      <c r="O1250" s="51">
        <f>K1250-N1250</f>
        <v/>
      </c>
      <c r="P1250" s="51">
        <f>M1250-L1250+N1250</f>
        <v/>
      </c>
      <c r="Q1250" s="51">
        <f>IF($G1250=0,0,IF(INDEX(Employees!$P$5:$P$29,$A1250)="Per pay period",(N(INDEX(Employees!$Q$5:$Q$29,$A1250)))/Settings!$B$13,IF(INDEX(Employees!$P$5:$P$29,$A1250)="Per hour worked",N(INDEX(Employees!$R$5:$R$29,$A1250))*$I1250,IF(INDEX(Employees!$P$5:$P$29,$A1250)="Front-loaded",IF(OR($B1250=1,N($G1249)=0),N(INDEX(Employees!$Q$5:$Q$29,$A1250)),0),0))))</f>
        <v/>
      </c>
      <c r="R1250" s="51">
        <f>IF($F1250=0,0,SUMIFS('Time Off Log'!$H$5:$H$504,'Time Off Log'!$A$5:$A$504,$C1250,'Time Off Log'!$B$5:$B$504,"Sick",'Time Off Log'!$E$5:$E$504,"Approved",'Time Off Log'!$C$5:$C$504,"&gt;="&amp;INDEX(Periods!$E$5:$E$57,$B1250),'Time Off Log'!$C$5:$C$504,"&lt;="&amp;INDEX(Periods!$F$5:$F$57,$B1250)))</f>
        <v/>
      </c>
      <c r="S1250" s="51">
        <f>IF($B1250=1,N(INDEX(Employees!$T$5:$T$29,$A1250)),V1249)</f>
        <v/>
      </c>
      <c r="T1250" s="51">
        <f>IF(INDEX(Employees!$S$5:$S$29,$A1250)="",Q1250,MAX(0,MIN(Q1250,INDEX(Employees!$S$5:$S$29,$A1250)-(S1250-R1250))))</f>
        <v/>
      </c>
      <c r="U1250" s="51">
        <f>Q1250-T1250</f>
        <v/>
      </c>
      <c r="V1250" s="51">
        <f>S1250-R1250+T1250</f>
        <v/>
      </c>
    </row>
    <row r="1251">
      <c r="A1251" s="50" t="n">
        <v>24</v>
      </c>
      <c r="B1251" s="50" t="n">
        <v>28</v>
      </c>
      <c r="C1251" s="51">
        <f>INDEX(Employees!$B$5:$B$29,$A1251)&amp;""</f>
        <v/>
      </c>
      <c r="D1251" s="52">
        <f>INDEX(Periods!$B$5:$B$57,$B1251)</f>
        <v/>
      </c>
      <c r="E1251" s="52">
        <f>INDEX(Periods!$C$5:$C$57,$B1251)</f>
        <v/>
      </c>
      <c r="F1251" s="50">
        <f>IF(AND($C1251&lt;&gt;"",INDEX(Periods!$D$5:$D$57,$B1251)=1),1,0)</f>
        <v/>
      </c>
      <c r="G1251" s="50">
        <f>IF($F1251=0,0,IF(AND(OR(INDEX(Employees!$D$5:$D$29,$A1251)="",$E1251&gt;=INDEX(Employees!$D$5:$D$29,$A1251)+N(INDEX(Employees!$U$5:$U$29,$A1251))),OR(INDEX(Employees!$E$5:$E$29,$A1251)="",$D1251&lt;=INDEX(Employees!$E$5:$E$29,$A1251))),1,0))</f>
        <v/>
      </c>
      <c r="H1251" s="50">
        <f>IF($G1251=0,0,IF(INDEX(Employees!$D$5:$D$29,$A1251)="",0,DATEDIF(INDEX(Employees!$D$5:$D$29,$A1251),$E1251,"y")))</f>
        <v/>
      </c>
      <c r="I1251" s="51">
        <f>IF($G1251=0,0,IF(INDEX('Hours Worked'!$D$5:$BD$29,$A1251,$B1251)="",N(INDEX(Employees!$H$5:$H$29,$A1251)),INDEX('Hours Worked'!$D$5:$BD$29,$A1251,$B1251)))</f>
        <v/>
      </c>
      <c r="J1251" s="51">
        <f>IF(OR($G1251=0,INDEX(Employees!$O$5:$O$29,$A1251)&lt;&gt;"Yes"),0,IF(COUNTIF(Settings!$D$4:$D$9,"&lt;="&amp;$H1251)=0,0,INDEX(Settings!$E$4:$E$9,COUNTIF(Settings!$D$4:$D$9,"&lt;="&amp;$H1251))))</f>
        <v/>
      </c>
      <c r="K1251" s="51">
        <f>IF($G1251=0,0,IF(INDEX(Employees!$I$5:$I$29,$A1251)="Per pay period",(N(INDEX(Employees!$J$5:$J$29,$A1251))+$J1251)/Settings!$B$13,IF(INDEX(Employees!$I$5:$I$29,$A1251)="Per hour worked",N(INDEX(Employees!$K$5:$K$29,$A1251))*$I1251,IF(INDEX(Employees!$I$5:$I$29,$A1251)="Front-loaded",IF(OR($B1251=1,N($G1250)=0),N(INDEX(Employees!$J$5:$J$29,$A1251))+$J1251,0),0))))</f>
        <v/>
      </c>
      <c r="L1251" s="51">
        <f>IF($F1251=0,0,SUMIFS('Time Off Log'!$H$5:$H$504,'Time Off Log'!$A$5:$A$504,$C1251,'Time Off Log'!$B$5:$B$504,"PTO",'Time Off Log'!$E$5:$E$504,"Approved",'Time Off Log'!$C$5:$C$504,"&gt;="&amp;INDEX(Periods!$E$5:$E$57,$B1251),'Time Off Log'!$C$5:$C$504,"&lt;="&amp;INDEX(Periods!$F$5:$F$57,$B1251)))</f>
        <v/>
      </c>
      <c r="M1251" s="51">
        <f>IF($B1251=1,N(INDEX(Employees!$N$5:$N$29,$A1251)),P1250)</f>
        <v/>
      </c>
      <c r="N1251" s="51">
        <f>IF(INDEX(Employees!$L$5:$L$29,$A1251)="",K1251,MAX(0,MIN(K1251,INDEX(Employees!$L$5:$L$29,$A1251)-(M1251-L1251))))</f>
        <v/>
      </c>
      <c r="O1251" s="51">
        <f>K1251-N1251</f>
        <v/>
      </c>
      <c r="P1251" s="51">
        <f>M1251-L1251+N1251</f>
        <v/>
      </c>
      <c r="Q1251" s="51">
        <f>IF($G1251=0,0,IF(INDEX(Employees!$P$5:$P$29,$A1251)="Per pay period",(N(INDEX(Employees!$Q$5:$Q$29,$A1251)))/Settings!$B$13,IF(INDEX(Employees!$P$5:$P$29,$A1251)="Per hour worked",N(INDEX(Employees!$R$5:$R$29,$A1251))*$I1251,IF(INDEX(Employees!$P$5:$P$29,$A1251)="Front-loaded",IF(OR($B1251=1,N($G1250)=0),N(INDEX(Employees!$Q$5:$Q$29,$A1251)),0),0))))</f>
        <v/>
      </c>
      <c r="R1251" s="51">
        <f>IF($F1251=0,0,SUMIFS('Time Off Log'!$H$5:$H$504,'Time Off Log'!$A$5:$A$504,$C1251,'Time Off Log'!$B$5:$B$504,"Sick",'Time Off Log'!$E$5:$E$504,"Approved",'Time Off Log'!$C$5:$C$504,"&gt;="&amp;INDEX(Periods!$E$5:$E$57,$B1251),'Time Off Log'!$C$5:$C$504,"&lt;="&amp;INDEX(Periods!$F$5:$F$57,$B1251)))</f>
        <v/>
      </c>
      <c r="S1251" s="51">
        <f>IF($B1251=1,N(INDEX(Employees!$T$5:$T$29,$A1251)),V1250)</f>
        <v/>
      </c>
      <c r="T1251" s="51">
        <f>IF(INDEX(Employees!$S$5:$S$29,$A1251)="",Q1251,MAX(0,MIN(Q1251,INDEX(Employees!$S$5:$S$29,$A1251)-(S1251-R1251))))</f>
        <v/>
      </c>
      <c r="U1251" s="51">
        <f>Q1251-T1251</f>
        <v/>
      </c>
      <c r="V1251" s="51">
        <f>S1251-R1251+T1251</f>
        <v/>
      </c>
    </row>
    <row r="1252">
      <c r="A1252" s="50" t="n">
        <v>24</v>
      </c>
      <c r="B1252" s="50" t="n">
        <v>29</v>
      </c>
      <c r="C1252" s="51">
        <f>INDEX(Employees!$B$5:$B$29,$A1252)&amp;""</f>
        <v/>
      </c>
      <c r="D1252" s="52">
        <f>INDEX(Periods!$B$5:$B$57,$B1252)</f>
        <v/>
      </c>
      <c r="E1252" s="52">
        <f>INDEX(Periods!$C$5:$C$57,$B1252)</f>
        <v/>
      </c>
      <c r="F1252" s="50">
        <f>IF(AND($C1252&lt;&gt;"",INDEX(Periods!$D$5:$D$57,$B1252)=1),1,0)</f>
        <v/>
      </c>
      <c r="G1252" s="50">
        <f>IF($F1252=0,0,IF(AND(OR(INDEX(Employees!$D$5:$D$29,$A1252)="",$E1252&gt;=INDEX(Employees!$D$5:$D$29,$A1252)+N(INDEX(Employees!$U$5:$U$29,$A1252))),OR(INDEX(Employees!$E$5:$E$29,$A1252)="",$D1252&lt;=INDEX(Employees!$E$5:$E$29,$A1252))),1,0))</f>
        <v/>
      </c>
      <c r="H1252" s="50">
        <f>IF($G1252=0,0,IF(INDEX(Employees!$D$5:$D$29,$A1252)="",0,DATEDIF(INDEX(Employees!$D$5:$D$29,$A1252),$E1252,"y")))</f>
        <v/>
      </c>
      <c r="I1252" s="51">
        <f>IF($G1252=0,0,IF(INDEX('Hours Worked'!$D$5:$BD$29,$A1252,$B1252)="",N(INDEX(Employees!$H$5:$H$29,$A1252)),INDEX('Hours Worked'!$D$5:$BD$29,$A1252,$B1252)))</f>
        <v/>
      </c>
      <c r="J1252" s="51">
        <f>IF(OR($G1252=0,INDEX(Employees!$O$5:$O$29,$A1252)&lt;&gt;"Yes"),0,IF(COUNTIF(Settings!$D$4:$D$9,"&lt;="&amp;$H1252)=0,0,INDEX(Settings!$E$4:$E$9,COUNTIF(Settings!$D$4:$D$9,"&lt;="&amp;$H1252))))</f>
        <v/>
      </c>
      <c r="K1252" s="51">
        <f>IF($G1252=0,0,IF(INDEX(Employees!$I$5:$I$29,$A1252)="Per pay period",(N(INDEX(Employees!$J$5:$J$29,$A1252))+$J1252)/Settings!$B$13,IF(INDEX(Employees!$I$5:$I$29,$A1252)="Per hour worked",N(INDEX(Employees!$K$5:$K$29,$A1252))*$I1252,IF(INDEX(Employees!$I$5:$I$29,$A1252)="Front-loaded",IF(OR($B1252=1,N($G1251)=0),N(INDEX(Employees!$J$5:$J$29,$A1252))+$J1252,0),0))))</f>
        <v/>
      </c>
      <c r="L1252" s="51">
        <f>IF($F1252=0,0,SUMIFS('Time Off Log'!$H$5:$H$504,'Time Off Log'!$A$5:$A$504,$C1252,'Time Off Log'!$B$5:$B$504,"PTO",'Time Off Log'!$E$5:$E$504,"Approved",'Time Off Log'!$C$5:$C$504,"&gt;="&amp;INDEX(Periods!$E$5:$E$57,$B1252),'Time Off Log'!$C$5:$C$504,"&lt;="&amp;INDEX(Periods!$F$5:$F$57,$B1252)))</f>
        <v/>
      </c>
      <c r="M1252" s="51">
        <f>IF($B1252=1,N(INDEX(Employees!$N$5:$N$29,$A1252)),P1251)</f>
        <v/>
      </c>
      <c r="N1252" s="51">
        <f>IF(INDEX(Employees!$L$5:$L$29,$A1252)="",K1252,MAX(0,MIN(K1252,INDEX(Employees!$L$5:$L$29,$A1252)-(M1252-L1252))))</f>
        <v/>
      </c>
      <c r="O1252" s="51">
        <f>K1252-N1252</f>
        <v/>
      </c>
      <c r="P1252" s="51">
        <f>M1252-L1252+N1252</f>
        <v/>
      </c>
      <c r="Q1252" s="51">
        <f>IF($G1252=0,0,IF(INDEX(Employees!$P$5:$P$29,$A1252)="Per pay period",(N(INDEX(Employees!$Q$5:$Q$29,$A1252)))/Settings!$B$13,IF(INDEX(Employees!$P$5:$P$29,$A1252)="Per hour worked",N(INDEX(Employees!$R$5:$R$29,$A1252))*$I1252,IF(INDEX(Employees!$P$5:$P$29,$A1252)="Front-loaded",IF(OR($B1252=1,N($G1251)=0),N(INDEX(Employees!$Q$5:$Q$29,$A1252)),0),0))))</f>
        <v/>
      </c>
      <c r="R1252" s="51">
        <f>IF($F1252=0,0,SUMIFS('Time Off Log'!$H$5:$H$504,'Time Off Log'!$A$5:$A$504,$C1252,'Time Off Log'!$B$5:$B$504,"Sick",'Time Off Log'!$E$5:$E$504,"Approved",'Time Off Log'!$C$5:$C$504,"&gt;="&amp;INDEX(Periods!$E$5:$E$57,$B1252),'Time Off Log'!$C$5:$C$504,"&lt;="&amp;INDEX(Periods!$F$5:$F$57,$B1252)))</f>
        <v/>
      </c>
      <c r="S1252" s="51">
        <f>IF($B1252=1,N(INDEX(Employees!$T$5:$T$29,$A1252)),V1251)</f>
        <v/>
      </c>
      <c r="T1252" s="51">
        <f>IF(INDEX(Employees!$S$5:$S$29,$A1252)="",Q1252,MAX(0,MIN(Q1252,INDEX(Employees!$S$5:$S$29,$A1252)-(S1252-R1252))))</f>
        <v/>
      </c>
      <c r="U1252" s="51">
        <f>Q1252-T1252</f>
        <v/>
      </c>
      <c r="V1252" s="51">
        <f>S1252-R1252+T1252</f>
        <v/>
      </c>
    </row>
    <row r="1253">
      <c r="A1253" s="50" t="n">
        <v>24</v>
      </c>
      <c r="B1253" s="50" t="n">
        <v>30</v>
      </c>
      <c r="C1253" s="51">
        <f>INDEX(Employees!$B$5:$B$29,$A1253)&amp;""</f>
        <v/>
      </c>
      <c r="D1253" s="52">
        <f>INDEX(Periods!$B$5:$B$57,$B1253)</f>
        <v/>
      </c>
      <c r="E1253" s="52">
        <f>INDEX(Periods!$C$5:$C$57,$B1253)</f>
        <v/>
      </c>
      <c r="F1253" s="50">
        <f>IF(AND($C1253&lt;&gt;"",INDEX(Periods!$D$5:$D$57,$B1253)=1),1,0)</f>
        <v/>
      </c>
      <c r="G1253" s="50">
        <f>IF($F1253=0,0,IF(AND(OR(INDEX(Employees!$D$5:$D$29,$A1253)="",$E1253&gt;=INDEX(Employees!$D$5:$D$29,$A1253)+N(INDEX(Employees!$U$5:$U$29,$A1253))),OR(INDEX(Employees!$E$5:$E$29,$A1253)="",$D1253&lt;=INDEX(Employees!$E$5:$E$29,$A1253))),1,0))</f>
        <v/>
      </c>
      <c r="H1253" s="50">
        <f>IF($G1253=0,0,IF(INDEX(Employees!$D$5:$D$29,$A1253)="",0,DATEDIF(INDEX(Employees!$D$5:$D$29,$A1253),$E1253,"y")))</f>
        <v/>
      </c>
      <c r="I1253" s="51">
        <f>IF($G1253=0,0,IF(INDEX('Hours Worked'!$D$5:$BD$29,$A1253,$B1253)="",N(INDEX(Employees!$H$5:$H$29,$A1253)),INDEX('Hours Worked'!$D$5:$BD$29,$A1253,$B1253)))</f>
        <v/>
      </c>
      <c r="J1253" s="51">
        <f>IF(OR($G1253=0,INDEX(Employees!$O$5:$O$29,$A1253)&lt;&gt;"Yes"),0,IF(COUNTIF(Settings!$D$4:$D$9,"&lt;="&amp;$H1253)=0,0,INDEX(Settings!$E$4:$E$9,COUNTIF(Settings!$D$4:$D$9,"&lt;="&amp;$H1253))))</f>
        <v/>
      </c>
      <c r="K1253" s="51">
        <f>IF($G1253=0,0,IF(INDEX(Employees!$I$5:$I$29,$A1253)="Per pay period",(N(INDEX(Employees!$J$5:$J$29,$A1253))+$J1253)/Settings!$B$13,IF(INDEX(Employees!$I$5:$I$29,$A1253)="Per hour worked",N(INDEX(Employees!$K$5:$K$29,$A1253))*$I1253,IF(INDEX(Employees!$I$5:$I$29,$A1253)="Front-loaded",IF(OR($B1253=1,N($G1252)=0),N(INDEX(Employees!$J$5:$J$29,$A1253))+$J1253,0),0))))</f>
        <v/>
      </c>
      <c r="L1253" s="51">
        <f>IF($F1253=0,0,SUMIFS('Time Off Log'!$H$5:$H$504,'Time Off Log'!$A$5:$A$504,$C1253,'Time Off Log'!$B$5:$B$504,"PTO",'Time Off Log'!$E$5:$E$504,"Approved",'Time Off Log'!$C$5:$C$504,"&gt;="&amp;INDEX(Periods!$E$5:$E$57,$B1253),'Time Off Log'!$C$5:$C$504,"&lt;="&amp;INDEX(Periods!$F$5:$F$57,$B1253)))</f>
        <v/>
      </c>
      <c r="M1253" s="51">
        <f>IF($B1253=1,N(INDEX(Employees!$N$5:$N$29,$A1253)),P1252)</f>
        <v/>
      </c>
      <c r="N1253" s="51">
        <f>IF(INDEX(Employees!$L$5:$L$29,$A1253)="",K1253,MAX(0,MIN(K1253,INDEX(Employees!$L$5:$L$29,$A1253)-(M1253-L1253))))</f>
        <v/>
      </c>
      <c r="O1253" s="51">
        <f>K1253-N1253</f>
        <v/>
      </c>
      <c r="P1253" s="51">
        <f>M1253-L1253+N1253</f>
        <v/>
      </c>
      <c r="Q1253" s="51">
        <f>IF($G1253=0,0,IF(INDEX(Employees!$P$5:$P$29,$A1253)="Per pay period",(N(INDEX(Employees!$Q$5:$Q$29,$A1253)))/Settings!$B$13,IF(INDEX(Employees!$P$5:$P$29,$A1253)="Per hour worked",N(INDEX(Employees!$R$5:$R$29,$A1253))*$I1253,IF(INDEX(Employees!$P$5:$P$29,$A1253)="Front-loaded",IF(OR($B1253=1,N($G1252)=0),N(INDEX(Employees!$Q$5:$Q$29,$A1253)),0),0))))</f>
        <v/>
      </c>
      <c r="R1253" s="51">
        <f>IF($F1253=0,0,SUMIFS('Time Off Log'!$H$5:$H$504,'Time Off Log'!$A$5:$A$504,$C1253,'Time Off Log'!$B$5:$B$504,"Sick",'Time Off Log'!$E$5:$E$504,"Approved",'Time Off Log'!$C$5:$C$504,"&gt;="&amp;INDEX(Periods!$E$5:$E$57,$B1253),'Time Off Log'!$C$5:$C$504,"&lt;="&amp;INDEX(Periods!$F$5:$F$57,$B1253)))</f>
        <v/>
      </c>
      <c r="S1253" s="51">
        <f>IF($B1253=1,N(INDEX(Employees!$T$5:$T$29,$A1253)),V1252)</f>
        <v/>
      </c>
      <c r="T1253" s="51">
        <f>IF(INDEX(Employees!$S$5:$S$29,$A1253)="",Q1253,MAX(0,MIN(Q1253,INDEX(Employees!$S$5:$S$29,$A1253)-(S1253-R1253))))</f>
        <v/>
      </c>
      <c r="U1253" s="51">
        <f>Q1253-T1253</f>
        <v/>
      </c>
      <c r="V1253" s="51">
        <f>S1253-R1253+T1253</f>
        <v/>
      </c>
    </row>
    <row r="1254">
      <c r="A1254" s="50" t="n">
        <v>24</v>
      </c>
      <c r="B1254" s="50" t="n">
        <v>31</v>
      </c>
      <c r="C1254" s="51">
        <f>INDEX(Employees!$B$5:$B$29,$A1254)&amp;""</f>
        <v/>
      </c>
      <c r="D1254" s="52">
        <f>INDEX(Periods!$B$5:$B$57,$B1254)</f>
        <v/>
      </c>
      <c r="E1254" s="52">
        <f>INDEX(Periods!$C$5:$C$57,$B1254)</f>
        <v/>
      </c>
      <c r="F1254" s="50">
        <f>IF(AND($C1254&lt;&gt;"",INDEX(Periods!$D$5:$D$57,$B1254)=1),1,0)</f>
        <v/>
      </c>
      <c r="G1254" s="50">
        <f>IF($F1254=0,0,IF(AND(OR(INDEX(Employees!$D$5:$D$29,$A1254)="",$E1254&gt;=INDEX(Employees!$D$5:$D$29,$A1254)+N(INDEX(Employees!$U$5:$U$29,$A1254))),OR(INDEX(Employees!$E$5:$E$29,$A1254)="",$D1254&lt;=INDEX(Employees!$E$5:$E$29,$A1254))),1,0))</f>
        <v/>
      </c>
      <c r="H1254" s="50">
        <f>IF($G1254=0,0,IF(INDEX(Employees!$D$5:$D$29,$A1254)="",0,DATEDIF(INDEX(Employees!$D$5:$D$29,$A1254),$E1254,"y")))</f>
        <v/>
      </c>
      <c r="I1254" s="51">
        <f>IF($G1254=0,0,IF(INDEX('Hours Worked'!$D$5:$BD$29,$A1254,$B1254)="",N(INDEX(Employees!$H$5:$H$29,$A1254)),INDEX('Hours Worked'!$D$5:$BD$29,$A1254,$B1254)))</f>
        <v/>
      </c>
      <c r="J1254" s="51">
        <f>IF(OR($G1254=0,INDEX(Employees!$O$5:$O$29,$A1254)&lt;&gt;"Yes"),0,IF(COUNTIF(Settings!$D$4:$D$9,"&lt;="&amp;$H1254)=0,0,INDEX(Settings!$E$4:$E$9,COUNTIF(Settings!$D$4:$D$9,"&lt;="&amp;$H1254))))</f>
        <v/>
      </c>
      <c r="K1254" s="51">
        <f>IF($G1254=0,0,IF(INDEX(Employees!$I$5:$I$29,$A1254)="Per pay period",(N(INDEX(Employees!$J$5:$J$29,$A1254))+$J1254)/Settings!$B$13,IF(INDEX(Employees!$I$5:$I$29,$A1254)="Per hour worked",N(INDEX(Employees!$K$5:$K$29,$A1254))*$I1254,IF(INDEX(Employees!$I$5:$I$29,$A1254)="Front-loaded",IF(OR($B1254=1,N($G1253)=0),N(INDEX(Employees!$J$5:$J$29,$A1254))+$J1254,0),0))))</f>
        <v/>
      </c>
      <c r="L1254" s="51">
        <f>IF($F1254=0,0,SUMIFS('Time Off Log'!$H$5:$H$504,'Time Off Log'!$A$5:$A$504,$C1254,'Time Off Log'!$B$5:$B$504,"PTO",'Time Off Log'!$E$5:$E$504,"Approved",'Time Off Log'!$C$5:$C$504,"&gt;="&amp;INDEX(Periods!$E$5:$E$57,$B1254),'Time Off Log'!$C$5:$C$504,"&lt;="&amp;INDEX(Periods!$F$5:$F$57,$B1254)))</f>
        <v/>
      </c>
      <c r="M1254" s="51">
        <f>IF($B1254=1,N(INDEX(Employees!$N$5:$N$29,$A1254)),P1253)</f>
        <v/>
      </c>
      <c r="N1254" s="51">
        <f>IF(INDEX(Employees!$L$5:$L$29,$A1254)="",K1254,MAX(0,MIN(K1254,INDEX(Employees!$L$5:$L$29,$A1254)-(M1254-L1254))))</f>
        <v/>
      </c>
      <c r="O1254" s="51">
        <f>K1254-N1254</f>
        <v/>
      </c>
      <c r="P1254" s="51">
        <f>M1254-L1254+N1254</f>
        <v/>
      </c>
      <c r="Q1254" s="51">
        <f>IF($G1254=0,0,IF(INDEX(Employees!$P$5:$P$29,$A1254)="Per pay period",(N(INDEX(Employees!$Q$5:$Q$29,$A1254)))/Settings!$B$13,IF(INDEX(Employees!$P$5:$P$29,$A1254)="Per hour worked",N(INDEX(Employees!$R$5:$R$29,$A1254))*$I1254,IF(INDEX(Employees!$P$5:$P$29,$A1254)="Front-loaded",IF(OR($B1254=1,N($G1253)=0),N(INDEX(Employees!$Q$5:$Q$29,$A1254)),0),0))))</f>
        <v/>
      </c>
      <c r="R1254" s="51">
        <f>IF($F1254=0,0,SUMIFS('Time Off Log'!$H$5:$H$504,'Time Off Log'!$A$5:$A$504,$C1254,'Time Off Log'!$B$5:$B$504,"Sick",'Time Off Log'!$E$5:$E$504,"Approved",'Time Off Log'!$C$5:$C$504,"&gt;="&amp;INDEX(Periods!$E$5:$E$57,$B1254),'Time Off Log'!$C$5:$C$504,"&lt;="&amp;INDEX(Periods!$F$5:$F$57,$B1254)))</f>
        <v/>
      </c>
      <c r="S1254" s="51">
        <f>IF($B1254=1,N(INDEX(Employees!$T$5:$T$29,$A1254)),V1253)</f>
        <v/>
      </c>
      <c r="T1254" s="51">
        <f>IF(INDEX(Employees!$S$5:$S$29,$A1254)="",Q1254,MAX(0,MIN(Q1254,INDEX(Employees!$S$5:$S$29,$A1254)-(S1254-R1254))))</f>
        <v/>
      </c>
      <c r="U1254" s="51">
        <f>Q1254-T1254</f>
        <v/>
      </c>
      <c r="V1254" s="51">
        <f>S1254-R1254+T1254</f>
        <v/>
      </c>
    </row>
    <row r="1255">
      <c r="A1255" s="50" t="n">
        <v>24</v>
      </c>
      <c r="B1255" s="50" t="n">
        <v>32</v>
      </c>
      <c r="C1255" s="51">
        <f>INDEX(Employees!$B$5:$B$29,$A1255)&amp;""</f>
        <v/>
      </c>
      <c r="D1255" s="52">
        <f>INDEX(Periods!$B$5:$B$57,$B1255)</f>
        <v/>
      </c>
      <c r="E1255" s="52">
        <f>INDEX(Periods!$C$5:$C$57,$B1255)</f>
        <v/>
      </c>
      <c r="F1255" s="50">
        <f>IF(AND($C1255&lt;&gt;"",INDEX(Periods!$D$5:$D$57,$B1255)=1),1,0)</f>
        <v/>
      </c>
      <c r="G1255" s="50">
        <f>IF($F1255=0,0,IF(AND(OR(INDEX(Employees!$D$5:$D$29,$A1255)="",$E1255&gt;=INDEX(Employees!$D$5:$D$29,$A1255)+N(INDEX(Employees!$U$5:$U$29,$A1255))),OR(INDEX(Employees!$E$5:$E$29,$A1255)="",$D1255&lt;=INDEX(Employees!$E$5:$E$29,$A1255))),1,0))</f>
        <v/>
      </c>
      <c r="H1255" s="50">
        <f>IF($G1255=0,0,IF(INDEX(Employees!$D$5:$D$29,$A1255)="",0,DATEDIF(INDEX(Employees!$D$5:$D$29,$A1255),$E1255,"y")))</f>
        <v/>
      </c>
      <c r="I1255" s="51">
        <f>IF($G1255=0,0,IF(INDEX('Hours Worked'!$D$5:$BD$29,$A1255,$B1255)="",N(INDEX(Employees!$H$5:$H$29,$A1255)),INDEX('Hours Worked'!$D$5:$BD$29,$A1255,$B1255)))</f>
        <v/>
      </c>
      <c r="J1255" s="51">
        <f>IF(OR($G1255=0,INDEX(Employees!$O$5:$O$29,$A1255)&lt;&gt;"Yes"),0,IF(COUNTIF(Settings!$D$4:$D$9,"&lt;="&amp;$H1255)=0,0,INDEX(Settings!$E$4:$E$9,COUNTIF(Settings!$D$4:$D$9,"&lt;="&amp;$H1255))))</f>
        <v/>
      </c>
      <c r="K1255" s="51">
        <f>IF($G1255=0,0,IF(INDEX(Employees!$I$5:$I$29,$A1255)="Per pay period",(N(INDEX(Employees!$J$5:$J$29,$A1255))+$J1255)/Settings!$B$13,IF(INDEX(Employees!$I$5:$I$29,$A1255)="Per hour worked",N(INDEX(Employees!$K$5:$K$29,$A1255))*$I1255,IF(INDEX(Employees!$I$5:$I$29,$A1255)="Front-loaded",IF(OR($B1255=1,N($G1254)=0),N(INDEX(Employees!$J$5:$J$29,$A1255))+$J1255,0),0))))</f>
        <v/>
      </c>
      <c r="L1255" s="51">
        <f>IF($F1255=0,0,SUMIFS('Time Off Log'!$H$5:$H$504,'Time Off Log'!$A$5:$A$504,$C1255,'Time Off Log'!$B$5:$B$504,"PTO",'Time Off Log'!$E$5:$E$504,"Approved",'Time Off Log'!$C$5:$C$504,"&gt;="&amp;INDEX(Periods!$E$5:$E$57,$B1255),'Time Off Log'!$C$5:$C$504,"&lt;="&amp;INDEX(Periods!$F$5:$F$57,$B1255)))</f>
        <v/>
      </c>
      <c r="M1255" s="51">
        <f>IF($B1255=1,N(INDEX(Employees!$N$5:$N$29,$A1255)),P1254)</f>
        <v/>
      </c>
      <c r="N1255" s="51">
        <f>IF(INDEX(Employees!$L$5:$L$29,$A1255)="",K1255,MAX(0,MIN(K1255,INDEX(Employees!$L$5:$L$29,$A1255)-(M1255-L1255))))</f>
        <v/>
      </c>
      <c r="O1255" s="51">
        <f>K1255-N1255</f>
        <v/>
      </c>
      <c r="P1255" s="51">
        <f>M1255-L1255+N1255</f>
        <v/>
      </c>
      <c r="Q1255" s="51">
        <f>IF($G1255=0,0,IF(INDEX(Employees!$P$5:$P$29,$A1255)="Per pay period",(N(INDEX(Employees!$Q$5:$Q$29,$A1255)))/Settings!$B$13,IF(INDEX(Employees!$P$5:$P$29,$A1255)="Per hour worked",N(INDEX(Employees!$R$5:$R$29,$A1255))*$I1255,IF(INDEX(Employees!$P$5:$P$29,$A1255)="Front-loaded",IF(OR($B1255=1,N($G1254)=0),N(INDEX(Employees!$Q$5:$Q$29,$A1255)),0),0))))</f>
        <v/>
      </c>
      <c r="R1255" s="51">
        <f>IF($F1255=0,0,SUMIFS('Time Off Log'!$H$5:$H$504,'Time Off Log'!$A$5:$A$504,$C1255,'Time Off Log'!$B$5:$B$504,"Sick",'Time Off Log'!$E$5:$E$504,"Approved",'Time Off Log'!$C$5:$C$504,"&gt;="&amp;INDEX(Periods!$E$5:$E$57,$B1255),'Time Off Log'!$C$5:$C$504,"&lt;="&amp;INDEX(Periods!$F$5:$F$57,$B1255)))</f>
        <v/>
      </c>
      <c r="S1255" s="51">
        <f>IF($B1255=1,N(INDEX(Employees!$T$5:$T$29,$A1255)),V1254)</f>
        <v/>
      </c>
      <c r="T1255" s="51">
        <f>IF(INDEX(Employees!$S$5:$S$29,$A1255)="",Q1255,MAX(0,MIN(Q1255,INDEX(Employees!$S$5:$S$29,$A1255)-(S1255-R1255))))</f>
        <v/>
      </c>
      <c r="U1255" s="51">
        <f>Q1255-T1255</f>
        <v/>
      </c>
      <c r="V1255" s="51">
        <f>S1255-R1255+T1255</f>
        <v/>
      </c>
    </row>
    <row r="1256">
      <c r="A1256" s="50" t="n">
        <v>24</v>
      </c>
      <c r="B1256" s="50" t="n">
        <v>33</v>
      </c>
      <c r="C1256" s="51">
        <f>INDEX(Employees!$B$5:$B$29,$A1256)&amp;""</f>
        <v/>
      </c>
      <c r="D1256" s="52">
        <f>INDEX(Periods!$B$5:$B$57,$B1256)</f>
        <v/>
      </c>
      <c r="E1256" s="52">
        <f>INDEX(Periods!$C$5:$C$57,$B1256)</f>
        <v/>
      </c>
      <c r="F1256" s="50">
        <f>IF(AND($C1256&lt;&gt;"",INDEX(Periods!$D$5:$D$57,$B1256)=1),1,0)</f>
        <v/>
      </c>
      <c r="G1256" s="50">
        <f>IF($F1256=0,0,IF(AND(OR(INDEX(Employees!$D$5:$D$29,$A1256)="",$E1256&gt;=INDEX(Employees!$D$5:$D$29,$A1256)+N(INDEX(Employees!$U$5:$U$29,$A1256))),OR(INDEX(Employees!$E$5:$E$29,$A1256)="",$D1256&lt;=INDEX(Employees!$E$5:$E$29,$A1256))),1,0))</f>
        <v/>
      </c>
      <c r="H1256" s="50">
        <f>IF($G1256=0,0,IF(INDEX(Employees!$D$5:$D$29,$A1256)="",0,DATEDIF(INDEX(Employees!$D$5:$D$29,$A1256),$E1256,"y")))</f>
        <v/>
      </c>
      <c r="I1256" s="51">
        <f>IF($G1256=0,0,IF(INDEX('Hours Worked'!$D$5:$BD$29,$A1256,$B1256)="",N(INDEX(Employees!$H$5:$H$29,$A1256)),INDEX('Hours Worked'!$D$5:$BD$29,$A1256,$B1256)))</f>
        <v/>
      </c>
      <c r="J1256" s="51">
        <f>IF(OR($G1256=0,INDEX(Employees!$O$5:$O$29,$A1256)&lt;&gt;"Yes"),0,IF(COUNTIF(Settings!$D$4:$D$9,"&lt;="&amp;$H1256)=0,0,INDEX(Settings!$E$4:$E$9,COUNTIF(Settings!$D$4:$D$9,"&lt;="&amp;$H1256))))</f>
        <v/>
      </c>
      <c r="K1256" s="51">
        <f>IF($G1256=0,0,IF(INDEX(Employees!$I$5:$I$29,$A1256)="Per pay period",(N(INDEX(Employees!$J$5:$J$29,$A1256))+$J1256)/Settings!$B$13,IF(INDEX(Employees!$I$5:$I$29,$A1256)="Per hour worked",N(INDEX(Employees!$K$5:$K$29,$A1256))*$I1256,IF(INDEX(Employees!$I$5:$I$29,$A1256)="Front-loaded",IF(OR($B1256=1,N($G1255)=0),N(INDEX(Employees!$J$5:$J$29,$A1256))+$J1256,0),0))))</f>
        <v/>
      </c>
      <c r="L1256" s="51">
        <f>IF($F1256=0,0,SUMIFS('Time Off Log'!$H$5:$H$504,'Time Off Log'!$A$5:$A$504,$C1256,'Time Off Log'!$B$5:$B$504,"PTO",'Time Off Log'!$E$5:$E$504,"Approved",'Time Off Log'!$C$5:$C$504,"&gt;="&amp;INDEX(Periods!$E$5:$E$57,$B1256),'Time Off Log'!$C$5:$C$504,"&lt;="&amp;INDEX(Periods!$F$5:$F$57,$B1256)))</f>
        <v/>
      </c>
      <c r="M1256" s="51">
        <f>IF($B1256=1,N(INDEX(Employees!$N$5:$N$29,$A1256)),P1255)</f>
        <v/>
      </c>
      <c r="N1256" s="51">
        <f>IF(INDEX(Employees!$L$5:$L$29,$A1256)="",K1256,MAX(0,MIN(K1256,INDEX(Employees!$L$5:$L$29,$A1256)-(M1256-L1256))))</f>
        <v/>
      </c>
      <c r="O1256" s="51">
        <f>K1256-N1256</f>
        <v/>
      </c>
      <c r="P1256" s="51">
        <f>M1256-L1256+N1256</f>
        <v/>
      </c>
      <c r="Q1256" s="51">
        <f>IF($G1256=0,0,IF(INDEX(Employees!$P$5:$P$29,$A1256)="Per pay period",(N(INDEX(Employees!$Q$5:$Q$29,$A1256)))/Settings!$B$13,IF(INDEX(Employees!$P$5:$P$29,$A1256)="Per hour worked",N(INDEX(Employees!$R$5:$R$29,$A1256))*$I1256,IF(INDEX(Employees!$P$5:$P$29,$A1256)="Front-loaded",IF(OR($B1256=1,N($G1255)=0),N(INDEX(Employees!$Q$5:$Q$29,$A1256)),0),0))))</f>
        <v/>
      </c>
      <c r="R1256" s="51">
        <f>IF($F1256=0,0,SUMIFS('Time Off Log'!$H$5:$H$504,'Time Off Log'!$A$5:$A$504,$C1256,'Time Off Log'!$B$5:$B$504,"Sick",'Time Off Log'!$E$5:$E$504,"Approved",'Time Off Log'!$C$5:$C$504,"&gt;="&amp;INDEX(Periods!$E$5:$E$57,$B1256),'Time Off Log'!$C$5:$C$504,"&lt;="&amp;INDEX(Periods!$F$5:$F$57,$B1256)))</f>
        <v/>
      </c>
      <c r="S1256" s="51">
        <f>IF($B1256=1,N(INDEX(Employees!$T$5:$T$29,$A1256)),V1255)</f>
        <v/>
      </c>
      <c r="T1256" s="51">
        <f>IF(INDEX(Employees!$S$5:$S$29,$A1256)="",Q1256,MAX(0,MIN(Q1256,INDEX(Employees!$S$5:$S$29,$A1256)-(S1256-R1256))))</f>
        <v/>
      </c>
      <c r="U1256" s="51">
        <f>Q1256-T1256</f>
        <v/>
      </c>
      <c r="V1256" s="51">
        <f>S1256-R1256+T1256</f>
        <v/>
      </c>
    </row>
    <row r="1257">
      <c r="A1257" s="50" t="n">
        <v>24</v>
      </c>
      <c r="B1257" s="50" t="n">
        <v>34</v>
      </c>
      <c r="C1257" s="51">
        <f>INDEX(Employees!$B$5:$B$29,$A1257)&amp;""</f>
        <v/>
      </c>
      <c r="D1257" s="52">
        <f>INDEX(Periods!$B$5:$B$57,$B1257)</f>
        <v/>
      </c>
      <c r="E1257" s="52">
        <f>INDEX(Periods!$C$5:$C$57,$B1257)</f>
        <v/>
      </c>
      <c r="F1257" s="50">
        <f>IF(AND($C1257&lt;&gt;"",INDEX(Periods!$D$5:$D$57,$B1257)=1),1,0)</f>
        <v/>
      </c>
      <c r="G1257" s="50">
        <f>IF($F1257=0,0,IF(AND(OR(INDEX(Employees!$D$5:$D$29,$A1257)="",$E1257&gt;=INDEX(Employees!$D$5:$D$29,$A1257)+N(INDEX(Employees!$U$5:$U$29,$A1257))),OR(INDEX(Employees!$E$5:$E$29,$A1257)="",$D1257&lt;=INDEX(Employees!$E$5:$E$29,$A1257))),1,0))</f>
        <v/>
      </c>
      <c r="H1257" s="50">
        <f>IF($G1257=0,0,IF(INDEX(Employees!$D$5:$D$29,$A1257)="",0,DATEDIF(INDEX(Employees!$D$5:$D$29,$A1257),$E1257,"y")))</f>
        <v/>
      </c>
      <c r="I1257" s="51">
        <f>IF($G1257=0,0,IF(INDEX('Hours Worked'!$D$5:$BD$29,$A1257,$B1257)="",N(INDEX(Employees!$H$5:$H$29,$A1257)),INDEX('Hours Worked'!$D$5:$BD$29,$A1257,$B1257)))</f>
        <v/>
      </c>
      <c r="J1257" s="51">
        <f>IF(OR($G1257=0,INDEX(Employees!$O$5:$O$29,$A1257)&lt;&gt;"Yes"),0,IF(COUNTIF(Settings!$D$4:$D$9,"&lt;="&amp;$H1257)=0,0,INDEX(Settings!$E$4:$E$9,COUNTIF(Settings!$D$4:$D$9,"&lt;="&amp;$H1257))))</f>
        <v/>
      </c>
      <c r="K1257" s="51">
        <f>IF($G1257=0,0,IF(INDEX(Employees!$I$5:$I$29,$A1257)="Per pay period",(N(INDEX(Employees!$J$5:$J$29,$A1257))+$J1257)/Settings!$B$13,IF(INDEX(Employees!$I$5:$I$29,$A1257)="Per hour worked",N(INDEX(Employees!$K$5:$K$29,$A1257))*$I1257,IF(INDEX(Employees!$I$5:$I$29,$A1257)="Front-loaded",IF(OR($B1257=1,N($G1256)=0),N(INDEX(Employees!$J$5:$J$29,$A1257))+$J1257,0),0))))</f>
        <v/>
      </c>
      <c r="L1257" s="51">
        <f>IF($F1257=0,0,SUMIFS('Time Off Log'!$H$5:$H$504,'Time Off Log'!$A$5:$A$504,$C1257,'Time Off Log'!$B$5:$B$504,"PTO",'Time Off Log'!$E$5:$E$504,"Approved",'Time Off Log'!$C$5:$C$504,"&gt;="&amp;INDEX(Periods!$E$5:$E$57,$B1257),'Time Off Log'!$C$5:$C$504,"&lt;="&amp;INDEX(Periods!$F$5:$F$57,$B1257)))</f>
        <v/>
      </c>
      <c r="M1257" s="51">
        <f>IF($B1257=1,N(INDEX(Employees!$N$5:$N$29,$A1257)),P1256)</f>
        <v/>
      </c>
      <c r="N1257" s="51">
        <f>IF(INDEX(Employees!$L$5:$L$29,$A1257)="",K1257,MAX(0,MIN(K1257,INDEX(Employees!$L$5:$L$29,$A1257)-(M1257-L1257))))</f>
        <v/>
      </c>
      <c r="O1257" s="51">
        <f>K1257-N1257</f>
        <v/>
      </c>
      <c r="P1257" s="51">
        <f>M1257-L1257+N1257</f>
        <v/>
      </c>
      <c r="Q1257" s="51">
        <f>IF($G1257=0,0,IF(INDEX(Employees!$P$5:$P$29,$A1257)="Per pay period",(N(INDEX(Employees!$Q$5:$Q$29,$A1257)))/Settings!$B$13,IF(INDEX(Employees!$P$5:$P$29,$A1257)="Per hour worked",N(INDEX(Employees!$R$5:$R$29,$A1257))*$I1257,IF(INDEX(Employees!$P$5:$P$29,$A1257)="Front-loaded",IF(OR($B1257=1,N($G1256)=0),N(INDEX(Employees!$Q$5:$Q$29,$A1257)),0),0))))</f>
        <v/>
      </c>
      <c r="R1257" s="51">
        <f>IF($F1257=0,0,SUMIFS('Time Off Log'!$H$5:$H$504,'Time Off Log'!$A$5:$A$504,$C1257,'Time Off Log'!$B$5:$B$504,"Sick",'Time Off Log'!$E$5:$E$504,"Approved",'Time Off Log'!$C$5:$C$504,"&gt;="&amp;INDEX(Periods!$E$5:$E$57,$B1257),'Time Off Log'!$C$5:$C$504,"&lt;="&amp;INDEX(Periods!$F$5:$F$57,$B1257)))</f>
        <v/>
      </c>
      <c r="S1257" s="51">
        <f>IF($B1257=1,N(INDEX(Employees!$T$5:$T$29,$A1257)),V1256)</f>
        <v/>
      </c>
      <c r="T1257" s="51">
        <f>IF(INDEX(Employees!$S$5:$S$29,$A1257)="",Q1257,MAX(0,MIN(Q1257,INDEX(Employees!$S$5:$S$29,$A1257)-(S1257-R1257))))</f>
        <v/>
      </c>
      <c r="U1257" s="51">
        <f>Q1257-T1257</f>
        <v/>
      </c>
      <c r="V1257" s="51">
        <f>S1257-R1257+T1257</f>
        <v/>
      </c>
    </row>
    <row r="1258">
      <c r="A1258" s="50" t="n">
        <v>24</v>
      </c>
      <c r="B1258" s="50" t="n">
        <v>35</v>
      </c>
      <c r="C1258" s="51">
        <f>INDEX(Employees!$B$5:$B$29,$A1258)&amp;""</f>
        <v/>
      </c>
      <c r="D1258" s="52">
        <f>INDEX(Periods!$B$5:$B$57,$B1258)</f>
        <v/>
      </c>
      <c r="E1258" s="52">
        <f>INDEX(Periods!$C$5:$C$57,$B1258)</f>
        <v/>
      </c>
      <c r="F1258" s="50">
        <f>IF(AND($C1258&lt;&gt;"",INDEX(Periods!$D$5:$D$57,$B1258)=1),1,0)</f>
        <v/>
      </c>
      <c r="G1258" s="50">
        <f>IF($F1258=0,0,IF(AND(OR(INDEX(Employees!$D$5:$D$29,$A1258)="",$E1258&gt;=INDEX(Employees!$D$5:$D$29,$A1258)+N(INDEX(Employees!$U$5:$U$29,$A1258))),OR(INDEX(Employees!$E$5:$E$29,$A1258)="",$D1258&lt;=INDEX(Employees!$E$5:$E$29,$A1258))),1,0))</f>
        <v/>
      </c>
      <c r="H1258" s="50">
        <f>IF($G1258=0,0,IF(INDEX(Employees!$D$5:$D$29,$A1258)="",0,DATEDIF(INDEX(Employees!$D$5:$D$29,$A1258),$E1258,"y")))</f>
        <v/>
      </c>
      <c r="I1258" s="51">
        <f>IF($G1258=0,0,IF(INDEX('Hours Worked'!$D$5:$BD$29,$A1258,$B1258)="",N(INDEX(Employees!$H$5:$H$29,$A1258)),INDEX('Hours Worked'!$D$5:$BD$29,$A1258,$B1258)))</f>
        <v/>
      </c>
      <c r="J1258" s="51">
        <f>IF(OR($G1258=0,INDEX(Employees!$O$5:$O$29,$A1258)&lt;&gt;"Yes"),0,IF(COUNTIF(Settings!$D$4:$D$9,"&lt;="&amp;$H1258)=0,0,INDEX(Settings!$E$4:$E$9,COUNTIF(Settings!$D$4:$D$9,"&lt;="&amp;$H1258))))</f>
        <v/>
      </c>
      <c r="K1258" s="51">
        <f>IF($G1258=0,0,IF(INDEX(Employees!$I$5:$I$29,$A1258)="Per pay period",(N(INDEX(Employees!$J$5:$J$29,$A1258))+$J1258)/Settings!$B$13,IF(INDEX(Employees!$I$5:$I$29,$A1258)="Per hour worked",N(INDEX(Employees!$K$5:$K$29,$A1258))*$I1258,IF(INDEX(Employees!$I$5:$I$29,$A1258)="Front-loaded",IF(OR($B1258=1,N($G1257)=0),N(INDEX(Employees!$J$5:$J$29,$A1258))+$J1258,0),0))))</f>
        <v/>
      </c>
      <c r="L1258" s="51">
        <f>IF($F1258=0,0,SUMIFS('Time Off Log'!$H$5:$H$504,'Time Off Log'!$A$5:$A$504,$C1258,'Time Off Log'!$B$5:$B$504,"PTO",'Time Off Log'!$E$5:$E$504,"Approved",'Time Off Log'!$C$5:$C$504,"&gt;="&amp;INDEX(Periods!$E$5:$E$57,$B1258),'Time Off Log'!$C$5:$C$504,"&lt;="&amp;INDEX(Periods!$F$5:$F$57,$B1258)))</f>
        <v/>
      </c>
      <c r="M1258" s="51">
        <f>IF($B1258=1,N(INDEX(Employees!$N$5:$N$29,$A1258)),P1257)</f>
        <v/>
      </c>
      <c r="N1258" s="51">
        <f>IF(INDEX(Employees!$L$5:$L$29,$A1258)="",K1258,MAX(0,MIN(K1258,INDEX(Employees!$L$5:$L$29,$A1258)-(M1258-L1258))))</f>
        <v/>
      </c>
      <c r="O1258" s="51">
        <f>K1258-N1258</f>
        <v/>
      </c>
      <c r="P1258" s="51">
        <f>M1258-L1258+N1258</f>
        <v/>
      </c>
      <c r="Q1258" s="51">
        <f>IF($G1258=0,0,IF(INDEX(Employees!$P$5:$P$29,$A1258)="Per pay period",(N(INDEX(Employees!$Q$5:$Q$29,$A1258)))/Settings!$B$13,IF(INDEX(Employees!$P$5:$P$29,$A1258)="Per hour worked",N(INDEX(Employees!$R$5:$R$29,$A1258))*$I1258,IF(INDEX(Employees!$P$5:$P$29,$A1258)="Front-loaded",IF(OR($B1258=1,N($G1257)=0),N(INDEX(Employees!$Q$5:$Q$29,$A1258)),0),0))))</f>
        <v/>
      </c>
      <c r="R1258" s="51">
        <f>IF($F1258=0,0,SUMIFS('Time Off Log'!$H$5:$H$504,'Time Off Log'!$A$5:$A$504,$C1258,'Time Off Log'!$B$5:$B$504,"Sick",'Time Off Log'!$E$5:$E$504,"Approved",'Time Off Log'!$C$5:$C$504,"&gt;="&amp;INDEX(Periods!$E$5:$E$57,$B1258),'Time Off Log'!$C$5:$C$504,"&lt;="&amp;INDEX(Periods!$F$5:$F$57,$B1258)))</f>
        <v/>
      </c>
      <c r="S1258" s="51">
        <f>IF($B1258=1,N(INDEX(Employees!$T$5:$T$29,$A1258)),V1257)</f>
        <v/>
      </c>
      <c r="T1258" s="51">
        <f>IF(INDEX(Employees!$S$5:$S$29,$A1258)="",Q1258,MAX(0,MIN(Q1258,INDEX(Employees!$S$5:$S$29,$A1258)-(S1258-R1258))))</f>
        <v/>
      </c>
      <c r="U1258" s="51">
        <f>Q1258-T1258</f>
        <v/>
      </c>
      <c r="V1258" s="51">
        <f>S1258-R1258+T1258</f>
        <v/>
      </c>
    </row>
    <row r="1259">
      <c r="A1259" s="50" t="n">
        <v>24</v>
      </c>
      <c r="B1259" s="50" t="n">
        <v>36</v>
      </c>
      <c r="C1259" s="51">
        <f>INDEX(Employees!$B$5:$B$29,$A1259)&amp;""</f>
        <v/>
      </c>
      <c r="D1259" s="52">
        <f>INDEX(Periods!$B$5:$B$57,$B1259)</f>
        <v/>
      </c>
      <c r="E1259" s="52">
        <f>INDEX(Periods!$C$5:$C$57,$B1259)</f>
        <v/>
      </c>
      <c r="F1259" s="50">
        <f>IF(AND($C1259&lt;&gt;"",INDEX(Periods!$D$5:$D$57,$B1259)=1),1,0)</f>
        <v/>
      </c>
      <c r="G1259" s="50">
        <f>IF($F1259=0,0,IF(AND(OR(INDEX(Employees!$D$5:$D$29,$A1259)="",$E1259&gt;=INDEX(Employees!$D$5:$D$29,$A1259)+N(INDEX(Employees!$U$5:$U$29,$A1259))),OR(INDEX(Employees!$E$5:$E$29,$A1259)="",$D1259&lt;=INDEX(Employees!$E$5:$E$29,$A1259))),1,0))</f>
        <v/>
      </c>
      <c r="H1259" s="50">
        <f>IF($G1259=0,0,IF(INDEX(Employees!$D$5:$D$29,$A1259)="",0,DATEDIF(INDEX(Employees!$D$5:$D$29,$A1259),$E1259,"y")))</f>
        <v/>
      </c>
      <c r="I1259" s="51">
        <f>IF($G1259=0,0,IF(INDEX('Hours Worked'!$D$5:$BD$29,$A1259,$B1259)="",N(INDEX(Employees!$H$5:$H$29,$A1259)),INDEX('Hours Worked'!$D$5:$BD$29,$A1259,$B1259)))</f>
        <v/>
      </c>
      <c r="J1259" s="51">
        <f>IF(OR($G1259=0,INDEX(Employees!$O$5:$O$29,$A1259)&lt;&gt;"Yes"),0,IF(COUNTIF(Settings!$D$4:$D$9,"&lt;="&amp;$H1259)=0,0,INDEX(Settings!$E$4:$E$9,COUNTIF(Settings!$D$4:$D$9,"&lt;="&amp;$H1259))))</f>
        <v/>
      </c>
      <c r="K1259" s="51">
        <f>IF($G1259=0,0,IF(INDEX(Employees!$I$5:$I$29,$A1259)="Per pay period",(N(INDEX(Employees!$J$5:$J$29,$A1259))+$J1259)/Settings!$B$13,IF(INDEX(Employees!$I$5:$I$29,$A1259)="Per hour worked",N(INDEX(Employees!$K$5:$K$29,$A1259))*$I1259,IF(INDEX(Employees!$I$5:$I$29,$A1259)="Front-loaded",IF(OR($B1259=1,N($G1258)=0),N(INDEX(Employees!$J$5:$J$29,$A1259))+$J1259,0),0))))</f>
        <v/>
      </c>
      <c r="L1259" s="51">
        <f>IF($F1259=0,0,SUMIFS('Time Off Log'!$H$5:$H$504,'Time Off Log'!$A$5:$A$504,$C1259,'Time Off Log'!$B$5:$B$504,"PTO",'Time Off Log'!$E$5:$E$504,"Approved",'Time Off Log'!$C$5:$C$504,"&gt;="&amp;INDEX(Periods!$E$5:$E$57,$B1259),'Time Off Log'!$C$5:$C$504,"&lt;="&amp;INDEX(Periods!$F$5:$F$57,$B1259)))</f>
        <v/>
      </c>
      <c r="M1259" s="51">
        <f>IF($B1259=1,N(INDEX(Employees!$N$5:$N$29,$A1259)),P1258)</f>
        <v/>
      </c>
      <c r="N1259" s="51">
        <f>IF(INDEX(Employees!$L$5:$L$29,$A1259)="",K1259,MAX(0,MIN(K1259,INDEX(Employees!$L$5:$L$29,$A1259)-(M1259-L1259))))</f>
        <v/>
      </c>
      <c r="O1259" s="51">
        <f>K1259-N1259</f>
        <v/>
      </c>
      <c r="P1259" s="51">
        <f>M1259-L1259+N1259</f>
        <v/>
      </c>
      <c r="Q1259" s="51">
        <f>IF($G1259=0,0,IF(INDEX(Employees!$P$5:$P$29,$A1259)="Per pay period",(N(INDEX(Employees!$Q$5:$Q$29,$A1259)))/Settings!$B$13,IF(INDEX(Employees!$P$5:$P$29,$A1259)="Per hour worked",N(INDEX(Employees!$R$5:$R$29,$A1259))*$I1259,IF(INDEX(Employees!$P$5:$P$29,$A1259)="Front-loaded",IF(OR($B1259=1,N($G1258)=0),N(INDEX(Employees!$Q$5:$Q$29,$A1259)),0),0))))</f>
        <v/>
      </c>
      <c r="R1259" s="51">
        <f>IF($F1259=0,0,SUMIFS('Time Off Log'!$H$5:$H$504,'Time Off Log'!$A$5:$A$504,$C1259,'Time Off Log'!$B$5:$B$504,"Sick",'Time Off Log'!$E$5:$E$504,"Approved",'Time Off Log'!$C$5:$C$504,"&gt;="&amp;INDEX(Periods!$E$5:$E$57,$B1259),'Time Off Log'!$C$5:$C$504,"&lt;="&amp;INDEX(Periods!$F$5:$F$57,$B1259)))</f>
        <v/>
      </c>
      <c r="S1259" s="51">
        <f>IF($B1259=1,N(INDEX(Employees!$T$5:$T$29,$A1259)),V1258)</f>
        <v/>
      </c>
      <c r="T1259" s="51">
        <f>IF(INDEX(Employees!$S$5:$S$29,$A1259)="",Q1259,MAX(0,MIN(Q1259,INDEX(Employees!$S$5:$S$29,$A1259)-(S1259-R1259))))</f>
        <v/>
      </c>
      <c r="U1259" s="51">
        <f>Q1259-T1259</f>
        <v/>
      </c>
      <c r="V1259" s="51">
        <f>S1259-R1259+T1259</f>
        <v/>
      </c>
    </row>
    <row r="1260">
      <c r="A1260" s="50" t="n">
        <v>24</v>
      </c>
      <c r="B1260" s="50" t="n">
        <v>37</v>
      </c>
      <c r="C1260" s="51">
        <f>INDEX(Employees!$B$5:$B$29,$A1260)&amp;""</f>
        <v/>
      </c>
      <c r="D1260" s="52">
        <f>INDEX(Periods!$B$5:$B$57,$B1260)</f>
        <v/>
      </c>
      <c r="E1260" s="52">
        <f>INDEX(Periods!$C$5:$C$57,$B1260)</f>
        <v/>
      </c>
      <c r="F1260" s="50">
        <f>IF(AND($C1260&lt;&gt;"",INDEX(Periods!$D$5:$D$57,$B1260)=1),1,0)</f>
        <v/>
      </c>
      <c r="G1260" s="50">
        <f>IF($F1260=0,0,IF(AND(OR(INDEX(Employees!$D$5:$D$29,$A1260)="",$E1260&gt;=INDEX(Employees!$D$5:$D$29,$A1260)+N(INDEX(Employees!$U$5:$U$29,$A1260))),OR(INDEX(Employees!$E$5:$E$29,$A1260)="",$D1260&lt;=INDEX(Employees!$E$5:$E$29,$A1260))),1,0))</f>
        <v/>
      </c>
      <c r="H1260" s="50">
        <f>IF($G1260=0,0,IF(INDEX(Employees!$D$5:$D$29,$A1260)="",0,DATEDIF(INDEX(Employees!$D$5:$D$29,$A1260),$E1260,"y")))</f>
        <v/>
      </c>
      <c r="I1260" s="51">
        <f>IF($G1260=0,0,IF(INDEX('Hours Worked'!$D$5:$BD$29,$A1260,$B1260)="",N(INDEX(Employees!$H$5:$H$29,$A1260)),INDEX('Hours Worked'!$D$5:$BD$29,$A1260,$B1260)))</f>
        <v/>
      </c>
      <c r="J1260" s="51">
        <f>IF(OR($G1260=0,INDEX(Employees!$O$5:$O$29,$A1260)&lt;&gt;"Yes"),0,IF(COUNTIF(Settings!$D$4:$D$9,"&lt;="&amp;$H1260)=0,0,INDEX(Settings!$E$4:$E$9,COUNTIF(Settings!$D$4:$D$9,"&lt;="&amp;$H1260))))</f>
        <v/>
      </c>
      <c r="K1260" s="51">
        <f>IF($G1260=0,0,IF(INDEX(Employees!$I$5:$I$29,$A1260)="Per pay period",(N(INDEX(Employees!$J$5:$J$29,$A1260))+$J1260)/Settings!$B$13,IF(INDEX(Employees!$I$5:$I$29,$A1260)="Per hour worked",N(INDEX(Employees!$K$5:$K$29,$A1260))*$I1260,IF(INDEX(Employees!$I$5:$I$29,$A1260)="Front-loaded",IF(OR($B1260=1,N($G1259)=0),N(INDEX(Employees!$J$5:$J$29,$A1260))+$J1260,0),0))))</f>
        <v/>
      </c>
      <c r="L1260" s="51">
        <f>IF($F1260=0,0,SUMIFS('Time Off Log'!$H$5:$H$504,'Time Off Log'!$A$5:$A$504,$C1260,'Time Off Log'!$B$5:$B$504,"PTO",'Time Off Log'!$E$5:$E$504,"Approved",'Time Off Log'!$C$5:$C$504,"&gt;="&amp;INDEX(Periods!$E$5:$E$57,$B1260),'Time Off Log'!$C$5:$C$504,"&lt;="&amp;INDEX(Periods!$F$5:$F$57,$B1260)))</f>
        <v/>
      </c>
      <c r="M1260" s="51">
        <f>IF($B1260=1,N(INDEX(Employees!$N$5:$N$29,$A1260)),P1259)</f>
        <v/>
      </c>
      <c r="N1260" s="51">
        <f>IF(INDEX(Employees!$L$5:$L$29,$A1260)="",K1260,MAX(0,MIN(K1260,INDEX(Employees!$L$5:$L$29,$A1260)-(M1260-L1260))))</f>
        <v/>
      </c>
      <c r="O1260" s="51">
        <f>K1260-N1260</f>
        <v/>
      </c>
      <c r="P1260" s="51">
        <f>M1260-L1260+N1260</f>
        <v/>
      </c>
      <c r="Q1260" s="51">
        <f>IF($G1260=0,0,IF(INDEX(Employees!$P$5:$P$29,$A1260)="Per pay period",(N(INDEX(Employees!$Q$5:$Q$29,$A1260)))/Settings!$B$13,IF(INDEX(Employees!$P$5:$P$29,$A1260)="Per hour worked",N(INDEX(Employees!$R$5:$R$29,$A1260))*$I1260,IF(INDEX(Employees!$P$5:$P$29,$A1260)="Front-loaded",IF(OR($B1260=1,N($G1259)=0),N(INDEX(Employees!$Q$5:$Q$29,$A1260)),0),0))))</f>
        <v/>
      </c>
      <c r="R1260" s="51">
        <f>IF($F1260=0,0,SUMIFS('Time Off Log'!$H$5:$H$504,'Time Off Log'!$A$5:$A$504,$C1260,'Time Off Log'!$B$5:$B$504,"Sick",'Time Off Log'!$E$5:$E$504,"Approved",'Time Off Log'!$C$5:$C$504,"&gt;="&amp;INDEX(Periods!$E$5:$E$57,$B1260),'Time Off Log'!$C$5:$C$504,"&lt;="&amp;INDEX(Periods!$F$5:$F$57,$B1260)))</f>
        <v/>
      </c>
      <c r="S1260" s="51">
        <f>IF($B1260=1,N(INDEX(Employees!$T$5:$T$29,$A1260)),V1259)</f>
        <v/>
      </c>
      <c r="T1260" s="51">
        <f>IF(INDEX(Employees!$S$5:$S$29,$A1260)="",Q1260,MAX(0,MIN(Q1260,INDEX(Employees!$S$5:$S$29,$A1260)-(S1260-R1260))))</f>
        <v/>
      </c>
      <c r="U1260" s="51">
        <f>Q1260-T1260</f>
        <v/>
      </c>
      <c r="V1260" s="51">
        <f>S1260-R1260+T1260</f>
        <v/>
      </c>
    </row>
    <row r="1261">
      <c r="A1261" s="50" t="n">
        <v>24</v>
      </c>
      <c r="B1261" s="50" t="n">
        <v>38</v>
      </c>
      <c r="C1261" s="51">
        <f>INDEX(Employees!$B$5:$B$29,$A1261)&amp;""</f>
        <v/>
      </c>
      <c r="D1261" s="52">
        <f>INDEX(Periods!$B$5:$B$57,$B1261)</f>
        <v/>
      </c>
      <c r="E1261" s="52">
        <f>INDEX(Periods!$C$5:$C$57,$B1261)</f>
        <v/>
      </c>
      <c r="F1261" s="50">
        <f>IF(AND($C1261&lt;&gt;"",INDEX(Periods!$D$5:$D$57,$B1261)=1),1,0)</f>
        <v/>
      </c>
      <c r="G1261" s="50">
        <f>IF($F1261=0,0,IF(AND(OR(INDEX(Employees!$D$5:$D$29,$A1261)="",$E1261&gt;=INDEX(Employees!$D$5:$D$29,$A1261)+N(INDEX(Employees!$U$5:$U$29,$A1261))),OR(INDEX(Employees!$E$5:$E$29,$A1261)="",$D1261&lt;=INDEX(Employees!$E$5:$E$29,$A1261))),1,0))</f>
        <v/>
      </c>
      <c r="H1261" s="50">
        <f>IF($G1261=0,0,IF(INDEX(Employees!$D$5:$D$29,$A1261)="",0,DATEDIF(INDEX(Employees!$D$5:$D$29,$A1261),$E1261,"y")))</f>
        <v/>
      </c>
      <c r="I1261" s="51">
        <f>IF($G1261=0,0,IF(INDEX('Hours Worked'!$D$5:$BD$29,$A1261,$B1261)="",N(INDEX(Employees!$H$5:$H$29,$A1261)),INDEX('Hours Worked'!$D$5:$BD$29,$A1261,$B1261)))</f>
        <v/>
      </c>
      <c r="J1261" s="51">
        <f>IF(OR($G1261=0,INDEX(Employees!$O$5:$O$29,$A1261)&lt;&gt;"Yes"),0,IF(COUNTIF(Settings!$D$4:$D$9,"&lt;="&amp;$H1261)=0,0,INDEX(Settings!$E$4:$E$9,COUNTIF(Settings!$D$4:$D$9,"&lt;="&amp;$H1261))))</f>
        <v/>
      </c>
      <c r="K1261" s="51">
        <f>IF($G1261=0,0,IF(INDEX(Employees!$I$5:$I$29,$A1261)="Per pay period",(N(INDEX(Employees!$J$5:$J$29,$A1261))+$J1261)/Settings!$B$13,IF(INDEX(Employees!$I$5:$I$29,$A1261)="Per hour worked",N(INDEX(Employees!$K$5:$K$29,$A1261))*$I1261,IF(INDEX(Employees!$I$5:$I$29,$A1261)="Front-loaded",IF(OR($B1261=1,N($G1260)=0),N(INDEX(Employees!$J$5:$J$29,$A1261))+$J1261,0),0))))</f>
        <v/>
      </c>
      <c r="L1261" s="51">
        <f>IF($F1261=0,0,SUMIFS('Time Off Log'!$H$5:$H$504,'Time Off Log'!$A$5:$A$504,$C1261,'Time Off Log'!$B$5:$B$504,"PTO",'Time Off Log'!$E$5:$E$504,"Approved",'Time Off Log'!$C$5:$C$504,"&gt;="&amp;INDEX(Periods!$E$5:$E$57,$B1261),'Time Off Log'!$C$5:$C$504,"&lt;="&amp;INDEX(Periods!$F$5:$F$57,$B1261)))</f>
        <v/>
      </c>
      <c r="M1261" s="51">
        <f>IF($B1261=1,N(INDEX(Employees!$N$5:$N$29,$A1261)),P1260)</f>
        <v/>
      </c>
      <c r="N1261" s="51">
        <f>IF(INDEX(Employees!$L$5:$L$29,$A1261)="",K1261,MAX(0,MIN(K1261,INDEX(Employees!$L$5:$L$29,$A1261)-(M1261-L1261))))</f>
        <v/>
      </c>
      <c r="O1261" s="51">
        <f>K1261-N1261</f>
        <v/>
      </c>
      <c r="P1261" s="51">
        <f>M1261-L1261+N1261</f>
        <v/>
      </c>
      <c r="Q1261" s="51">
        <f>IF($G1261=0,0,IF(INDEX(Employees!$P$5:$P$29,$A1261)="Per pay period",(N(INDEX(Employees!$Q$5:$Q$29,$A1261)))/Settings!$B$13,IF(INDEX(Employees!$P$5:$P$29,$A1261)="Per hour worked",N(INDEX(Employees!$R$5:$R$29,$A1261))*$I1261,IF(INDEX(Employees!$P$5:$P$29,$A1261)="Front-loaded",IF(OR($B1261=1,N($G1260)=0),N(INDEX(Employees!$Q$5:$Q$29,$A1261)),0),0))))</f>
        <v/>
      </c>
      <c r="R1261" s="51">
        <f>IF($F1261=0,0,SUMIFS('Time Off Log'!$H$5:$H$504,'Time Off Log'!$A$5:$A$504,$C1261,'Time Off Log'!$B$5:$B$504,"Sick",'Time Off Log'!$E$5:$E$504,"Approved",'Time Off Log'!$C$5:$C$504,"&gt;="&amp;INDEX(Periods!$E$5:$E$57,$B1261),'Time Off Log'!$C$5:$C$504,"&lt;="&amp;INDEX(Periods!$F$5:$F$57,$B1261)))</f>
        <v/>
      </c>
      <c r="S1261" s="51">
        <f>IF($B1261=1,N(INDEX(Employees!$T$5:$T$29,$A1261)),V1260)</f>
        <v/>
      </c>
      <c r="T1261" s="51">
        <f>IF(INDEX(Employees!$S$5:$S$29,$A1261)="",Q1261,MAX(0,MIN(Q1261,INDEX(Employees!$S$5:$S$29,$A1261)-(S1261-R1261))))</f>
        <v/>
      </c>
      <c r="U1261" s="51">
        <f>Q1261-T1261</f>
        <v/>
      </c>
      <c r="V1261" s="51">
        <f>S1261-R1261+T1261</f>
        <v/>
      </c>
    </row>
    <row r="1262">
      <c r="A1262" s="50" t="n">
        <v>24</v>
      </c>
      <c r="B1262" s="50" t="n">
        <v>39</v>
      </c>
      <c r="C1262" s="51">
        <f>INDEX(Employees!$B$5:$B$29,$A1262)&amp;""</f>
        <v/>
      </c>
      <c r="D1262" s="52">
        <f>INDEX(Periods!$B$5:$B$57,$B1262)</f>
        <v/>
      </c>
      <c r="E1262" s="52">
        <f>INDEX(Periods!$C$5:$C$57,$B1262)</f>
        <v/>
      </c>
      <c r="F1262" s="50">
        <f>IF(AND($C1262&lt;&gt;"",INDEX(Periods!$D$5:$D$57,$B1262)=1),1,0)</f>
        <v/>
      </c>
      <c r="G1262" s="50">
        <f>IF($F1262=0,0,IF(AND(OR(INDEX(Employees!$D$5:$D$29,$A1262)="",$E1262&gt;=INDEX(Employees!$D$5:$D$29,$A1262)+N(INDEX(Employees!$U$5:$U$29,$A1262))),OR(INDEX(Employees!$E$5:$E$29,$A1262)="",$D1262&lt;=INDEX(Employees!$E$5:$E$29,$A1262))),1,0))</f>
        <v/>
      </c>
      <c r="H1262" s="50">
        <f>IF($G1262=0,0,IF(INDEX(Employees!$D$5:$D$29,$A1262)="",0,DATEDIF(INDEX(Employees!$D$5:$D$29,$A1262),$E1262,"y")))</f>
        <v/>
      </c>
      <c r="I1262" s="51">
        <f>IF($G1262=0,0,IF(INDEX('Hours Worked'!$D$5:$BD$29,$A1262,$B1262)="",N(INDEX(Employees!$H$5:$H$29,$A1262)),INDEX('Hours Worked'!$D$5:$BD$29,$A1262,$B1262)))</f>
        <v/>
      </c>
      <c r="J1262" s="51">
        <f>IF(OR($G1262=0,INDEX(Employees!$O$5:$O$29,$A1262)&lt;&gt;"Yes"),0,IF(COUNTIF(Settings!$D$4:$D$9,"&lt;="&amp;$H1262)=0,0,INDEX(Settings!$E$4:$E$9,COUNTIF(Settings!$D$4:$D$9,"&lt;="&amp;$H1262))))</f>
        <v/>
      </c>
      <c r="K1262" s="51">
        <f>IF($G1262=0,0,IF(INDEX(Employees!$I$5:$I$29,$A1262)="Per pay period",(N(INDEX(Employees!$J$5:$J$29,$A1262))+$J1262)/Settings!$B$13,IF(INDEX(Employees!$I$5:$I$29,$A1262)="Per hour worked",N(INDEX(Employees!$K$5:$K$29,$A1262))*$I1262,IF(INDEX(Employees!$I$5:$I$29,$A1262)="Front-loaded",IF(OR($B1262=1,N($G1261)=0),N(INDEX(Employees!$J$5:$J$29,$A1262))+$J1262,0),0))))</f>
        <v/>
      </c>
      <c r="L1262" s="51">
        <f>IF($F1262=0,0,SUMIFS('Time Off Log'!$H$5:$H$504,'Time Off Log'!$A$5:$A$504,$C1262,'Time Off Log'!$B$5:$B$504,"PTO",'Time Off Log'!$E$5:$E$504,"Approved",'Time Off Log'!$C$5:$C$504,"&gt;="&amp;INDEX(Periods!$E$5:$E$57,$B1262),'Time Off Log'!$C$5:$C$504,"&lt;="&amp;INDEX(Periods!$F$5:$F$57,$B1262)))</f>
        <v/>
      </c>
      <c r="M1262" s="51">
        <f>IF($B1262=1,N(INDEX(Employees!$N$5:$N$29,$A1262)),P1261)</f>
        <v/>
      </c>
      <c r="N1262" s="51">
        <f>IF(INDEX(Employees!$L$5:$L$29,$A1262)="",K1262,MAX(0,MIN(K1262,INDEX(Employees!$L$5:$L$29,$A1262)-(M1262-L1262))))</f>
        <v/>
      </c>
      <c r="O1262" s="51">
        <f>K1262-N1262</f>
        <v/>
      </c>
      <c r="P1262" s="51">
        <f>M1262-L1262+N1262</f>
        <v/>
      </c>
      <c r="Q1262" s="51">
        <f>IF($G1262=0,0,IF(INDEX(Employees!$P$5:$P$29,$A1262)="Per pay period",(N(INDEX(Employees!$Q$5:$Q$29,$A1262)))/Settings!$B$13,IF(INDEX(Employees!$P$5:$P$29,$A1262)="Per hour worked",N(INDEX(Employees!$R$5:$R$29,$A1262))*$I1262,IF(INDEX(Employees!$P$5:$P$29,$A1262)="Front-loaded",IF(OR($B1262=1,N($G1261)=0),N(INDEX(Employees!$Q$5:$Q$29,$A1262)),0),0))))</f>
        <v/>
      </c>
      <c r="R1262" s="51">
        <f>IF($F1262=0,0,SUMIFS('Time Off Log'!$H$5:$H$504,'Time Off Log'!$A$5:$A$504,$C1262,'Time Off Log'!$B$5:$B$504,"Sick",'Time Off Log'!$E$5:$E$504,"Approved",'Time Off Log'!$C$5:$C$504,"&gt;="&amp;INDEX(Periods!$E$5:$E$57,$B1262),'Time Off Log'!$C$5:$C$504,"&lt;="&amp;INDEX(Periods!$F$5:$F$57,$B1262)))</f>
        <v/>
      </c>
      <c r="S1262" s="51">
        <f>IF($B1262=1,N(INDEX(Employees!$T$5:$T$29,$A1262)),V1261)</f>
        <v/>
      </c>
      <c r="T1262" s="51">
        <f>IF(INDEX(Employees!$S$5:$S$29,$A1262)="",Q1262,MAX(0,MIN(Q1262,INDEX(Employees!$S$5:$S$29,$A1262)-(S1262-R1262))))</f>
        <v/>
      </c>
      <c r="U1262" s="51">
        <f>Q1262-T1262</f>
        <v/>
      </c>
      <c r="V1262" s="51">
        <f>S1262-R1262+T1262</f>
        <v/>
      </c>
    </row>
    <row r="1263">
      <c r="A1263" s="50" t="n">
        <v>24</v>
      </c>
      <c r="B1263" s="50" t="n">
        <v>40</v>
      </c>
      <c r="C1263" s="51">
        <f>INDEX(Employees!$B$5:$B$29,$A1263)&amp;""</f>
        <v/>
      </c>
      <c r="D1263" s="52">
        <f>INDEX(Periods!$B$5:$B$57,$B1263)</f>
        <v/>
      </c>
      <c r="E1263" s="52">
        <f>INDEX(Periods!$C$5:$C$57,$B1263)</f>
        <v/>
      </c>
      <c r="F1263" s="50">
        <f>IF(AND($C1263&lt;&gt;"",INDEX(Periods!$D$5:$D$57,$B1263)=1),1,0)</f>
        <v/>
      </c>
      <c r="G1263" s="50">
        <f>IF($F1263=0,0,IF(AND(OR(INDEX(Employees!$D$5:$D$29,$A1263)="",$E1263&gt;=INDEX(Employees!$D$5:$D$29,$A1263)+N(INDEX(Employees!$U$5:$U$29,$A1263))),OR(INDEX(Employees!$E$5:$E$29,$A1263)="",$D1263&lt;=INDEX(Employees!$E$5:$E$29,$A1263))),1,0))</f>
        <v/>
      </c>
      <c r="H1263" s="50">
        <f>IF($G1263=0,0,IF(INDEX(Employees!$D$5:$D$29,$A1263)="",0,DATEDIF(INDEX(Employees!$D$5:$D$29,$A1263),$E1263,"y")))</f>
        <v/>
      </c>
      <c r="I1263" s="51">
        <f>IF($G1263=0,0,IF(INDEX('Hours Worked'!$D$5:$BD$29,$A1263,$B1263)="",N(INDEX(Employees!$H$5:$H$29,$A1263)),INDEX('Hours Worked'!$D$5:$BD$29,$A1263,$B1263)))</f>
        <v/>
      </c>
      <c r="J1263" s="51">
        <f>IF(OR($G1263=0,INDEX(Employees!$O$5:$O$29,$A1263)&lt;&gt;"Yes"),0,IF(COUNTIF(Settings!$D$4:$D$9,"&lt;="&amp;$H1263)=0,0,INDEX(Settings!$E$4:$E$9,COUNTIF(Settings!$D$4:$D$9,"&lt;="&amp;$H1263))))</f>
        <v/>
      </c>
      <c r="K1263" s="51">
        <f>IF($G1263=0,0,IF(INDEX(Employees!$I$5:$I$29,$A1263)="Per pay period",(N(INDEX(Employees!$J$5:$J$29,$A1263))+$J1263)/Settings!$B$13,IF(INDEX(Employees!$I$5:$I$29,$A1263)="Per hour worked",N(INDEX(Employees!$K$5:$K$29,$A1263))*$I1263,IF(INDEX(Employees!$I$5:$I$29,$A1263)="Front-loaded",IF(OR($B1263=1,N($G1262)=0),N(INDEX(Employees!$J$5:$J$29,$A1263))+$J1263,0),0))))</f>
        <v/>
      </c>
      <c r="L1263" s="51">
        <f>IF($F1263=0,0,SUMIFS('Time Off Log'!$H$5:$H$504,'Time Off Log'!$A$5:$A$504,$C1263,'Time Off Log'!$B$5:$B$504,"PTO",'Time Off Log'!$E$5:$E$504,"Approved",'Time Off Log'!$C$5:$C$504,"&gt;="&amp;INDEX(Periods!$E$5:$E$57,$B1263),'Time Off Log'!$C$5:$C$504,"&lt;="&amp;INDEX(Periods!$F$5:$F$57,$B1263)))</f>
        <v/>
      </c>
      <c r="M1263" s="51">
        <f>IF($B1263=1,N(INDEX(Employees!$N$5:$N$29,$A1263)),P1262)</f>
        <v/>
      </c>
      <c r="N1263" s="51">
        <f>IF(INDEX(Employees!$L$5:$L$29,$A1263)="",K1263,MAX(0,MIN(K1263,INDEX(Employees!$L$5:$L$29,$A1263)-(M1263-L1263))))</f>
        <v/>
      </c>
      <c r="O1263" s="51">
        <f>K1263-N1263</f>
        <v/>
      </c>
      <c r="P1263" s="51">
        <f>M1263-L1263+N1263</f>
        <v/>
      </c>
      <c r="Q1263" s="51">
        <f>IF($G1263=0,0,IF(INDEX(Employees!$P$5:$P$29,$A1263)="Per pay period",(N(INDEX(Employees!$Q$5:$Q$29,$A1263)))/Settings!$B$13,IF(INDEX(Employees!$P$5:$P$29,$A1263)="Per hour worked",N(INDEX(Employees!$R$5:$R$29,$A1263))*$I1263,IF(INDEX(Employees!$P$5:$P$29,$A1263)="Front-loaded",IF(OR($B1263=1,N($G1262)=0),N(INDEX(Employees!$Q$5:$Q$29,$A1263)),0),0))))</f>
        <v/>
      </c>
      <c r="R1263" s="51">
        <f>IF($F1263=0,0,SUMIFS('Time Off Log'!$H$5:$H$504,'Time Off Log'!$A$5:$A$504,$C1263,'Time Off Log'!$B$5:$B$504,"Sick",'Time Off Log'!$E$5:$E$504,"Approved",'Time Off Log'!$C$5:$C$504,"&gt;="&amp;INDEX(Periods!$E$5:$E$57,$B1263),'Time Off Log'!$C$5:$C$504,"&lt;="&amp;INDEX(Periods!$F$5:$F$57,$B1263)))</f>
        <v/>
      </c>
      <c r="S1263" s="51">
        <f>IF($B1263=1,N(INDEX(Employees!$T$5:$T$29,$A1263)),V1262)</f>
        <v/>
      </c>
      <c r="T1263" s="51">
        <f>IF(INDEX(Employees!$S$5:$S$29,$A1263)="",Q1263,MAX(0,MIN(Q1263,INDEX(Employees!$S$5:$S$29,$A1263)-(S1263-R1263))))</f>
        <v/>
      </c>
      <c r="U1263" s="51">
        <f>Q1263-T1263</f>
        <v/>
      </c>
      <c r="V1263" s="51">
        <f>S1263-R1263+T1263</f>
        <v/>
      </c>
    </row>
    <row r="1264">
      <c r="A1264" s="50" t="n">
        <v>24</v>
      </c>
      <c r="B1264" s="50" t="n">
        <v>41</v>
      </c>
      <c r="C1264" s="51">
        <f>INDEX(Employees!$B$5:$B$29,$A1264)&amp;""</f>
        <v/>
      </c>
      <c r="D1264" s="52">
        <f>INDEX(Periods!$B$5:$B$57,$B1264)</f>
        <v/>
      </c>
      <c r="E1264" s="52">
        <f>INDEX(Periods!$C$5:$C$57,$B1264)</f>
        <v/>
      </c>
      <c r="F1264" s="50">
        <f>IF(AND($C1264&lt;&gt;"",INDEX(Periods!$D$5:$D$57,$B1264)=1),1,0)</f>
        <v/>
      </c>
      <c r="G1264" s="50">
        <f>IF($F1264=0,0,IF(AND(OR(INDEX(Employees!$D$5:$D$29,$A1264)="",$E1264&gt;=INDEX(Employees!$D$5:$D$29,$A1264)+N(INDEX(Employees!$U$5:$U$29,$A1264))),OR(INDEX(Employees!$E$5:$E$29,$A1264)="",$D1264&lt;=INDEX(Employees!$E$5:$E$29,$A1264))),1,0))</f>
        <v/>
      </c>
      <c r="H1264" s="50">
        <f>IF($G1264=0,0,IF(INDEX(Employees!$D$5:$D$29,$A1264)="",0,DATEDIF(INDEX(Employees!$D$5:$D$29,$A1264),$E1264,"y")))</f>
        <v/>
      </c>
      <c r="I1264" s="51">
        <f>IF($G1264=0,0,IF(INDEX('Hours Worked'!$D$5:$BD$29,$A1264,$B1264)="",N(INDEX(Employees!$H$5:$H$29,$A1264)),INDEX('Hours Worked'!$D$5:$BD$29,$A1264,$B1264)))</f>
        <v/>
      </c>
      <c r="J1264" s="51">
        <f>IF(OR($G1264=0,INDEX(Employees!$O$5:$O$29,$A1264)&lt;&gt;"Yes"),0,IF(COUNTIF(Settings!$D$4:$D$9,"&lt;="&amp;$H1264)=0,0,INDEX(Settings!$E$4:$E$9,COUNTIF(Settings!$D$4:$D$9,"&lt;="&amp;$H1264))))</f>
        <v/>
      </c>
      <c r="K1264" s="51">
        <f>IF($G1264=0,0,IF(INDEX(Employees!$I$5:$I$29,$A1264)="Per pay period",(N(INDEX(Employees!$J$5:$J$29,$A1264))+$J1264)/Settings!$B$13,IF(INDEX(Employees!$I$5:$I$29,$A1264)="Per hour worked",N(INDEX(Employees!$K$5:$K$29,$A1264))*$I1264,IF(INDEX(Employees!$I$5:$I$29,$A1264)="Front-loaded",IF(OR($B1264=1,N($G1263)=0),N(INDEX(Employees!$J$5:$J$29,$A1264))+$J1264,0),0))))</f>
        <v/>
      </c>
      <c r="L1264" s="51">
        <f>IF($F1264=0,0,SUMIFS('Time Off Log'!$H$5:$H$504,'Time Off Log'!$A$5:$A$504,$C1264,'Time Off Log'!$B$5:$B$504,"PTO",'Time Off Log'!$E$5:$E$504,"Approved",'Time Off Log'!$C$5:$C$504,"&gt;="&amp;INDEX(Periods!$E$5:$E$57,$B1264),'Time Off Log'!$C$5:$C$504,"&lt;="&amp;INDEX(Periods!$F$5:$F$57,$B1264)))</f>
        <v/>
      </c>
      <c r="M1264" s="51">
        <f>IF($B1264=1,N(INDEX(Employees!$N$5:$N$29,$A1264)),P1263)</f>
        <v/>
      </c>
      <c r="N1264" s="51">
        <f>IF(INDEX(Employees!$L$5:$L$29,$A1264)="",K1264,MAX(0,MIN(K1264,INDEX(Employees!$L$5:$L$29,$A1264)-(M1264-L1264))))</f>
        <v/>
      </c>
      <c r="O1264" s="51">
        <f>K1264-N1264</f>
        <v/>
      </c>
      <c r="P1264" s="51">
        <f>M1264-L1264+N1264</f>
        <v/>
      </c>
      <c r="Q1264" s="51">
        <f>IF($G1264=0,0,IF(INDEX(Employees!$P$5:$P$29,$A1264)="Per pay period",(N(INDEX(Employees!$Q$5:$Q$29,$A1264)))/Settings!$B$13,IF(INDEX(Employees!$P$5:$P$29,$A1264)="Per hour worked",N(INDEX(Employees!$R$5:$R$29,$A1264))*$I1264,IF(INDEX(Employees!$P$5:$P$29,$A1264)="Front-loaded",IF(OR($B1264=1,N($G1263)=0),N(INDEX(Employees!$Q$5:$Q$29,$A1264)),0),0))))</f>
        <v/>
      </c>
      <c r="R1264" s="51">
        <f>IF($F1264=0,0,SUMIFS('Time Off Log'!$H$5:$H$504,'Time Off Log'!$A$5:$A$504,$C1264,'Time Off Log'!$B$5:$B$504,"Sick",'Time Off Log'!$E$5:$E$504,"Approved",'Time Off Log'!$C$5:$C$504,"&gt;="&amp;INDEX(Periods!$E$5:$E$57,$B1264),'Time Off Log'!$C$5:$C$504,"&lt;="&amp;INDEX(Periods!$F$5:$F$57,$B1264)))</f>
        <v/>
      </c>
      <c r="S1264" s="51">
        <f>IF($B1264=1,N(INDEX(Employees!$T$5:$T$29,$A1264)),V1263)</f>
        <v/>
      </c>
      <c r="T1264" s="51">
        <f>IF(INDEX(Employees!$S$5:$S$29,$A1264)="",Q1264,MAX(0,MIN(Q1264,INDEX(Employees!$S$5:$S$29,$A1264)-(S1264-R1264))))</f>
        <v/>
      </c>
      <c r="U1264" s="51">
        <f>Q1264-T1264</f>
        <v/>
      </c>
      <c r="V1264" s="51">
        <f>S1264-R1264+T1264</f>
        <v/>
      </c>
    </row>
    <row r="1265">
      <c r="A1265" s="50" t="n">
        <v>24</v>
      </c>
      <c r="B1265" s="50" t="n">
        <v>42</v>
      </c>
      <c r="C1265" s="51">
        <f>INDEX(Employees!$B$5:$B$29,$A1265)&amp;""</f>
        <v/>
      </c>
      <c r="D1265" s="52">
        <f>INDEX(Periods!$B$5:$B$57,$B1265)</f>
        <v/>
      </c>
      <c r="E1265" s="52">
        <f>INDEX(Periods!$C$5:$C$57,$B1265)</f>
        <v/>
      </c>
      <c r="F1265" s="50">
        <f>IF(AND($C1265&lt;&gt;"",INDEX(Periods!$D$5:$D$57,$B1265)=1),1,0)</f>
        <v/>
      </c>
      <c r="G1265" s="50">
        <f>IF($F1265=0,0,IF(AND(OR(INDEX(Employees!$D$5:$D$29,$A1265)="",$E1265&gt;=INDEX(Employees!$D$5:$D$29,$A1265)+N(INDEX(Employees!$U$5:$U$29,$A1265))),OR(INDEX(Employees!$E$5:$E$29,$A1265)="",$D1265&lt;=INDEX(Employees!$E$5:$E$29,$A1265))),1,0))</f>
        <v/>
      </c>
      <c r="H1265" s="50">
        <f>IF($G1265=0,0,IF(INDEX(Employees!$D$5:$D$29,$A1265)="",0,DATEDIF(INDEX(Employees!$D$5:$D$29,$A1265),$E1265,"y")))</f>
        <v/>
      </c>
      <c r="I1265" s="51">
        <f>IF($G1265=0,0,IF(INDEX('Hours Worked'!$D$5:$BD$29,$A1265,$B1265)="",N(INDEX(Employees!$H$5:$H$29,$A1265)),INDEX('Hours Worked'!$D$5:$BD$29,$A1265,$B1265)))</f>
        <v/>
      </c>
      <c r="J1265" s="51">
        <f>IF(OR($G1265=0,INDEX(Employees!$O$5:$O$29,$A1265)&lt;&gt;"Yes"),0,IF(COUNTIF(Settings!$D$4:$D$9,"&lt;="&amp;$H1265)=0,0,INDEX(Settings!$E$4:$E$9,COUNTIF(Settings!$D$4:$D$9,"&lt;="&amp;$H1265))))</f>
        <v/>
      </c>
      <c r="K1265" s="51">
        <f>IF($G1265=0,0,IF(INDEX(Employees!$I$5:$I$29,$A1265)="Per pay period",(N(INDEX(Employees!$J$5:$J$29,$A1265))+$J1265)/Settings!$B$13,IF(INDEX(Employees!$I$5:$I$29,$A1265)="Per hour worked",N(INDEX(Employees!$K$5:$K$29,$A1265))*$I1265,IF(INDEX(Employees!$I$5:$I$29,$A1265)="Front-loaded",IF(OR($B1265=1,N($G1264)=0),N(INDEX(Employees!$J$5:$J$29,$A1265))+$J1265,0),0))))</f>
        <v/>
      </c>
      <c r="L1265" s="51">
        <f>IF($F1265=0,0,SUMIFS('Time Off Log'!$H$5:$H$504,'Time Off Log'!$A$5:$A$504,$C1265,'Time Off Log'!$B$5:$B$504,"PTO",'Time Off Log'!$E$5:$E$504,"Approved",'Time Off Log'!$C$5:$C$504,"&gt;="&amp;INDEX(Periods!$E$5:$E$57,$B1265),'Time Off Log'!$C$5:$C$504,"&lt;="&amp;INDEX(Periods!$F$5:$F$57,$B1265)))</f>
        <v/>
      </c>
      <c r="M1265" s="51">
        <f>IF($B1265=1,N(INDEX(Employees!$N$5:$N$29,$A1265)),P1264)</f>
        <v/>
      </c>
      <c r="N1265" s="51">
        <f>IF(INDEX(Employees!$L$5:$L$29,$A1265)="",K1265,MAX(0,MIN(K1265,INDEX(Employees!$L$5:$L$29,$A1265)-(M1265-L1265))))</f>
        <v/>
      </c>
      <c r="O1265" s="51">
        <f>K1265-N1265</f>
        <v/>
      </c>
      <c r="P1265" s="51">
        <f>M1265-L1265+N1265</f>
        <v/>
      </c>
      <c r="Q1265" s="51">
        <f>IF($G1265=0,0,IF(INDEX(Employees!$P$5:$P$29,$A1265)="Per pay period",(N(INDEX(Employees!$Q$5:$Q$29,$A1265)))/Settings!$B$13,IF(INDEX(Employees!$P$5:$P$29,$A1265)="Per hour worked",N(INDEX(Employees!$R$5:$R$29,$A1265))*$I1265,IF(INDEX(Employees!$P$5:$P$29,$A1265)="Front-loaded",IF(OR($B1265=1,N($G1264)=0),N(INDEX(Employees!$Q$5:$Q$29,$A1265)),0),0))))</f>
        <v/>
      </c>
      <c r="R1265" s="51">
        <f>IF($F1265=0,0,SUMIFS('Time Off Log'!$H$5:$H$504,'Time Off Log'!$A$5:$A$504,$C1265,'Time Off Log'!$B$5:$B$504,"Sick",'Time Off Log'!$E$5:$E$504,"Approved",'Time Off Log'!$C$5:$C$504,"&gt;="&amp;INDEX(Periods!$E$5:$E$57,$B1265),'Time Off Log'!$C$5:$C$504,"&lt;="&amp;INDEX(Periods!$F$5:$F$57,$B1265)))</f>
        <v/>
      </c>
      <c r="S1265" s="51">
        <f>IF($B1265=1,N(INDEX(Employees!$T$5:$T$29,$A1265)),V1264)</f>
        <v/>
      </c>
      <c r="T1265" s="51">
        <f>IF(INDEX(Employees!$S$5:$S$29,$A1265)="",Q1265,MAX(0,MIN(Q1265,INDEX(Employees!$S$5:$S$29,$A1265)-(S1265-R1265))))</f>
        <v/>
      </c>
      <c r="U1265" s="51">
        <f>Q1265-T1265</f>
        <v/>
      </c>
      <c r="V1265" s="51">
        <f>S1265-R1265+T1265</f>
        <v/>
      </c>
    </row>
    <row r="1266">
      <c r="A1266" s="50" t="n">
        <v>24</v>
      </c>
      <c r="B1266" s="50" t="n">
        <v>43</v>
      </c>
      <c r="C1266" s="51">
        <f>INDEX(Employees!$B$5:$B$29,$A1266)&amp;""</f>
        <v/>
      </c>
      <c r="D1266" s="52">
        <f>INDEX(Periods!$B$5:$B$57,$B1266)</f>
        <v/>
      </c>
      <c r="E1266" s="52">
        <f>INDEX(Periods!$C$5:$C$57,$B1266)</f>
        <v/>
      </c>
      <c r="F1266" s="50">
        <f>IF(AND($C1266&lt;&gt;"",INDEX(Periods!$D$5:$D$57,$B1266)=1),1,0)</f>
        <v/>
      </c>
      <c r="G1266" s="50">
        <f>IF($F1266=0,0,IF(AND(OR(INDEX(Employees!$D$5:$D$29,$A1266)="",$E1266&gt;=INDEX(Employees!$D$5:$D$29,$A1266)+N(INDEX(Employees!$U$5:$U$29,$A1266))),OR(INDEX(Employees!$E$5:$E$29,$A1266)="",$D1266&lt;=INDEX(Employees!$E$5:$E$29,$A1266))),1,0))</f>
        <v/>
      </c>
      <c r="H1266" s="50">
        <f>IF($G1266=0,0,IF(INDEX(Employees!$D$5:$D$29,$A1266)="",0,DATEDIF(INDEX(Employees!$D$5:$D$29,$A1266),$E1266,"y")))</f>
        <v/>
      </c>
      <c r="I1266" s="51">
        <f>IF($G1266=0,0,IF(INDEX('Hours Worked'!$D$5:$BD$29,$A1266,$B1266)="",N(INDEX(Employees!$H$5:$H$29,$A1266)),INDEX('Hours Worked'!$D$5:$BD$29,$A1266,$B1266)))</f>
        <v/>
      </c>
      <c r="J1266" s="51">
        <f>IF(OR($G1266=0,INDEX(Employees!$O$5:$O$29,$A1266)&lt;&gt;"Yes"),0,IF(COUNTIF(Settings!$D$4:$D$9,"&lt;="&amp;$H1266)=0,0,INDEX(Settings!$E$4:$E$9,COUNTIF(Settings!$D$4:$D$9,"&lt;="&amp;$H1266))))</f>
        <v/>
      </c>
      <c r="K1266" s="51">
        <f>IF($G1266=0,0,IF(INDEX(Employees!$I$5:$I$29,$A1266)="Per pay period",(N(INDEX(Employees!$J$5:$J$29,$A1266))+$J1266)/Settings!$B$13,IF(INDEX(Employees!$I$5:$I$29,$A1266)="Per hour worked",N(INDEX(Employees!$K$5:$K$29,$A1266))*$I1266,IF(INDEX(Employees!$I$5:$I$29,$A1266)="Front-loaded",IF(OR($B1266=1,N($G1265)=0),N(INDEX(Employees!$J$5:$J$29,$A1266))+$J1266,0),0))))</f>
        <v/>
      </c>
      <c r="L1266" s="51">
        <f>IF($F1266=0,0,SUMIFS('Time Off Log'!$H$5:$H$504,'Time Off Log'!$A$5:$A$504,$C1266,'Time Off Log'!$B$5:$B$504,"PTO",'Time Off Log'!$E$5:$E$504,"Approved",'Time Off Log'!$C$5:$C$504,"&gt;="&amp;INDEX(Periods!$E$5:$E$57,$B1266),'Time Off Log'!$C$5:$C$504,"&lt;="&amp;INDEX(Periods!$F$5:$F$57,$B1266)))</f>
        <v/>
      </c>
      <c r="M1266" s="51">
        <f>IF($B1266=1,N(INDEX(Employees!$N$5:$N$29,$A1266)),P1265)</f>
        <v/>
      </c>
      <c r="N1266" s="51">
        <f>IF(INDEX(Employees!$L$5:$L$29,$A1266)="",K1266,MAX(0,MIN(K1266,INDEX(Employees!$L$5:$L$29,$A1266)-(M1266-L1266))))</f>
        <v/>
      </c>
      <c r="O1266" s="51">
        <f>K1266-N1266</f>
        <v/>
      </c>
      <c r="P1266" s="51">
        <f>M1266-L1266+N1266</f>
        <v/>
      </c>
      <c r="Q1266" s="51">
        <f>IF($G1266=0,0,IF(INDEX(Employees!$P$5:$P$29,$A1266)="Per pay period",(N(INDEX(Employees!$Q$5:$Q$29,$A1266)))/Settings!$B$13,IF(INDEX(Employees!$P$5:$P$29,$A1266)="Per hour worked",N(INDEX(Employees!$R$5:$R$29,$A1266))*$I1266,IF(INDEX(Employees!$P$5:$P$29,$A1266)="Front-loaded",IF(OR($B1266=1,N($G1265)=0),N(INDEX(Employees!$Q$5:$Q$29,$A1266)),0),0))))</f>
        <v/>
      </c>
      <c r="R1266" s="51">
        <f>IF($F1266=0,0,SUMIFS('Time Off Log'!$H$5:$H$504,'Time Off Log'!$A$5:$A$504,$C1266,'Time Off Log'!$B$5:$B$504,"Sick",'Time Off Log'!$E$5:$E$504,"Approved",'Time Off Log'!$C$5:$C$504,"&gt;="&amp;INDEX(Periods!$E$5:$E$57,$B1266),'Time Off Log'!$C$5:$C$504,"&lt;="&amp;INDEX(Periods!$F$5:$F$57,$B1266)))</f>
        <v/>
      </c>
      <c r="S1266" s="51">
        <f>IF($B1266=1,N(INDEX(Employees!$T$5:$T$29,$A1266)),V1265)</f>
        <v/>
      </c>
      <c r="T1266" s="51">
        <f>IF(INDEX(Employees!$S$5:$S$29,$A1266)="",Q1266,MAX(0,MIN(Q1266,INDEX(Employees!$S$5:$S$29,$A1266)-(S1266-R1266))))</f>
        <v/>
      </c>
      <c r="U1266" s="51">
        <f>Q1266-T1266</f>
        <v/>
      </c>
      <c r="V1266" s="51">
        <f>S1266-R1266+T1266</f>
        <v/>
      </c>
    </row>
    <row r="1267">
      <c r="A1267" s="50" t="n">
        <v>24</v>
      </c>
      <c r="B1267" s="50" t="n">
        <v>44</v>
      </c>
      <c r="C1267" s="51">
        <f>INDEX(Employees!$B$5:$B$29,$A1267)&amp;""</f>
        <v/>
      </c>
      <c r="D1267" s="52">
        <f>INDEX(Periods!$B$5:$B$57,$B1267)</f>
        <v/>
      </c>
      <c r="E1267" s="52">
        <f>INDEX(Periods!$C$5:$C$57,$B1267)</f>
        <v/>
      </c>
      <c r="F1267" s="50">
        <f>IF(AND($C1267&lt;&gt;"",INDEX(Periods!$D$5:$D$57,$B1267)=1),1,0)</f>
        <v/>
      </c>
      <c r="G1267" s="50">
        <f>IF($F1267=0,0,IF(AND(OR(INDEX(Employees!$D$5:$D$29,$A1267)="",$E1267&gt;=INDEX(Employees!$D$5:$D$29,$A1267)+N(INDEX(Employees!$U$5:$U$29,$A1267))),OR(INDEX(Employees!$E$5:$E$29,$A1267)="",$D1267&lt;=INDEX(Employees!$E$5:$E$29,$A1267))),1,0))</f>
        <v/>
      </c>
      <c r="H1267" s="50">
        <f>IF($G1267=0,0,IF(INDEX(Employees!$D$5:$D$29,$A1267)="",0,DATEDIF(INDEX(Employees!$D$5:$D$29,$A1267),$E1267,"y")))</f>
        <v/>
      </c>
      <c r="I1267" s="51">
        <f>IF($G1267=0,0,IF(INDEX('Hours Worked'!$D$5:$BD$29,$A1267,$B1267)="",N(INDEX(Employees!$H$5:$H$29,$A1267)),INDEX('Hours Worked'!$D$5:$BD$29,$A1267,$B1267)))</f>
        <v/>
      </c>
      <c r="J1267" s="51">
        <f>IF(OR($G1267=0,INDEX(Employees!$O$5:$O$29,$A1267)&lt;&gt;"Yes"),0,IF(COUNTIF(Settings!$D$4:$D$9,"&lt;="&amp;$H1267)=0,0,INDEX(Settings!$E$4:$E$9,COUNTIF(Settings!$D$4:$D$9,"&lt;="&amp;$H1267))))</f>
        <v/>
      </c>
      <c r="K1267" s="51">
        <f>IF($G1267=0,0,IF(INDEX(Employees!$I$5:$I$29,$A1267)="Per pay period",(N(INDEX(Employees!$J$5:$J$29,$A1267))+$J1267)/Settings!$B$13,IF(INDEX(Employees!$I$5:$I$29,$A1267)="Per hour worked",N(INDEX(Employees!$K$5:$K$29,$A1267))*$I1267,IF(INDEX(Employees!$I$5:$I$29,$A1267)="Front-loaded",IF(OR($B1267=1,N($G1266)=0),N(INDEX(Employees!$J$5:$J$29,$A1267))+$J1267,0),0))))</f>
        <v/>
      </c>
      <c r="L1267" s="51">
        <f>IF($F1267=0,0,SUMIFS('Time Off Log'!$H$5:$H$504,'Time Off Log'!$A$5:$A$504,$C1267,'Time Off Log'!$B$5:$B$504,"PTO",'Time Off Log'!$E$5:$E$504,"Approved",'Time Off Log'!$C$5:$C$504,"&gt;="&amp;INDEX(Periods!$E$5:$E$57,$B1267),'Time Off Log'!$C$5:$C$504,"&lt;="&amp;INDEX(Periods!$F$5:$F$57,$B1267)))</f>
        <v/>
      </c>
      <c r="M1267" s="51">
        <f>IF($B1267=1,N(INDEX(Employees!$N$5:$N$29,$A1267)),P1266)</f>
        <v/>
      </c>
      <c r="N1267" s="51">
        <f>IF(INDEX(Employees!$L$5:$L$29,$A1267)="",K1267,MAX(0,MIN(K1267,INDEX(Employees!$L$5:$L$29,$A1267)-(M1267-L1267))))</f>
        <v/>
      </c>
      <c r="O1267" s="51">
        <f>K1267-N1267</f>
        <v/>
      </c>
      <c r="P1267" s="51">
        <f>M1267-L1267+N1267</f>
        <v/>
      </c>
      <c r="Q1267" s="51">
        <f>IF($G1267=0,0,IF(INDEX(Employees!$P$5:$P$29,$A1267)="Per pay period",(N(INDEX(Employees!$Q$5:$Q$29,$A1267)))/Settings!$B$13,IF(INDEX(Employees!$P$5:$P$29,$A1267)="Per hour worked",N(INDEX(Employees!$R$5:$R$29,$A1267))*$I1267,IF(INDEX(Employees!$P$5:$P$29,$A1267)="Front-loaded",IF(OR($B1267=1,N($G1266)=0),N(INDEX(Employees!$Q$5:$Q$29,$A1267)),0),0))))</f>
        <v/>
      </c>
      <c r="R1267" s="51">
        <f>IF($F1267=0,0,SUMIFS('Time Off Log'!$H$5:$H$504,'Time Off Log'!$A$5:$A$504,$C1267,'Time Off Log'!$B$5:$B$504,"Sick",'Time Off Log'!$E$5:$E$504,"Approved",'Time Off Log'!$C$5:$C$504,"&gt;="&amp;INDEX(Periods!$E$5:$E$57,$B1267),'Time Off Log'!$C$5:$C$504,"&lt;="&amp;INDEX(Periods!$F$5:$F$57,$B1267)))</f>
        <v/>
      </c>
      <c r="S1267" s="51">
        <f>IF($B1267=1,N(INDEX(Employees!$T$5:$T$29,$A1267)),V1266)</f>
        <v/>
      </c>
      <c r="T1267" s="51">
        <f>IF(INDEX(Employees!$S$5:$S$29,$A1267)="",Q1267,MAX(0,MIN(Q1267,INDEX(Employees!$S$5:$S$29,$A1267)-(S1267-R1267))))</f>
        <v/>
      </c>
      <c r="U1267" s="51">
        <f>Q1267-T1267</f>
        <v/>
      </c>
      <c r="V1267" s="51">
        <f>S1267-R1267+T1267</f>
        <v/>
      </c>
    </row>
    <row r="1268">
      <c r="A1268" s="50" t="n">
        <v>24</v>
      </c>
      <c r="B1268" s="50" t="n">
        <v>45</v>
      </c>
      <c r="C1268" s="51">
        <f>INDEX(Employees!$B$5:$B$29,$A1268)&amp;""</f>
        <v/>
      </c>
      <c r="D1268" s="52">
        <f>INDEX(Periods!$B$5:$B$57,$B1268)</f>
        <v/>
      </c>
      <c r="E1268" s="52">
        <f>INDEX(Periods!$C$5:$C$57,$B1268)</f>
        <v/>
      </c>
      <c r="F1268" s="50">
        <f>IF(AND($C1268&lt;&gt;"",INDEX(Periods!$D$5:$D$57,$B1268)=1),1,0)</f>
        <v/>
      </c>
      <c r="G1268" s="50">
        <f>IF($F1268=0,0,IF(AND(OR(INDEX(Employees!$D$5:$D$29,$A1268)="",$E1268&gt;=INDEX(Employees!$D$5:$D$29,$A1268)+N(INDEX(Employees!$U$5:$U$29,$A1268))),OR(INDEX(Employees!$E$5:$E$29,$A1268)="",$D1268&lt;=INDEX(Employees!$E$5:$E$29,$A1268))),1,0))</f>
        <v/>
      </c>
      <c r="H1268" s="50">
        <f>IF($G1268=0,0,IF(INDEX(Employees!$D$5:$D$29,$A1268)="",0,DATEDIF(INDEX(Employees!$D$5:$D$29,$A1268),$E1268,"y")))</f>
        <v/>
      </c>
      <c r="I1268" s="51">
        <f>IF($G1268=0,0,IF(INDEX('Hours Worked'!$D$5:$BD$29,$A1268,$B1268)="",N(INDEX(Employees!$H$5:$H$29,$A1268)),INDEX('Hours Worked'!$D$5:$BD$29,$A1268,$B1268)))</f>
        <v/>
      </c>
      <c r="J1268" s="51">
        <f>IF(OR($G1268=0,INDEX(Employees!$O$5:$O$29,$A1268)&lt;&gt;"Yes"),0,IF(COUNTIF(Settings!$D$4:$D$9,"&lt;="&amp;$H1268)=0,0,INDEX(Settings!$E$4:$E$9,COUNTIF(Settings!$D$4:$D$9,"&lt;="&amp;$H1268))))</f>
        <v/>
      </c>
      <c r="K1268" s="51">
        <f>IF($G1268=0,0,IF(INDEX(Employees!$I$5:$I$29,$A1268)="Per pay period",(N(INDEX(Employees!$J$5:$J$29,$A1268))+$J1268)/Settings!$B$13,IF(INDEX(Employees!$I$5:$I$29,$A1268)="Per hour worked",N(INDEX(Employees!$K$5:$K$29,$A1268))*$I1268,IF(INDEX(Employees!$I$5:$I$29,$A1268)="Front-loaded",IF(OR($B1268=1,N($G1267)=0),N(INDEX(Employees!$J$5:$J$29,$A1268))+$J1268,0),0))))</f>
        <v/>
      </c>
      <c r="L1268" s="51">
        <f>IF($F1268=0,0,SUMIFS('Time Off Log'!$H$5:$H$504,'Time Off Log'!$A$5:$A$504,$C1268,'Time Off Log'!$B$5:$B$504,"PTO",'Time Off Log'!$E$5:$E$504,"Approved",'Time Off Log'!$C$5:$C$504,"&gt;="&amp;INDEX(Periods!$E$5:$E$57,$B1268),'Time Off Log'!$C$5:$C$504,"&lt;="&amp;INDEX(Periods!$F$5:$F$57,$B1268)))</f>
        <v/>
      </c>
      <c r="M1268" s="51">
        <f>IF($B1268=1,N(INDEX(Employees!$N$5:$N$29,$A1268)),P1267)</f>
        <v/>
      </c>
      <c r="N1268" s="51">
        <f>IF(INDEX(Employees!$L$5:$L$29,$A1268)="",K1268,MAX(0,MIN(K1268,INDEX(Employees!$L$5:$L$29,$A1268)-(M1268-L1268))))</f>
        <v/>
      </c>
      <c r="O1268" s="51">
        <f>K1268-N1268</f>
        <v/>
      </c>
      <c r="P1268" s="51">
        <f>M1268-L1268+N1268</f>
        <v/>
      </c>
      <c r="Q1268" s="51">
        <f>IF($G1268=0,0,IF(INDEX(Employees!$P$5:$P$29,$A1268)="Per pay period",(N(INDEX(Employees!$Q$5:$Q$29,$A1268)))/Settings!$B$13,IF(INDEX(Employees!$P$5:$P$29,$A1268)="Per hour worked",N(INDEX(Employees!$R$5:$R$29,$A1268))*$I1268,IF(INDEX(Employees!$P$5:$P$29,$A1268)="Front-loaded",IF(OR($B1268=1,N($G1267)=0),N(INDEX(Employees!$Q$5:$Q$29,$A1268)),0),0))))</f>
        <v/>
      </c>
      <c r="R1268" s="51">
        <f>IF($F1268=0,0,SUMIFS('Time Off Log'!$H$5:$H$504,'Time Off Log'!$A$5:$A$504,$C1268,'Time Off Log'!$B$5:$B$504,"Sick",'Time Off Log'!$E$5:$E$504,"Approved",'Time Off Log'!$C$5:$C$504,"&gt;="&amp;INDEX(Periods!$E$5:$E$57,$B1268),'Time Off Log'!$C$5:$C$504,"&lt;="&amp;INDEX(Periods!$F$5:$F$57,$B1268)))</f>
        <v/>
      </c>
      <c r="S1268" s="51">
        <f>IF($B1268=1,N(INDEX(Employees!$T$5:$T$29,$A1268)),V1267)</f>
        <v/>
      </c>
      <c r="T1268" s="51">
        <f>IF(INDEX(Employees!$S$5:$S$29,$A1268)="",Q1268,MAX(0,MIN(Q1268,INDEX(Employees!$S$5:$S$29,$A1268)-(S1268-R1268))))</f>
        <v/>
      </c>
      <c r="U1268" s="51">
        <f>Q1268-T1268</f>
        <v/>
      </c>
      <c r="V1268" s="51">
        <f>S1268-R1268+T1268</f>
        <v/>
      </c>
    </row>
    <row r="1269">
      <c r="A1269" s="50" t="n">
        <v>24</v>
      </c>
      <c r="B1269" s="50" t="n">
        <v>46</v>
      </c>
      <c r="C1269" s="51">
        <f>INDEX(Employees!$B$5:$B$29,$A1269)&amp;""</f>
        <v/>
      </c>
      <c r="D1269" s="52">
        <f>INDEX(Periods!$B$5:$B$57,$B1269)</f>
        <v/>
      </c>
      <c r="E1269" s="52">
        <f>INDEX(Periods!$C$5:$C$57,$B1269)</f>
        <v/>
      </c>
      <c r="F1269" s="50">
        <f>IF(AND($C1269&lt;&gt;"",INDEX(Periods!$D$5:$D$57,$B1269)=1),1,0)</f>
        <v/>
      </c>
      <c r="G1269" s="50">
        <f>IF($F1269=0,0,IF(AND(OR(INDEX(Employees!$D$5:$D$29,$A1269)="",$E1269&gt;=INDEX(Employees!$D$5:$D$29,$A1269)+N(INDEX(Employees!$U$5:$U$29,$A1269))),OR(INDEX(Employees!$E$5:$E$29,$A1269)="",$D1269&lt;=INDEX(Employees!$E$5:$E$29,$A1269))),1,0))</f>
        <v/>
      </c>
      <c r="H1269" s="50">
        <f>IF($G1269=0,0,IF(INDEX(Employees!$D$5:$D$29,$A1269)="",0,DATEDIF(INDEX(Employees!$D$5:$D$29,$A1269),$E1269,"y")))</f>
        <v/>
      </c>
      <c r="I1269" s="51">
        <f>IF($G1269=0,0,IF(INDEX('Hours Worked'!$D$5:$BD$29,$A1269,$B1269)="",N(INDEX(Employees!$H$5:$H$29,$A1269)),INDEX('Hours Worked'!$D$5:$BD$29,$A1269,$B1269)))</f>
        <v/>
      </c>
      <c r="J1269" s="51">
        <f>IF(OR($G1269=0,INDEX(Employees!$O$5:$O$29,$A1269)&lt;&gt;"Yes"),0,IF(COUNTIF(Settings!$D$4:$D$9,"&lt;="&amp;$H1269)=0,0,INDEX(Settings!$E$4:$E$9,COUNTIF(Settings!$D$4:$D$9,"&lt;="&amp;$H1269))))</f>
        <v/>
      </c>
      <c r="K1269" s="51">
        <f>IF($G1269=0,0,IF(INDEX(Employees!$I$5:$I$29,$A1269)="Per pay period",(N(INDEX(Employees!$J$5:$J$29,$A1269))+$J1269)/Settings!$B$13,IF(INDEX(Employees!$I$5:$I$29,$A1269)="Per hour worked",N(INDEX(Employees!$K$5:$K$29,$A1269))*$I1269,IF(INDEX(Employees!$I$5:$I$29,$A1269)="Front-loaded",IF(OR($B1269=1,N($G1268)=0),N(INDEX(Employees!$J$5:$J$29,$A1269))+$J1269,0),0))))</f>
        <v/>
      </c>
      <c r="L1269" s="51">
        <f>IF($F1269=0,0,SUMIFS('Time Off Log'!$H$5:$H$504,'Time Off Log'!$A$5:$A$504,$C1269,'Time Off Log'!$B$5:$B$504,"PTO",'Time Off Log'!$E$5:$E$504,"Approved",'Time Off Log'!$C$5:$C$504,"&gt;="&amp;INDEX(Periods!$E$5:$E$57,$B1269),'Time Off Log'!$C$5:$C$504,"&lt;="&amp;INDEX(Periods!$F$5:$F$57,$B1269)))</f>
        <v/>
      </c>
      <c r="M1269" s="51">
        <f>IF($B1269=1,N(INDEX(Employees!$N$5:$N$29,$A1269)),P1268)</f>
        <v/>
      </c>
      <c r="N1269" s="51">
        <f>IF(INDEX(Employees!$L$5:$L$29,$A1269)="",K1269,MAX(0,MIN(K1269,INDEX(Employees!$L$5:$L$29,$A1269)-(M1269-L1269))))</f>
        <v/>
      </c>
      <c r="O1269" s="51">
        <f>K1269-N1269</f>
        <v/>
      </c>
      <c r="P1269" s="51">
        <f>M1269-L1269+N1269</f>
        <v/>
      </c>
      <c r="Q1269" s="51">
        <f>IF($G1269=0,0,IF(INDEX(Employees!$P$5:$P$29,$A1269)="Per pay period",(N(INDEX(Employees!$Q$5:$Q$29,$A1269)))/Settings!$B$13,IF(INDEX(Employees!$P$5:$P$29,$A1269)="Per hour worked",N(INDEX(Employees!$R$5:$R$29,$A1269))*$I1269,IF(INDEX(Employees!$P$5:$P$29,$A1269)="Front-loaded",IF(OR($B1269=1,N($G1268)=0),N(INDEX(Employees!$Q$5:$Q$29,$A1269)),0),0))))</f>
        <v/>
      </c>
      <c r="R1269" s="51">
        <f>IF($F1269=0,0,SUMIFS('Time Off Log'!$H$5:$H$504,'Time Off Log'!$A$5:$A$504,$C1269,'Time Off Log'!$B$5:$B$504,"Sick",'Time Off Log'!$E$5:$E$504,"Approved",'Time Off Log'!$C$5:$C$504,"&gt;="&amp;INDEX(Periods!$E$5:$E$57,$B1269),'Time Off Log'!$C$5:$C$504,"&lt;="&amp;INDEX(Periods!$F$5:$F$57,$B1269)))</f>
        <v/>
      </c>
      <c r="S1269" s="51">
        <f>IF($B1269=1,N(INDEX(Employees!$T$5:$T$29,$A1269)),V1268)</f>
        <v/>
      </c>
      <c r="T1269" s="51">
        <f>IF(INDEX(Employees!$S$5:$S$29,$A1269)="",Q1269,MAX(0,MIN(Q1269,INDEX(Employees!$S$5:$S$29,$A1269)-(S1269-R1269))))</f>
        <v/>
      </c>
      <c r="U1269" s="51">
        <f>Q1269-T1269</f>
        <v/>
      </c>
      <c r="V1269" s="51">
        <f>S1269-R1269+T1269</f>
        <v/>
      </c>
    </row>
    <row r="1270">
      <c r="A1270" s="50" t="n">
        <v>24</v>
      </c>
      <c r="B1270" s="50" t="n">
        <v>47</v>
      </c>
      <c r="C1270" s="51">
        <f>INDEX(Employees!$B$5:$B$29,$A1270)&amp;""</f>
        <v/>
      </c>
      <c r="D1270" s="52">
        <f>INDEX(Periods!$B$5:$B$57,$B1270)</f>
        <v/>
      </c>
      <c r="E1270" s="52">
        <f>INDEX(Periods!$C$5:$C$57,$B1270)</f>
        <v/>
      </c>
      <c r="F1270" s="50">
        <f>IF(AND($C1270&lt;&gt;"",INDEX(Periods!$D$5:$D$57,$B1270)=1),1,0)</f>
        <v/>
      </c>
      <c r="G1270" s="50">
        <f>IF($F1270=0,0,IF(AND(OR(INDEX(Employees!$D$5:$D$29,$A1270)="",$E1270&gt;=INDEX(Employees!$D$5:$D$29,$A1270)+N(INDEX(Employees!$U$5:$U$29,$A1270))),OR(INDEX(Employees!$E$5:$E$29,$A1270)="",$D1270&lt;=INDEX(Employees!$E$5:$E$29,$A1270))),1,0))</f>
        <v/>
      </c>
      <c r="H1270" s="50">
        <f>IF($G1270=0,0,IF(INDEX(Employees!$D$5:$D$29,$A1270)="",0,DATEDIF(INDEX(Employees!$D$5:$D$29,$A1270),$E1270,"y")))</f>
        <v/>
      </c>
      <c r="I1270" s="51">
        <f>IF($G1270=0,0,IF(INDEX('Hours Worked'!$D$5:$BD$29,$A1270,$B1270)="",N(INDEX(Employees!$H$5:$H$29,$A1270)),INDEX('Hours Worked'!$D$5:$BD$29,$A1270,$B1270)))</f>
        <v/>
      </c>
      <c r="J1270" s="51">
        <f>IF(OR($G1270=0,INDEX(Employees!$O$5:$O$29,$A1270)&lt;&gt;"Yes"),0,IF(COUNTIF(Settings!$D$4:$D$9,"&lt;="&amp;$H1270)=0,0,INDEX(Settings!$E$4:$E$9,COUNTIF(Settings!$D$4:$D$9,"&lt;="&amp;$H1270))))</f>
        <v/>
      </c>
      <c r="K1270" s="51">
        <f>IF($G1270=0,0,IF(INDEX(Employees!$I$5:$I$29,$A1270)="Per pay period",(N(INDEX(Employees!$J$5:$J$29,$A1270))+$J1270)/Settings!$B$13,IF(INDEX(Employees!$I$5:$I$29,$A1270)="Per hour worked",N(INDEX(Employees!$K$5:$K$29,$A1270))*$I1270,IF(INDEX(Employees!$I$5:$I$29,$A1270)="Front-loaded",IF(OR($B1270=1,N($G1269)=0),N(INDEX(Employees!$J$5:$J$29,$A1270))+$J1270,0),0))))</f>
        <v/>
      </c>
      <c r="L1270" s="51">
        <f>IF($F1270=0,0,SUMIFS('Time Off Log'!$H$5:$H$504,'Time Off Log'!$A$5:$A$504,$C1270,'Time Off Log'!$B$5:$B$504,"PTO",'Time Off Log'!$E$5:$E$504,"Approved",'Time Off Log'!$C$5:$C$504,"&gt;="&amp;INDEX(Periods!$E$5:$E$57,$B1270),'Time Off Log'!$C$5:$C$504,"&lt;="&amp;INDEX(Periods!$F$5:$F$57,$B1270)))</f>
        <v/>
      </c>
      <c r="M1270" s="51">
        <f>IF($B1270=1,N(INDEX(Employees!$N$5:$N$29,$A1270)),P1269)</f>
        <v/>
      </c>
      <c r="N1270" s="51">
        <f>IF(INDEX(Employees!$L$5:$L$29,$A1270)="",K1270,MAX(0,MIN(K1270,INDEX(Employees!$L$5:$L$29,$A1270)-(M1270-L1270))))</f>
        <v/>
      </c>
      <c r="O1270" s="51">
        <f>K1270-N1270</f>
        <v/>
      </c>
      <c r="P1270" s="51">
        <f>M1270-L1270+N1270</f>
        <v/>
      </c>
      <c r="Q1270" s="51">
        <f>IF($G1270=0,0,IF(INDEX(Employees!$P$5:$P$29,$A1270)="Per pay period",(N(INDEX(Employees!$Q$5:$Q$29,$A1270)))/Settings!$B$13,IF(INDEX(Employees!$P$5:$P$29,$A1270)="Per hour worked",N(INDEX(Employees!$R$5:$R$29,$A1270))*$I1270,IF(INDEX(Employees!$P$5:$P$29,$A1270)="Front-loaded",IF(OR($B1270=1,N($G1269)=0),N(INDEX(Employees!$Q$5:$Q$29,$A1270)),0),0))))</f>
        <v/>
      </c>
      <c r="R1270" s="51">
        <f>IF($F1270=0,0,SUMIFS('Time Off Log'!$H$5:$H$504,'Time Off Log'!$A$5:$A$504,$C1270,'Time Off Log'!$B$5:$B$504,"Sick",'Time Off Log'!$E$5:$E$504,"Approved",'Time Off Log'!$C$5:$C$504,"&gt;="&amp;INDEX(Periods!$E$5:$E$57,$B1270),'Time Off Log'!$C$5:$C$504,"&lt;="&amp;INDEX(Periods!$F$5:$F$57,$B1270)))</f>
        <v/>
      </c>
      <c r="S1270" s="51">
        <f>IF($B1270=1,N(INDEX(Employees!$T$5:$T$29,$A1270)),V1269)</f>
        <v/>
      </c>
      <c r="T1270" s="51">
        <f>IF(INDEX(Employees!$S$5:$S$29,$A1270)="",Q1270,MAX(0,MIN(Q1270,INDEX(Employees!$S$5:$S$29,$A1270)-(S1270-R1270))))</f>
        <v/>
      </c>
      <c r="U1270" s="51">
        <f>Q1270-T1270</f>
        <v/>
      </c>
      <c r="V1270" s="51">
        <f>S1270-R1270+T1270</f>
        <v/>
      </c>
    </row>
    <row r="1271">
      <c r="A1271" s="50" t="n">
        <v>24</v>
      </c>
      <c r="B1271" s="50" t="n">
        <v>48</v>
      </c>
      <c r="C1271" s="51">
        <f>INDEX(Employees!$B$5:$B$29,$A1271)&amp;""</f>
        <v/>
      </c>
      <c r="D1271" s="52">
        <f>INDEX(Periods!$B$5:$B$57,$B1271)</f>
        <v/>
      </c>
      <c r="E1271" s="52">
        <f>INDEX(Periods!$C$5:$C$57,$B1271)</f>
        <v/>
      </c>
      <c r="F1271" s="50">
        <f>IF(AND($C1271&lt;&gt;"",INDEX(Periods!$D$5:$D$57,$B1271)=1),1,0)</f>
        <v/>
      </c>
      <c r="G1271" s="50">
        <f>IF($F1271=0,0,IF(AND(OR(INDEX(Employees!$D$5:$D$29,$A1271)="",$E1271&gt;=INDEX(Employees!$D$5:$D$29,$A1271)+N(INDEX(Employees!$U$5:$U$29,$A1271))),OR(INDEX(Employees!$E$5:$E$29,$A1271)="",$D1271&lt;=INDEX(Employees!$E$5:$E$29,$A1271))),1,0))</f>
        <v/>
      </c>
      <c r="H1271" s="50">
        <f>IF($G1271=0,0,IF(INDEX(Employees!$D$5:$D$29,$A1271)="",0,DATEDIF(INDEX(Employees!$D$5:$D$29,$A1271),$E1271,"y")))</f>
        <v/>
      </c>
      <c r="I1271" s="51">
        <f>IF($G1271=0,0,IF(INDEX('Hours Worked'!$D$5:$BD$29,$A1271,$B1271)="",N(INDEX(Employees!$H$5:$H$29,$A1271)),INDEX('Hours Worked'!$D$5:$BD$29,$A1271,$B1271)))</f>
        <v/>
      </c>
      <c r="J1271" s="51">
        <f>IF(OR($G1271=0,INDEX(Employees!$O$5:$O$29,$A1271)&lt;&gt;"Yes"),0,IF(COUNTIF(Settings!$D$4:$D$9,"&lt;="&amp;$H1271)=0,0,INDEX(Settings!$E$4:$E$9,COUNTIF(Settings!$D$4:$D$9,"&lt;="&amp;$H1271))))</f>
        <v/>
      </c>
      <c r="K1271" s="51">
        <f>IF($G1271=0,0,IF(INDEX(Employees!$I$5:$I$29,$A1271)="Per pay period",(N(INDEX(Employees!$J$5:$J$29,$A1271))+$J1271)/Settings!$B$13,IF(INDEX(Employees!$I$5:$I$29,$A1271)="Per hour worked",N(INDEX(Employees!$K$5:$K$29,$A1271))*$I1271,IF(INDEX(Employees!$I$5:$I$29,$A1271)="Front-loaded",IF(OR($B1271=1,N($G1270)=0),N(INDEX(Employees!$J$5:$J$29,$A1271))+$J1271,0),0))))</f>
        <v/>
      </c>
      <c r="L1271" s="51">
        <f>IF($F1271=0,0,SUMIFS('Time Off Log'!$H$5:$H$504,'Time Off Log'!$A$5:$A$504,$C1271,'Time Off Log'!$B$5:$B$504,"PTO",'Time Off Log'!$E$5:$E$504,"Approved",'Time Off Log'!$C$5:$C$504,"&gt;="&amp;INDEX(Periods!$E$5:$E$57,$B1271),'Time Off Log'!$C$5:$C$504,"&lt;="&amp;INDEX(Periods!$F$5:$F$57,$B1271)))</f>
        <v/>
      </c>
      <c r="M1271" s="51">
        <f>IF($B1271=1,N(INDEX(Employees!$N$5:$N$29,$A1271)),P1270)</f>
        <v/>
      </c>
      <c r="N1271" s="51">
        <f>IF(INDEX(Employees!$L$5:$L$29,$A1271)="",K1271,MAX(0,MIN(K1271,INDEX(Employees!$L$5:$L$29,$A1271)-(M1271-L1271))))</f>
        <v/>
      </c>
      <c r="O1271" s="51">
        <f>K1271-N1271</f>
        <v/>
      </c>
      <c r="P1271" s="51">
        <f>M1271-L1271+N1271</f>
        <v/>
      </c>
      <c r="Q1271" s="51">
        <f>IF($G1271=0,0,IF(INDEX(Employees!$P$5:$P$29,$A1271)="Per pay period",(N(INDEX(Employees!$Q$5:$Q$29,$A1271)))/Settings!$B$13,IF(INDEX(Employees!$P$5:$P$29,$A1271)="Per hour worked",N(INDEX(Employees!$R$5:$R$29,$A1271))*$I1271,IF(INDEX(Employees!$P$5:$P$29,$A1271)="Front-loaded",IF(OR($B1271=1,N($G1270)=0),N(INDEX(Employees!$Q$5:$Q$29,$A1271)),0),0))))</f>
        <v/>
      </c>
      <c r="R1271" s="51">
        <f>IF($F1271=0,0,SUMIFS('Time Off Log'!$H$5:$H$504,'Time Off Log'!$A$5:$A$504,$C1271,'Time Off Log'!$B$5:$B$504,"Sick",'Time Off Log'!$E$5:$E$504,"Approved",'Time Off Log'!$C$5:$C$504,"&gt;="&amp;INDEX(Periods!$E$5:$E$57,$B1271),'Time Off Log'!$C$5:$C$504,"&lt;="&amp;INDEX(Periods!$F$5:$F$57,$B1271)))</f>
        <v/>
      </c>
      <c r="S1271" s="51">
        <f>IF($B1271=1,N(INDEX(Employees!$T$5:$T$29,$A1271)),V1270)</f>
        <v/>
      </c>
      <c r="T1271" s="51">
        <f>IF(INDEX(Employees!$S$5:$S$29,$A1271)="",Q1271,MAX(0,MIN(Q1271,INDEX(Employees!$S$5:$S$29,$A1271)-(S1271-R1271))))</f>
        <v/>
      </c>
      <c r="U1271" s="51">
        <f>Q1271-T1271</f>
        <v/>
      </c>
      <c r="V1271" s="51">
        <f>S1271-R1271+T1271</f>
        <v/>
      </c>
    </row>
    <row r="1272">
      <c r="A1272" s="50" t="n">
        <v>24</v>
      </c>
      <c r="B1272" s="50" t="n">
        <v>49</v>
      </c>
      <c r="C1272" s="51">
        <f>INDEX(Employees!$B$5:$B$29,$A1272)&amp;""</f>
        <v/>
      </c>
      <c r="D1272" s="52">
        <f>INDEX(Periods!$B$5:$B$57,$B1272)</f>
        <v/>
      </c>
      <c r="E1272" s="52">
        <f>INDEX(Periods!$C$5:$C$57,$B1272)</f>
        <v/>
      </c>
      <c r="F1272" s="50">
        <f>IF(AND($C1272&lt;&gt;"",INDEX(Periods!$D$5:$D$57,$B1272)=1),1,0)</f>
        <v/>
      </c>
      <c r="G1272" s="50">
        <f>IF($F1272=0,0,IF(AND(OR(INDEX(Employees!$D$5:$D$29,$A1272)="",$E1272&gt;=INDEX(Employees!$D$5:$D$29,$A1272)+N(INDEX(Employees!$U$5:$U$29,$A1272))),OR(INDEX(Employees!$E$5:$E$29,$A1272)="",$D1272&lt;=INDEX(Employees!$E$5:$E$29,$A1272))),1,0))</f>
        <v/>
      </c>
      <c r="H1272" s="50">
        <f>IF($G1272=0,0,IF(INDEX(Employees!$D$5:$D$29,$A1272)="",0,DATEDIF(INDEX(Employees!$D$5:$D$29,$A1272),$E1272,"y")))</f>
        <v/>
      </c>
      <c r="I1272" s="51">
        <f>IF($G1272=0,0,IF(INDEX('Hours Worked'!$D$5:$BD$29,$A1272,$B1272)="",N(INDEX(Employees!$H$5:$H$29,$A1272)),INDEX('Hours Worked'!$D$5:$BD$29,$A1272,$B1272)))</f>
        <v/>
      </c>
      <c r="J1272" s="51">
        <f>IF(OR($G1272=0,INDEX(Employees!$O$5:$O$29,$A1272)&lt;&gt;"Yes"),0,IF(COUNTIF(Settings!$D$4:$D$9,"&lt;="&amp;$H1272)=0,0,INDEX(Settings!$E$4:$E$9,COUNTIF(Settings!$D$4:$D$9,"&lt;="&amp;$H1272))))</f>
        <v/>
      </c>
      <c r="K1272" s="51">
        <f>IF($G1272=0,0,IF(INDEX(Employees!$I$5:$I$29,$A1272)="Per pay period",(N(INDEX(Employees!$J$5:$J$29,$A1272))+$J1272)/Settings!$B$13,IF(INDEX(Employees!$I$5:$I$29,$A1272)="Per hour worked",N(INDEX(Employees!$K$5:$K$29,$A1272))*$I1272,IF(INDEX(Employees!$I$5:$I$29,$A1272)="Front-loaded",IF(OR($B1272=1,N($G1271)=0),N(INDEX(Employees!$J$5:$J$29,$A1272))+$J1272,0),0))))</f>
        <v/>
      </c>
      <c r="L1272" s="51">
        <f>IF($F1272=0,0,SUMIFS('Time Off Log'!$H$5:$H$504,'Time Off Log'!$A$5:$A$504,$C1272,'Time Off Log'!$B$5:$B$504,"PTO",'Time Off Log'!$E$5:$E$504,"Approved",'Time Off Log'!$C$5:$C$504,"&gt;="&amp;INDEX(Periods!$E$5:$E$57,$B1272),'Time Off Log'!$C$5:$C$504,"&lt;="&amp;INDEX(Periods!$F$5:$F$57,$B1272)))</f>
        <v/>
      </c>
      <c r="M1272" s="51">
        <f>IF($B1272=1,N(INDEX(Employees!$N$5:$N$29,$A1272)),P1271)</f>
        <v/>
      </c>
      <c r="N1272" s="51">
        <f>IF(INDEX(Employees!$L$5:$L$29,$A1272)="",K1272,MAX(0,MIN(K1272,INDEX(Employees!$L$5:$L$29,$A1272)-(M1272-L1272))))</f>
        <v/>
      </c>
      <c r="O1272" s="51">
        <f>K1272-N1272</f>
        <v/>
      </c>
      <c r="P1272" s="51">
        <f>M1272-L1272+N1272</f>
        <v/>
      </c>
      <c r="Q1272" s="51">
        <f>IF($G1272=0,0,IF(INDEX(Employees!$P$5:$P$29,$A1272)="Per pay period",(N(INDEX(Employees!$Q$5:$Q$29,$A1272)))/Settings!$B$13,IF(INDEX(Employees!$P$5:$P$29,$A1272)="Per hour worked",N(INDEX(Employees!$R$5:$R$29,$A1272))*$I1272,IF(INDEX(Employees!$P$5:$P$29,$A1272)="Front-loaded",IF(OR($B1272=1,N($G1271)=0),N(INDEX(Employees!$Q$5:$Q$29,$A1272)),0),0))))</f>
        <v/>
      </c>
      <c r="R1272" s="51">
        <f>IF($F1272=0,0,SUMIFS('Time Off Log'!$H$5:$H$504,'Time Off Log'!$A$5:$A$504,$C1272,'Time Off Log'!$B$5:$B$504,"Sick",'Time Off Log'!$E$5:$E$504,"Approved",'Time Off Log'!$C$5:$C$504,"&gt;="&amp;INDEX(Periods!$E$5:$E$57,$B1272),'Time Off Log'!$C$5:$C$504,"&lt;="&amp;INDEX(Periods!$F$5:$F$57,$B1272)))</f>
        <v/>
      </c>
      <c r="S1272" s="51">
        <f>IF($B1272=1,N(INDEX(Employees!$T$5:$T$29,$A1272)),V1271)</f>
        <v/>
      </c>
      <c r="T1272" s="51">
        <f>IF(INDEX(Employees!$S$5:$S$29,$A1272)="",Q1272,MAX(0,MIN(Q1272,INDEX(Employees!$S$5:$S$29,$A1272)-(S1272-R1272))))</f>
        <v/>
      </c>
      <c r="U1272" s="51">
        <f>Q1272-T1272</f>
        <v/>
      </c>
      <c r="V1272" s="51">
        <f>S1272-R1272+T1272</f>
        <v/>
      </c>
    </row>
    <row r="1273">
      <c r="A1273" s="50" t="n">
        <v>24</v>
      </c>
      <c r="B1273" s="50" t="n">
        <v>50</v>
      </c>
      <c r="C1273" s="51">
        <f>INDEX(Employees!$B$5:$B$29,$A1273)&amp;""</f>
        <v/>
      </c>
      <c r="D1273" s="52">
        <f>INDEX(Periods!$B$5:$B$57,$B1273)</f>
        <v/>
      </c>
      <c r="E1273" s="52">
        <f>INDEX(Periods!$C$5:$C$57,$B1273)</f>
        <v/>
      </c>
      <c r="F1273" s="50">
        <f>IF(AND($C1273&lt;&gt;"",INDEX(Periods!$D$5:$D$57,$B1273)=1),1,0)</f>
        <v/>
      </c>
      <c r="G1273" s="50">
        <f>IF($F1273=0,0,IF(AND(OR(INDEX(Employees!$D$5:$D$29,$A1273)="",$E1273&gt;=INDEX(Employees!$D$5:$D$29,$A1273)+N(INDEX(Employees!$U$5:$U$29,$A1273))),OR(INDEX(Employees!$E$5:$E$29,$A1273)="",$D1273&lt;=INDEX(Employees!$E$5:$E$29,$A1273))),1,0))</f>
        <v/>
      </c>
      <c r="H1273" s="50">
        <f>IF($G1273=0,0,IF(INDEX(Employees!$D$5:$D$29,$A1273)="",0,DATEDIF(INDEX(Employees!$D$5:$D$29,$A1273),$E1273,"y")))</f>
        <v/>
      </c>
      <c r="I1273" s="51">
        <f>IF($G1273=0,0,IF(INDEX('Hours Worked'!$D$5:$BD$29,$A1273,$B1273)="",N(INDEX(Employees!$H$5:$H$29,$A1273)),INDEX('Hours Worked'!$D$5:$BD$29,$A1273,$B1273)))</f>
        <v/>
      </c>
      <c r="J1273" s="51">
        <f>IF(OR($G1273=0,INDEX(Employees!$O$5:$O$29,$A1273)&lt;&gt;"Yes"),0,IF(COUNTIF(Settings!$D$4:$D$9,"&lt;="&amp;$H1273)=0,0,INDEX(Settings!$E$4:$E$9,COUNTIF(Settings!$D$4:$D$9,"&lt;="&amp;$H1273))))</f>
        <v/>
      </c>
      <c r="K1273" s="51">
        <f>IF($G1273=0,0,IF(INDEX(Employees!$I$5:$I$29,$A1273)="Per pay period",(N(INDEX(Employees!$J$5:$J$29,$A1273))+$J1273)/Settings!$B$13,IF(INDEX(Employees!$I$5:$I$29,$A1273)="Per hour worked",N(INDEX(Employees!$K$5:$K$29,$A1273))*$I1273,IF(INDEX(Employees!$I$5:$I$29,$A1273)="Front-loaded",IF(OR($B1273=1,N($G1272)=0),N(INDEX(Employees!$J$5:$J$29,$A1273))+$J1273,0),0))))</f>
        <v/>
      </c>
      <c r="L1273" s="51">
        <f>IF($F1273=0,0,SUMIFS('Time Off Log'!$H$5:$H$504,'Time Off Log'!$A$5:$A$504,$C1273,'Time Off Log'!$B$5:$B$504,"PTO",'Time Off Log'!$E$5:$E$504,"Approved",'Time Off Log'!$C$5:$C$504,"&gt;="&amp;INDEX(Periods!$E$5:$E$57,$B1273),'Time Off Log'!$C$5:$C$504,"&lt;="&amp;INDEX(Periods!$F$5:$F$57,$B1273)))</f>
        <v/>
      </c>
      <c r="M1273" s="51">
        <f>IF($B1273=1,N(INDEX(Employees!$N$5:$N$29,$A1273)),P1272)</f>
        <v/>
      </c>
      <c r="N1273" s="51">
        <f>IF(INDEX(Employees!$L$5:$L$29,$A1273)="",K1273,MAX(0,MIN(K1273,INDEX(Employees!$L$5:$L$29,$A1273)-(M1273-L1273))))</f>
        <v/>
      </c>
      <c r="O1273" s="51">
        <f>K1273-N1273</f>
        <v/>
      </c>
      <c r="P1273" s="51">
        <f>M1273-L1273+N1273</f>
        <v/>
      </c>
      <c r="Q1273" s="51">
        <f>IF($G1273=0,0,IF(INDEX(Employees!$P$5:$P$29,$A1273)="Per pay period",(N(INDEX(Employees!$Q$5:$Q$29,$A1273)))/Settings!$B$13,IF(INDEX(Employees!$P$5:$P$29,$A1273)="Per hour worked",N(INDEX(Employees!$R$5:$R$29,$A1273))*$I1273,IF(INDEX(Employees!$P$5:$P$29,$A1273)="Front-loaded",IF(OR($B1273=1,N($G1272)=0),N(INDEX(Employees!$Q$5:$Q$29,$A1273)),0),0))))</f>
        <v/>
      </c>
      <c r="R1273" s="51">
        <f>IF($F1273=0,0,SUMIFS('Time Off Log'!$H$5:$H$504,'Time Off Log'!$A$5:$A$504,$C1273,'Time Off Log'!$B$5:$B$504,"Sick",'Time Off Log'!$E$5:$E$504,"Approved",'Time Off Log'!$C$5:$C$504,"&gt;="&amp;INDEX(Periods!$E$5:$E$57,$B1273),'Time Off Log'!$C$5:$C$504,"&lt;="&amp;INDEX(Periods!$F$5:$F$57,$B1273)))</f>
        <v/>
      </c>
      <c r="S1273" s="51">
        <f>IF($B1273=1,N(INDEX(Employees!$T$5:$T$29,$A1273)),V1272)</f>
        <v/>
      </c>
      <c r="T1273" s="51">
        <f>IF(INDEX(Employees!$S$5:$S$29,$A1273)="",Q1273,MAX(0,MIN(Q1273,INDEX(Employees!$S$5:$S$29,$A1273)-(S1273-R1273))))</f>
        <v/>
      </c>
      <c r="U1273" s="51">
        <f>Q1273-T1273</f>
        <v/>
      </c>
      <c r="V1273" s="51">
        <f>S1273-R1273+T1273</f>
        <v/>
      </c>
    </row>
    <row r="1274">
      <c r="A1274" s="50" t="n">
        <v>24</v>
      </c>
      <c r="B1274" s="50" t="n">
        <v>51</v>
      </c>
      <c r="C1274" s="51">
        <f>INDEX(Employees!$B$5:$B$29,$A1274)&amp;""</f>
        <v/>
      </c>
      <c r="D1274" s="52">
        <f>INDEX(Periods!$B$5:$B$57,$B1274)</f>
        <v/>
      </c>
      <c r="E1274" s="52">
        <f>INDEX(Periods!$C$5:$C$57,$B1274)</f>
        <v/>
      </c>
      <c r="F1274" s="50">
        <f>IF(AND($C1274&lt;&gt;"",INDEX(Periods!$D$5:$D$57,$B1274)=1),1,0)</f>
        <v/>
      </c>
      <c r="G1274" s="50">
        <f>IF($F1274=0,0,IF(AND(OR(INDEX(Employees!$D$5:$D$29,$A1274)="",$E1274&gt;=INDEX(Employees!$D$5:$D$29,$A1274)+N(INDEX(Employees!$U$5:$U$29,$A1274))),OR(INDEX(Employees!$E$5:$E$29,$A1274)="",$D1274&lt;=INDEX(Employees!$E$5:$E$29,$A1274))),1,0))</f>
        <v/>
      </c>
      <c r="H1274" s="50">
        <f>IF($G1274=0,0,IF(INDEX(Employees!$D$5:$D$29,$A1274)="",0,DATEDIF(INDEX(Employees!$D$5:$D$29,$A1274),$E1274,"y")))</f>
        <v/>
      </c>
      <c r="I1274" s="51">
        <f>IF($G1274=0,0,IF(INDEX('Hours Worked'!$D$5:$BD$29,$A1274,$B1274)="",N(INDEX(Employees!$H$5:$H$29,$A1274)),INDEX('Hours Worked'!$D$5:$BD$29,$A1274,$B1274)))</f>
        <v/>
      </c>
      <c r="J1274" s="51">
        <f>IF(OR($G1274=0,INDEX(Employees!$O$5:$O$29,$A1274)&lt;&gt;"Yes"),0,IF(COUNTIF(Settings!$D$4:$D$9,"&lt;="&amp;$H1274)=0,0,INDEX(Settings!$E$4:$E$9,COUNTIF(Settings!$D$4:$D$9,"&lt;="&amp;$H1274))))</f>
        <v/>
      </c>
      <c r="K1274" s="51">
        <f>IF($G1274=0,0,IF(INDEX(Employees!$I$5:$I$29,$A1274)="Per pay period",(N(INDEX(Employees!$J$5:$J$29,$A1274))+$J1274)/Settings!$B$13,IF(INDEX(Employees!$I$5:$I$29,$A1274)="Per hour worked",N(INDEX(Employees!$K$5:$K$29,$A1274))*$I1274,IF(INDEX(Employees!$I$5:$I$29,$A1274)="Front-loaded",IF(OR($B1274=1,N($G1273)=0),N(INDEX(Employees!$J$5:$J$29,$A1274))+$J1274,0),0))))</f>
        <v/>
      </c>
      <c r="L1274" s="51">
        <f>IF($F1274=0,0,SUMIFS('Time Off Log'!$H$5:$H$504,'Time Off Log'!$A$5:$A$504,$C1274,'Time Off Log'!$B$5:$B$504,"PTO",'Time Off Log'!$E$5:$E$504,"Approved",'Time Off Log'!$C$5:$C$504,"&gt;="&amp;INDEX(Periods!$E$5:$E$57,$B1274),'Time Off Log'!$C$5:$C$504,"&lt;="&amp;INDEX(Periods!$F$5:$F$57,$B1274)))</f>
        <v/>
      </c>
      <c r="M1274" s="51">
        <f>IF($B1274=1,N(INDEX(Employees!$N$5:$N$29,$A1274)),P1273)</f>
        <v/>
      </c>
      <c r="N1274" s="51">
        <f>IF(INDEX(Employees!$L$5:$L$29,$A1274)="",K1274,MAX(0,MIN(K1274,INDEX(Employees!$L$5:$L$29,$A1274)-(M1274-L1274))))</f>
        <v/>
      </c>
      <c r="O1274" s="51">
        <f>K1274-N1274</f>
        <v/>
      </c>
      <c r="P1274" s="51">
        <f>M1274-L1274+N1274</f>
        <v/>
      </c>
      <c r="Q1274" s="51">
        <f>IF($G1274=0,0,IF(INDEX(Employees!$P$5:$P$29,$A1274)="Per pay period",(N(INDEX(Employees!$Q$5:$Q$29,$A1274)))/Settings!$B$13,IF(INDEX(Employees!$P$5:$P$29,$A1274)="Per hour worked",N(INDEX(Employees!$R$5:$R$29,$A1274))*$I1274,IF(INDEX(Employees!$P$5:$P$29,$A1274)="Front-loaded",IF(OR($B1274=1,N($G1273)=0),N(INDEX(Employees!$Q$5:$Q$29,$A1274)),0),0))))</f>
        <v/>
      </c>
      <c r="R1274" s="51">
        <f>IF($F1274=0,0,SUMIFS('Time Off Log'!$H$5:$H$504,'Time Off Log'!$A$5:$A$504,$C1274,'Time Off Log'!$B$5:$B$504,"Sick",'Time Off Log'!$E$5:$E$504,"Approved",'Time Off Log'!$C$5:$C$504,"&gt;="&amp;INDEX(Periods!$E$5:$E$57,$B1274),'Time Off Log'!$C$5:$C$504,"&lt;="&amp;INDEX(Periods!$F$5:$F$57,$B1274)))</f>
        <v/>
      </c>
      <c r="S1274" s="51">
        <f>IF($B1274=1,N(INDEX(Employees!$T$5:$T$29,$A1274)),V1273)</f>
        <v/>
      </c>
      <c r="T1274" s="51">
        <f>IF(INDEX(Employees!$S$5:$S$29,$A1274)="",Q1274,MAX(0,MIN(Q1274,INDEX(Employees!$S$5:$S$29,$A1274)-(S1274-R1274))))</f>
        <v/>
      </c>
      <c r="U1274" s="51">
        <f>Q1274-T1274</f>
        <v/>
      </c>
      <c r="V1274" s="51">
        <f>S1274-R1274+T1274</f>
        <v/>
      </c>
    </row>
    <row r="1275">
      <c r="A1275" s="50" t="n">
        <v>24</v>
      </c>
      <c r="B1275" s="50" t="n">
        <v>52</v>
      </c>
      <c r="C1275" s="51">
        <f>INDEX(Employees!$B$5:$B$29,$A1275)&amp;""</f>
        <v/>
      </c>
      <c r="D1275" s="52">
        <f>INDEX(Periods!$B$5:$B$57,$B1275)</f>
        <v/>
      </c>
      <c r="E1275" s="52">
        <f>INDEX(Periods!$C$5:$C$57,$B1275)</f>
        <v/>
      </c>
      <c r="F1275" s="50">
        <f>IF(AND($C1275&lt;&gt;"",INDEX(Periods!$D$5:$D$57,$B1275)=1),1,0)</f>
        <v/>
      </c>
      <c r="G1275" s="50">
        <f>IF($F1275=0,0,IF(AND(OR(INDEX(Employees!$D$5:$D$29,$A1275)="",$E1275&gt;=INDEX(Employees!$D$5:$D$29,$A1275)+N(INDEX(Employees!$U$5:$U$29,$A1275))),OR(INDEX(Employees!$E$5:$E$29,$A1275)="",$D1275&lt;=INDEX(Employees!$E$5:$E$29,$A1275))),1,0))</f>
        <v/>
      </c>
      <c r="H1275" s="50">
        <f>IF($G1275=0,0,IF(INDEX(Employees!$D$5:$D$29,$A1275)="",0,DATEDIF(INDEX(Employees!$D$5:$D$29,$A1275),$E1275,"y")))</f>
        <v/>
      </c>
      <c r="I1275" s="51">
        <f>IF($G1275=0,0,IF(INDEX('Hours Worked'!$D$5:$BD$29,$A1275,$B1275)="",N(INDEX(Employees!$H$5:$H$29,$A1275)),INDEX('Hours Worked'!$D$5:$BD$29,$A1275,$B1275)))</f>
        <v/>
      </c>
      <c r="J1275" s="51">
        <f>IF(OR($G1275=0,INDEX(Employees!$O$5:$O$29,$A1275)&lt;&gt;"Yes"),0,IF(COUNTIF(Settings!$D$4:$D$9,"&lt;="&amp;$H1275)=0,0,INDEX(Settings!$E$4:$E$9,COUNTIF(Settings!$D$4:$D$9,"&lt;="&amp;$H1275))))</f>
        <v/>
      </c>
      <c r="K1275" s="51">
        <f>IF($G1275=0,0,IF(INDEX(Employees!$I$5:$I$29,$A1275)="Per pay period",(N(INDEX(Employees!$J$5:$J$29,$A1275))+$J1275)/Settings!$B$13,IF(INDEX(Employees!$I$5:$I$29,$A1275)="Per hour worked",N(INDEX(Employees!$K$5:$K$29,$A1275))*$I1275,IF(INDEX(Employees!$I$5:$I$29,$A1275)="Front-loaded",IF(OR($B1275=1,N($G1274)=0),N(INDEX(Employees!$J$5:$J$29,$A1275))+$J1275,0),0))))</f>
        <v/>
      </c>
      <c r="L1275" s="51">
        <f>IF($F1275=0,0,SUMIFS('Time Off Log'!$H$5:$H$504,'Time Off Log'!$A$5:$A$504,$C1275,'Time Off Log'!$B$5:$B$504,"PTO",'Time Off Log'!$E$5:$E$504,"Approved",'Time Off Log'!$C$5:$C$504,"&gt;="&amp;INDEX(Periods!$E$5:$E$57,$B1275),'Time Off Log'!$C$5:$C$504,"&lt;="&amp;INDEX(Periods!$F$5:$F$57,$B1275)))</f>
        <v/>
      </c>
      <c r="M1275" s="51">
        <f>IF($B1275=1,N(INDEX(Employees!$N$5:$N$29,$A1275)),P1274)</f>
        <v/>
      </c>
      <c r="N1275" s="51">
        <f>IF(INDEX(Employees!$L$5:$L$29,$A1275)="",K1275,MAX(0,MIN(K1275,INDEX(Employees!$L$5:$L$29,$A1275)-(M1275-L1275))))</f>
        <v/>
      </c>
      <c r="O1275" s="51">
        <f>K1275-N1275</f>
        <v/>
      </c>
      <c r="P1275" s="51">
        <f>M1275-L1275+N1275</f>
        <v/>
      </c>
      <c r="Q1275" s="51">
        <f>IF($G1275=0,0,IF(INDEX(Employees!$P$5:$P$29,$A1275)="Per pay period",(N(INDEX(Employees!$Q$5:$Q$29,$A1275)))/Settings!$B$13,IF(INDEX(Employees!$P$5:$P$29,$A1275)="Per hour worked",N(INDEX(Employees!$R$5:$R$29,$A1275))*$I1275,IF(INDEX(Employees!$P$5:$P$29,$A1275)="Front-loaded",IF(OR($B1275=1,N($G1274)=0),N(INDEX(Employees!$Q$5:$Q$29,$A1275)),0),0))))</f>
        <v/>
      </c>
      <c r="R1275" s="51">
        <f>IF($F1275=0,0,SUMIFS('Time Off Log'!$H$5:$H$504,'Time Off Log'!$A$5:$A$504,$C1275,'Time Off Log'!$B$5:$B$504,"Sick",'Time Off Log'!$E$5:$E$504,"Approved",'Time Off Log'!$C$5:$C$504,"&gt;="&amp;INDEX(Periods!$E$5:$E$57,$B1275),'Time Off Log'!$C$5:$C$504,"&lt;="&amp;INDEX(Periods!$F$5:$F$57,$B1275)))</f>
        <v/>
      </c>
      <c r="S1275" s="51">
        <f>IF($B1275=1,N(INDEX(Employees!$T$5:$T$29,$A1275)),V1274)</f>
        <v/>
      </c>
      <c r="T1275" s="51">
        <f>IF(INDEX(Employees!$S$5:$S$29,$A1275)="",Q1275,MAX(0,MIN(Q1275,INDEX(Employees!$S$5:$S$29,$A1275)-(S1275-R1275))))</f>
        <v/>
      </c>
      <c r="U1275" s="51">
        <f>Q1275-T1275</f>
        <v/>
      </c>
      <c r="V1275" s="51">
        <f>S1275-R1275+T1275</f>
        <v/>
      </c>
    </row>
    <row r="1276">
      <c r="A1276" s="50" t="n">
        <v>24</v>
      </c>
      <c r="B1276" s="50" t="n">
        <v>53</v>
      </c>
      <c r="C1276" s="51">
        <f>INDEX(Employees!$B$5:$B$29,$A1276)&amp;""</f>
        <v/>
      </c>
      <c r="D1276" s="52">
        <f>INDEX(Periods!$B$5:$B$57,$B1276)</f>
        <v/>
      </c>
      <c r="E1276" s="52">
        <f>INDEX(Periods!$C$5:$C$57,$B1276)</f>
        <v/>
      </c>
      <c r="F1276" s="50">
        <f>IF(AND($C1276&lt;&gt;"",INDEX(Periods!$D$5:$D$57,$B1276)=1),1,0)</f>
        <v/>
      </c>
      <c r="G1276" s="50">
        <f>IF($F1276=0,0,IF(AND(OR(INDEX(Employees!$D$5:$D$29,$A1276)="",$E1276&gt;=INDEX(Employees!$D$5:$D$29,$A1276)+N(INDEX(Employees!$U$5:$U$29,$A1276))),OR(INDEX(Employees!$E$5:$E$29,$A1276)="",$D1276&lt;=INDEX(Employees!$E$5:$E$29,$A1276))),1,0))</f>
        <v/>
      </c>
      <c r="H1276" s="50">
        <f>IF($G1276=0,0,IF(INDEX(Employees!$D$5:$D$29,$A1276)="",0,DATEDIF(INDEX(Employees!$D$5:$D$29,$A1276),$E1276,"y")))</f>
        <v/>
      </c>
      <c r="I1276" s="51">
        <f>IF($G1276=0,0,IF(INDEX('Hours Worked'!$D$5:$BD$29,$A1276,$B1276)="",N(INDEX(Employees!$H$5:$H$29,$A1276)),INDEX('Hours Worked'!$D$5:$BD$29,$A1276,$B1276)))</f>
        <v/>
      </c>
      <c r="J1276" s="51">
        <f>IF(OR($G1276=0,INDEX(Employees!$O$5:$O$29,$A1276)&lt;&gt;"Yes"),0,IF(COUNTIF(Settings!$D$4:$D$9,"&lt;="&amp;$H1276)=0,0,INDEX(Settings!$E$4:$E$9,COUNTIF(Settings!$D$4:$D$9,"&lt;="&amp;$H1276))))</f>
        <v/>
      </c>
      <c r="K1276" s="51">
        <f>IF($G1276=0,0,IF(INDEX(Employees!$I$5:$I$29,$A1276)="Per pay period",(N(INDEX(Employees!$J$5:$J$29,$A1276))+$J1276)/Settings!$B$13,IF(INDEX(Employees!$I$5:$I$29,$A1276)="Per hour worked",N(INDEX(Employees!$K$5:$K$29,$A1276))*$I1276,IF(INDEX(Employees!$I$5:$I$29,$A1276)="Front-loaded",IF(OR($B1276=1,N($G1275)=0),N(INDEX(Employees!$J$5:$J$29,$A1276))+$J1276,0),0))))</f>
        <v/>
      </c>
      <c r="L1276" s="51">
        <f>IF($F1276=0,0,SUMIFS('Time Off Log'!$H$5:$H$504,'Time Off Log'!$A$5:$A$504,$C1276,'Time Off Log'!$B$5:$B$504,"PTO",'Time Off Log'!$E$5:$E$504,"Approved",'Time Off Log'!$C$5:$C$504,"&gt;="&amp;INDEX(Periods!$E$5:$E$57,$B1276),'Time Off Log'!$C$5:$C$504,"&lt;="&amp;INDEX(Periods!$F$5:$F$57,$B1276)))</f>
        <v/>
      </c>
      <c r="M1276" s="51">
        <f>IF($B1276=1,N(INDEX(Employees!$N$5:$N$29,$A1276)),P1275)</f>
        <v/>
      </c>
      <c r="N1276" s="51">
        <f>IF(INDEX(Employees!$L$5:$L$29,$A1276)="",K1276,MAX(0,MIN(K1276,INDEX(Employees!$L$5:$L$29,$A1276)-(M1276-L1276))))</f>
        <v/>
      </c>
      <c r="O1276" s="51">
        <f>K1276-N1276</f>
        <v/>
      </c>
      <c r="P1276" s="51">
        <f>M1276-L1276+N1276</f>
        <v/>
      </c>
      <c r="Q1276" s="51">
        <f>IF($G1276=0,0,IF(INDEX(Employees!$P$5:$P$29,$A1276)="Per pay period",(N(INDEX(Employees!$Q$5:$Q$29,$A1276)))/Settings!$B$13,IF(INDEX(Employees!$P$5:$P$29,$A1276)="Per hour worked",N(INDEX(Employees!$R$5:$R$29,$A1276))*$I1276,IF(INDEX(Employees!$P$5:$P$29,$A1276)="Front-loaded",IF(OR($B1276=1,N($G1275)=0),N(INDEX(Employees!$Q$5:$Q$29,$A1276)),0),0))))</f>
        <v/>
      </c>
      <c r="R1276" s="51">
        <f>IF($F1276=0,0,SUMIFS('Time Off Log'!$H$5:$H$504,'Time Off Log'!$A$5:$A$504,$C1276,'Time Off Log'!$B$5:$B$504,"Sick",'Time Off Log'!$E$5:$E$504,"Approved",'Time Off Log'!$C$5:$C$504,"&gt;="&amp;INDEX(Periods!$E$5:$E$57,$B1276),'Time Off Log'!$C$5:$C$504,"&lt;="&amp;INDEX(Periods!$F$5:$F$57,$B1276)))</f>
        <v/>
      </c>
      <c r="S1276" s="51">
        <f>IF($B1276=1,N(INDEX(Employees!$T$5:$T$29,$A1276)),V1275)</f>
        <v/>
      </c>
      <c r="T1276" s="51">
        <f>IF(INDEX(Employees!$S$5:$S$29,$A1276)="",Q1276,MAX(0,MIN(Q1276,INDEX(Employees!$S$5:$S$29,$A1276)-(S1276-R1276))))</f>
        <v/>
      </c>
      <c r="U1276" s="51">
        <f>Q1276-T1276</f>
        <v/>
      </c>
      <c r="V1276" s="51">
        <f>S1276-R1276+T1276</f>
        <v/>
      </c>
    </row>
    <row r="1277">
      <c r="A1277" s="47" t="n">
        <v>25</v>
      </c>
      <c r="B1277" s="47" t="n">
        <v>1</v>
      </c>
      <c r="C1277" s="48">
        <f>INDEX(Employees!$B$5:$B$29,$A1277)&amp;""</f>
        <v/>
      </c>
      <c r="D1277" s="49">
        <f>INDEX(Periods!$B$5:$B$57,$B1277)</f>
        <v/>
      </c>
      <c r="E1277" s="49">
        <f>INDEX(Periods!$C$5:$C$57,$B1277)</f>
        <v/>
      </c>
      <c r="F1277" s="47">
        <f>IF(AND($C1277&lt;&gt;"",INDEX(Periods!$D$5:$D$57,$B1277)=1),1,0)</f>
        <v/>
      </c>
      <c r="G1277" s="47">
        <f>IF($F1277=0,0,IF(AND(OR(INDEX(Employees!$D$5:$D$29,$A1277)="",$E1277&gt;=INDEX(Employees!$D$5:$D$29,$A1277)+N(INDEX(Employees!$U$5:$U$29,$A1277))),OR(INDEX(Employees!$E$5:$E$29,$A1277)="",$D1277&lt;=INDEX(Employees!$E$5:$E$29,$A1277))),1,0))</f>
        <v/>
      </c>
      <c r="H1277" s="47">
        <f>IF($G1277=0,0,IF(INDEX(Employees!$D$5:$D$29,$A1277)="",0,DATEDIF(INDEX(Employees!$D$5:$D$29,$A1277),$E1277,"y")))</f>
        <v/>
      </c>
      <c r="I1277" s="48">
        <f>IF($G1277=0,0,IF(INDEX('Hours Worked'!$D$5:$BD$29,$A1277,$B1277)="",N(INDEX(Employees!$H$5:$H$29,$A1277)),INDEX('Hours Worked'!$D$5:$BD$29,$A1277,$B1277)))</f>
        <v/>
      </c>
      <c r="J1277" s="48">
        <f>IF(OR($G1277=0,INDEX(Employees!$O$5:$O$29,$A1277)&lt;&gt;"Yes"),0,IF(COUNTIF(Settings!$D$4:$D$9,"&lt;="&amp;$H1277)=0,0,INDEX(Settings!$E$4:$E$9,COUNTIF(Settings!$D$4:$D$9,"&lt;="&amp;$H1277))))</f>
        <v/>
      </c>
      <c r="K1277" s="48">
        <f>IF($G1277=0,0,IF(INDEX(Employees!$I$5:$I$29,$A1277)="Per pay period",(N(INDEX(Employees!$J$5:$J$29,$A1277))+$J1277)/Settings!$B$13,IF(INDEX(Employees!$I$5:$I$29,$A1277)="Per hour worked",N(INDEX(Employees!$K$5:$K$29,$A1277))*$I1277,IF(INDEX(Employees!$I$5:$I$29,$A1277)="Front-loaded",IF(OR($B1277=1,N($G1276)=0),N(INDEX(Employees!$J$5:$J$29,$A1277))+$J1277,0),0))))</f>
        <v/>
      </c>
      <c r="L1277" s="48">
        <f>IF($F1277=0,0,SUMIFS('Time Off Log'!$H$5:$H$504,'Time Off Log'!$A$5:$A$504,$C1277,'Time Off Log'!$B$5:$B$504,"PTO",'Time Off Log'!$E$5:$E$504,"Approved",'Time Off Log'!$C$5:$C$504,"&gt;="&amp;INDEX(Periods!$E$5:$E$57,$B1277),'Time Off Log'!$C$5:$C$504,"&lt;="&amp;INDEX(Periods!$F$5:$F$57,$B1277)))</f>
        <v/>
      </c>
      <c r="M1277" s="48">
        <f>N(INDEX(Employees!$N$5:$N$29,$A1277))</f>
        <v/>
      </c>
      <c r="N1277" s="48">
        <f>IF(INDEX(Employees!$L$5:$L$29,$A1277)="",K1277,MAX(0,MIN(K1277,INDEX(Employees!$L$5:$L$29,$A1277)-(M1277-L1277))))</f>
        <v/>
      </c>
      <c r="O1277" s="48">
        <f>K1277-N1277</f>
        <v/>
      </c>
      <c r="P1277" s="48">
        <f>M1277-L1277+N1277</f>
        <v/>
      </c>
      <c r="Q1277" s="48">
        <f>IF($G1277=0,0,IF(INDEX(Employees!$P$5:$P$29,$A1277)="Per pay period",(N(INDEX(Employees!$Q$5:$Q$29,$A1277)))/Settings!$B$13,IF(INDEX(Employees!$P$5:$P$29,$A1277)="Per hour worked",N(INDEX(Employees!$R$5:$R$29,$A1277))*$I1277,IF(INDEX(Employees!$P$5:$P$29,$A1277)="Front-loaded",IF(OR($B1277=1,N($G1276)=0),N(INDEX(Employees!$Q$5:$Q$29,$A1277)),0),0))))</f>
        <v/>
      </c>
      <c r="R1277" s="48">
        <f>IF($F1277=0,0,SUMIFS('Time Off Log'!$H$5:$H$504,'Time Off Log'!$A$5:$A$504,$C1277,'Time Off Log'!$B$5:$B$504,"Sick",'Time Off Log'!$E$5:$E$504,"Approved",'Time Off Log'!$C$5:$C$504,"&gt;="&amp;INDEX(Periods!$E$5:$E$57,$B1277),'Time Off Log'!$C$5:$C$504,"&lt;="&amp;INDEX(Periods!$F$5:$F$57,$B1277)))</f>
        <v/>
      </c>
      <c r="S1277" s="48">
        <f>N(INDEX(Employees!$T$5:$T$29,$A1277))</f>
        <v/>
      </c>
      <c r="T1277" s="48">
        <f>IF(INDEX(Employees!$S$5:$S$29,$A1277)="",Q1277,MAX(0,MIN(Q1277,INDEX(Employees!$S$5:$S$29,$A1277)-(S1277-R1277))))</f>
        <v/>
      </c>
      <c r="U1277" s="48">
        <f>Q1277-T1277</f>
        <v/>
      </c>
      <c r="V1277" s="48">
        <f>S1277-R1277+T1277</f>
        <v/>
      </c>
    </row>
    <row r="1278">
      <c r="A1278" s="47" t="n">
        <v>25</v>
      </c>
      <c r="B1278" s="47" t="n">
        <v>2</v>
      </c>
      <c r="C1278" s="48">
        <f>INDEX(Employees!$B$5:$B$29,$A1278)&amp;""</f>
        <v/>
      </c>
      <c r="D1278" s="49">
        <f>INDEX(Periods!$B$5:$B$57,$B1278)</f>
        <v/>
      </c>
      <c r="E1278" s="49">
        <f>INDEX(Periods!$C$5:$C$57,$B1278)</f>
        <v/>
      </c>
      <c r="F1278" s="47">
        <f>IF(AND($C1278&lt;&gt;"",INDEX(Periods!$D$5:$D$57,$B1278)=1),1,0)</f>
        <v/>
      </c>
      <c r="G1278" s="47">
        <f>IF($F1278=0,0,IF(AND(OR(INDEX(Employees!$D$5:$D$29,$A1278)="",$E1278&gt;=INDEX(Employees!$D$5:$D$29,$A1278)+N(INDEX(Employees!$U$5:$U$29,$A1278))),OR(INDEX(Employees!$E$5:$E$29,$A1278)="",$D1278&lt;=INDEX(Employees!$E$5:$E$29,$A1278))),1,0))</f>
        <v/>
      </c>
      <c r="H1278" s="47">
        <f>IF($G1278=0,0,IF(INDEX(Employees!$D$5:$D$29,$A1278)="",0,DATEDIF(INDEX(Employees!$D$5:$D$29,$A1278),$E1278,"y")))</f>
        <v/>
      </c>
      <c r="I1278" s="48">
        <f>IF($G1278=0,0,IF(INDEX('Hours Worked'!$D$5:$BD$29,$A1278,$B1278)="",N(INDEX(Employees!$H$5:$H$29,$A1278)),INDEX('Hours Worked'!$D$5:$BD$29,$A1278,$B1278)))</f>
        <v/>
      </c>
      <c r="J1278" s="48">
        <f>IF(OR($G1278=0,INDEX(Employees!$O$5:$O$29,$A1278)&lt;&gt;"Yes"),0,IF(COUNTIF(Settings!$D$4:$D$9,"&lt;="&amp;$H1278)=0,0,INDEX(Settings!$E$4:$E$9,COUNTIF(Settings!$D$4:$D$9,"&lt;="&amp;$H1278))))</f>
        <v/>
      </c>
      <c r="K1278" s="48">
        <f>IF($G1278=0,0,IF(INDEX(Employees!$I$5:$I$29,$A1278)="Per pay period",(N(INDEX(Employees!$J$5:$J$29,$A1278))+$J1278)/Settings!$B$13,IF(INDEX(Employees!$I$5:$I$29,$A1278)="Per hour worked",N(INDEX(Employees!$K$5:$K$29,$A1278))*$I1278,IF(INDEX(Employees!$I$5:$I$29,$A1278)="Front-loaded",IF(OR($B1278=1,N($G1277)=0),N(INDEX(Employees!$J$5:$J$29,$A1278))+$J1278,0),0))))</f>
        <v/>
      </c>
      <c r="L1278" s="48">
        <f>IF($F1278=0,0,SUMIFS('Time Off Log'!$H$5:$H$504,'Time Off Log'!$A$5:$A$504,$C1278,'Time Off Log'!$B$5:$B$504,"PTO",'Time Off Log'!$E$5:$E$504,"Approved",'Time Off Log'!$C$5:$C$504,"&gt;="&amp;INDEX(Periods!$E$5:$E$57,$B1278),'Time Off Log'!$C$5:$C$504,"&lt;="&amp;INDEX(Periods!$F$5:$F$57,$B1278)))</f>
        <v/>
      </c>
      <c r="M1278" s="48">
        <f>IF($B1278=1,N(INDEX(Employees!$N$5:$N$29,$A1278)),P1277)</f>
        <v/>
      </c>
      <c r="N1278" s="48">
        <f>IF(INDEX(Employees!$L$5:$L$29,$A1278)="",K1278,MAX(0,MIN(K1278,INDEX(Employees!$L$5:$L$29,$A1278)-(M1278-L1278))))</f>
        <v/>
      </c>
      <c r="O1278" s="48">
        <f>K1278-N1278</f>
        <v/>
      </c>
      <c r="P1278" s="48">
        <f>M1278-L1278+N1278</f>
        <v/>
      </c>
      <c r="Q1278" s="48">
        <f>IF($G1278=0,0,IF(INDEX(Employees!$P$5:$P$29,$A1278)="Per pay period",(N(INDEX(Employees!$Q$5:$Q$29,$A1278)))/Settings!$B$13,IF(INDEX(Employees!$P$5:$P$29,$A1278)="Per hour worked",N(INDEX(Employees!$R$5:$R$29,$A1278))*$I1278,IF(INDEX(Employees!$P$5:$P$29,$A1278)="Front-loaded",IF(OR($B1278=1,N($G1277)=0),N(INDEX(Employees!$Q$5:$Q$29,$A1278)),0),0))))</f>
        <v/>
      </c>
      <c r="R1278" s="48">
        <f>IF($F1278=0,0,SUMIFS('Time Off Log'!$H$5:$H$504,'Time Off Log'!$A$5:$A$504,$C1278,'Time Off Log'!$B$5:$B$504,"Sick",'Time Off Log'!$E$5:$E$504,"Approved",'Time Off Log'!$C$5:$C$504,"&gt;="&amp;INDEX(Periods!$E$5:$E$57,$B1278),'Time Off Log'!$C$5:$C$504,"&lt;="&amp;INDEX(Periods!$F$5:$F$57,$B1278)))</f>
        <v/>
      </c>
      <c r="S1278" s="48">
        <f>IF($B1278=1,N(INDEX(Employees!$T$5:$T$29,$A1278)),V1277)</f>
        <v/>
      </c>
      <c r="T1278" s="48">
        <f>IF(INDEX(Employees!$S$5:$S$29,$A1278)="",Q1278,MAX(0,MIN(Q1278,INDEX(Employees!$S$5:$S$29,$A1278)-(S1278-R1278))))</f>
        <v/>
      </c>
      <c r="U1278" s="48">
        <f>Q1278-T1278</f>
        <v/>
      </c>
      <c r="V1278" s="48">
        <f>S1278-R1278+T1278</f>
        <v/>
      </c>
    </row>
    <row r="1279">
      <c r="A1279" s="47" t="n">
        <v>25</v>
      </c>
      <c r="B1279" s="47" t="n">
        <v>3</v>
      </c>
      <c r="C1279" s="48">
        <f>INDEX(Employees!$B$5:$B$29,$A1279)&amp;""</f>
        <v/>
      </c>
      <c r="D1279" s="49">
        <f>INDEX(Periods!$B$5:$B$57,$B1279)</f>
        <v/>
      </c>
      <c r="E1279" s="49">
        <f>INDEX(Periods!$C$5:$C$57,$B1279)</f>
        <v/>
      </c>
      <c r="F1279" s="47">
        <f>IF(AND($C1279&lt;&gt;"",INDEX(Periods!$D$5:$D$57,$B1279)=1),1,0)</f>
        <v/>
      </c>
      <c r="G1279" s="47">
        <f>IF($F1279=0,0,IF(AND(OR(INDEX(Employees!$D$5:$D$29,$A1279)="",$E1279&gt;=INDEX(Employees!$D$5:$D$29,$A1279)+N(INDEX(Employees!$U$5:$U$29,$A1279))),OR(INDEX(Employees!$E$5:$E$29,$A1279)="",$D1279&lt;=INDEX(Employees!$E$5:$E$29,$A1279))),1,0))</f>
        <v/>
      </c>
      <c r="H1279" s="47">
        <f>IF($G1279=0,0,IF(INDEX(Employees!$D$5:$D$29,$A1279)="",0,DATEDIF(INDEX(Employees!$D$5:$D$29,$A1279),$E1279,"y")))</f>
        <v/>
      </c>
      <c r="I1279" s="48">
        <f>IF($G1279=0,0,IF(INDEX('Hours Worked'!$D$5:$BD$29,$A1279,$B1279)="",N(INDEX(Employees!$H$5:$H$29,$A1279)),INDEX('Hours Worked'!$D$5:$BD$29,$A1279,$B1279)))</f>
        <v/>
      </c>
      <c r="J1279" s="48">
        <f>IF(OR($G1279=0,INDEX(Employees!$O$5:$O$29,$A1279)&lt;&gt;"Yes"),0,IF(COUNTIF(Settings!$D$4:$D$9,"&lt;="&amp;$H1279)=0,0,INDEX(Settings!$E$4:$E$9,COUNTIF(Settings!$D$4:$D$9,"&lt;="&amp;$H1279))))</f>
        <v/>
      </c>
      <c r="K1279" s="48">
        <f>IF($G1279=0,0,IF(INDEX(Employees!$I$5:$I$29,$A1279)="Per pay period",(N(INDEX(Employees!$J$5:$J$29,$A1279))+$J1279)/Settings!$B$13,IF(INDEX(Employees!$I$5:$I$29,$A1279)="Per hour worked",N(INDEX(Employees!$K$5:$K$29,$A1279))*$I1279,IF(INDEX(Employees!$I$5:$I$29,$A1279)="Front-loaded",IF(OR($B1279=1,N($G1278)=0),N(INDEX(Employees!$J$5:$J$29,$A1279))+$J1279,0),0))))</f>
        <v/>
      </c>
      <c r="L1279" s="48">
        <f>IF($F1279=0,0,SUMIFS('Time Off Log'!$H$5:$H$504,'Time Off Log'!$A$5:$A$504,$C1279,'Time Off Log'!$B$5:$B$504,"PTO",'Time Off Log'!$E$5:$E$504,"Approved",'Time Off Log'!$C$5:$C$504,"&gt;="&amp;INDEX(Periods!$E$5:$E$57,$B1279),'Time Off Log'!$C$5:$C$504,"&lt;="&amp;INDEX(Periods!$F$5:$F$57,$B1279)))</f>
        <v/>
      </c>
      <c r="M1279" s="48">
        <f>IF($B1279=1,N(INDEX(Employees!$N$5:$N$29,$A1279)),P1278)</f>
        <v/>
      </c>
      <c r="N1279" s="48">
        <f>IF(INDEX(Employees!$L$5:$L$29,$A1279)="",K1279,MAX(0,MIN(K1279,INDEX(Employees!$L$5:$L$29,$A1279)-(M1279-L1279))))</f>
        <v/>
      </c>
      <c r="O1279" s="48">
        <f>K1279-N1279</f>
        <v/>
      </c>
      <c r="P1279" s="48">
        <f>M1279-L1279+N1279</f>
        <v/>
      </c>
      <c r="Q1279" s="48">
        <f>IF($G1279=0,0,IF(INDEX(Employees!$P$5:$P$29,$A1279)="Per pay period",(N(INDEX(Employees!$Q$5:$Q$29,$A1279)))/Settings!$B$13,IF(INDEX(Employees!$P$5:$P$29,$A1279)="Per hour worked",N(INDEX(Employees!$R$5:$R$29,$A1279))*$I1279,IF(INDEX(Employees!$P$5:$P$29,$A1279)="Front-loaded",IF(OR($B1279=1,N($G1278)=0),N(INDEX(Employees!$Q$5:$Q$29,$A1279)),0),0))))</f>
        <v/>
      </c>
      <c r="R1279" s="48">
        <f>IF($F1279=0,0,SUMIFS('Time Off Log'!$H$5:$H$504,'Time Off Log'!$A$5:$A$504,$C1279,'Time Off Log'!$B$5:$B$504,"Sick",'Time Off Log'!$E$5:$E$504,"Approved",'Time Off Log'!$C$5:$C$504,"&gt;="&amp;INDEX(Periods!$E$5:$E$57,$B1279),'Time Off Log'!$C$5:$C$504,"&lt;="&amp;INDEX(Periods!$F$5:$F$57,$B1279)))</f>
        <v/>
      </c>
      <c r="S1279" s="48">
        <f>IF($B1279=1,N(INDEX(Employees!$T$5:$T$29,$A1279)),V1278)</f>
        <v/>
      </c>
      <c r="T1279" s="48">
        <f>IF(INDEX(Employees!$S$5:$S$29,$A1279)="",Q1279,MAX(0,MIN(Q1279,INDEX(Employees!$S$5:$S$29,$A1279)-(S1279-R1279))))</f>
        <v/>
      </c>
      <c r="U1279" s="48">
        <f>Q1279-T1279</f>
        <v/>
      </c>
      <c r="V1279" s="48">
        <f>S1279-R1279+T1279</f>
        <v/>
      </c>
    </row>
    <row r="1280">
      <c r="A1280" s="47" t="n">
        <v>25</v>
      </c>
      <c r="B1280" s="47" t="n">
        <v>4</v>
      </c>
      <c r="C1280" s="48">
        <f>INDEX(Employees!$B$5:$B$29,$A1280)&amp;""</f>
        <v/>
      </c>
      <c r="D1280" s="49">
        <f>INDEX(Periods!$B$5:$B$57,$B1280)</f>
        <v/>
      </c>
      <c r="E1280" s="49">
        <f>INDEX(Periods!$C$5:$C$57,$B1280)</f>
        <v/>
      </c>
      <c r="F1280" s="47">
        <f>IF(AND($C1280&lt;&gt;"",INDEX(Periods!$D$5:$D$57,$B1280)=1),1,0)</f>
        <v/>
      </c>
      <c r="G1280" s="47">
        <f>IF($F1280=0,0,IF(AND(OR(INDEX(Employees!$D$5:$D$29,$A1280)="",$E1280&gt;=INDEX(Employees!$D$5:$D$29,$A1280)+N(INDEX(Employees!$U$5:$U$29,$A1280))),OR(INDEX(Employees!$E$5:$E$29,$A1280)="",$D1280&lt;=INDEX(Employees!$E$5:$E$29,$A1280))),1,0))</f>
        <v/>
      </c>
      <c r="H1280" s="47">
        <f>IF($G1280=0,0,IF(INDEX(Employees!$D$5:$D$29,$A1280)="",0,DATEDIF(INDEX(Employees!$D$5:$D$29,$A1280),$E1280,"y")))</f>
        <v/>
      </c>
      <c r="I1280" s="48">
        <f>IF($G1280=0,0,IF(INDEX('Hours Worked'!$D$5:$BD$29,$A1280,$B1280)="",N(INDEX(Employees!$H$5:$H$29,$A1280)),INDEX('Hours Worked'!$D$5:$BD$29,$A1280,$B1280)))</f>
        <v/>
      </c>
      <c r="J1280" s="48">
        <f>IF(OR($G1280=0,INDEX(Employees!$O$5:$O$29,$A1280)&lt;&gt;"Yes"),0,IF(COUNTIF(Settings!$D$4:$D$9,"&lt;="&amp;$H1280)=0,0,INDEX(Settings!$E$4:$E$9,COUNTIF(Settings!$D$4:$D$9,"&lt;="&amp;$H1280))))</f>
        <v/>
      </c>
      <c r="K1280" s="48">
        <f>IF($G1280=0,0,IF(INDEX(Employees!$I$5:$I$29,$A1280)="Per pay period",(N(INDEX(Employees!$J$5:$J$29,$A1280))+$J1280)/Settings!$B$13,IF(INDEX(Employees!$I$5:$I$29,$A1280)="Per hour worked",N(INDEX(Employees!$K$5:$K$29,$A1280))*$I1280,IF(INDEX(Employees!$I$5:$I$29,$A1280)="Front-loaded",IF(OR($B1280=1,N($G1279)=0),N(INDEX(Employees!$J$5:$J$29,$A1280))+$J1280,0),0))))</f>
        <v/>
      </c>
      <c r="L1280" s="48">
        <f>IF($F1280=0,0,SUMIFS('Time Off Log'!$H$5:$H$504,'Time Off Log'!$A$5:$A$504,$C1280,'Time Off Log'!$B$5:$B$504,"PTO",'Time Off Log'!$E$5:$E$504,"Approved",'Time Off Log'!$C$5:$C$504,"&gt;="&amp;INDEX(Periods!$E$5:$E$57,$B1280),'Time Off Log'!$C$5:$C$504,"&lt;="&amp;INDEX(Periods!$F$5:$F$57,$B1280)))</f>
        <v/>
      </c>
      <c r="M1280" s="48">
        <f>IF($B1280=1,N(INDEX(Employees!$N$5:$N$29,$A1280)),P1279)</f>
        <v/>
      </c>
      <c r="N1280" s="48">
        <f>IF(INDEX(Employees!$L$5:$L$29,$A1280)="",K1280,MAX(0,MIN(K1280,INDEX(Employees!$L$5:$L$29,$A1280)-(M1280-L1280))))</f>
        <v/>
      </c>
      <c r="O1280" s="48">
        <f>K1280-N1280</f>
        <v/>
      </c>
      <c r="P1280" s="48">
        <f>M1280-L1280+N1280</f>
        <v/>
      </c>
      <c r="Q1280" s="48">
        <f>IF($G1280=0,0,IF(INDEX(Employees!$P$5:$P$29,$A1280)="Per pay period",(N(INDEX(Employees!$Q$5:$Q$29,$A1280)))/Settings!$B$13,IF(INDEX(Employees!$P$5:$P$29,$A1280)="Per hour worked",N(INDEX(Employees!$R$5:$R$29,$A1280))*$I1280,IF(INDEX(Employees!$P$5:$P$29,$A1280)="Front-loaded",IF(OR($B1280=1,N($G1279)=0),N(INDEX(Employees!$Q$5:$Q$29,$A1280)),0),0))))</f>
        <v/>
      </c>
      <c r="R1280" s="48">
        <f>IF($F1280=0,0,SUMIFS('Time Off Log'!$H$5:$H$504,'Time Off Log'!$A$5:$A$504,$C1280,'Time Off Log'!$B$5:$B$504,"Sick",'Time Off Log'!$E$5:$E$504,"Approved",'Time Off Log'!$C$5:$C$504,"&gt;="&amp;INDEX(Periods!$E$5:$E$57,$B1280),'Time Off Log'!$C$5:$C$504,"&lt;="&amp;INDEX(Periods!$F$5:$F$57,$B1280)))</f>
        <v/>
      </c>
      <c r="S1280" s="48">
        <f>IF($B1280=1,N(INDEX(Employees!$T$5:$T$29,$A1280)),V1279)</f>
        <v/>
      </c>
      <c r="T1280" s="48">
        <f>IF(INDEX(Employees!$S$5:$S$29,$A1280)="",Q1280,MAX(0,MIN(Q1280,INDEX(Employees!$S$5:$S$29,$A1280)-(S1280-R1280))))</f>
        <v/>
      </c>
      <c r="U1280" s="48">
        <f>Q1280-T1280</f>
        <v/>
      </c>
      <c r="V1280" s="48">
        <f>S1280-R1280+T1280</f>
        <v/>
      </c>
    </row>
    <row r="1281">
      <c r="A1281" s="47" t="n">
        <v>25</v>
      </c>
      <c r="B1281" s="47" t="n">
        <v>5</v>
      </c>
      <c r="C1281" s="48">
        <f>INDEX(Employees!$B$5:$B$29,$A1281)&amp;""</f>
        <v/>
      </c>
      <c r="D1281" s="49">
        <f>INDEX(Periods!$B$5:$B$57,$B1281)</f>
        <v/>
      </c>
      <c r="E1281" s="49">
        <f>INDEX(Periods!$C$5:$C$57,$B1281)</f>
        <v/>
      </c>
      <c r="F1281" s="47">
        <f>IF(AND($C1281&lt;&gt;"",INDEX(Periods!$D$5:$D$57,$B1281)=1),1,0)</f>
        <v/>
      </c>
      <c r="G1281" s="47">
        <f>IF($F1281=0,0,IF(AND(OR(INDEX(Employees!$D$5:$D$29,$A1281)="",$E1281&gt;=INDEX(Employees!$D$5:$D$29,$A1281)+N(INDEX(Employees!$U$5:$U$29,$A1281))),OR(INDEX(Employees!$E$5:$E$29,$A1281)="",$D1281&lt;=INDEX(Employees!$E$5:$E$29,$A1281))),1,0))</f>
        <v/>
      </c>
      <c r="H1281" s="47">
        <f>IF($G1281=0,0,IF(INDEX(Employees!$D$5:$D$29,$A1281)="",0,DATEDIF(INDEX(Employees!$D$5:$D$29,$A1281),$E1281,"y")))</f>
        <v/>
      </c>
      <c r="I1281" s="48">
        <f>IF($G1281=0,0,IF(INDEX('Hours Worked'!$D$5:$BD$29,$A1281,$B1281)="",N(INDEX(Employees!$H$5:$H$29,$A1281)),INDEX('Hours Worked'!$D$5:$BD$29,$A1281,$B1281)))</f>
        <v/>
      </c>
      <c r="J1281" s="48">
        <f>IF(OR($G1281=0,INDEX(Employees!$O$5:$O$29,$A1281)&lt;&gt;"Yes"),0,IF(COUNTIF(Settings!$D$4:$D$9,"&lt;="&amp;$H1281)=0,0,INDEX(Settings!$E$4:$E$9,COUNTIF(Settings!$D$4:$D$9,"&lt;="&amp;$H1281))))</f>
        <v/>
      </c>
      <c r="K1281" s="48">
        <f>IF($G1281=0,0,IF(INDEX(Employees!$I$5:$I$29,$A1281)="Per pay period",(N(INDEX(Employees!$J$5:$J$29,$A1281))+$J1281)/Settings!$B$13,IF(INDEX(Employees!$I$5:$I$29,$A1281)="Per hour worked",N(INDEX(Employees!$K$5:$K$29,$A1281))*$I1281,IF(INDEX(Employees!$I$5:$I$29,$A1281)="Front-loaded",IF(OR($B1281=1,N($G1280)=0),N(INDEX(Employees!$J$5:$J$29,$A1281))+$J1281,0),0))))</f>
        <v/>
      </c>
      <c r="L1281" s="48">
        <f>IF($F1281=0,0,SUMIFS('Time Off Log'!$H$5:$H$504,'Time Off Log'!$A$5:$A$504,$C1281,'Time Off Log'!$B$5:$B$504,"PTO",'Time Off Log'!$E$5:$E$504,"Approved",'Time Off Log'!$C$5:$C$504,"&gt;="&amp;INDEX(Periods!$E$5:$E$57,$B1281),'Time Off Log'!$C$5:$C$504,"&lt;="&amp;INDEX(Periods!$F$5:$F$57,$B1281)))</f>
        <v/>
      </c>
      <c r="M1281" s="48">
        <f>IF($B1281=1,N(INDEX(Employees!$N$5:$N$29,$A1281)),P1280)</f>
        <v/>
      </c>
      <c r="N1281" s="48">
        <f>IF(INDEX(Employees!$L$5:$L$29,$A1281)="",K1281,MAX(0,MIN(K1281,INDEX(Employees!$L$5:$L$29,$A1281)-(M1281-L1281))))</f>
        <v/>
      </c>
      <c r="O1281" s="48">
        <f>K1281-N1281</f>
        <v/>
      </c>
      <c r="P1281" s="48">
        <f>M1281-L1281+N1281</f>
        <v/>
      </c>
      <c r="Q1281" s="48">
        <f>IF($G1281=0,0,IF(INDEX(Employees!$P$5:$P$29,$A1281)="Per pay period",(N(INDEX(Employees!$Q$5:$Q$29,$A1281)))/Settings!$B$13,IF(INDEX(Employees!$P$5:$P$29,$A1281)="Per hour worked",N(INDEX(Employees!$R$5:$R$29,$A1281))*$I1281,IF(INDEX(Employees!$P$5:$P$29,$A1281)="Front-loaded",IF(OR($B1281=1,N($G1280)=0),N(INDEX(Employees!$Q$5:$Q$29,$A1281)),0),0))))</f>
        <v/>
      </c>
      <c r="R1281" s="48">
        <f>IF($F1281=0,0,SUMIFS('Time Off Log'!$H$5:$H$504,'Time Off Log'!$A$5:$A$504,$C1281,'Time Off Log'!$B$5:$B$504,"Sick",'Time Off Log'!$E$5:$E$504,"Approved",'Time Off Log'!$C$5:$C$504,"&gt;="&amp;INDEX(Periods!$E$5:$E$57,$B1281),'Time Off Log'!$C$5:$C$504,"&lt;="&amp;INDEX(Periods!$F$5:$F$57,$B1281)))</f>
        <v/>
      </c>
      <c r="S1281" s="48">
        <f>IF($B1281=1,N(INDEX(Employees!$T$5:$T$29,$A1281)),V1280)</f>
        <v/>
      </c>
      <c r="T1281" s="48">
        <f>IF(INDEX(Employees!$S$5:$S$29,$A1281)="",Q1281,MAX(0,MIN(Q1281,INDEX(Employees!$S$5:$S$29,$A1281)-(S1281-R1281))))</f>
        <v/>
      </c>
      <c r="U1281" s="48">
        <f>Q1281-T1281</f>
        <v/>
      </c>
      <c r="V1281" s="48">
        <f>S1281-R1281+T1281</f>
        <v/>
      </c>
    </row>
    <row r="1282">
      <c r="A1282" s="47" t="n">
        <v>25</v>
      </c>
      <c r="B1282" s="47" t="n">
        <v>6</v>
      </c>
      <c r="C1282" s="48">
        <f>INDEX(Employees!$B$5:$B$29,$A1282)&amp;""</f>
        <v/>
      </c>
      <c r="D1282" s="49">
        <f>INDEX(Periods!$B$5:$B$57,$B1282)</f>
        <v/>
      </c>
      <c r="E1282" s="49">
        <f>INDEX(Periods!$C$5:$C$57,$B1282)</f>
        <v/>
      </c>
      <c r="F1282" s="47">
        <f>IF(AND($C1282&lt;&gt;"",INDEX(Periods!$D$5:$D$57,$B1282)=1),1,0)</f>
        <v/>
      </c>
      <c r="G1282" s="47">
        <f>IF($F1282=0,0,IF(AND(OR(INDEX(Employees!$D$5:$D$29,$A1282)="",$E1282&gt;=INDEX(Employees!$D$5:$D$29,$A1282)+N(INDEX(Employees!$U$5:$U$29,$A1282))),OR(INDEX(Employees!$E$5:$E$29,$A1282)="",$D1282&lt;=INDEX(Employees!$E$5:$E$29,$A1282))),1,0))</f>
        <v/>
      </c>
      <c r="H1282" s="47">
        <f>IF($G1282=0,0,IF(INDEX(Employees!$D$5:$D$29,$A1282)="",0,DATEDIF(INDEX(Employees!$D$5:$D$29,$A1282),$E1282,"y")))</f>
        <v/>
      </c>
      <c r="I1282" s="48">
        <f>IF($G1282=0,0,IF(INDEX('Hours Worked'!$D$5:$BD$29,$A1282,$B1282)="",N(INDEX(Employees!$H$5:$H$29,$A1282)),INDEX('Hours Worked'!$D$5:$BD$29,$A1282,$B1282)))</f>
        <v/>
      </c>
      <c r="J1282" s="48">
        <f>IF(OR($G1282=0,INDEX(Employees!$O$5:$O$29,$A1282)&lt;&gt;"Yes"),0,IF(COUNTIF(Settings!$D$4:$D$9,"&lt;="&amp;$H1282)=0,0,INDEX(Settings!$E$4:$E$9,COUNTIF(Settings!$D$4:$D$9,"&lt;="&amp;$H1282))))</f>
        <v/>
      </c>
      <c r="K1282" s="48">
        <f>IF($G1282=0,0,IF(INDEX(Employees!$I$5:$I$29,$A1282)="Per pay period",(N(INDEX(Employees!$J$5:$J$29,$A1282))+$J1282)/Settings!$B$13,IF(INDEX(Employees!$I$5:$I$29,$A1282)="Per hour worked",N(INDEX(Employees!$K$5:$K$29,$A1282))*$I1282,IF(INDEX(Employees!$I$5:$I$29,$A1282)="Front-loaded",IF(OR($B1282=1,N($G1281)=0),N(INDEX(Employees!$J$5:$J$29,$A1282))+$J1282,0),0))))</f>
        <v/>
      </c>
      <c r="L1282" s="48">
        <f>IF($F1282=0,0,SUMIFS('Time Off Log'!$H$5:$H$504,'Time Off Log'!$A$5:$A$504,$C1282,'Time Off Log'!$B$5:$B$504,"PTO",'Time Off Log'!$E$5:$E$504,"Approved",'Time Off Log'!$C$5:$C$504,"&gt;="&amp;INDEX(Periods!$E$5:$E$57,$B1282),'Time Off Log'!$C$5:$C$504,"&lt;="&amp;INDEX(Periods!$F$5:$F$57,$B1282)))</f>
        <v/>
      </c>
      <c r="M1282" s="48">
        <f>IF($B1282=1,N(INDEX(Employees!$N$5:$N$29,$A1282)),P1281)</f>
        <v/>
      </c>
      <c r="N1282" s="48">
        <f>IF(INDEX(Employees!$L$5:$L$29,$A1282)="",K1282,MAX(0,MIN(K1282,INDEX(Employees!$L$5:$L$29,$A1282)-(M1282-L1282))))</f>
        <v/>
      </c>
      <c r="O1282" s="48">
        <f>K1282-N1282</f>
        <v/>
      </c>
      <c r="P1282" s="48">
        <f>M1282-L1282+N1282</f>
        <v/>
      </c>
      <c r="Q1282" s="48">
        <f>IF($G1282=0,0,IF(INDEX(Employees!$P$5:$P$29,$A1282)="Per pay period",(N(INDEX(Employees!$Q$5:$Q$29,$A1282)))/Settings!$B$13,IF(INDEX(Employees!$P$5:$P$29,$A1282)="Per hour worked",N(INDEX(Employees!$R$5:$R$29,$A1282))*$I1282,IF(INDEX(Employees!$P$5:$P$29,$A1282)="Front-loaded",IF(OR($B1282=1,N($G1281)=0),N(INDEX(Employees!$Q$5:$Q$29,$A1282)),0),0))))</f>
        <v/>
      </c>
      <c r="R1282" s="48">
        <f>IF($F1282=0,0,SUMIFS('Time Off Log'!$H$5:$H$504,'Time Off Log'!$A$5:$A$504,$C1282,'Time Off Log'!$B$5:$B$504,"Sick",'Time Off Log'!$E$5:$E$504,"Approved",'Time Off Log'!$C$5:$C$504,"&gt;="&amp;INDEX(Periods!$E$5:$E$57,$B1282),'Time Off Log'!$C$5:$C$504,"&lt;="&amp;INDEX(Periods!$F$5:$F$57,$B1282)))</f>
        <v/>
      </c>
      <c r="S1282" s="48">
        <f>IF($B1282=1,N(INDEX(Employees!$T$5:$T$29,$A1282)),V1281)</f>
        <v/>
      </c>
      <c r="T1282" s="48">
        <f>IF(INDEX(Employees!$S$5:$S$29,$A1282)="",Q1282,MAX(0,MIN(Q1282,INDEX(Employees!$S$5:$S$29,$A1282)-(S1282-R1282))))</f>
        <v/>
      </c>
      <c r="U1282" s="48">
        <f>Q1282-T1282</f>
        <v/>
      </c>
      <c r="V1282" s="48">
        <f>S1282-R1282+T1282</f>
        <v/>
      </c>
    </row>
    <row r="1283">
      <c r="A1283" s="47" t="n">
        <v>25</v>
      </c>
      <c r="B1283" s="47" t="n">
        <v>7</v>
      </c>
      <c r="C1283" s="48">
        <f>INDEX(Employees!$B$5:$B$29,$A1283)&amp;""</f>
        <v/>
      </c>
      <c r="D1283" s="49">
        <f>INDEX(Periods!$B$5:$B$57,$B1283)</f>
        <v/>
      </c>
      <c r="E1283" s="49">
        <f>INDEX(Periods!$C$5:$C$57,$B1283)</f>
        <v/>
      </c>
      <c r="F1283" s="47">
        <f>IF(AND($C1283&lt;&gt;"",INDEX(Periods!$D$5:$D$57,$B1283)=1),1,0)</f>
        <v/>
      </c>
      <c r="G1283" s="47">
        <f>IF($F1283=0,0,IF(AND(OR(INDEX(Employees!$D$5:$D$29,$A1283)="",$E1283&gt;=INDEX(Employees!$D$5:$D$29,$A1283)+N(INDEX(Employees!$U$5:$U$29,$A1283))),OR(INDEX(Employees!$E$5:$E$29,$A1283)="",$D1283&lt;=INDEX(Employees!$E$5:$E$29,$A1283))),1,0))</f>
        <v/>
      </c>
      <c r="H1283" s="47">
        <f>IF($G1283=0,0,IF(INDEX(Employees!$D$5:$D$29,$A1283)="",0,DATEDIF(INDEX(Employees!$D$5:$D$29,$A1283),$E1283,"y")))</f>
        <v/>
      </c>
      <c r="I1283" s="48">
        <f>IF($G1283=0,0,IF(INDEX('Hours Worked'!$D$5:$BD$29,$A1283,$B1283)="",N(INDEX(Employees!$H$5:$H$29,$A1283)),INDEX('Hours Worked'!$D$5:$BD$29,$A1283,$B1283)))</f>
        <v/>
      </c>
      <c r="J1283" s="48">
        <f>IF(OR($G1283=0,INDEX(Employees!$O$5:$O$29,$A1283)&lt;&gt;"Yes"),0,IF(COUNTIF(Settings!$D$4:$D$9,"&lt;="&amp;$H1283)=0,0,INDEX(Settings!$E$4:$E$9,COUNTIF(Settings!$D$4:$D$9,"&lt;="&amp;$H1283))))</f>
        <v/>
      </c>
      <c r="K1283" s="48">
        <f>IF($G1283=0,0,IF(INDEX(Employees!$I$5:$I$29,$A1283)="Per pay period",(N(INDEX(Employees!$J$5:$J$29,$A1283))+$J1283)/Settings!$B$13,IF(INDEX(Employees!$I$5:$I$29,$A1283)="Per hour worked",N(INDEX(Employees!$K$5:$K$29,$A1283))*$I1283,IF(INDEX(Employees!$I$5:$I$29,$A1283)="Front-loaded",IF(OR($B1283=1,N($G1282)=0),N(INDEX(Employees!$J$5:$J$29,$A1283))+$J1283,0),0))))</f>
        <v/>
      </c>
      <c r="L1283" s="48">
        <f>IF($F1283=0,0,SUMIFS('Time Off Log'!$H$5:$H$504,'Time Off Log'!$A$5:$A$504,$C1283,'Time Off Log'!$B$5:$B$504,"PTO",'Time Off Log'!$E$5:$E$504,"Approved",'Time Off Log'!$C$5:$C$504,"&gt;="&amp;INDEX(Periods!$E$5:$E$57,$B1283),'Time Off Log'!$C$5:$C$504,"&lt;="&amp;INDEX(Periods!$F$5:$F$57,$B1283)))</f>
        <v/>
      </c>
      <c r="M1283" s="48">
        <f>IF($B1283=1,N(INDEX(Employees!$N$5:$N$29,$A1283)),P1282)</f>
        <v/>
      </c>
      <c r="N1283" s="48">
        <f>IF(INDEX(Employees!$L$5:$L$29,$A1283)="",K1283,MAX(0,MIN(K1283,INDEX(Employees!$L$5:$L$29,$A1283)-(M1283-L1283))))</f>
        <v/>
      </c>
      <c r="O1283" s="48">
        <f>K1283-N1283</f>
        <v/>
      </c>
      <c r="P1283" s="48">
        <f>M1283-L1283+N1283</f>
        <v/>
      </c>
      <c r="Q1283" s="48">
        <f>IF($G1283=0,0,IF(INDEX(Employees!$P$5:$P$29,$A1283)="Per pay period",(N(INDEX(Employees!$Q$5:$Q$29,$A1283)))/Settings!$B$13,IF(INDEX(Employees!$P$5:$P$29,$A1283)="Per hour worked",N(INDEX(Employees!$R$5:$R$29,$A1283))*$I1283,IF(INDEX(Employees!$P$5:$P$29,$A1283)="Front-loaded",IF(OR($B1283=1,N($G1282)=0),N(INDEX(Employees!$Q$5:$Q$29,$A1283)),0),0))))</f>
        <v/>
      </c>
      <c r="R1283" s="48">
        <f>IF($F1283=0,0,SUMIFS('Time Off Log'!$H$5:$H$504,'Time Off Log'!$A$5:$A$504,$C1283,'Time Off Log'!$B$5:$B$504,"Sick",'Time Off Log'!$E$5:$E$504,"Approved",'Time Off Log'!$C$5:$C$504,"&gt;="&amp;INDEX(Periods!$E$5:$E$57,$B1283),'Time Off Log'!$C$5:$C$504,"&lt;="&amp;INDEX(Periods!$F$5:$F$57,$B1283)))</f>
        <v/>
      </c>
      <c r="S1283" s="48">
        <f>IF($B1283=1,N(INDEX(Employees!$T$5:$T$29,$A1283)),V1282)</f>
        <v/>
      </c>
      <c r="T1283" s="48">
        <f>IF(INDEX(Employees!$S$5:$S$29,$A1283)="",Q1283,MAX(0,MIN(Q1283,INDEX(Employees!$S$5:$S$29,$A1283)-(S1283-R1283))))</f>
        <v/>
      </c>
      <c r="U1283" s="48">
        <f>Q1283-T1283</f>
        <v/>
      </c>
      <c r="V1283" s="48">
        <f>S1283-R1283+T1283</f>
        <v/>
      </c>
    </row>
    <row r="1284">
      <c r="A1284" s="47" t="n">
        <v>25</v>
      </c>
      <c r="B1284" s="47" t="n">
        <v>8</v>
      </c>
      <c r="C1284" s="48">
        <f>INDEX(Employees!$B$5:$B$29,$A1284)&amp;""</f>
        <v/>
      </c>
      <c r="D1284" s="49">
        <f>INDEX(Periods!$B$5:$B$57,$B1284)</f>
        <v/>
      </c>
      <c r="E1284" s="49">
        <f>INDEX(Periods!$C$5:$C$57,$B1284)</f>
        <v/>
      </c>
      <c r="F1284" s="47">
        <f>IF(AND($C1284&lt;&gt;"",INDEX(Periods!$D$5:$D$57,$B1284)=1),1,0)</f>
        <v/>
      </c>
      <c r="G1284" s="47">
        <f>IF($F1284=0,0,IF(AND(OR(INDEX(Employees!$D$5:$D$29,$A1284)="",$E1284&gt;=INDEX(Employees!$D$5:$D$29,$A1284)+N(INDEX(Employees!$U$5:$U$29,$A1284))),OR(INDEX(Employees!$E$5:$E$29,$A1284)="",$D1284&lt;=INDEX(Employees!$E$5:$E$29,$A1284))),1,0))</f>
        <v/>
      </c>
      <c r="H1284" s="47">
        <f>IF($G1284=0,0,IF(INDEX(Employees!$D$5:$D$29,$A1284)="",0,DATEDIF(INDEX(Employees!$D$5:$D$29,$A1284),$E1284,"y")))</f>
        <v/>
      </c>
      <c r="I1284" s="48">
        <f>IF($G1284=0,0,IF(INDEX('Hours Worked'!$D$5:$BD$29,$A1284,$B1284)="",N(INDEX(Employees!$H$5:$H$29,$A1284)),INDEX('Hours Worked'!$D$5:$BD$29,$A1284,$B1284)))</f>
        <v/>
      </c>
      <c r="J1284" s="48">
        <f>IF(OR($G1284=0,INDEX(Employees!$O$5:$O$29,$A1284)&lt;&gt;"Yes"),0,IF(COUNTIF(Settings!$D$4:$D$9,"&lt;="&amp;$H1284)=0,0,INDEX(Settings!$E$4:$E$9,COUNTIF(Settings!$D$4:$D$9,"&lt;="&amp;$H1284))))</f>
        <v/>
      </c>
      <c r="K1284" s="48">
        <f>IF($G1284=0,0,IF(INDEX(Employees!$I$5:$I$29,$A1284)="Per pay period",(N(INDEX(Employees!$J$5:$J$29,$A1284))+$J1284)/Settings!$B$13,IF(INDEX(Employees!$I$5:$I$29,$A1284)="Per hour worked",N(INDEX(Employees!$K$5:$K$29,$A1284))*$I1284,IF(INDEX(Employees!$I$5:$I$29,$A1284)="Front-loaded",IF(OR($B1284=1,N($G1283)=0),N(INDEX(Employees!$J$5:$J$29,$A1284))+$J1284,0),0))))</f>
        <v/>
      </c>
      <c r="L1284" s="48">
        <f>IF($F1284=0,0,SUMIFS('Time Off Log'!$H$5:$H$504,'Time Off Log'!$A$5:$A$504,$C1284,'Time Off Log'!$B$5:$B$504,"PTO",'Time Off Log'!$E$5:$E$504,"Approved",'Time Off Log'!$C$5:$C$504,"&gt;="&amp;INDEX(Periods!$E$5:$E$57,$B1284),'Time Off Log'!$C$5:$C$504,"&lt;="&amp;INDEX(Periods!$F$5:$F$57,$B1284)))</f>
        <v/>
      </c>
      <c r="M1284" s="48">
        <f>IF($B1284=1,N(INDEX(Employees!$N$5:$N$29,$A1284)),P1283)</f>
        <v/>
      </c>
      <c r="N1284" s="48">
        <f>IF(INDEX(Employees!$L$5:$L$29,$A1284)="",K1284,MAX(0,MIN(K1284,INDEX(Employees!$L$5:$L$29,$A1284)-(M1284-L1284))))</f>
        <v/>
      </c>
      <c r="O1284" s="48">
        <f>K1284-N1284</f>
        <v/>
      </c>
      <c r="P1284" s="48">
        <f>M1284-L1284+N1284</f>
        <v/>
      </c>
      <c r="Q1284" s="48">
        <f>IF($G1284=0,0,IF(INDEX(Employees!$P$5:$P$29,$A1284)="Per pay period",(N(INDEX(Employees!$Q$5:$Q$29,$A1284)))/Settings!$B$13,IF(INDEX(Employees!$P$5:$P$29,$A1284)="Per hour worked",N(INDEX(Employees!$R$5:$R$29,$A1284))*$I1284,IF(INDEX(Employees!$P$5:$P$29,$A1284)="Front-loaded",IF(OR($B1284=1,N($G1283)=0),N(INDEX(Employees!$Q$5:$Q$29,$A1284)),0),0))))</f>
        <v/>
      </c>
      <c r="R1284" s="48">
        <f>IF($F1284=0,0,SUMIFS('Time Off Log'!$H$5:$H$504,'Time Off Log'!$A$5:$A$504,$C1284,'Time Off Log'!$B$5:$B$504,"Sick",'Time Off Log'!$E$5:$E$504,"Approved",'Time Off Log'!$C$5:$C$504,"&gt;="&amp;INDEX(Periods!$E$5:$E$57,$B1284),'Time Off Log'!$C$5:$C$504,"&lt;="&amp;INDEX(Periods!$F$5:$F$57,$B1284)))</f>
        <v/>
      </c>
      <c r="S1284" s="48">
        <f>IF($B1284=1,N(INDEX(Employees!$T$5:$T$29,$A1284)),V1283)</f>
        <v/>
      </c>
      <c r="T1284" s="48">
        <f>IF(INDEX(Employees!$S$5:$S$29,$A1284)="",Q1284,MAX(0,MIN(Q1284,INDEX(Employees!$S$5:$S$29,$A1284)-(S1284-R1284))))</f>
        <v/>
      </c>
      <c r="U1284" s="48">
        <f>Q1284-T1284</f>
        <v/>
      </c>
      <c r="V1284" s="48">
        <f>S1284-R1284+T1284</f>
        <v/>
      </c>
    </row>
    <row r="1285">
      <c r="A1285" s="47" t="n">
        <v>25</v>
      </c>
      <c r="B1285" s="47" t="n">
        <v>9</v>
      </c>
      <c r="C1285" s="48">
        <f>INDEX(Employees!$B$5:$B$29,$A1285)&amp;""</f>
        <v/>
      </c>
      <c r="D1285" s="49">
        <f>INDEX(Periods!$B$5:$B$57,$B1285)</f>
        <v/>
      </c>
      <c r="E1285" s="49">
        <f>INDEX(Periods!$C$5:$C$57,$B1285)</f>
        <v/>
      </c>
      <c r="F1285" s="47">
        <f>IF(AND($C1285&lt;&gt;"",INDEX(Periods!$D$5:$D$57,$B1285)=1),1,0)</f>
        <v/>
      </c>
      <c r="G1285" s="47">
        <f>IF($F1285=0,0,IF(AND(OR(INDEX(Employees!$D$5:$D$29,$A1285)="",$E1285&gt;=INDEX(Employees!$D$5:$D$29,$A1285)+N(INDEX(Employees!$U$5:$U$29,$A1285))),OR(INDEX(Employees!$E$5:$E$29,$A1285)="",$D1285&lt;=INDEX(Employees!$E$5:$E$29,$A1285))),1,0))</f>
        <v/>
      </c>
      <c r="H1285" s="47">
        <f>IF($G1285=0,0,IF(INDEX(Employees!$D$5:$D$29,$A1285)="",0,DATEDIF(INDEX(Employees!$D$5:$D$29,$A1285),$E1285,"y")))</f>
        <v/>
      </c>
      <c r="I1285" s="48">
        <f>IF($G1285=0,0,IF(INDEX('Hours Worked'!$D$5:$BD$29,$A1285,$B1285)="",N(INDEX(Employees!$H$5:$H$29,$A1285)),INDEX('Hours Worked'!$D$5:$BD$29,$A1285,$B1285)))</f>
        <v/>
      </c>
      <c r="J1285" s="48">
        <f>IF(OR($G1285=0,INDEX(Employees!$O$5:$O$29,$A1285)&lt;&gt;"Yes"),0,IF(COUNTIF(Settings!$D$4:$D$9,"&lt;="&amp;$H1285)=0,0,INDEX(Settings!$E$4:$E$9,COUNTIF(Settings!$D$4:$D$9,"&lt;="&amp;$H1285))))</f>
        <v/>
      </c>
      <c r="K1285" s="48">
        <f>IF($G1285=0,0,IF(INDEX(Employees!$I$5:$I$29,$A1285)="Per pay period",(N(INDEX(Employees!$J$5:$J$29,$A1285))+$J1285)/Settings!$B$13,IF(INDEX(Employees!$I$5:$I$29,$A1285)="Per hour worked",N(INDEX(Employees!$K$5:$K$29,$A1285))*$I1285,IF(INDEX(Employees!$I$5:$I$29,$A1285)="Front-loaded",IF(OR($B1285=1,N($G1284)=0),N(INDEX(Employees!$J$5:$J$29,$A1285))+$J1285,0),0))))</f>
        <v/>
      </c>
      <c r="L1285" s="48">
        <f>IF($F1285=0,0,SUMIFS('Time Off Log'!$H$5:$H$504,'Time Off Log'!$A$5:$A$504,$C1285,'Time Off Log'!$B$5:$B$504,"PTO",'Time Off Log'!$E$5:$E$504,"Approved",'Time Off Log'!$C$5:$C$504,"&gt;="&amp;INDEX(Periods!$E$5:$E$57,$B1285),'Time Off Log'!$C$5:$C$504,"&lt;="&amp;INDEX(Periods!$F$5:$F$57,$B1285)))</f>
        <v/>
      </c>
      <c r="M1285" s="48">
        <f>IF($B1285=1,N(INDEX(Employees!$N$5:$N$29,$A1285)),P1284)</f>
        <v/>
      </c>
      <c r="N1285" s="48">
        <f>IF(INDEX(Employees!$L$5:$L$29,$A1285)="",K1285,MAX(0,MIN(K1285,INDEX(Employees!$L$5:$L$29,$A1285)-(M1285-L1285))))</f>
        <v/>
      </c>
      <c r="O1285" s="48">
        <f>K1285-N1285</f>
        <v/>
      </c>
      <c r="P1285" s="48">
        <f>M1285-L1285+N1285</f>
        <v/>
      </c>
      <c r="Q1285" s="48">
        <f>IF($G1285=0,0,IF(INDEX(Employees!$P$5:$P$29,$A1285)="Per pay period",(N(INDEX(Employees!$Q$5:$Q$29,$A1285)))/Settings!$B$13,IF(INDEX(Employees!$P$5:$P$29,$A1285)="Per hour worked",N(INDEX(Employees!$R$5:$R$29,$A1285))*$I1285,IF(INDEX(Employees!$P$5:$P$29,$A1285)="Front-loaded",IF(OR($B1285=1,N($G1284)=0),N(INDEX(Employees!$Q$5:$Q$29,$A1285)),0),0))))</f>
        <v/>
      </c>
      <c r="R1285" s="48">
        <f>IF($F1285=0,0,SUMIFS('Time Off Log'!$H$5:$H$504,'Time Off Log'!$A$5:$A$504,$C1285,'Time Off Log'!$B$5:$B$504,"Sick",'Time Off Log'!$E$5:$E$504,"Approved",'Time Off Log'!$C$5:$C$504,"&gt;="&amp;INDEX(Periods!$E$5:$E$57,$B1285),'Time Off Log'!$C$5:$C$504,"&lt;="&amp;INDEX(Periods!$F$5:$F$57,$B1285)))</f>
        <v/>
      </c>
      <c r="S1285" s="48">
        <f>IF($B1285=1,N(INDEX(Employees!$T$5:$T$29,$A1285)),V1284)</f>
        <v/>
      </c>
      <c r="T1285" s="48">
        <f>IF(INDEX(Employees!$S$5:$S$29,$A1285)="",Q1285,MAX(0,MIN(Q1285,INDEX(Employees!$S$5:$S$29,$A1285)-(S1285-R1285))))</f>
        <v/>
      </c>
      <c r="U1285" s="48">
        <f>Q1285-T1285</f>
        <v/>
      </c>
      <c r="V1285" s="48">
        <f>S1285-R1285+T1285</f>
        <v/>
      </c>
    </row>
    <row r="1286">
      <c r="A1286" s="47" t="n">
        <v>25</v>
      </c>
      <c r="B1286" s="47" t="n">
        <v>10</v>
      </c>
      <c r="C1286" s="48">
        <f>INDEX(Employees!$B$5:$B$29,$A1286)&amp;""</f>
        <v/>
      </c>
      <c r="D1286" s="49">
        <f>INDEX(Periods!$B$5:$B$57,$B1286)</f>
        <v/>
      </c>
      <c r="E1286" s="49">
        <f>INDEX(Periods!$C$5:$C$57,$B1286)</f>
        <v/>
      </c>
      <c r="F1286" s="47">
        <f>IF(AND($C1286&lt;&gt;"",INDEX(Periods!$D$5:$D$57,$B1286)=1),1,0)</f>
        <v/>
      </c>
      <c r="G1286" s="47">
        <f>IF($F1286=0,0,IF(AND(OR(INDEX(Employees!$D$5:$D$29,$A1286)="",$E1286&gt;=INDEX(Employees!$D$5:$D$29,$A1286)+N(INDEX(Employees!$U$5:$U$29,$A1286))),OR(INDEX(Employees!$E$5:$E$29,$A1286)="",$D1286&lt;=INDEX(Employees!$E$5:$E$29,$A1286))),1,0))</f>
        <v/>
      </c>
      <c r="H1286" s="47">
        <f>IF($G1286=0,0,IF(INDEX(Employees!$D$5:$D$29,$A1286)="",0,DATEDIF(INDEX(Employees!$D$5:$D$29,$A1286),$E1286,"y")))</f>
        <v/>
      </c>
      <c r="I1286" s="48">
        <f>IF($G1286=0,0,IF(INDEX('Hours Worked'!$D$5:$BD$29,$A1286,$B1286)="",N(INDEX(Employees!$H$5:$H$29,$A1286)),INDEX('Hours Worked'!$D$5:$BD$29,$A1286,$B1286)))</f>
        <v/>
      </c>
      <c r="J1286" s="48">
        <f>IF(OR($G1286=0,INDEX(Employees!$O$5:$O$29,$A1286)&lt;&gt;"Yes"),0,IF(COUNTIF(Settings!$D$4:$D$9,"&lt;="&amp;$H1286)=0,0,INDEX(Settings!$E$4:$E$9,COUNTIF(Settings!$D$4:$D$9,"&lt;="&amp;$H1286))))</f>
        <v/>
      </c>
      <c r="K1286" s="48">
        <f>IF($G1286=0,0,IF(INDEX(Employees!$I$5:$I$29,$A1286)="Per pay period",(N(INDEX(Employees!$J$5:$J$29,$A1286))+$J1286)/Settings!$B$13,IF(INDEX(Employees!$I$5:$I$29,$A1286)="Per hour worked",N(INDEX(Employees!$K$5:$K$29,$A1286))*$I1286,IF(INDEX(Employees!$I$5:$I$29,$A1286)="Front-loaded",IF(OR($B1286=1,N($G1285)=0),N(INDEX(Employees!$J$5:$J$29,$A1286))+$J1286,0),0))))</f>
        <v/>
      </c>
      <c r="L1286" s="48">
        <f>IF($F1286=0,0,SUMIFS('Time Off Log'!$H$5:$H$504,'Time Off Log'!$A$5:$A$504,$C1286,'Time Off Log'!$B$5:$B$504,"PTO",'Time Off Log'!$E$5:$E$504,"Approved",'Time Off Log'!$C$5:$C$504,"&gt;="&amp;INDEX(Periods!$E$5:$E$57,$B1286),'Time Off Log'!$C$5:$C$504,"&lt;="&amp;INDEX(Periods!$F$5:$F$57,$B1286)))</f>
        <v/>
      </c>
      <c r="M1286" s="48">
        <f>IF($B1286=1,N(INDEX(Employees!$N$5:$N$29,$A1286)),P1285)</f>
        <v/>
      </c>
      <c r="N1286" s="48">
        <f>IF(INDEX(Employees!$L$5:$L$29,$A1286)="",K1286,MAX(0,MIN(K1286,INDEX(Employees!$L$5:$L$29,$A1286)-(M1286-L1286))))</f>
        <v/>
      </c>
      <c r="O1286" s="48">
        <f>K1286-N1286</f>
        <v/>
      </c>
      <c r="P1286" s="48">
        <f>M1286-L1286+N1286</f>
        <v/>
      </c>
      <c r="Q1286" s="48">
        <f>IF($G1286=0,0,IF(INDEX(Employees!$P$5:$P$29,$A1286)="Per pay period",(N(INDEX(Employees!$Q$5:$Q$29,$A1286)))/Settings!$B$13,IF(INDEX(Employees!$P$5:$P$29,$A1286)="Per hour worked",N(INDEX(Employees!$R$5:$R$29,$A1286))*$I1286,IF(INDEX(Employees!$P$5:$P$29,$A1286)="Front-loaded",IF(OR($B1286=1,N($G1285)=0),N(INDEX(Employees!$Q$5:$Q$29,$A1286)),0),0))))</f>
        <v/>
      </c>
      <c r="R1286" s="48">
        <f>IF($F1286=0,0,SUMIFS('Time Off Log'!$H$5:$H$504,'Time Off Log'!$A$5:$A$504,$C1286,'Time Off Log'!$B$5:$B$504,"Sick",'Time Off Log'!$E$5:$E$504,"Approved",'Time Off Log'!$C$5:$C$504,"&gt;="&amp;INDEX(Periods!$E$5:$E$57,$B1286),'Time Off Log'!$C$5:$C$504,"&lt;="&amp;INDEX(Periods!$F$5:$F$57,$B1286)))</f>
        <v/>
      </c>
      <c r="S1286" s="48">
        <f>IF($B1286=1,N(INDEX(Employees!$T$5:$T$29,$A1286)),V1285)</f>
        <v/>
      </c>
      <c r="T1286" s="48">
        <f>IF(INDEX(Employees!$S$5:$S$29,$A1286)="",Q1286,MAX(0,MIN(Q1286,INDEX(Employees!$S$5:$S$29,$A1286)-(S1286-R1286))))</f>
        <v/>
      </c>
      <c r="U1286" s="48">
        <f>Q1286-T1286</f>
        <v/>
      </c>
      <c r="V1286" s="48">
        <f>S1286-R1286+T1286</f>
        <v/>
      </c>
    </row>
    <row r="1287">
      <c r="A1287" s="47" t="n">
        <v>25</v>
      </c>
      <c r="B1287" s="47" t="n">
        <v>11</v>
      </c>
      <c r="C1287" s="48">
        <f>INDEX(Employees!$B$5:$B$29,$A1287)&amp;""</f>
        <v/>
      </c>
      <c r="D1287" s="49">
        <f>INDEX(Periods!$B$5:$B$57,$B1287)</f>
        <v/>
      </c>
      <c r="E1287" s="49">
        <f>INDEX(Periods!$C$5:$C$57,$B1287)</f>
        <v/>
      </c>
      <c r="F1287" s="47">
        <f>IF(AND($C1287&lt;&gt;"",INDEX(Periods!$D$5:$D$57,$B1287)=1),1,0)</f>
        <v/>
      </c>
      <c r="G1287" s="47">
        <f>IF($F1287=0,0,IF(AND(OR(INDEX(Employees!$D$5:$D$29,$A1287)="",$E1287&gt;=INDEX(Employees!$D$5:$D$29,$A1287)+N(INDEX(Employees!$U$5:$U$29,$A1287))),OR(INDEX(Employees!$E$5:$E$29,$A1287)="",$D1287&lt;=INDEX(Employees!$E$5:$E$29,$A1287))),1,0))</f>
        <v/>
      </c>
      <c r="H1287" s="47">
        <f>IF($G1287=0,0,IF(INDEX(Employees!$D$5:$D$29,$A1287)="",0,DATEDIF(INDEX(Employees!$D$5:$D$29,$A1287),$E1287,"y")))</f>
        <v/>
      </c>
      <c r="I1287" s="48">
        <f>IF($G1287=0,0,IF(INDEX('Hours Worked'!$D$5:$BD$29,$A1287,$B1287)="",N(INDEX(Employees!$H$5:$H$29,$A1287)),INDEX('Hours Worked'!$D$5:$BD$29,$A1287,$B1287)))</f>
        <v/>
      </c>
      <c r="J1287" s="48">
        <f>IF(OR($G1287=0,INDEX(Employees!$O$5:$O$29,$A1287)&lt;&gt;"Yes"),0,IF(COUNTIF(Settings!$D$4:$D$9,"&lt;="&amp;$H1287)=0,0,INDEX(Settings!$E$4:$E$9,COUNTIF(Settings!$D$4:$D$9,"&lt;="&amp;$H1287))))</f>
        <v/>
      </c>
      <c r="K1287" s="48">
        <f>IF($G1287=0,0,IF(INDEX(Employees!$I$5:$I$29,$A1287)="Per pay period",(N(INDEX(Employees!$J$5:$J$29,$A1287))+$J1287)/Settings!$B$13,IF(INDEX(Employees!$I$5:$I$29,$A1287)="Per hour worked",N(INDEX(Employees!$K$5:$K$29,$A1287))*$I1287,IF(INDEX(Employees!$I$5:$I$29,$A1287)="Front-loaded",IF(OR($B1287=1,N($G1286)=0),N(INDEX(Employees!$J$5:$J$29,$A1287))+$J1287,0),0))))</f>
        <v/>
      </c>
      <c r="L1287" s="48">
        <f>IF($F1287=0,0,SUMIFS('Time Off Log'!$H$5:$H$504,'Time Off Log'!$A$5:$A$504,$C1287,'Time Off Log'!$B$5:$B$504,"PTO",'Time Off Log'!$E$5:$E$504,"Approved",'Time Off Log'!$C$5:$C$504,"&gt;="&amp;INDEX(Periods!$E$5:$E$57,$B1287),'Time Off Log'!$C$5:$C$504,"&lt;="&amp;INDEX(Periods!$F$5:$F$57,$B1287)))</f>
        <v/>
      </c>
      <c r="M1287" s="48">
        <f>IF($B1287=1,N(INDEX(Employees!$N$5:$N$29,$A1287)),P1286)</f>
        <v/>
      </c>
      <c r="N1287" s="48">
        <f>IF(INDEX(Employees!$L$5:$L$29,$A1287)="",K1287,MAX(0,MIN(K1287,INDEX(Employees!$L$5:$L$29,$A1287)-(M1287-L1287))))</f>
        <v/>
      </c>
      <c r="O1287" s="48">
        <f>K1287-N1287</f>
        <v/>
      </c>
      <c r="P1287" s="48">
        <f>M1287-L1287+N1287</f>
        <v/>
      </c>
      <c r="Q1287" s="48">
        <f>IF($G1287=0,0,IF(INDEX(Employees!$P$5:$P$29,$A1287)="Per pay period",(N(INDEX(Employees!$Q$5:$Q$29,$A1287)))/Settings!$B$13,IF(INDEX(Employees!$P$5:$P$29,$A1287)="Per hour worked",N(INDEX(Employees!$R$5:$R$29,$A1287))*$I1287,IF(INDEX(Employees!$P$5:$P$29,$A1287)="Front-loaded",IF(OR($B1287=1,N($G1286)=0),N(INDEX(Employees!$Q$5:$Q$29,$A1287)),0),0))))</f>
        <v/>
      </c>
      <c r="R1287" s="48">
        <f>IF($F1287=0,0,SUMIFS('Time Off Log'!$H$5:$H$504,'Time Off Log'!$A$5:$A$504,$C1287,'Time Off Log'!$B$5:$B$504,"Sick",'Time Off Log'!$E$5:$E$504,"Approved",'Time Off Log'!$C$5:$C$504,"&gt;="&amp;INDEX(Periods!$E$5:$E$57,$B1287),'Time Off Log'!$C$5:$C$504,"&lt;="&amp;INDEX(Periods!$F$5:$F$57,$B1287)))</f>
        <v/>
      </c>
      <c r="S1287" s="48">
        <f>IF($B1287=1,N(INDEX(Employees!$T$5:$T$29,$A1287)),V1286)</f>
        <v/>
      </c>
      <c r="T1287" s="48">
        <f>IF(INDEX(Employees!$S$5:$S$29,$A1287)="",Q1287,MAX(0,MIN(Q1287,INDEX(Employees!$S$5:$S$29,$A1287)-(S1287-R1287))))</f>
        <v/>
      </c>
      <c r="U1287" s="48">
        <f>Q1287-T1287</f>
        <v/>
      </c>
      <c r="V1287" s="48">
        <f>S1287-R1287+T1287</f>
        <v/>
      </c>
    </row>
    <row r="1288">
      <c r="A1288" s="47" t="n">
        <v>25</v>
      </c>
      <c r="B1288" s="47" t="n">
        <v>12</v>
      </c>
      <c r="C1288" s="48">
        <f>INDEX(Employees!$B$5:$B$29,$A1288)&amp;""</f>
        <v/>
      </c>
      <c r="D1288" s="49">
        <f>INDEX(Periods!$B$5:$B$57,$B1288)</f>
        <v/>
      </c>
      <c r="E1288" s="49">
        <f>INDEX(Periods!$C$5:$C$57,$B1288)</f>
        <v/>
      </c>
      <c r="F1288" s="47">
        <f>IF(AND($C1288&lt;&gt;"",INDEX(Periods!$D$5:$D$57,$B1288)=1),1,0)</f>
        <v/>
      </c>
      <c r="G1288" s="47">
        <f>IF($F1288=0,0,IF(AND(OR(INDEX(Employees!$D$5:$D$29,$A1288)="",$E1288&gt;=INDEX(Employees!$D$5:$D$29,$A1288)+N(INDEX(Employees!$U$5:$U$29,$A1288))),OR(INDEX(Employees!$E$5:$E$29,$A1288)="",$D1288&lt;=INDEX(Employees!$E$5:$E$29,$A1288))),1,0))</f>
        <v/>
      </c>
      <c r="H1288" s="47">
        <f>IF($G1288=0,0,IF(INDEX(Employees!$D$5:$D$29,$A1288)="",0,DATEDIF(INDEX(Employees!$D$5:$D$29,$A1288),$E1288,"y")))</f>
        <v/>
      </c>
      <c r="I1288" s="48">
        <f>IF($G1288=0,0,IF(INDEX('Hours Worked'!$D$5:$BD$29,$A1288,$B1288)="",N(INDEX(Employees!$H$5:$H$29,$A1288)),INDEX('Hours Worked'!$D$5:$BD$29,$A1288,$B1288)))</f>
        <v/>
      </c>
      <c r="J1288" s="48">
        <f>IF(OR($G1288=0,INDEX(Employees!$O$5:$O$29,$A1288)&lt;&gt;"Yes"),0,IF(COUNTIF(Settings!$D$4:$D$9,"&lt;="&amp;$H1288)=0,0,INDEX(Settings!$E$4:$E$9,COUNTIF(Settings!$D$4:$D$9,"&lt;="&amp;$H1288))))</f>
        <v/>
      </c>
      <c r="K1288" s="48">
        <f>IF($G1288=0,0,IF(INDEX(Employees!$I$5:$I$29,$A1288)="Per pay period",(N(INDEX(Employees!$J$5:$J$29,$A1288))+$J1288)/Settings!$B$13,IF(INDEX(Employees!$I$5:$I$29,$A1288)="Per hour worked",N(INDEX(Employees!$K$5:$K$29,$A1288))*$I1288,IF(INDEX(Employees!$I$5:$I$29,$A1288)="Front-loaded",IF(OR($B1288=1,N($G1287)=0),N(INDEX(Employees!$J$5:$J$29,$A1288))+$J1288,0),0))))</f>
        <v/>
      </c>
      <c r="L1288" s="48">
        <f>IF($F1288=0,0,SUMIFS('Time Off Log'!$H$5:$H$504,'Time Off Log'!$A$5:$A$504,$C1288,'Time Off Log'!$B$5:$B$504,"PTO",'Time Off Log'!$E$5:$E$504,"Approved",'Time Off Log'!$C$5:$C$504,"&gt;="&amp;INDEX(Periods!$E$5:$E$57,$B1288),'Time Off Log'!$C$5:$C$504,"&lt;="&amp;INDEX(Periods!$F$5:$F$57,$B1288)))</f>
        <v/>
      </c>
      <c r="M1288" s="48">
        <f>IF($B1288=1,N(INDEX(Employees!$N$5:$N$29,$A1288)),P1287)</f>
        <v/>
      </c>
      <c r="N1288" s="48">
        <f>IF(INDEX(Employees!$L$5:$L$29,$A1288)="",K1288,MAX(0,MIN(K1288,INDEX(Employees!$L$5:$L$29,$A1288)-(M1288-L1288))))</f>
        <v/>
      </c>
      <c r="O1288" s="48">
        <f>K1288-N1288</f>
        <v/>
      </c>
      <c r="P1288" s="48">
        <f>M1288-L1288+N1288</f>
        <v/>
      </c>
      <c r="Q1288" s="48">
        <f>IF($G1288=0,0,IF(INDEX(Employees!$P$5:$P$29,$A1288)="Per pay period",(N(INDEX(Employees!$Q$5:$Q$29,$A1288)))/Settings!$B$13,IF(INDEX(Employees!$P$5:$P$29,$A1288)="Per hour worked",N(INDEX(Employees!$R$5:$R$29,$A1288))*$I1288,IF(INDEX(Employees!$P$5:$P$29,$A1288)="Front-loaded",IF(OR($B1288=1,N($G1287)=0),N(INDEX(Employees!$Q$5:$Q$29,$A1288)),0),0))))</f>
        <v/>
      </c>
      <c r="R1288" s="48">
        <f>IF($F1288=0,0,SUMIFS('Time Off Log'!$H$5:$H$504,'Time Off Log'!$A$5:$A$504,$C1288,'Time Off Log'!$B$5:$B$504,"Sick",'Time Off Log'!$E$5:$E$504,"Approved",'Time Off Log'!$C$5:$C$504,"&gt;="&amp;INDEX(Periods!$E$5:$E$57,$B1288),'Time Off Log'!$C$5:$C$504,"&lt;="&amp;INDEX(Periods!$F$5:$F$57,$B1288)))</f>
        <v/>
      </c>
      <c r="S1288" s="48">
        <f>IF($B1288=1,N(INDEX(Employees!$T$5:$T$29,$A1288)),V1287)</f>
        <v/>
      </c>
      <c r="T1288" s="48">
        <f>IF(INDEX(Employees!$S$5:$S$29,$A1288)="",Q1288,MAX(0,MIN(Q1288,INDEX(Employees!$S$5:$S$29,$A1288)-(S1288-R1288))))</f>
        <v/>
      </c>
      <c r="U1288" s="48">
        <f>Q1288-T1288</f>
        <v/>
      </c>
      <c r="V1288" s="48">
        <f>S1288-R1288+T1288</f>
        <v/>
      </c>
    </row>
    <row r="1289">
      <c r="A1289" s="47" t="n">
        <v>25</v>
      </c>
      <c r="B1289" s="47" t="n">
        <v>13</v>
      </c>
      <c r="C1289" s="48">
        <f>INDEX(Employees!$B$5:$B$29,$A1289)&amp;""</f>
        <v/>
      </c>
      <c r="D1289" s="49">
        <f>INDEX(Periods!$B$5:$B$57,$B1289)</f>
        <v/>
      </c>
      <c r="E1289" s="49">
        <f>INDEX(Periods!$C$5:$C$57,$B1289)</f>
        <v/>
      </c>
      <c r="F1289" s="47">
        <f>IF(AND($C1289&lt;&gt;"",INDEX(Periods!$D$5:$D$57,$B1289)=1),1,0)</f>
        <v/>
      </c>
      <c r="G1289" s="47">
        <f>IF($F1289=0,0,IF(AND(OR(INDEX(Employees!$D$5:$D$29,$A1289)="",$E1289&gt;=INDEX(Employees!$D$5:$D$29,$A1289)+N(INDEX(Employees!$U$5:$U$29,$A1289))),OR(INDEX(Employees!$E$5:$E$29,$A1289)="",$D1289&lt;=INDEX(Employees!$E$5:$E$29,$A1289))),1,0))</f>
        <v/>
      </c>
      <c r="H1289" s="47">
        <f>IF($G1289=0,0,IF(INDEX(Employees!$D$5:$D$29,$A1289)="",0,DATEDIF(INDEX(Employees!$D$5:$D$29,$A1289),$E1289,"y")))</f>
        <v/>
      </c>
      <c r="I1289" s="48">
        <f>IF($G1289=0,0,IF(INDEX('Hours Worked'!$D$5:$BD$29,$A1289,$B1289)="",N(INDEX(Employees!$H$5:$H$29,$A1289)),INDEX('Hours Worked'!$D$5:$BD$29,$A1289,$B1289)))</f>
        <v/>
      </c>
      <c r="J1289" s="48">
        <f>IF(OR($G1289=0,INDEX(Employees!$O$5:$O$29,$A1289)&lt;&gt;"Yes"),0,IF(COUNTIF(Settings!$D$4:$D$9,"&lt;="&amp;$H1289)=0,0,INDEX(Settings!$E$4:$E$9,COUNTIF(Settings!$D$4:$D$9,"&lt;="&amp;$H1289))))</f>
        <v/>
      </c>
      <c r="K1289" s="48">
        <f>IF($G1289=0,0,IF(INDEX(Employees!$I$5:$I$29,$A1289)="Per pay period",(N(INDEX(Employees!$J$5:$J$29,$A1289))+$J1289)/Settings!$B$13,IF(INDEX(Employees!$I$5:$I$29,$A1289)="Per hour worked",N(INDEX(Employees!$K$5:$K$29,$A1289))*$I1289,IF(INDEX(Employees!$I$5:$I$29,$A1289)="Front-loaded",IF(OR($B1289=1,N($G1288)=0),N(INDEX(Employees!$J$5:$J$29,$A1289))+$J1289,0),0))))</f>
        <v/>
      </c>
      <c r="L1289" s="48">
        <f>IF($F1289=0,0,SUMIFS('Time Off Log'!$H$5:$H$504,'Time Off Log'!$A$5:$A$504,$C1289,'Time Off Log'!$B$5:$B$504,"PTO",'Time Off Log'!$E$5:$E$504,"Approved",'Time Off Log'!$C$5:$C$504,"&gt;="&amp;INDEX(Periods!$E$5:$E$57,$B1289),'Time Off Log'!$C$5:$C$504,"&lt;="&amp;INDEX(Periods!$F$5:$F$57,$B1289)))</f>
        <v/>
      </c>
      <c r="M1289" s="48">
        <f>IF($B1289=1,N(INDEX(Employees!$N$5:$N$29,$A1289)),P1288)</f>
        <v/>
      </c>
      <c r="N1289" s="48">
        <f>IF(INDEX(Employees!$L$5:$L$29,$A1289)="",K1289,MAX(0,MIN(K1289,INDEX(Employees!$L$5:$L$29,$A1289)-(M1289-L1289))))</f>
        <v/>
      </c>
      <c r="O1289" s="48">
        <f>K1289-N1289</f>
        <v/>
      </c>
      <c r="P1289" s="48">
        <f>M1289-L1289+N1289</f>
        <v/>
      </c>
      <c r="Q1289" s="48">
        <f>IF($G1289=0,0,IF(INDEX(Employees!$P$5:$P$29,$A1289)="Per pay period",(N(INDEX(Employees!$Q$5:$Q$29,$A1289)))/Settings!$B$13,IF(INDEX(Employees!$P$5:$P$29,$A1289)="Per hour worked",N(INDEX(Employees!$R$5:$R$29,$A1289))*$I1289,IF(INDEX(Employees!$P$5:$P$29,$A1289)="Front-loaded",IF(OR($B1289=1,N($G1288)=0),N(INDEX(Employees!$Q$5:$Q$29,$A1289)),0),0))))</f>
        <v/>
      </c>
      <c r="R1289" s="48">
        <f>IF($F1289=0,0,SUMIFS('Time Off Log'!$H$5:$H$504,'Time Off Log'!$A$5:$A$504,$C1289,'Time Off Log'!$B$5:$B$504,"Sick",'Time Off Log'!$E$5:$E$504,"Approved",'Time Off Log'!$C$5:$C$504,"&gt;="&amp;INDEX(Periods!$E$5:$E$57,$B1289),'Time Off Log'!$C$5:$C$504,"&lt;="&amp;INDEX(Periods!$F$5:$F$57,$B1289)))</f>
        <v/>
      </c>
      <c r="S1289" s="48">
        <f>IF($B1289=1,N(INDEX(Employees!$T$5:$T$29,$A1289)),V1288)</f>
        <v/>
      </c>
      <c r="T1289" s="48">
        <f>IF(INDEX(Employees!$S$5:$S$29,$A1289)="",Q1289,MAX(0,MIN(Q1289,INDEX(Employees!$S$5:$S$29,$A1289)-(S1289-R1289))))</f>
        <v/>
      </c>
      <c r="U1289" s="48">
        <f>Q1289-T1289</f>
        <v/>
      </c>
      <c r="V1289" s="48">
        <f>S1289-R1289+T1289</f>
        <v/>
      </c>
    </row>
    <row r="1290">
      <c r="A1290" s="47" t="n">
        <v>25</v>
      </c>
      <c r="B1290" s="47" t="n">
        <v>14</v>
      </c>
      <c r="C1290" s="48">
        <f>INDEX(Employees!$B$5:$B$29,$A1290)&amp;""</f>
        <v/>
      </c>
      <c r="D1290" s="49">
        <f>INDEX(Periods!$B$5:$B$57,$B1290)</f>
        <v/>
      </c>
      <c r="E1290" s="49">
        <f>INDEX(Periods!$C$5:$C$57,$B1290)</f>
        <v/>
      </c>
      <c r="F1290" s="47">
        <f>IF(AND($C1290&lt;&gt;"",INDEX(Periods!$D$5:$D$57,$B1290)=1),1,0)</f>
        <v/>
      </c>
      <c r="G1290" s="47">
        <f>IF($F1290=0,0,IF(AND(OR(INDEX(Employees!$D$5:$D$29,$A1290)="",$E1290&gt;=INDEX(Employees!$D$5:$D$29,$A1290)+N(INDEX(Employees!$U$5:$U$29,$A1290))),OR(INDEX(Employees!$E$5:$E$29,$A1290)="",$D1290&lt;=INDEX(Employees!$E$5:$E$29,$A1290))),1,0))</f>
        <v/>
      </c>
      <c r="H1290" s="47">
        <f>IF($G1290=0,0,IF(INDEX(Employees!$D$5:$D$29,$A1290)="",0,DATEDIF(INDEX(Employees!$D$5:$D$29,$A1290),$E1290,"y")))</f>
        <v/>
      </c>
      <c r="I1290" s="48">
        <f>IF($G1290=0,0,IF(INDEX('Hours Worked'!$D$5:$BD$29,$A1290,$B1290)="",N(INDEX(Employees!$H$5:$H$29,$A1290)),INDEX('Hours Worked'!$D$5:$BD$29,$A1290,$B1290)))</f>
        <v/>
      </c>
      <c r="J1290" s="48">
        <f>IF(OR($G1290=0,INDEX(Employees!$O$5:$O$29,$A1290)&lt;&gt;"Yes"),0,IF(COUNTIF(Settings!$D$4:$D$9,"&lt;="&amp;$H1290)=0,0,INDEX(Settings!$E$4:$E$9,COUNTIF(Settings!$D$4:$D$9,"&lt;="&amp;$H1290))))</f>
        <v/>
      </c>
      <c r="K1290" s="48">
        <f>IF($G1290=0,0,IF(INDEX(Employees!$I$5:$I$29,$A1290)="Per pay period",(N(INDEX(Employees!$J$5:$J$29,$A1290))+$J1290)/Settings!$B$13,IF(INDEX(Employees!$I$5:$I$29,$A1290)="Per hour worked",N(INDEX(Employees!$K$5:$K$29,$A1290))*$I1290,IF(INDEX(Employees!$I$5:$I$29,$A1290)="Front-loaded",IF(OR($B1290=1,N($G1289)=0),N(INDEX(Employees!$J$5:$J$29,$A1290))+$J1290,0),0))))</f>
        <v/>
      </c>
      <c r="L1290" s="48">
        <f>IF($F1290=0,0,SUMIFS('Time Off Log'!$H$5:$H$504,'Time Off Log'!$A$5:$A$504,$C1290,'Time Off Log'!$B$5:$B$504,"PTO",'Time Off Log'!$E$5:$E$504,"Approved",'Time Off Log'!$C$5:$C$504,"&gt;="&amp;INDEX(Periods!$E$5:$E$57,$B1290),'Time Off Log'!$C$5:$C$504,"&lt;="&amp;INDEX(Periods!$F$5:$F$57,$B1290)))</f>
        <v/>
      </c>
      <c r="M1290" s="48">
        <f>IF($B1290=1,N(INDEX(Employees!$N$5:$N$29,$A1290)),P1289)</f>
        <v/>
      </c>
      <c r="N1290" s="48">
        <f>IF(INDEX(Employees!$L$5:$L$29,$A1290)="",K1290,MAX(0,MIN(K1290,INDEX(Employees!$L$5:$L$29,$A1290)-(M1290-L1290))))</f>
        <v/>
      </c>
      <c r="O1290" s="48">
        <f>K1290-N1290</f>
        <v/>
      </c>
      <c r="P1290" s="48">
        <f>M1290-L1290+N1290</f>
        <v/>
      </c>
      <c r="Q1290" s="48">
        <f>IF($G1290=0,0,IF(INDEX(Employees!$P$5:$P$29,$A1290)="Per pay period",(N(INDEX(Employees!$Q$5:$Q$29,$A1290)))/Settings!$B$13,IF(INDEX(Employees!$P$5:$P$29,$A1290)="Per hour worked",N(INDEX(Employees!$R$5:$R$29,$A1290))*$I1290,IF(INDEX(Employees!$P$5:$P$29,$A1290)="Front-loaded",IF(OR($B1290=1,N($G1289)=0),N(INDEX(Employees!$Q$5:$Q$29,$A1290)),0),0))))</f>
        <v/>
      </c>
      <c r="R1290" s="48">
        <f>IF($F1290=0,0,SUMIFS('Time Off Log'!$H$5:$H$504,'Time Off Log'!$A$5:$A$504,$C1290,'Time Off Log'!$B$5:$B$504,"Sick",'Time Off Log'!$E$5:$E$504,"Approved",'Time Off Log'!$C$5:$C$504,"&gt;="&amp;INDEX(Periods!$E$5:$E$57,$B1290),'Time Off Log'!$C$5:$C$504,"&lt;="&amp;INDEX(Periods!$F$5:$F$57,$B1290)))</f>
        <v/>
      </c>
      <c r="S1290" s="48">
        <f>IF($B1290=1,N(INDEX(Employees!$T$5:$T$29,$A1290)),V1289)</f>
        <v/>
      </c>
      <c r="T1290" s="48">
        <f>IF(INDEX(Employees!$S$5:$S$29,$A1290)="",Q1290,MAX(0,MIN(Q1290,INDEX(Employees!$S$5:$S$29,$A1290)-(S1290-R1290))))</f>
        <v/>
      </c>
      <c r="U1290" s="48">
        <f>Q1290-T1290</f>
        <v/>
      </c>
      <c r="V1290" s="48">
        <f>S1290-R1290+T1290</f>
        <v/>
      </c>
    </row>
    <row r="1291">
      <c r="A1291" s="47" t="n">
        <v>25</v>
      </c>
      <c r="B1291" s="47" t="n">
        <v>15</v>
      </c>
      <c r="C1291" s="48">
        <f>INDEX(Employees!$B$5:$B$29,$A1291)&amp;""</f>
        <v/>
      </c>
      <c r="D1291" s="49">
        <f>INDEX(Periods!$B$5:$B$57,$B1291)</f>
        <v/>
      </c>
      <c r="E1291" s="49">
        <f>INDEX(Periods!$C$5:$C$57,$B1291)</f>
        <v/>
      </c>
      <c r="F1291" s="47">
        <f>IF(AND($C1291&lt;&gt;"",INDEX(Periods!$D$5:$D$57,$B1291)=1),1,0)</f>
        <v/>
      </c>
      <c r="G1291" s="47">
        <f>IF($F1291=0,0,IF(AND(OR(INDEX(Employees!$D$5:$D$29,$A1291)="",$E1291&gt;=INDEX(Employees!$D$5:$D$29,$A1291)+N(INDEX(Employees!$U$5:$U$29,$A1291))),OR(INDEX(Employees!$E$5:$E$29,$A1291)="",$D1291&lt;=INDEX(Employees!$E$5:$E$29,$A1291))),1,0))</f>
        <v/>
      </c>
      <c r="H1291" s="47">
        <f>IF($G1291=0,0,IF(INDEX(Employees!$D$5:$D$29,$A1291)="",0,DATEDIF(INDEX(Employees!$D$5:$D$29,$A1291),$E1291,"y")))</f>
        <v/>
      </c>
      <c r="I1291" s="48">
        <f>IF($G1291=0,0,IF(INDEX('Hours Worked'!$D$5:$BD$29,$A1291,$B1291)="",N(INDEX(Employees!$H$5:$H$29,$A1291)),INDEX('Hours Worked'!$D$5:$BD$29,$A1291,$B1291)))</f>
        <v/>
      </c>
      <c r="J1291" s="48">
        <f>IF(OR($G1291=0,INDEX(Employees!$O$5:$O$29,$A1291)&lt;&gt;"Yes"),0,IF(COUNTIF(Settings!$D$4:$D$9,"&lt;="&amp;$H1291)=0,0,INDEX(Settings!$E$4:$E$9,COUNTIF(Settings!$D$4:$D$9,"&lt;="&amp;$H1291))))</f>
        <v/>
      </c>
      <c r="K1291" s="48">
        <f>IF($G1291=0,0,IF(INDEX(Employees!$I$5:$I$29,$A1291)="Per pay period",(N(INDEX(Employees!$J$5:$J$29,$A1291))+$J1291)/Settings!$B$13,IF(INDEX(Employees!$I$5:$I$29,$A1291)="Per hour worked",N(INDEX(Employees!$K$5:$K$29,$A1291))*$I1291,IF(INDEX(Employees!$I$5:$I$29,$A1291)="Front-loaded",IF(OR($B1291=1,N($G1290)=0),N(INDEX(Employees!$J$5:$J$29,$A1291))+$J1291,0),0))))</f>
        <v/>
      </c>
      <c r="L1291" s="48">
        <f>IF($F1291=0,0,SUMIFS('Time Off Log'!$H$5:$H$504,'Time Off Log'!$A$5:$A$504,$C1291,'Time Off Log'!$B$5:$B$504,"PTO",'Time Off Log'!$E$5:$E$504,"Approved",'Time Off Log'!$C$5:$C$504,"&gt;="&amp;INDEX(Periods!$E$5:$E$57,$B1291),'Time Off Log'!$C$5:$C$504,"&lt;="&amp;INDEX(Periods!$F$5:$F$57,$B1291)))</f>
        <v/>
      </c>
      <c r="M1291" s="48">
        <f>IF($B1291=1,N(INDEX(Employees!$N$5:$N$29,$A1291)),P1290)</f>
        <v/>
      </c>
      <c r="N1291" s="48">
        <f>IF(INDEX(Employees!$L$5:$L$29,$A1291)="",K1291,MAX(0,MIN(K1291,INDEX(Employees!$L$5:$L$29,$A1291)-(M1291-L1291))))</f>
        <v/>
      </c>
      <c r="O1291" s="48">
        <f>K1291-N1291</f>
        <v/>
      </c>
      <c r="P1291" s="48">
        <f>M1291-L1291+N1291</f>
        <v/>
      </c>
      <c r="Q1291" s="48">
        <f>IF($G1291=0,0,IF(INDEX(Employees!$P$5:$P$29,$A1291)="Per pay period",(N(INDEX(Employees!$Q$5:$Q$29,$A1291)))/Settings!$B$13,IF(INDEX(Employees!$P$5:$P$29,$A1291)="Per hour worked",N(INDEX(Employees!$R$5:$R$29,$A1291))*$I1291,IF(INDEX(Employees!$P$5:$P$29,$A1291)="Front-loaded",IF(OR($B1291=1,N($G1290)=0),N(INDEX(Employees!$Q$5:$Q$29,$A1291)),0),0))))</f>
        <v/>
      </c>
      <c r="R1291" s="48">
        <f>IF($F1291=0,0,SUMIFS('Time Off Log'!$H$5:$H$504,'Time Off Log'!$A$5:$A$504,$C1291,'Time Off Log'!$B$5:$B$504,"Sick",'Time Off Log'!$E$5:$E$504,"Approved",'Time Off Log'!$C$5:$C$504,"&gt;="&amp;INDEX(Periods!$E$5:$E$57,$B1291),'Time Off Log'!$C$5:$C$504,"&lt;="&amp;INDEX(Periods!$F$5:$F$57,$B1291)))</f>
        <v/>
      </c>
      <c r="S1291" s="48">
        <f>IF($B1291=1,N(INDEX(Employees!$T$5:$T$29,$A1291)),V1290)</f>
        <v/>
      </c>
      <c r="T1291" s="48">
        <f>IF(INDEX(Employees!$S$5:$S$29,$A1291)="",Q1291,MAX(0,MIN(Q1291,INDEX(Employees!$S$5:$S$29,$A1291)-(S1291-R1291))))</f>
        <v/>
      </c>
      <c r="U1291" s="48">
        <f>Q1291-T1291</f>
        <v/>
      </c>
      <c r="V1291" s="48">
        <f>S1291-R1291+T1291</f>
        <v/>
      </c>
    </row>
    <row r="1292">
      <c r="A1292" s="47" t="n">
        <v>25</v>
      </c>
      <c r="B1292" s="47" t="n">
        <v>16</v>
      </c>
      <c r="C1292" s="48">
        <f>INDEX(Employees!$B$5:$B$29,$A1292)&amp;""</f>
        <v/>
      </c>
      <c r="D1292" s="49">
        <f>INDEX(Periods!$B$5:$B$57,$B1292)</f>
        <v/>
      </c>
      <c r="E1292" s="49">
        <f>INDEX(Periods!$C$5:$C$57,$B1292)</f>
        <v/>
      </c>
      <c r="F1292" s="47">
        <f>IF(AND($C1292&lt;&gt;"",INDEX(Periods!$D$5:$D$57,$B1292)=1),1,0)</f>
        <v/>
      </c>
      <c r="G1292" s="47">
        <f>IF($F1292=0,0,IF(AND(OR(INDEX(Employees!$D$5:$D$29,$A1292)="",$E1292&gt;=INDEX(Employees!$D$5:$D$29,$A1292)+N(INDEX(Employees!$U$5:$U$29,$A1292))),OR(INDEX(Employees!$E$5:$E$29,$A1292)="",$D1292&lt;=INDEX(Employees!$E$5:$E$29,$A1292))),1,0))</f>
        <v/>
      </c>
      <c r="H1292" s="47">
        <f>IF($G1292=0,0,IF(INDEX(Employees!$D$5:$D$29,$A1292)="",0,DATEDIF(INDEX(Employees!$D$5:$D$29,$A1292),$E1292,"y")))</f>
        <v/>
      </c>
      <c r="I1292" s="48">
        <f>IF($G1292=0,0,IF(INDEX('Hours Worked'!$D$5:$BD$29,$A1292,$B1292)="",N(INDEX(Employees!$H$5:$H$29,$A1292)),INDEX('Hours Worked'!$D$5:$BD$29,$A1292,$B1292)))</f>
        <v/>
      </c>
      <c r="J1292" s="48">
        <f>IF(OR($G1292=0,INDEX(Employees!$O$5:$O$29,$A1292)&lt;&gt;"Yes"),0,IF(COUNTIF(Settings!$D$4:$D$9,"&lt;="&amp;$H1292)=0,0,INDEX(Settings!$E$4:$E$9,COUNTIF(Settings!$D$4:$D$9,"&lt;="&amp;$H1292))))</f>
        <v/>
      </c>
      <c r="K1292" s="48">
        <f>IF($G1292=0,0,IF(INDEX(Employees!$I$5:$I$29,$A1292)="Per pay period",(N(INDEX(Employees!$J$5:$J$29,$A1292))+$J1292)/Settings!$B$13,IF(INDEX(Employees!$I$5:$I$29,$A1292)="Per hour worked",N(INDEX(Employees!$K$5:$K$29,$A1292))*$I1292,IF(INDEX(Employees!$I$5:$I$29,$A1292)="Front-loaded",IF(OR($B1292=1,N($G1291)=0),N(INDEX(Employees!$J$5:$J$29,$A1292))+$J1292,0),0))))</f>
        <v/>
      </c>
      <c r="L1292" s="48">
        <f>IF($F1292=0,0,SUMIFS('Time Off Log'!$H$5:$H$504,'Time Off Log'!$A$5:$A$504,$C1292,'Time Off Log'!$B$5:$B$504,"PTO",'Time Off Log'!$E$5:$E$504,"Approved",'Time Off Log'!$C$5:$C$504,"&gt;="&amp;INDEX(Periods!$E$5:$E$57,$B1292),'Time Off Log'!$C$5:$C$504,"&lt;="&amp;INDEX(Periods!$F$5:$F$57,$B1292)))</f>
        <v/>
      </c>
      <c r="M1292" s="48">
        <f>IF($B1292=1,N(INDEX(Employees!$N$5:$N$29,$A1292)),P1291)</f>
        <v/>
      </c>
      <c r="N1292" s="48">
        <f>IF(INDEX(Employees!$L$5:$L$29,$A1292)="",K1292,MAX(0,MIN(K1292,INDEX(Employees!$L$5:$L$29,$A1292)-(M1292-L1292))))</f>
        <v/>
      </c>
      <c r="O1292" s="48">
        <f>K1292-N1292</f>
        <v/>
      </c>
      <c r="P1292" s="48">
        <f>M1292-L1292+N1292</f>
        <v/>
      </c>
      <c r="Q1292" s="48">
        <f>IF($G1292=0,0,IF(INDEX(Employees!$P$5:$P$29,$A1292)="Per pay period",(N(INDEX(Employees!$Q$5:$Q$29,$A1292)))/Settings!$B$13,IF(INDEX(Employees!$P$5:$P$29,$A1292)="Per hour worked",N(INDEX(Employees!$R$5:$R$29,$A1292))*$I1292,IF(INDEX(Employees!$P$5:$P$29,$A1292)="Front-loaded",IF(OR($B1292=1,N($G1291)=0),N(INDEX(Employees!$Q$5:$Q$29,$A1292)),0),0))))</f>
        <v/>
      </c>
      <c r="R1292" s="48">
        <f>IF($F1292=0,0,SUMIFS('Time Off Log'!$H$5:$H$504,'Time Off Log'!$A$5:$A$504,$C1292,'Time Off Log'!$B$5:$B$504,"Sick",'Time Off Log'!$E$5:$E$504,"Approved",'Time Off Log'!$C$5:$C$504,"&gt;="&amp;INDEX(Periods!$E$5:$E$57,$B1292),'Time Off Log'!$C$5:$C$504,"&lt;="&amp;INDEX(Periods!$F$5:$F$57,$B1292)))</f>
        <v/>
      </c>
      <c r="S1292" s="48">
        <f>IF($B1292=1,N(INDEX(Employees!$T$5:$T$29,$A1292)),V1291)</f>
        <v/>
      </c>
      <c r="T1292" s="48">
        <f>IF(INDEX(Employees!$S$5:$S$29,$A1292)="",Q1292,MAX(0,MIN(Q1292,INDEX(Employees!$S$5:$S$29,$A1292)-(S1292-R1292))))</f>
        <v/>
      </c>
      <c r="U1292" s="48">
        <f>Q1292-T1292</f>
        <v/>
      </c>
      <c r="V1292" s="48">
        <f>S1292-R1292+T1292</f>
        <v/>
      </c>
    </row>
    <row r="1293">
      <c r="A1293" s="47" t="n">
        <v>25</v>
      </c>
      <c r="B1293" s="47" t="n">
        <v>17</v>
      </c>
      <c r="C1293" s="48">
        <f>INDEX(Employees!$B$5:$B$29,$A1293)&amp;""</f>
        <v/>
      </c>
      <c r="D1293" s="49">
        <f>INDEX(Periods!$B$5:$B$57,$B1293)</f>
        <v/>
      </c>
      <c r="E1293" s="49">
        <f>INDEX(Periods!$C$5:$C$57,$B1293)</f>
        <v/>
      </c>
      <c r="F1293" s="47">
        <f>IF(AND($C1293&lt;&gt;"",INDEX(Periods!$D$5:$D$57,$B1293)=1),1,0)</f>
        <v/>
      </c>
      <c r="G1293" s="47">
        <f>IF($F1293=0,0,IF(AND(OR(INDEX(Employees!$D$5:$D$29,$A1293)="",$E1293&gt;=INDEX(Employees!$D$5:$D$29,$A1293)+N(INDEX(Employees!$U$5:$U$29,$A1293))),OR(INDEX(Employees!$E$5:$E$29,$A1293)="",$D1293&lt;=INDEX(Employees!$E$5:$E$29,$A1293))),1,0))</f>
        <v/>
      </c>
      <c r="H1293" s="47">
        <f>IF($G1293=0,0,IF(INDEX(Employees!$D$5:$D$29,$A1293)="",0,DATEDIF(INDEX(Employees!$D$5:$D$29,$A1293),$E1293,"y")))</f>
        <v/>
      </c>
      <c r="I1293" s="48">
        <f>IF($G1293=0,0,IF(INDEX('Hours Worked'!$D$5:$BD$29,$A1293,$B1293)="",N(INDEX(Employees!$H$5:$H$29,$A1293)),INDEX('Hours Worked'!$D$5:$BD$29,$A1293,$B1293)))</f>
        <v/>
      </c>
      <c r="J1293" s="48">
        <f>IF(OR($G1293=0,INDEX(Employees!$O$5:$O$29,$A1293)&lt;&gt;"Yes"),0,IF(COUNTIF(Settings!$D$4:$D$9,"&lt;="&amp;$H1293)=0,0,INDEX(Settings!$E$4:$E$9,COUNTIF(Settings!$D$4:$D$9,"&lt;="&amp;$H1293))))</f>
        <v/>
      </c>
      <c r="K1293" s="48">
        <f>IF($G1293=0,0,IF(INDEX(Employees!$I$5:$I$29,$A1293)="Per pay period",(N(INDEX(Employees!$J$5:$J$29,$A1293))+$J1293)/Settings!$B$13,IF(INDEX(Employees!$I$5:$I$29,$A1293)="Per hour worked",N(INDEX(Employees!$K$5:$K$29,$A1293))*$I1293,IF(INDEX(Employees!$I$5:$I$29,$A1293)="Front-loaded",IF(OR($B1293=1,N($G1292)=0),N(INDEX(Employees!$J$5:$J$29,$A1293))+$J1293,0),0))))</f>
        <v/>
      </c>
      <c r="L1293" s="48">
        <f>IF($F1293=0,0,SUMIFS('Time Off Log'!$H$5:$H$504,'Time Off Log'!$A$5:$A$504,$C1293,'Time Off Log'!$B$5:$B$504,"PTO",'Time Off Log'!$E$5:$E$504,"Approved",'Time Off Log'!$C$5:$C$504,"&gt;="&amp;INDEX(Periods!$E$5:$E$57,$B1293),'Time Off Log'!$C$5:$C$504,"&lt;="&amp;INDEX(Periods!$F$5:$F$57,$B1293)))</f>
        <v/>
      </c>
      <c r="M1293" s="48">
        <f>IF($B1293=1,N(INDEX(Employees!$N$5:$N$29,$A1293)),P1292)</f>
        <v/>
      </c>
      <c r="N1293" s="48">
        <f>IF(INDEX(Employees!$L$5:$L$29,$A1293)="",K1293,MAX(0,MIN(K1293,INDEX(Employees!$L$5:$L$29,$A1293)-(M1293-L1293))))</f>
        <v/>
      </c>
      <c r="O1293" s="48">
        <f>K1293-N1293</f>
        <v/>
      </c>
      <c r="P1293" s="48">
        <f>M1293-L1293+N1293</f>
        <v/>
      </c>
      <c r="Q1293" s="48">
        <f>IF($G1293=0,0,IF(INDEX(Employees!$P$5:$P$29,$A1293)="Per pay period",(N(INDEX(Employees!$Q$5:$Q$29,$A1293)))/Settings!$B$13,IF(INDEX(Employees!$P$5:$P$29,$A1293)="Per hour worked",N(INDEX(Employees!$R$5:$R$29,$A1293))*$I1293,IF(INDEX(Employees!$P$5:$P$29,$A1293)="Front-loaded",IF(OR($B1293=1,N($G1292)=0),N(INDEX(Employees!$Q$5:$Q$29,$A1293)),0),0))))</f>
        <v/>
      </c>
      <c r="R1293" s="48">
        <f>IF($F1293=0,0,SUMIFS('Time Off Log'!$H$5:$H$504,'Time Off Log'!$A$5:$A$504,$C1293,'Time Off Log'!$B$5:$B$504,"Sick",'Time Off Log'!$E$5:$E$504,"Approved",'Time Off Log'!$C$5:$C$504,"&gt;="&amp;INDEX(Periods!$E$5:$E$57,$B1293),'Time Off Log'!$C$5:$C$504,"&lt;="&amp;INDEX(Periods!$F$5:$F$57,$B1293)))</f>
        <v/>
      </c>
      <c r="S1293" s="48">
        <f>IF($B1293=1,N(INDEX(Employees!$T$5:$T$29,$A1293)),V1292)</f>
        <v/>
      </c>
      <c r="T1293" s="48">
        <f>IF(INDEX(Employees!$S$5:$S$29,$A1293)="",Q1293,MAX(0,MIN(Q1293,INDEX(Employees!$S$5:$S$29,$A1293)-(S1293-R1293))))</f>
        <v/>
      </c>
      <c r="U1293" s="48">
        <f>Q1293-T1293</f>
        <v/>
      </c>
      <c r="V1293" s="48">
        <f>S1293-R1293+T1293</f>
        <v/>
      </c>
    </row>
    <row r="1294">
      <c r="A1294" s="47" t="n">
        <v>25</v>
      </c>
      <c r="B1294" s="47" t="n">
        <v>18</v>
      </c>
      <c r="C1294" s="48">
        <f>INDEX(Employees!$B$5:$B$29,$A1294)&amp;""</f>
        <v/>
      </c>
      <c r="D1294" s="49">
        <f>INDEX(Periods!$B$5:$B$57,$B1294)</f>
        <v/>
      </c>
      <c r="E1294" s="49">
        <f>INDEX(Periods!$C$5:$C$57,$B1294)</f>
        <v/>
      </c>
      <c r="F1294" s="47">
        <f>IF(AND($C1294&lt;&gt;"",INDEX(Periods!$D$5:$D$57,$B1294)=1),1,0)</f>
        <v/>
      </c>
      <c r="G1294" s="47">
        <f>IF($F1294=0,0,IF(AND(OR(INDEX(Employees!$D$5:$D$29,$A1294)="",$E1294&gt;=INDEX(Employees!$D$5:$D$29,$A1294)+N(INDEX(Employees!$U$5:$U$29,$A1294))),OR(INDEX(Employees!$E$5:$E$29,$A1294)="",$D1294&lt;=INDEX(Employees!$E$5:$E$29,$A1294))),1,0))</f>
        <v/>
      </c>
      <c r="H1294" s="47">
        <f>IF($G1294=0,0,IF(INDEX(Employees!$D$5:$D$29,$A1294)="",0,DATEDIF(INDEX(Employees!$D$5:$D$29,$A1294),$E1294,"y")))</f>
        <v/>
      </c>
      <c r="I1294" s="48">
        <f>IF($G1294=0,0,IF(INDEX('Hours Worked'!$D$5:$BD$29,$A1294,$B1294)="",N(INDEX(Employees!$H$5:$H$29,$A1294)),INDEX('Hours Worked'!$D$5:$BD$29,$A1294,$B1294)))</f>
        <v/>
      </c>
      <c r="J1294" s="48">
        <f>IF(OR($G1294=0,INDEX(Employees!$O$5:$O$29,$A1294)&lt;&gt;"Yes"),0,IF(COUNTIF(Settings!$D$4:$D$9,"&lt;="&amp;$H1294)=0,0,INDEX(Settings!$E$4:$E$9,COUNTIF(Settings!$D$4:$D$9,"&lt;="&amp;$H1294))))</f>
        <v/>
      </c>
      <c r="K1294" s="48">
        <f>IF($G1294=0,0,IF(INDEX(Employees!$I$5:$I$29,$A1294)="Per pay period",(N(INDEX(Employees!$J$5:$J$29,$A1294))+$J1294)/Settings!$B$13,IF(INDEX(Employees!$I$5:$I$29,$A1294)="Per hour worked",N(INDEX(Employees!$K$5:$K$29,$A1294))*$I1294,IF(INDEX(Employees!$I$5:$I$29,$A1294)="Front-loaded",IF(OR($B1294=1,N($G1293)=0),N(INDEX(Employees!$J$5:$J$29,$A1294))+$J1294,0),0))))</f>
        <v/>
      </c>
      <c r="L1294" s="48">
        <f>IF($F1294=0,0,SUMIFS('Time Off Log'!$H$5:$H$504,'Time Off Log'!$A$5:$A$504,$C1294,'Time Off Log'!$B$5:$B$504,"PTO",'Time Off Log'!$E$5:$E$504,"Approved",'Time Off Log'!$C$5:$C$504,"&gt;="&amp;INDEX(Periods!$E$5:$E$57,$B1294),'Time Off Log'!$C$5:$C$504,"&lt;="&amp;INDEX(Periods!$F$5:$F$57,$B1294)))</f>
        <v/>
      </c>
      <c r="M1294" s="48">
        <f>IF($B1294=1,N(INDEX(Employees!$N$5:$N$29,$A1294)),P1293)</f>
        <v/>
      </c>
      <c r="N1294" s="48">
        <f>IF(INDEX(Employees!$L$5:$L$29,$A1294)="",K1294,MAX(0,MIN(K1294,INDEX(Employees!$L$5:$L$29,$A1294)-(M1294-L1294))))</f>
        <v/>
      </c>
      <c r="O1294" s="48">
        <f>K1294-N1294</f>
        <v/>
      </c>
      <c r="P1294" s="48">
        <f>M1294-L1294+N1294</f>
        <v/>
      </c>
      <c r="Q1294" s="48">
        <f>IF($G1294=0,0,IF(INDEX(Employees!$P$5:$P$29,$A1294)="Per pay period",(N(INDEX(Employees!$Q$5:$Q$29,$A1294)))/Settings!$B$13,IF(INDEX(Employees!$P$5:$P$29,$A1294)="Per hour worked",N(INDEX(Employees!$R$5:$R$29,$A1294))*$I1294,IF(INDEX(Employees!$P$5:$P$29,$A1294)="Front-loaded",IF(OR($B1294=1,N($G1293)=0),N(INDEX(Employees!$Q$5:$Q$29,$A1294)),0),0))))</f>
        <v/>
      </c>
      <c r="R1294" s="48">
        <f>IF($F1294=0,0,SUMIFS('Time Off Log'!$H$5:$H$504,'Time Off Log'!$A$5:$A$504,$C1294,'Time Off Log'!$B$5:$B$504,"Sick",'Time Off Log'!$E$5:$E$504,"Approved",'Time Off Log'!$C$5:$C$504,"&gt;="&amp;INDEX(Periods!$E$5:$E$57,$B1294),'Time Off Log'!$C$5:$C$504,"&lt;="&amp;INDEX(Periods!$F$5:$F$57,$B1294)))</f>
        <v/>
      </c>
      <c r="S1294" s="48">
        <f>IF($B1294=1,N(INDEX(Employees!$T$5:$T$29,$A1294)),V1293)</f>
        <v/>
      </c>
      <c r="T1294" s="48">
        <f>IF(INDEX(Employees!$S$5:$S$29,$A1294)="",Q1294,MAX(0,MIN(Q1294,INDEX(Employees!$S$5:$S$29,$A1294)-(S1294-R1294))))</f>
        <v/>
      </c>
      <c r="U1294" s="48">
        <f>Q1294-T1294</f>
        <v/>
      </c>
      <c r="V1294" s="48">
        <f>S1294-R1294+T1294</f>
        <v/>
      </c>
    </row>
    <row r="1295">
      <c r="A1295" s="47" t="n">
        <v>25</v>
      </c>
      <c r="B1295" s="47" t="n">
        <v>19</v>
      </c>
      <c r="C1295" s="48">
        <f>INDEX(Employees!$B$5:$B$29,$A1295)&amp;""</f>
        <v/>
      </c>
      <c r="D1295" s="49">
        <f>INDEX(Periods!$B$5:$B$57,$B1295)</f>
        <v/>
      </c>
      <c r="E1295" s="49">
        <f>INDEX(Periods!$C$5:$C$57,$B1295)</f>
        <v/>
      </c>
      <c r="F1295" s="47">
        <f>IF(AND($C1295&lt;&gt;"",INDEX(Periods!$D$5:$D$57,$B1295)=1),1,0)</f>
        <v/>
      </c>
      <c r="G1295" s="47">
        <f>IF($F1295=0,0,IF(AND(OR(INDEX(Employees!$D$5:$D$29,$A1295)="",$E1295&gt;=INDEX(Employees!$D$5:$D$29,$A1295)+N(INDEX(Employees!$U$5:$U$29,$A1295))),OR(INDEX(Employees!$E$5:$E$29,$A1295)="",$D1295&lt;=INDEX(Employees!$E$5:$E$29,$A1295))),1,0))</f>
        <v/>
      </c>
      <c r="H1295" s="47">
        <f>IF($G1295=0,0,IF(INDEX(Employees!$D$5:$D$29,$A1295)="",0,DATEDIF(INDEX(Employees!$D$5:$D$29,$A1295),$E1295,"y")))</f>
        <v/>
      </c>
      <c r="I1295" s="48">
        <f>IF($G1295=0,0,IF(INDEX('Hours Worked'!$D$5:$BD$29,$A1295,$B1295)="",N(INDEX(Employees!$H$5:$H$29,$A1295)),INDEX('Hours Worked'!$D$5:$BD$29,$A1295,$B1295)))</f>
        <v/>
      </c>
      <c r="J1295" s="48">
        <f>IF(OR($G1295=0,INDEX(Employees!$O$5:$O$29,$A1295)&lt;&gt;"Yes"),0,IF(COUNTIF(Settings!$D$4:$D$9,"&lt;="&amp;$H1295)=0,0,INDEX(Settings!$E$4:$E$9,COUNTIF(Settings!$D$4:$D$9,"&lt;="&amp;$H1295))))</f>
        <v/>
      </c>
      <c r="K1295" s="48">
        <f>IF($G1295=0,0,IF(INDEX(Employees!$I$5:$I$29,$A1295)="Per pay period",(N(INDEX(Employees!$J$5:$J$29,$A1295))+$J1295)/Settings!$B$13,IF(INDEX(Employees!$I$5:$I$29,$A1295)="Per hour worked",N(INDEX(Employees!$K$5:$K$29,$A1295))*$I1295,IF(INDEX(Employees!$I$5:$I$29,$A1295)="Front-loaded",IF(OR($B1295=1,N($G1294)=0),N(INDEX(Employees!$J$5:$J$29,$A1295))+$J1295,0),0))))</f>
        <v/>
      </c>
      <c r="L1295" s="48">
        <f>IF($F1295=0,0,SUMIFS('Time Off Log'!$H$5:$H$504,'Time Off Log'!$A$5:$A$504,$C1295,'Time Off Log'!$B$5:$B$504,"PTO",'Time Off Log'!$E$5:$E$504,"Approved",'Time Off Log'!$C$5:$C$504,"&gt;="&amp;INDEX(Periods!$E$5:$E$57,$B1295),'Time Off Log'!$C$5:$C$504,"&lt;="&amp;INDEX(Periods!$F$5:$F$57,$B1295)))</f>
        <v/>
      </c>
      <c r="M1295" s="48">
        <f>IF($B1295=1,N(INDEX(Employees!$N$5:$N$29,$A1295)),P1294)</f>
        <v/>
      </c>
      <c r="N1295" s="48">
        <f>IF(INDEX(Employees!$L$5:$L$29,$A1295)="",K1295,MAX(0,MIN(K1295,INDEX(Employees!$L$5:$L$29,$A1295)-(M1295-L1295))))</f>
        <v/>
      </c>
      <c r="O1295" s="48">
        <f>K1295-N1295</f>
        <v/>
      </c>
      <c r="P1295" s="48">
        <f>M1295-L1295+N1295</f>
        <v/>
      </c>
      <c r="Q1295" s="48">
        <f>IF($G1295=0,0,IF(INDEX(Employees!$P$5:$P$29,$A1295)="Per pay period",(N(INDEX(Employees!$Q$5:$Q$29,$A1295)))/Settings!$B$13,IF(INDEX(Employees!$P$5:$P$29,$A1295)="Per hour worked",N(INDEX(Employees!$R$5:$R$29,$A1295))*$I1295,IF(INDEX(Employees!$P$5:$P$29,$A1295)="Front-loaded",IF(OR($B1295=1,N($G1294)=0),N(INDEX(Employees!$Q$5:$Q$29,$A1295)),0),0))))</f>
        <v/>
      </c>
      <c r="R1295" s="48">
        <f>IF($F1295=0,0,SUMIFS('Time Off Log'!$H$5:$H$504,'Time Off Log'!$A$5:$A$504,$C1295,'Time Off Log'!$B$5:$B$504,"Sick",'Time Off Log'!$E$5:$E$504,"Approved",'Time Off Log'!$C$5:$C$504,"&gt;="&amp;INDEX(Periods!$E$5:$E$57,$B1295),'Time Off Log'!$C$5:$C$504,"&lt;="&amp;INDEX(Periods!$F$5:$F$57,$B1295)))</f>
        <v/>
      </c>
      <c r="S1295" s="48">
        <f>IF($B1295=1,N(INDEX(Employees!$T$5:$T$29,$A1295)),V1294)</f>
        <v/>
      </c>
      <c r="T1295" s="48">
        <f>IF(INDEX(Employees!$S$5:$S$29,$A1295)="",Q1295,MAX(0,MIN(Q1295,INDEX(Employees!$S$5:$S$29,$A1295)-(S1295-R1295))))</f>
        <v/>
      </c>
      <c r="U1295" s="48">
        <f>Q1295-T1295</f>
        <v/>
      </c>
      <c r="V1295" s="48">
        <f>S1295-R1295+T1295</f>
        <v/>
      </c>
    </row>
    <row r="1296">
      <c r="A1296" s="47" t="n">
        <v>25</v>
      </c>
      <c r="B1296" s="47" t="n">
        <v>20</v>
      </c>
      <c r="C1296" s="48">
        <f>INDEX(Employees!$B$5:$B$29,$A1296)&amp;""</f>
        <v/>
      </c>
      <c r="D1296" s="49">
        <f>INDEX(Periods!$B$5:$B$57,$B1296)</f>
        <v/>
      </c>
      <c r="E1296" s="49">
        <f>INDEX(Periods!$C$5:$C$57,$B1296)</f>
        <v/>
      </c>
      <c r="F1296" s="47">
        <f>IF(AND($C1296&lt;&gt;"",INDEX(Periods!$D$5:$D$57,$B1296)=1),1,0)</f>
        <v/>
      </c>
      <c r="G1296" s="47">
        <f>IF($F1296=0,0,IF(AND(OR(INDEX(Employees!$D$5:$D$29,$A1296)="",$E1296&gt;=INDEX(Employees!$D$5:$D$29,$A1296)+N(INDEX(Employees!$U$5:$U$29,$A1296))),OR(INDEX(Employees!$E$5:$E$29,$A1296)="",$D1296&lt;=INDEX(Employees!$E$5:$E$29,$A1296))),1,0))</f>
        <v/>
      </c>
      <c r="H1296" s="47">
        <f>IF($G1296=0,0,IF(INDEX(Employees!$D$5:$D$29,$A1296)="",0,DATEDIF(INDEX(Employees!$D$5:$D$29,$A1296),$E1296,"y")))</f>
        <v/>
      </c>
      <c r="I1296" s="48">
        <f>IF($G1296=0,0,IF(INDEX('Hours Worked'!$D$5:$BD$29,$A1296,$B1296)="",N(INDEX(Employees!$H$5:$H$29,$A1296)),INDEX('Hours Worked'!$D$5:$BD$29,$A1296,$B1296)))</f>
        <v/>
      </c>
      <c r="J1296" s="48">
        <f>IF(OR($G1296=0,INDEX(Employees!$O$5:$O$29,$A1296)&lt;&gt;"Yes"),0,IF(COUNTIF(Settings!$D$4:$D$9,"&lt;="&amp;$H1296)=0,0,INDEX(Settings!$E$4:$E$9,COUNTIF(Settings!$D$4:$D$9,"&lt;="&amp;$H1296))))</f>
        <v/>
      </c>
      <c r="K1296" s="48">
        <f>IF($G1296=0,0,IF(INDEX(Employees!$I$5:$I$29,$A1296)="Per pay period",(N(INDEX(Employees!$J$5:$J$29,$A1296))+$J1296)/Settings!$B$13,IF(INDEX(Employees!$I$5:$I$29,$A1296)="Per hour worked",N(INDEX(Employees!$K$5:$K$29,$A1296))*$I1296,IF(INDEX(Employees!$I$5:$I$29,$A1296)="Front-loaded",IF(OR($B1296=1,N($G1295)=0),N(INDEX(Employees!$J$5:$J$29,$A1296))+$J1296,0),0))))</f>
        <v/>
      </c>
      <c r="L1296" s="48">
        <f>IF($F1296=0,0,SUMIFS('Time Off Log'!$H$5:$H$504,'Time Off Log'!$A$5:$A$504,$C1296,'Time Off Log'!$B$5:$B$504,"PTO",'Time Off Log'!$E$5:$E$504,"Approved",'Time Off Log'!$C$5:$C$504,"&gt;="&amp;INDEX(Periods!$E$5:$E$57,$B1296),'Time Off Log'!$C$5:$C$504,"&lt;="&amp;INDEX(Periods!$F$5:$F$57,$B1296)))</f>
        <v/>
      </c>
      <c r="M1296" s="48">
        <f>IF($B1296=1,N(INDEX(Employees!$N$5:$N$29,$A1296)),P1295)</f>
        <v/>
      </c>
      <c r="N1296" s="48">
        <f>IF(INDEX(Employees!$L$5:$L$29,$A1296)="",K1296,MAX(0,MIN(K1296,INDEX(Employees!$L$5:$L$29,$A1296)-(M1296-L1296))))</f>
        <v/>
      </c>
      <c r="O1296" s="48">
        <f>K1296-N1296</f>
        <v/>
      </c>
      <c r="P1296" s="48">
        <f>M1296-L1296+N1296</f>
        <v/>
      </c>
      <c r="Q1296" s="48">
        <f>IF($G1296=0,0,IF(INDEX(Employees!$P$5:$P$29,$A1296)="Per pay period",(N(INDEX(Employees!$Q$5:$Q$29,$A1296)))/Settings!$B$13,IF(INDEX(Employees!$P$5:$P$29,$A1296)="Per hour worked",N(INDEX(Employees!$R$5:$R$29,$A1296))*$I1296,IF(INDEX(Employees!$P$5:$P$29,$A1296)="Front-loaded",IF(OR($B1296=1,N($G1295)=0),N(INDEX(Employees!$Q$5:$Q$29,$A1296)),0),0))))</f>
        <v/>
      </c>
      <c r="R1296" s="48">
        <f>IF($F1296=0,0,SUMIFS('Time Off Log'!$H$5:$H$504,'Time Off Log'!$A$5:$A$504,$C1296,'Time Off Log'!$B$5:$B$504,"Sick",'Time Off Log'!$E$5:$E$504,"Approved",'Time Off Log'!$C$5:$C$504,"&gt;="&amp;INDEX(Periods!$E$5:$E$57,$B1296),'Time Off Log'!$C$5:$C$504,"&lt;="&amp;INDEX(Periods!$F$5:$F$57,$B1296)))</f>
        <v/>
      </c>
      <c r="S1296" s="48">
        <f>IF($B1296=1,N(INDEX(Employees!$T$5:$T$29,$A1296)),V1295)</f>
        <v/>
      </c>
      <c r="T1296" s="48">
        <f>IF(INDEX(Employees!$S$5:$S$29,$A1296)="",Q1296,MAX(0,MIN(Q1296,INDEX(Employees!$S$5:$S$29,$A1296)-(S1296-R1296))))</f>
        <v/>
      </c>
      <c r="U1296" s="48">
        <f>Q1296-T1296</f>
        <v/>
      </c>
      <c r="V1296" s="48">
        <f>S1296-R1296+T1296</f>
        <v/>
      </c>
    </row>
    <row r="1297">
      <c r="A1297" s="47" t="n">
        <v>25</v>
      </c>
      <c r="B1297" s="47" t="n">
        <v>21</v>
      </c>
      <c r="C1297" s="48">
        <f>INDEX(Employees!$B$5:$B$29,$A1297)&amp;""</f>
        <v/>
      </c>
      <c r="D1297" s="49">
        <f>INDEX(Periods!$B$5:$B$57,$B1297)</f>
        <v/>
      </c>
      <c r="E1297" s="49">
        <f>INDEX(Periods!$C$5:$C$57,$B1297)</f>
        <v/>
      </c>
      <c r="F1297" s="47">
        <f>IF(AND($C1297&lt;&gt;"",INDEX(Periods!$D$5:$D$57,$B1297)=1),1,0)</f>
        <v/>
      </c>
      <c r="G1297" s="47">
        <f>IF($F1297=0,0,IF(AND(OR(INDEX(Employees!$D$5:$D$29,$A1297)="",$E1297&gt;=INDEX(Employees!$D$5:$D$29,$A1297)+N(INDEX(Employees!$U$5:$U$29,$A1297))),OR(INDEX(Employees!$E$5:$E$29,$A1297)="",$D1297&lt;=INDEX(Employees!$E$5:$E$29,$A1297))),1,0))</f>
        <v/>
      </c>
      <c r="H1297" s="47">
        <f>IF($G1297=0,0,IF(INDEX(Employees!$D$5:$D$29,$A1297)="",0,DATEDIF(INDEX(Employees!$D$5:$D$29,$A1297),$E1297,"y")))</f>
        <v/>
      </c>
      <c r="I1297" s="48">
        <f>IF($G1297=0,0,IF(INDEX('Hours Worked'!$D$5:$BD$29,$A1297,$B1297)="",N(INDEX(Employees!$H$5:$H$29,$A1297)),INDEX('Hours Worked'!$D$5:$BD$29,$A1297,$B1297)))</f>
        <v/>
      </c>
      <c r="J1297" s="48">
        <f>IF(OR($G1297=0,INDEX(Employees!$O$5:$O$29,$A1297)&lt;&gt;"Yes"),0,IF(COUNTIF(Settings!$D$4:$D$9,"&lt;="&amp;$H1297)=0,0,INDEX(Settings!$E$4:$E$9,COUNTIF(Settings!$D$4:$D$9,"&lt;="&amp;$H1297))))</f>
        <v/>
      </c>
      <c r="K1297" s="48">
        <f>IF($G1297=0,0,IF(INDEX(Employees!$I$5:$I$29,$A1297)="Per pay period",(N(INDEX(Employees!$J$5:$J$29,$A1297))+$J1297)/Settings!$B$13,IF(INDEX(Employees!$I$5:$I$29,$A1297)="Per hour worked",N(INDEX(Employees!$K$5:$K$29,$A1297))*$I1297,IF(INDEX(Employees!$I$5:$I$29,$A1297)="Front-loaded",IF(OR($B1297=1,N($G1296)=0),N(INDEX(Employees!$J$5:$J$29,$A1297))+$J1297,0),0))))</f>
        <v/>
      </c>
      <c r="L1297" s="48">
        <f>IF($F1297=0,0,SUMIFS('Time Off Log'!$H$5:$H$504,'Time Off Log'!$A$5:$A$504,$C1297,'Time Off Log'!$B$5:$B$504,"PTO",'Time Off Log'!$E$5:$E$504,"Approved",'Time Off Log'!$C$5:$C$504,"&gt;="&amp;INDEX(Periods!$E$5:$E$57,$B1297),'Time Off Log'!$C$5:$C$504,"&lt;="&amp;INDEX(Periods!$F$5:$F$57,$B1297)))</f>
        <v/>
      </c>
      <c r="M1297" s="48">
        <f>IF($B1297=1,N(INDEX(Employees!$N$5:$N$29,$A1297)),P1296)</f>
        <v/>
      </c>
      <c r="N1297" s="48">
        <f>IF(INDEX(Employees!$L$5:$L$29,$A1297)="",K1297,MAX(0,MIN(K1297,INDEX(Employees!$L$5:$L$29,$A1297)-(M1297-L1297))))</f>
        <v/>
      </c>
      <c r="O1297" s="48">
        <f>K1297-N1297</f>
        <v/>
      </c>
      <c r="P1297" s="48">
        <f>M1297-L1297+N1297</f>
        <v/>
      </c>
      <c r="Q1297" s="48">
        <f>IF($G1297=0,0,IF(INDEX(Employees!$P$5:$P$29,$A1297)="Per pay period",(N(INDEX(Employees!$Q$5:$Q$29,$A1297)))/Settings!$B$13,IF(INDEX(Employees!$P$5:$P$29,$A1297)="Per hour worked",N(INDEX(Employees!$R$5:$R$29,$A1297))*$I1297,IF(INDEX(Employees!$P$5:$P$29,$A1297)="Front-loaded",IF(OR($B1297=1,N($G1296)=0),N(INDEX(Employees!$Q$5:$Q$29,$A1297)),0),0))))</f>
        <v/>
      </c>
      <c r="R1297" s="48">
        <f>IF($F1297=0,0,SUMIFS('Time Off Log'!$H$5:$H$504,'Time Off Log'!$A$5:$A$504,$C1297,'Time Off Log'!$B$5:$B$504,"Sick",'Time Off Log'!$E$5:$E$504,"Approved",'Time Off Log'!$C$5:$C$504,"&gt;="&amp;INDEX(Periods!$E$5:$E$57,$B1297),'Time Off Log'!$C$5:$C$504,"&lt;="&amp;INDEX(Periods!$F$5:$F$57,$B1297)))</f>
        <v/>
      </c>
      <c r="S1297" s="48">
        <f>IF($B1297=1,N(INDEX(Employees!$T$5:$T$29,$A1297)),V1296)</f>
        <v/>
      </c>
      <c r="T1297" s="48">
        <f>IF(INDEX(Employees!$S$5:$S$29,$A1297)="",Q1297,MAX(0,MIN(Q1297,INDEX(Employees!$S$5:$S$29,$A1297)-(S1297-R1297))))</f>
        <v/>
      </c>
      <c r="U1297" s="48">
        <f>Q1297-T1297</f>
        <v/>
      </c>
      <c r="V1297" s="48">
        <f>S1297-R1297+T1297</f>
        <v/>
      </c>
    </row>
    <row r="1298">
      <c r="A1298" s="47" t="n">
        <v>25</v>
      </c>
      <c r="B1298" s="47" t="n">
        <v>22</v>
      </c>
      <c r="C1298" s="48">
        <f>INDEX(Employees!$B$5:$B$29,$A1298)&amp;""</f>
        <v/>
      </c>
      <c r="D1298" s="49">
        <f>INDEX(Periods!$B$5:$B$57,$B1298)</f>
        <v/>
      </c>
      <c r="E1298" s="49">
        <f>INDEX(Periods!$C$5:$C$57,$B1298)</f>
        <v/>
      </c>
      <c r="F1298" s="47">
        <f>IF(AND($C1298&lt;&gt;"",INDEX(Periods!$D$5:$D$57,$B1298)=1),1,0)</f>
        <v/>
      </c>
      <c r="G1298" s="47">
        <f>IF($F1298=0,0,IF(AND(OR(INDEX(Employees!$D$5:$D$29,$A1298)="",$E1298&gt;=INDEX(Employees!$D$5:$D$29,$A1298)+N(INDEX(Employees!$U$5:$U$29,$A1298))),OR(INDEX(Employees!$E$5:$E$29,$A1298)="",$D1298&lt;=INDEX(Employees!$E$5:$E$29,$A1298))),1,0))</f>
        <v/>
      </c>
      <c r="H1298" s="47">
        <f>IF($G1298=0,0,IF(INDEX(Employees!$D$5:$D$29,$A1298)="",0,DATEDIF(INDEX(Employees!$D$5:$D$29,$A1298),$E1298,"y")))</f>
        <v/>
      </c>
      <c r="I1298" s="48">
        <f>IF($G1298=0,0,IF(INDEX('Hours Worked'!$D$5:$BD$29,$A1298,$B1298)="",N(INDEX(Employees!$H$5:$H$29,$A1298)),INDEX('Hours Worked'!$D$5:$BD$29,$A1298,$B1298)))</f>
        <v/>
      </c>
      <c r="J1298" s="48">
        <f>IF(OR($G1298=0,INDEX(Employees!$O$5:$O$29,$A1298)&lt;&gt;"Yes"),0,IF(COUNTIF(Settings!$D$4:$D$9,"&lt;="&amp;$H1298)=0,0,INDEX(Settings!$E$4:$E$9,COUNTIF(Settings!$D$4:$D$9,"&lt;="&amp;$H1298))))</f>
        <v/>
      </c>
      <c r="K1298" s="48">
        <f>IF($G1298=0,0,IF(INDEX(Employees!$I$5:$I$29,$A1298)="Per pay period",(N(INDEX(Employees!$J$5:$J$29,$A1298))+$J1298)/Settings!$B$13,IF(INDEX(Employees!$I$5:$I$29,$A1298)="Per hour worked",N(INDEX(Employees!$K$5:$K$29,$A1298))*$I1298,IF(INDEX(Employees!$I$5:$I$29,$A1298)="Front-loaded",IF(OR($B1298=1,N($G1297)=0),N(INDEX(Employees!$J$5:$J$29,$A1298))+$J1298,0),0))))</f>
        <v/>
      </c>
      <c r="L1298" s="48">
        <f>IF($F1298=0,0,SUMIFS('Time Off Log'!$H$5:$H$504,'Time Off Log'!$A$5:$A$504,$C1298,'Time Off Log'!$B$5:$B$504,"PTO",'Time Off Log'!$E$5:$E$504,"Approved",'Time Off Log'!$C$5:$C$504,"&gt;="&amp;INDEX(Periods!$E$5:$E$57,$B1298),'Time Off Log'!$C$5:$C$504,"&lt;="&amp;INDEX(Periods!$F$5:$F$57,$B1298)))</f>
        <v/>
      </c>
      <c r="M1298" s="48">
        <f>IF($B1298=1,N(INDEX(Employees!$N$5:$N$29,$A1298)),P1297)</f>
        <v/>
      </c>
      <c r="N1298" s="48">
        <f>IF(INDEX(Employees!$L$5:$L$29,$A1298)="",K1298,MAX(0,MIN(K1298,INDEX(Employees!$L$5:$L$29,$A1298)-(M1298-L1298))))</f>
        <v/>
      </c>
      <c r="O1298" s="48">
        <f>K1298-N1298</f>
        <v/>
      </c>
      <c r="P1298" s="48">
        <f>M1298-L1298+N1298</f>
        <v/>
      </c>
      <c r="Q1298" s="48">
        <f>IF($G1298=0,0,IF(INDEX(Employees!$P$5:$P$29,$A1298)="Per pay period",(N(INDEX(Employees!$Q$5:$Q$29,$A1298)))/Settings!$B$13,IF(INDEX(Employees!$P$5:$P$29,$A1298)="Per hour worked",N(INDEX(Employees!$R$5:$R$29,$A1298))*$I1298,IF(INDEX(Employees!$P$5:$P$29,$A1298)="Front-loaded",IF(OR($B1298=1,N($G1297)=0),N(INDEX(Employees!$Q$5:$Q$29,$A1298)),0),0))))</f>
        <v/>
      </c>
      <c r="R1298" s="48">
        <f>IF($F1298=0,0,SUMIFS('Time Off Log'!$H$5:$H$504,'Time Off Log'!$A$5:$A$504,$C1298,'Time Off Log'!$B$5:$B$504,"Sick",'Time Off Log'!$E$5:$E$504,"Approved",'Time Off Log'!$C$5:$C$504,"&gt;="&amp;INDEX(Periods!$E$5:$E$57,$B1298),'Time Off Log'!$C$5:$C$504,"&lt;="&amp;INDEX(Periods!$F$5:$F$57,$B1298)))</f>
        <v/>
      </c>
      <c r="S1298" s="48">
        <f>IF($B1298=1,N(INDEX(Employees!$T$5:$T$29,$A1298)),V1297)</f>
        <v/>
      </c>
      <c r="T1298" s="48">
        <f>IF(INDEX(Employees!$S$5:$S$29,$A1298)="",Q1298,MAX(0,MIN(Q1298,INDEX(Employees!$S$5:$S$29,$A1298)-(S1298-R1298))))</f>
        <v/>
      </c>
      <c r="U1298" s="48">
        <f>Q1298-T1298</f>
        <v/>
      </c>
      <c r="V1298" s="48">
        <f>S1298-R1298+T1298</f>
        <v/>
      </c>
    </row>
    <row r="1299">
      <c r="A1299" s="47" t="n">
        <v>25</v>
      </c>
      <c r="B1299" s="47" t="n">
        <v>23</v>
      </c>
      <c r="C1299" s="48">
        <f>INDEX(Employees!$B$5:$B$29,$A1299)&amp;""</f>
        <v/>
      </c>
      <c r="D1299" s="49">
        <f>INDEX(Periods!$B$5:$B$57,$B1299)</f>
        <v/>
      </c>
      <c r="E1299" s="49">
        <f>INDEX(Periods!$C$5:$C$57,$B1299)</f>
        <v/>
      </c>
      <c r="F1299" s="47">
        <f>IF(AND($C1299&lt;&gt;"",INDEX(Periods!$D$5:$D$57,$B1299)=1),1,0)</f>
        <v/>
      </c>
      <c r="G1299" s="47">
        <f>IF($F1299=0,0,IF(AND(OR(INDEX(Employees!$D$5:$D$29,$A1299)="",$E1299&gt;=INDEX(Employees!$D$5:$D$29,$A1299)+N(INDEX(Employees!$U$5:$U$29,$A1299))),OR(INDEX(Employees!$E$5:$E$29,$A1299)="",$D1299&lt;=INDEX(Employees!$E$5:$E$29,$A1299))),1,0))</f>
        <v/>
      </c>
      <c r="H1299" s="47">
        <f>IF($G1299=0,0,IF(INDEX(Employees!$D$5:$D$29,$A1299)="",0,DATEDIF(INDEX(Employees!$D$5:$D$29,$A1299),$E1299,"y")))</f>
        <v/>
      </c>
      <c r="I1299" s="48">
        <f>IF($G1299=0,0,IF(INDEX('Hours Worked'!$D$5:$BD$29,$A1299,$B1299)="",N(INDEX(Employees!$H$5:$H$29,$A1299)),INDEX('Hours Worked'!$D$5:$BD$29,$A1299,$B1299)))</f>
        <v/>
      </c>
      <c r="J1299" s="48">
        <f>IF(OR($G1299=0,INDEX(Employees!$O$5:$O$29,$A1299)&lt;&gt;"Yes"),0,IF(COUNTIF(Settings!$D$4:$D$9,"&lt;="&amp;$H1299)=0,0,INDEX(Settings!$E$4:$E$9,COUNTIF(Settings!$D$4:$D$9,"&lt;="&amp;$H1299))))</f>
        <v/>
      </c>
      <c r="K1299" s="48">
        <f>IF($G1299=0,0,IF(INDEX(Employees!$I$5:$I$29,$A1299)="Per pay period",(N(INDEX(Employees!$J$5:$J$29,$A1299))+$J1299)/Settings!$B$13,IF(INDEX(Employees!$I$5:$I$29,$A1299)="Per hour worked",N(INDEX(Employees!$K$5:$K$29,$A1299))*$I1299,IF(INDEX(Employees!$I$5:$I$29,$A1299)="Front-loaded",IF(OR($B1299=1,N($G1298)=0),N(INDEX(Employees!$J$5:$J$29,$A1299))+$J1299,0),0))))</f>
        <v/>
      </c>
      <c r="L1299" s="48">
        <f>IF($F1299=0,0,SUMIFS('Time Off Log'!$H$5:$H$504,'Time Off Log'!$A$5:$A$504,$C1299,'Time Off Log'!$B$5:$B$504,"PTO",'Time Off Log'!$E$5:$E$504,"Approved",'Time Off Log'!$C$5:$C$504,"&gt;="&amp;INDEX(Periods!$E$5:$E$57,$B1299),'Time Off Log'!$C$5:$C$504,"&lt;="&amp;INDEX(Periods!$F$5:$F$57,$B1299)))</f>
        <v/>
      </c>
      <c r="M1299" s="48">
        <f>IF($B1299=1,N(INDEX(Employees!$N$5:$N$29,$A1299)),P1298)</f>
        <v/>
      </c>
      <c r="N1299" s="48">
        <f>IF(INDEX(Employees!$L$5:$L$29,$A1299)="",K1299,MAX(0,MIN(K1299,INDEX(Employees!$L$5:$L$29,$A1299)-(M1299-L1299))))</f>
        <v/>
      </c>
      <c r="O1299" s="48">
        <f>K1299-N1299</f>
        <v/>
      </c>
      <c r="P1299" s="48">
        <f>M1299-L1299+N1299</f>
        <v/>
      </c>
      <c r="Q1299" s="48">
        <f>IF($G1299=0,0,IF(INDEX(Employees!$P$5:$P$29,$A1299)="Per pay period",(N(INDEX(Employees!$Q$5:$Q$29,$A1299)))/Settings!$B$13,IF(INDEX(Employees!$P$5:$P$29,$A1299)="Per hour worked",N(INDEX(Employees!$R$5:$R$29,$A1299))*$I1299,IF(INDEX(Employees!$P$5:$P$29,$A1299)="Front-loaded",IF(OR($B1299=1,N($G1298)=0),N(INDEX(Employees!$Q$5:$Q$29,$A1299)),0),0))))</f>
        <v/>
      </c>
      <c r="R1299" s="48">
        <f>IF($F1299=0,0,SUMIFS('Time Off Log'!$H$5:$H$504,'Time Off Log'!$A$5:$A$504,$C1299,'Time Off Log'!$B$5:$B$504,"Sick",'Time Off Log'!$E$5:$E$504,"Approved",'Time Off Log'!$C$5:$C$504,"&gt;="&amp;INDEX(Periods!$E$5:$E$57,$B1299),'Time Off Log'!$C$5:$C$504,"&lt;="&amp;INDEX(Periods!$F$5:$F$57,$B1299)))</f>
        <v/>
      </c>
      <c r="S1299" s="48">
        <f>IF($B1299=1,N(INDEX(Employees!$T$5:$T$29,$A1299)),V1298)</f>
        <v/>
      </c>
      <c r="T1299" s="48">
        <f>IF(INDEX(Employees!$S$5:$S$29,$A1299)="",Q1299,MAX(0,MIN(Q1299,INDEX(Employees!$S$5:$S$29,$A1299)-(S1299-R1299))))</f>
        <v/>
      </c>
      <c r="U1299" s="48">
        <f>Q1299-T1299</f>
        <v/>
      </c>
      <c r="V1299" s="48">
        <f>S1299-R1299+T1299</f>
        <v/>
      </c>
    </row>
    <row r="1300">
      <c r="A1300" s="47" t="n">
        <v>25</v>
      </c>
      <c r="B1300" s="47" t="n">
        <v>24</v>
      </c>
      <c r="C1300" s="48">
        <f>INDEX(Employees!$B$5:$B$29,$A1300)&amp;""</f>
        <v/>
      </c>
      <c r="D1300" s="49">
        <f>INDEX(Periods!$B$5:$B$57,$B1300)</f>
        <v/>
      </c>
      <c r="E1300" s="49">
        <f>INDEX(Periods!$C$5:$C$57,$B1300)</f>
        <v/>
      </c>
      <c r="F1300" s="47">
        <f>IF(AND($C1300&lt;&gt;"",INDEX(Periods!$D$5:$D$57,$B1300)=1),1,0)</f>
        <v/>
      </c>
      <c r="G1300" s="47">
        <f>IF($F1300=0,0,IF(AND(OR(INDEX(Employees!$D$5:$D$29,$A1300)="",$E1300&gt;=INDEX(Employees!$D$5:$D$29,$A1300)+N(INDEX(Employees!$U$5:$U$29,$A1300))),OR(INDEX(Employees!$E$5:$E$29,$A1300)="",$D1300&lt;=INDEX(Employees!$E$5:$E$29,$A1300))),1,0))</f>
        <v/>
      </c>
      <c r="H1300" s="47">
        <f>IF($G1300=0,0,IF(INDEX(Employees!$D$5:$D$29,$A1300)="",0,DATEDIF(INDEX(Employees!$D$5:$D$29,$A1300),$E1300,"y")))</f>
        <v/>
      </c>
      <c r="I1300" s="48">
        <f>IF($G1300=0,0,IF(INDEX('Hours Worked'!$D$5:$BD$29,$A1300,$B1300)="",N(INDEX(Employees!$H$5:$H$29,$A1300)),INDEX('Hours Worked'!$D$5:$BD$29,$A1300,$B1300)))</f>
        <v/>
      </c>
      <c r="J1300" s="48">
        <f>IF(OR($G1300=0,INDEX(Employees!$O$5:$O$29,$A1300)&lt;&gt;"Yes"),0,IF(COUNTIF(Settings!$D$4:$D$9,"&lt;="&amp;$H1300)=0,0,INDEX(Settings!$E$4:$E$9,COUNTIF(Settings!$D$4:$D$9,"&lt;="&amp;$H1300))))</f>
        <v/>
      </c>
      <c r="K1300" s="48">
        <f>IF($G1300=0,0,IF(INDEX(Employees!$I$5:$I$29,$A1300)="Per pay period",(N(INDEX(Employees!$J$5:$J$29,$A1300))+$J1300)/Settings!$B$13,IF(INDEX(Employees!$I$5:$I$29,$A1300)="Per hour worked",N(INDEX(Employees!$K$5:$K$29,$A1300))*$I1300,IF(INDEX(Employees!$I$5:$I$29,$A1300)="Front-loaded",IF(OR($B1300=1,N($G1299)=0),N(INDEX(Employees!$J$5:$J$29,$A1300))+$J1300,0),0))))</f>
        <v/>
      </c>
      <c r="L1300" s="48">
        <f>IF($F1300=0,0,SUMIFS('Time Off Log'!$H$5:$H$504,'Time Off Log'!$A$5:$A$504,$C1300,'Time Off Log'!$B$5:$B$504,"PTO",'Time Off Log'!$E$5:$E$504,"Approved",'Time Off Log'!$C$5:$C$504,"&gt;="&amp;INDEX(Periods!$E$5:$E$57,$B1300),'Time Off Log'!$C$5:$C$504,"&lt;="&amp;INDEX(Periods!$F$5:$F$57,$B1300)))</f>
        <v/>
      </c>
      <c r="M1300" s="48">
        <f>IF($B1300=1,N(INDEX(Employees!$N$5:$N$29,$A1300)),P1299)</f>
        <v/>
      </c>
      <c r="N1300" s="48">
        <f>IF(INDEX(Employees!$L$5:$L$29,$A1300)="",K1300,MAX(0,MIN(K1300,INDEX(Employees!$L$5:$L$29,$A1300)-(M1300-L1300))))</f>
        <v/>
      </c>
      <c r="O1300" s="48">
        <f>K1300-N1300</f>
        <v/>
      </c>
      <c r="P1300" s="48">
        <f>M1300-L1300+N1300</f>
        <v/>
      </c>
      <c r="Q1300" s="48">
        <f>IF($G1300=0,0,IF(INDEX(Employees!$P$5:$P$29,$A1300)="Per pay period",(N(INDEX(Employees!$Q$5:$Q$29,$A1300)))/Settings!$B$13,IF(INDEX(Employees!$P$5:$P$29,$A1300)="Per hour worked",N(INDEX(Employees!$R$5:$R$29,$A1300))*$I1300,IF(INDEX(Employees!$P$5:$P$29,$A1300)="Front-loaded",IF(OR($B1300=1,N($G1299)=0),N(INDEX(Employees!$Q$5:$Q$29,$A1300)),0),0))))</f>
        <v/>
      </c>
      <c r="R1300" s="48">
        <f>IF($F1300=0,0,SUMIFS('Time Off Log'!$H$5:$H$504,'Time Off Log'!$A$5:$A$504,$C1300,'Time Off Log'!$B$5:$B$504,"Sick",'Time Off Log'!$E$5:$E$504,"Approved",'Time Off Log'!$C$5:$C$504,"&gt;="&amp;INDEX(Periods!$E$5:$E$57,$B1300),'Time Off Log'!$C$5:$C$504,"&lt;="&amp;INDEX(Periods!$F$5:$F$57,$B1300)))</f>
        <v/>
      </c>
      <c r="S1300" s="48">
        <f>IF($B1300=1,N(INDEX(Employees!$T$5:$T$29,$A1300)),V1299)</f>
        <v/>
      </c>
      <c r="T1300" s="48">
        <f>IF(INDEX(Employees!$S$5:$S$29,$A1300)="",Q1300,MAX(0,MIN(Q1300,INDEX(Employees!$S$5:$S$29,$A1300)-(S1300-R1300))))</f>
        <v/>
      </c>
      <c r="U1300" s="48">
        <f>Q1300-T1300</f>
        <v/>
      </c>
      <c r="V1300" s="48">
        <f>S1300-R1300+T1300</f>
        <v/>
      </c>
    </row>
    <row r="1301">
      <c r="A1301" s="47" t="n">
        <v>25</v>
      </c>
      <c r="B1301" s="47" t="n">
        <v>25</v>
      </c>
      <c r="C1301" s="48">
        <f>INDEX(Employees!$B$5:$B$29,$A1301)&amp;""</f>
        <v/>
      </c>
      <c r="D1301" s="49">
        <f>INDEX(Periods!$B$5:$B$57,$B1301)</f>
        <v/>
      </c>
      <c r="E1301" s="49">
        <f>INDEX(Periods!$C$5:$C$57,$B1301)</f>
        <v/>
      </c>
      <c r="F1301" s="47">
        <f>IF(AND($C1301&lt;&gt;"",INDEX(Periods!$D$5:$D$57,$B1301)=1),1,0)</f>
        <v/>
      </c>
      <c r="G1301" s="47">
        <f>IF($F1301=0,0,IF(AND(OR(INDEX(Employees!$D$5:$D$29,$A1301)="",$E1301&gt;=INDEX(Employees!$D$5:$D$29,$A1301)+N(INDEX(Employees!$U$5:$U$29,$A1301))),OR(INDEX(Employees!$E$5:$E$29,$A1301)="",$D1301&lt;=INDEX(Employees!$E$5:$E$29,$A1301))),1,0))</f>
        <v/>
      </c>
      <c r="H1301" s="47">
        <f>IF($G1301=0,0,IF(INDEX(Employees!$D$5:$D$29,$A1301)="",0,DATEDIF(INDEX(Employees!$D$5:$D$29,$A1301),$E1301,"y")))</f>
        <v/>
      </c>
      <c r="I1301" s="48">
        <f>IF($G1301=0,0,IF(INDEX('Hours Worked'!$D$5:$BD$29,$A1301,$B1301)="",N(INDEX(Employees!$H$5:$H$29,$A1301)),INDEX('Hours Worked'!$D$5:$BD$29,$A1301,$B1301)))</f>
        <v/>
      </c>
      <c r="J1301" s="48">
        <f>IF(OR($G1301=0,INDEX(Employees!$O$5:$O$29,$A1301)&lt;&gt;"Yes"),0,IF(COUNTIF(Settings!$D$4:$D$9,"&lt;="&amp;$H1301)=0,0,INDEX(Settings!$E$4:$E$9,COUNTIF(Settings!$D$4:$D$9,"&lt;="&amp;$H1301))))</f>
        <v/>
      </c>
      <c r="K1301" s="48">
        <f>IF($G1301=0,0,IF(INDEX(Employees!$I$5:$I$29,$A1301)="Per pay period",(N(INDEX(Employees!$J$5:$J$29,$A1301))+$J1301)/Settings!$B$13,IF(INDEX(Employees!$I$5:$I$29,$A1301)="Per hour worked",N(INDEX(Employees!$K$5:$K$29,$A1301))*$I1301,IF(INDEX(Employees!$I$5:$I$29,$A1301)="Front-loaded",IF(OR($B1301=1,N($G1300)=0),N(INDEX(Employees!$J$5:$J$29,$A1301))+$J1301,0),0))))</f>
        <v/>
      </c>
      <c r="L1301" s="48">
        <f>IF($F1301=0,0,SUMIFS('Time Off Log'!$H$5:$H$504,'Time Off Log'!$A$5:$A$504,$C1301,'Time Off Log'!$B$5:$B$504,"PTO",'Time Off Log'!$E$5:$E$504,"Approved",'Time Off Log'!$C$5:$C$504,"&gt;="&amp;INDEX(Periods!$E$5:$E$57,$B1301),'Time Off Log'!$C$5:$C$504,"&lt;="&amp;INDEX(Periods!$F$5:$F$57,$B1301)))</f>
        <v/>
      </c>
      <c r="M1301" s="48">
        <f>IF($B1301=1,N(INDEX(Employees!$N$5:$N$29,$A1301)),P1300)</f>
        <v/>
      </c>
      <c r="N1301" s="48">
        <f>IF(INDEX(Employees!$L$5:$L$29,$A1301)="",K1301,MAX(0,MIN(K1301,INDEX(Employees!$L$5:$L$29,$A1301)-(M1301-L1301))))</f>
        <v/>
      </c>
      <c r="O1301" s="48">
        <f>K1301-N1301</f>
        <v/>
      </c>
      <c r="P1301" s="48">
        <f>M1301-L1301+N1301</f>
        <v/>
      </c>
      <c r="Q1301" s="48">
        <f>IF($G1301=0,0,IF(INDEX(Employees!$P$5:$P$29,$A1301)="Per pay period",(N(INDEX(Employees!$Q$5:$Q$29,$A1301)))/Settings!$B$13,IF(INDEX(Employees!$P$5:$P$29,$A1301)="Per hour worked",N(INDEX(Employees!$R$5:$R$29,$A1301))*$I1301,IF(INDEX(Employees!$P$5:$P$29,$A1301)="Front-loaded",IF(OR($B1301=1,N($G1300)=0),N(INDEX(Employees!$Q$5:$Q$29,$A1301)),0),0))))</f>
        <v/>
      </c>
      <c r="R1301" s="48">
        <f>IF($F1301=0,0,SUMIFS('Time Off Log'!$H$5:$H$504,'Time Off Log'!$A$5:$A$504,$C1301,'Time Off Log'!$B$5:$B$504,"Sick",'Time Off Log'!$E$5:$E$504,"Approved",'Time Off Log'!$C$5:$C$504,"&gt;="&amp;INDEX(Periods!$E$5:$E$57,$B1301),'Time Off Log'!$C$5:$C$504,"&lt;="&amp;INDEX(Periods!$F$5:$F$57,$B1301)))</f>
        <v/>
      </c>
      <c r="S1301" s="48">
        <f>IF($B1301=1,N(INDEX(Employees!$T$5:$T$29,$A1301)),V1300)</f>
        <v/>
      </c>
      <c r="T1301" s="48">
        <f>IF(INDEX(Employees!$S$5:$S$29,$A1301)="",Q1301,MAX(0,MIN(Q1301,INDEX(Employees!$S$5:$S$29,$A1301)-(S1301-R1301))))</f>
        <v/>
      </c>
      <c r="U1301" s="48">
        <f>Q1301-T1301</f>
        <v/>
      </c>
      <c r="V1301" s="48">
        <f>S1301-R1301+T1301</f>
        <v/>
      </c>
    </row>
    <row r="1302">
      <c r="A1302" s="47" t="n">
        <v>25</v>
      </c>
      <c r="B1302" s="47" t="n">
        <v>26</v>
      </c>
      <c r="C1302" s="48">
        <f>INDEX(Employees!$B$5:$B$29,$A1302)&amp;""</f>
        <v/>
      </c>
      <c r="D1302" s="49">
        <f>INDEX(Periods!$B$5:$B$57,$B1302)</f>
        <v/>
      </c>
      <c r="E1302" s="49">
        <f>INDEX(Periods!$C$5:$C$57,$B1302)</f>
        <v/>
      </c>
      <c r="F1302" s="47">
        <f>IF(AND($C1302&lt;&gt;"",INDEX(Periods!$D$5:$D$57,$B1302)=1),1,0)</f>
        <v/>
      </c>
      <c r="G1302" s="47">
        <f>IF($F1302=0,0,IF(AND(OR(INDEX(Employees!$D$5:$D$29,$A1302)="",$E1302&gt;=INDEX(Employees!$D$5:$D$29,$A1302)+N(INDEX(Employees!$U$5:$U$29,$A1302))),OR(INDEX(Employees!$E$5:$E$29,$A1302)="",$D1302&lt;=INDEX(Employees!$E$5:$E$29,$A1302))),1,0))</f>
        <v/>
      </c>
      <c r="H1302" s="47">
        <f>IF($G1302=0,0,IF(INDEX(Employees!$D$5:$D$29,$A1302)="",0,DATEDIF(INDEX(Employees!$D$5:$D$29,$A1302),$E1302,"y")))</f>
        <v/>
      </c>
      <c r="I1302" s="48">
        <f>IF($G1302=0,0,IF(INDEX('Hours Worked'!$D$5:$BD$29,$A1302,$B1302)="",N(INDEX(Employees!$H$5:$H$29,$A1302)),INDEX('Hours Worked'!$D$5:$BD$29,$A1302,$B1302)))</f>
        <v/>
      </c>
      <c r="J1302" s="48">
        <f>IF(OR($G1302=0,INDEX(Employees!$O$5:$O$29,$A1302)&lt;&gt;"Yes"),0,IF(COUNTIF(Settings!$D$4:$D$9,"&lt;="&amp;$H1302)=0,0,INDEX(Settings!$E$4:$E$9,COUNTIF(Settings!$D$4:$D$9,"&lt;="&amp;$H1302))))</f>
        <v/>
      </c>
      <c r="K1302" s="48">
        <f>IF($G1302=0,0,IF(INDEX(Employees!$I$5:$I$29,$A1302)="Per pay period",(N(INDEX(Employees!$J$5:$J$29,$A1302))+$J1302)/Settings!$B$13,IF(INDEX(Employees!$I$5:$I$29,$A1302)="Per hour worked",N(INDEX(Employees!$K$5:$K$29,$A1302))*$I1302,IF(INDEX(Employees!$I$5:$I$29,$A1302)="Front-loaded",IF(OR($B1302=1,N($G1301)=0),N(INDEX(Employees!$J$5:$J$29,$A1302))+$J1302,0),0))))</f>
        <v/>
      </c>
      <c r="L1302" s="48">
        <f>IF($F1302=0,0,SUMIFS('Time Off Log'!$H$5:$H$504,'Time Off Log'!$A$5:$A$504,$C1302,'Time Off Log'!$B$5:$B$504,"PTO",'Time Off Log'!$E$5:$E$504,"Approved",'Time Off Log'!$C$5:$C$504,"&gt;="&amp;INDEX(Periods!$E$5:$E$57,$B1302),'Time Off Log'!$C$5:$C$504,"&lt;="&amp;INDEX(Periods!$F$5:$F$57,$B1302)))</f>
        <v/>
      </c>
      <c r="M1302" s="48">
        <f>IF($B1302=1,N(INDEX(Employees!$N$5:$N$29,$A1302)),P1301)</f>
        <v/>
      </c>
      <c r="N1302" s="48">
        <f>IF(INDEX(Employees!$L$5:$L$29,$A1302)="",K1302,MAX(0,MIN(K1302,INDEX(Employees!$L$5:$L$29,$A1302)-(M1302-L1302))))</f>
        <v/>
      </c>
      <c r="O1302" s="48">
        <f>K1302-N1302</f>
        <v/>
      </c>
      <c r="P1302" s="48">
        <f>M1302-L1302+N1302</f>
        <v/>
      </c>
      <c r="Q1302" s="48">
        <f>IF($G1302=0,0,IF(INDEX(Employees!$P$5:$P$29,$A1302)="Per pay period",(N(INDEX(Employees!$Q$5:$Q$29,$A1302)))/Settings!$B$13,IF(INDEX(Employees!$P$5:$P$29,$A1302)="Per hour worked",N(INDEX(Employees!$R$5:$R$29,$A1302))*$I1302,IF(INDEX(Employees!$P$5:$P$29,$A1302)="Front-loaded",IF(OR($B1302=1,N($G1301)=0),N(INDEX(Employees!$Q$5:$Q$29,$A1302)),0),0))))</f>
        <v/>
      </c>
      <c r="R1302" s="48">
        <f>IF($F1302=0,0,SUMIFS('Time Off Log'!$H$5:$H$504,'Time Off Log'!$A$5:$A$504,$C1302,'Time Off Log'!$B$5:$B$504,"Sick",'Time Off Log'!$E$5:$E$504,"Approved",'Time Off Log'!$C$5:$C$504,"&gt;="&amp;INDEX(Periods!$E$5:$E$57,$B1302),'Time Off Log'!$C$5:$C$504,"&lt;="&amp;INDEX(Periods!$F$5:$F$57,$B1302)))</f>
        <v/>
      </c>
      <c r="S1302" s="48">
        <f>IF($B1302=1,N(INDEX(Employees!$T$5:$T$29,$A1302)),V1301)</f>
        <v/>
      </c>
      <c r="T1302" s="48">
        <f>IF(INDEX(Employees!$S$5:$S$29,$A1302)="",Q1302,MAX(0,MIN(Q1302,INDEX(Employees!$S$5:$S$29,$A1302)-(S1302-R1302))))</f>
        <v/>
      </c>
      <c r="U1302" s="48">
        <f>Q1302-T1302</f>
        <v/>
      </c>
      <c r="V1302" s="48">
        <f>S1302-R1302+T1302</f>
        <v/>
      </c>
    </row>
    <row r="1303">
      <c r="A1303" s="47" t="n">
        <v>25</v>
      </c>
      <c r="B1303" s="47" t="n">
        <v>27</v>
      </c>
      <c r="C1303" s="48">
        <f>INDEX(Employees!$B$5:$B$29,$A1303)&amp;""</f>
        <v/>
      </c>
      <c r="D1303" s="49">
        <f>INDEX(Periods!$B$5:$B$57,$B1303)</f>
        <v/>
      </c>
      <c r="E1303" s="49">
        <f>INDEX(Periods!$C$5:$C$57,$B1303)</f>
        <v/>
      </c>
      <c r="F1303" s="47">
        <f>IF(AND($C1303&lt;&gt;"",INDEX(Periods!$D$5:$D$57,$B1303)=1),1,0)</f>
        <v/>
      </c>
      <c r="G1303" s="47">
        <f>IF($F1303=0,0,IF(AND(OR(INDEX(Employees!$D$5:$D$29,$A1303)="",$E1303&gt;=INDEX(Employees!$D$5:$D$29,$A1303)+N(INDEX(Employees!$U$5:$U$29,$A1303))),OR(INDEX(Employees!$E$5:$E$29,$A1303)="",$D1303&lt;=INDEX(Employees!$E$5:$E$29,$A1303))),1,0))</f>
        <v/>
      </c>
      <c r="H1303" s="47">
        <f>IF($G1303=0,0,IF(INDEX(Employees!$D$5:$D$29,$A1303)="",0,DATEDIF(INDEX(Employees!$D$5:$D$29,$A1303),$E1303,"y")))</f>
        <v/>
      </c>
      <c r="I1303" s="48">
        <f>IF($G1303=0,0,IF(INDEX('Hours Worked'!$D$5:$BD$29,$A1303,$B1303)="",N(INDEX(Employees!$H$5:$H$29,$A1303)),INDEX('Hours Worked'!$D$5:$BD$29,$A1303,$B1303)))</f>
        <v/>
      </c>
      <c r="J1303" s="48">
        <f>IF(OR($G1303=0,INDEX(Employees!$O$5:$O$29,$A1303)&lt;&gt;"Yes"),0,IF(COUNTIF(Settings!$D$4:$D$9,"&lt;="&amp;$H1303)=0,0,INDEX(Settings!$E$4:$E$9,COUNTIF(Settings!$D$4:$D$9,"&lt;="&amp;$H1303))))</f>
        <v/>
      </c>
      <c r="K1303" s="48">
        <f>IF($G1303=0,0,IF(INDEX(Employees!$I$5:$I$29,$A1303)="Per pay period",(N(INDEX(Employees!$J$5:$J$29,$A1303))+$J1303)/Settings!$B$13,IF(INDEX(Employees!$I$5:$I$29,$A1303)="Per hour worked",N(INDEX(Employees!$K$5:$K$29,$A1303))*$I1303,IF(INDEX(Employees!$I$5:$I$29,$A1303)="Front-loaded",IF(OR($B1303=1,N($G1302)=0),N(INDEX(Employees!$J$5:$J$29,$A1303))+$J1303,0),0))))</f>
        <v/>
      </c>
      <c r="L1303" s="48">
        <f>IF($F1303=0,0,SUMIFS('Time Off Log'!$H$5:$H$504,'Time Off Log'!$A$5:$A$504,$C1303,'Time Off Log'!$B$5:$B$504,"PTO",'Time Off Log'!$E$5:$E$504,"Approved",'Time Off Log'!$C$5:$C$504,"&gt;="&amp;INDEX(Periods!$E$5:$E$57,$B1303),'Time Off Log'!$C$5:$C$504,"&lt;="&amp;INDEX(Periods!$F$5:$F$57,$B1303)))</f>
        <v/>
      </c>
      <c r="M1303" s="48">
        <f>IF($B1303=1,N(INDEX(Employees!$N$5:$N$29,$A1303)),P1302)</f>
        <v/>
      </c>
      <c r="N1303" s="48">
        <f>IF(INDEX(Employees!$L$5:$L$29,$A1303)="",K1303,MAX(0,MIN(K1303,INDEX(Employees!$L$5:$L$29,$A1303)-(M1303-L1303))))</f>
        <v/>
      </c>
      <c r="O1303" s="48">
        <f>K1303-N1303</f>
        <v/>
      </c>
      <c r="P1303" s="48">
        <f>M1303-L1303+N1303</f>
        <v/>
      </c>
      <c r="Q1303" s="48">
        <f>IF($G1303=0,0,IF(INDEX(Employees!$P$5:$P$29,$A1303)="Per pay period",(N(INDEX(Employees!$Q$5:$Q$29,$A1303)))/Settings!$B$13,IF(INDEX(Employees!$P$5:$P$29,$A1303)="Per hour worked",N(INDEX(Employees!$R$5:$R$29,$A1303))*$I1303,IF(INDEX(Employees!$P$5:$P$29,$A1303)="Front-loaded",IF(OR($B1303=1,N($G1302)=0),N(INDEX(Employees!$Q$5:$Q$29,$A1303)),0),0))))</f>
        <v/>
      </c>
      <c r="R1303" s="48">
        <f>IF($F1303=0,0,SUMIFS('Time Off Log'!$H$5:$H$504,'Time Off Log'!$A$5:$A$504,$C1303,'Time Off Log'!$B$5:$B$504,"Sick",'Time Off Log'!$E$5:$E$504,"Approved",'Time Off Log'!$C$5:$C$504,"&gt;="&amp;INDEX(Periods!$E$5:$E$57,$B1303),'Time Off Log'!$C$5:$C$504,"&lt;="&amp;INDEX(Periods!$F$5:$F$57,$B1303)))</f>
        <v/>
      </c>
      <c r="S1303" s="48">
        <f>IF($B1303=1,N(INDEX(Employees!$T$5:$T$29,$A1303)),V1302)</f>
        <v/>
      </c>
      <c r="T1303" s="48">
        <f>IF(INDEX(Employees!$S$5:$S$29,$A1303)="",Q1303,MAX(0,MIN(Q1303,INDEX(Employees!$S$5:$S$29,$A1303)-(S1303-R1303))))</f>
        <v/>
      </c>
      <c r="U1303" s="48">
        <f>Q1303-T1303</f>
        <v/>
      </c>
      <c r="V1303" s="48">
        <f>S1303-R1303+T1303</f>
        <v/>
      </c>
    </row>
    <row r="1304">
      <c r="A1304" s="47" t="n">
        <v>25</v>
      </c>
      <c r="B1304" s="47" t="n">
        <v>28</v>
      </c>
      <c r="C1304" s="48">
        <f>INDEX(Employees!$B$5:$B$29,$A1304)&amp;""</f>
        <v/>
      </c>
      <c r="D1304" s="49">
        <f>INDEX(Periods!$B$5:$B$57,$B1304)</f>
        <v/>
      </c>
      <c r="E1304" s="49">
        <f>INDEX(Periods!$C$5:$C$57,$B1304)</f>
        <v/>
      </c>
      <c r="F1304" s="47">
        <f>IF(AND($C1304&lt;&gt;"",INDEX(Periods!$D$5:$D$57,$B1304)=1),1,0)</f>
        <v/>
      </c>
      <c r="G1304" s="47">
        <f>IF($F1304=0,0,IF(AND(OR(INDEX(Employees!$D$5:$D$29,$A1304)="",$E1304&gt;=INDEX(Employees!$D$5:$D$29,$A1304)+N(INDEX(Employees!$U$5:$U$29,$A1304))),OR(INDEX(Employees!$E$5:$E$29,$A1304)="",$D1304&lt;=INDEX(Employees!$E$5:$E$29,$A1304))),1,0))</f>
        <v/>
      </c>
      <c r="H1304" s="47">
        <f>IF($G1304=0,0,IF(INDEX(Employees!$D$5:$D$29,$A1304)="",0,DATEDIF(INDEX(Employees!$D$5:$D$29,$A1304),$E1304,"y")))</f>
        <v/>
      </c>
      <c r="I1304" s="48">
        <f>IF($G1304=0,0,IF(INDEX('Hours Worked'!$D$5:$BD$29,$A1304,$B1304)="",N(INDEX(Employees!$H$5:$H$29,$A1304)),INDEX('Hours Worked'!$D$5:$BD$29,$A1304,$B1304)))</f>
        <v/>
      </c>
      <c r="J1304" s="48">
        <f>IF(OR($G1304=0,INDEX(Employees!$O$5:$O$29,$A1304)&lt;&gt;"Yes"),0,IF(COUNTIF(Settings!$D$4:$D$9,"&lt;="&amp;$H1304)=0,0,INDEX(Settings!$E$4:$E$9,COUNTIF(Settings!$D$4:$D$9,"&lt;="&amp;$H1304))))</f>
        <v/>
      </c>
      <c r="K1304" s="48">
        <f>IF($G1304=0,0,IF(INDEX(Employees!$I$5:$I$29,$A1304)="Per pay period",(N(INDEX(Employees!$J$5:$J$29,$A1304))+$J1304)/Settings!$B$13,IF(INDEX(Employees!$I$5:$I$29,$A1304)="Per hour worked",N(INDEX(Employees!$K$5:$K$29,$A1304))*$I1304,IF(INDEX(Employees!$I$5:$I$29,$A1304)="Front-loaded",IF(OR($B1304=1,N($G1303)=0),N(INDEX(Employees!$J$5:$J$29,$A1304))+$J1304,0),0))))</f>
        <v/>
      </c>
      <c r="L1304" s="48">
        <f>IF($F1304=0,0,SUMIFS('Time Off Log'!$H$5:$H$504,'Time Off Log'!$A$5:$A$504,$C1304,'Time Off Log'!$B$5:$B$504,"PTO",'Time Off Log'!$E$5:$E$504,"Approved",'Time Off Log'!$C$5:$C$504,"&gt;="&amp;INDEX(Periods!$E$5:$E$57,$B1304),'Time Off Log'!$C$5:$C$504,"&lt;="&amp;INDEX(Periods!$F$5:$F$57,$B1304)))</f>
        <v/>
      </c>
      <c r="M1304" s="48">
        <f>IF($B1304=1,N(INDEX(Employees!$N$5:$N$29,$A1304)),P1303)</f>
        <v/>
      </c>
      <c r="N1304" s="48">
        <f>IF(INDEX(Employees!$L$5:$L$29,$A1304)="",K1304,MAX(0,MIN(K1304,INDEX(Employees!$L$5:$L$29,$A1304)-(M1304-L1304))))</f>
        <v/>
      </c>
      <c r="O1304" s="48">
        <f>K1304-N1304</f>
        <v/>
      </c>
      <c r="P1304" s="48">
        <f>M1304-L1304+N1304</f>
        <v/>
      </c>
      <c r="Q1304" s="48">
        <f>IF($G1304=0,0,IF(INDEX(Employees!$P$5:$P$29,$A1304)="Per pay period",(N(INDEX(Employees!$Q$5:$Q$29,$A1304)))/Settings!$B$13,IF(INDEX(Employees!$P$5:$P$29,$A1304)="Per hour worked",N(INDEX(Employees!$R$5:$R$29,$A1304))*$I1304,IF(INDEX(Employees!$P$5:$P$29,$A1304)="Front-loaded",IF(OR($B1304=1,N($G1303)=0),N(INDEX(Employees!$Q$5:$Q$29,$A1304)),0),0))))</f>
        <v/>
      </c>
      <c r="R1304" s="48">
        <f>IF($F1304=0,0,SUMIFS('Time Off Log'!$H$5:$H$504,'Time Off Log'!$A$5:$A$504,$C1304,'Time Off Log'!$B$5:$B$504,"Sick",'Time Off Log'!$E$5:$E$504,"Approved",'Time Off Log'!$C$5:$C$504,"&gt;="&amp;INDEX(Periods!$E$5:$E$57,$B1304),'Time Off Log'!$C$5:$C$504,"&lt;="&amp;INDEX(Periods!$F$5:$F$57,$B1304)))</f>
        <v/>
      </c>
      <c r="S1304" s="48">
        <f>IF($B1304=1,N(INDEX(Employees!$T$5:$T$29,$A1304)),V1303)</f>
        <v/>
      </c>
      <c r="T1304" s="48">
        <f>IF(INDEX(Employees!$S$5:$S$29,$A1304)="",Q1304,MAX(0,MIN(Q1304,INDEX(Employees!$S$5:$S$29,$A1304)-(S1304-R1304))))</f>
        <v/>
      </c>
      <c r="U1304" s="48">
        <f>Q1304-T1304</f>
        <v/>
      </c>
      <c r="V1304" s="48">
        <f>S1304-R1304+T1304</f>
        <v/>
      </c>
    </row>
    <row r="1305">
      <c r="A1305" s="47" t="n">
        <v>25</v>
      </c>
      <c r="B1305" s="47" t="n">
        <v>29</v>
      </c>
      <c r="C1305" s="48">
        <f>INDEX(Employees!$B$5:$B$29,$A1305)&amp;""</f>
        <v/>
      </c>
      <c r="D1305" s="49">
        <f>INDEX(Periods!$B$5:$B$57,$B1305)</f>
        <v/>
      </c>
      <c r="E1305" s="49">
        <f>INDEX(Periods!$C$5:$C$57,$B1305)</f>
        <v/>
      </c>
      <c r="F1305" s="47">
        <f>IF(AND($C1305&lt;&gt;"",INDEX(Periods!$D$5:$D$57,$B1305)=1),1,0)</f>
        <v/>
      </c>
      <c r="G1305" s="47">
        <f>IF($F1305=0,0,IF(AND(OR(INDEX(Employees!$D$5:$D$29,$A1305)="",$E1305&gt;=INDEX(Employees!$D$5:$D$29,$A1305)+N(INDEX(Employees!$U$5:$U$29,$A1305))),OR(INDEX(Employees!$E$5:$E$29,$A1305)="",$D1305&lt;=INDEX(Employees!$E$5:$E$29,$A1305))),1,0))</f>
        <v/>
      </c>
      <c r="H1305" s="47">
        <f>IF($G1305=0,0,IF(INDEX(Employees!$D$5:$D$29,$A1305)="",0,DATEDIF(INDEX(Employees!$D$5:$D$29,$A1305),$E1305,"y")))</f>
        <v/>
      </c>
      <c r="I1305" s="48">
        <f>IF($G1305=0,0,IF(INDEX('Hours Worked'!$D$5:$BD$29,$A1305,$B1305)="",N(INDEX(Employees!$H$5:$H$29,$A1305)),INDEX('Hours Worked'!$D$5:$BD$29,$A1305,$B1305)))</f>
        <v/>
      </c>
      <c r="J1305" s="48">
        <f>IF(OR($G1305=0,INDEX(Employees!$O$5:$O$29,$A1305)&lt;&gt;"Yes"),0,IF(COUNTIF(Settings!$D$4:$D$9,"&lt;="&amp;$H1305)=0,0,INDEX(Settings!$E$4:$E$9,COUNTIF(Settings!$D$4:$D$9,"&lt;="&amp;$H1305))))</f>
        <v/>
      </c>
      <c r="K1305" s="48">
        <f>IF($G1305=0,0,IF(INDEX(Employees!$I$5:$I$29,$A1305)="Per pay period",(N(INDEX(Employees!$J$5:$J$29,$A1305))+$J1305)/Settings!$B$13,IF(INDEX(Employees!$I$5:$I$29,$A1305)="Per hour worked",N(INDEX(Employees!$K$5:$K$29,$A1305))*$I1305,IF(INDEX(Employees!$I$5:$I$29,$A1305)="Front-loaded",IF(OR($B1305=1,N($G1304)=0),N(INDEX(Employees!$J$5:$J$29,$A1305))+$J1305,0),0))))</f>
        <v/>
      </c>
      <c r="L1305" s="48">
        <f>IF($F1305=0,0,SUMIFS('Time Off Log'!$H$5:$H$504,'Time Off Log'!$A$5:$A$504,$C1305,'Time Off Log'!$B$5:$B$504,"PTO",'Time Off Log'!$E$5:$E$504,"Approved",'Time Off Log'!$C$5:$C$504,"&gt;="&amp;INDEX(Periods!$E$5:$E$57,$B1305),'Time Off Log'!$C$5:$C$504,"&lt;="&amp;INDEX(Periods!$F$5:$F$57,$B1305)))</f>
        <v/>
      </c>
      <c r="M1305" s="48">
        <f>IF($B1305=1,N(INDEX(Employees!$N$5:$N$29,$A1305)),P1304)</f>
        <v/>
      </c>
      <c r="N1305" s="48">
        <f>IF(INDEX(Employees!$L$5:$L$29,$A1305)="",K1305,MAX(0,MIN(K1305,INDEX(Employees!$L$5:$L$29,$A1305)-(M1305-L1305))))</f>
        <v/>
      </c>
      <c r="O1305" s="48">
        <f>K1305-N1305</f>
        <v/>
      </c>
      <c r="P1305" s="48">
        <f>M1305-L1305+N1305</f>
        <v/>
      </c>
      <c r="Q1305" s="48">
        <f>IF($G1305=0,0,IF(INDEX(Employees!$P$5:$P$29,$A1305)="Per pay period",(N(INDEX(Employees!$Q$5:$Q$29,$A1305)))/Settings!$B$13,IF(INDEX(Employees!$P$5:$P$29,$A1305)="Per hour worked",N(INDEX(Employees!$R$5:$R$29,$A1305))*$I1305,IF(INDEX(Employees!$P$5:$P$29,$A1305)="Front-loaded",IF(OR($B1305=1,N($G1304)=0),N(INDEX(Employees!$Q$5:$Q$29,$A1305)),0),0))))</f>
        <v/>
      </c>
      <c r="R1305" s="48">
        <f>IF($F1305=0,0,SUMIFS('Time Off Log'!$H$5:$H$504,'Time Off Log'!$A$5:$A$504,$C1305,'Time Off Log'!$B$5:$B$504,"Sick",'Time Off Log'!$E$5:$E$504,"Approved",'Time Off Log'!$C$5:$C$504,"&gt;="&amp;INDEX(Periods!$E$5:$E$57,$B1305),'Time Off Log'!$C$5:$C$504,"&lt;="&amp;INDEX(Periods!$F$5:$F$57,$B1305)))</f>
        <v/>
      </c>
      <c r="S1305" s="48">
        <f>IF($B1305=1,N(INDEX(Employees!$T$5:$T$29,$A1305)),V1304)</f>
        <v/>
      </c>
      <c r="T1305" s="48">
        <f>IF(INDEX(Employees!$S$5:$S$29,$A1305)="",Q1305,MAX(0,MIN(Q1305,INDEX(Employees!$S$5:$S$29,$A1305)-(S1305-R1305))))</f>
        <v/>
      </c>
      <c r="U1305" s="48">
        <f>Q1305-T1305</f>
        <v/>
      </c>
      <c r="V1305" s="48">
        <f>S1305-R1305+T1305</f>
        <v/>
      </c>
    </row>
    <row r="1306">
      <c r="A1306" s="47" t="n">
        <v>25</v>
      </c>
      <c r="B1306" s="47" t="n">
        <v>30</v>
      </c>
      <c r="C1306" s="48">
        <f>INDEX(Employees!$B$5:$B$29,$A1306)&amp;""</f>
        <v/>
      </c>
      <c r="D1306" s="49">
        <f>INDEX(Periods!$B$5:$B$57,$B1306)</f>
        <v/>
      </c>
      <c r="E1306" s="49">
        <f>INDEX(Periods!$C$5:$C$57,$B1306)</f>
        <v/>
      </c>
      <c r="F1306" s="47">
        <f>IF(AND($C1306&lt;&gt;"",INDEX(Periods!$D$5:$D$57,$B1306)=1),1,0)</f>
        <v/>
      </c>
      <c r="G1306" s="47">
        <f>IF($F1306=0,0,IF(AND(OR(INDEX(Employees!$D$5:$D$29,$A1306)="",$E1306&gt;=INDEX(Employees!$D$5:$D$29,$A1306)+N(INDEX(Employees!$U$5:$U$29,$A1306))),OR(INDEX(Employees!$E$5:$E$29,$A1306)="",$D1306&lt;=INDEX(Employees!$E$5:$E$29,$A1306))),1,0))</f>
        <v/>
      </c>
      <c r="H1306" s="47">
        <f>IF($G1306=0,0,IF(INDEX(Employees!$D$5:$D$29,$A1306)="",0,DATEDIF(INDEX(Employees!$D$5:$D$29,$A1306),$E1306,"y")))</f>
        <v/>
      </c>
      <c r="I1306" s="48">
        <f>IF($G1306=0,0,IF(INDEX('Hours Worked'!$D$5:$BD$29,$A1306,$B1306)="",N(INDEX(Employees!$H$5:$H$29,$A1306)),INDEX('Hours Worked'!$D$5:$BD$29,$A1306,$B1306)))</f>
        <v/>
      </c>
      <c r="J1306" s="48">
        <f>IF(OR($G1306=0,INDEX(Employees!$O$5:$O$29,$A1306)&lt;&gt;"Yes"),0,IF(COUNTIF(Settings!$D$4:$D$9,"&lt;="&amp;$H1306)=0,0,INDEX(Settings!$E$4:$E$9,COUNTIF(Settings!$D$4:$D$9,"&lt;="&amp;$H1306))))</f>
        <v/>
      </c>
      <c r="K1306" s="48">
        <f>IF($G1306=0,0,IF(INDEX(Employees!$I$5:$I$29,$A1306)="Per pay period",(N(INDEX(Employees!$J$5:$J$29,$A1306))+$J1306)/Settings!$B$13,IF(INDEX(Employees!$I$5:$I$29,$A1306)="Per hour worked",N(INDEX(Employees!$K$5:$K$29,$A1306))*$I1306,IF(INDEX(Employees!$I$5:$I$29,$A1306)="Front-loaded",IF(OR($B1306=1,N($G1305)=0),N(INDEX(Employees!$J$5:$J$29,$A1306))+$J1306,0),0))))</f>
        <v/>
      </c>
      <c r="L1306" s="48">
        <f>IF($F1306=0,0,SUMIFS('Time Off Log'!$H$5:$H$504,'Time Off Log'!$A$5:$A$504,$C1306,'Time Off Log'!$B$5:$B$504,"PTO",'Time Off Log'!$E$5:$E$504,"Approved",'Time Off Log'!$C$5:$C$504,"&gt;="&amp;INDEX(Periods!$E$5:$E$57,$B1306),'Time Off Log'!$C$5:$C$504,"&lt;="&amp;INDEX(Periods!$F$5:$F$57,$B1306)))</f>
        <v/>
      </c>
      <c r="M1306" s="48">
        <f>IF($B1306=1,N(INDEX(Employees!$N$5:$N$29,$A1306)),P1305)</f>
        <v/>
      </c>
      <c r="N1306" s="48">
        <f>IF(INDEX(Employees!$L$5:$L$29,$A1306)="",K1306,MAX(0,MIN(K1306,INDEX(Employees!$L$5:$L$29,$A1306)-(M1306-L1306))))</f>
        <v/>
      </c>
      <c r="O1306" s="48">
        <f>K1306-N1306</f>
        <v/>
      </c>
      <c r="P1306" s="48">
        <f>M1306-L1306+N1306</f>
        <v/>
      </c>
      <c r="Q1306" s="48">
        <f>IF($G1306=0,0,IF(INDEX(Employees!$P$5:$P$29,$A1306)="Per pay period",(N(INDEX(Employees!$Q$5:$Q$29,$A1306)))/Settings!$B$13,IF(INDEX(Employees!$P$5:$P$29,$A1306)="Per hour worked",N(INDEX(Employees!$R$5:$R$29,$A1306))*$I1306,IF(INDEX(Employees!$P$5:$P$29,$A1306)="Front-loaded",IF(OR($B1306=1,N($G1305)=0),N(INDEX(Employees!$Q$5:$Q$29,$A1306)),0),0))))</f>
        <v/>
      </c>
      <c r="R1306" s="48">
        <f>IF($F1306=0,0,SUMIFS('Time Off Log'!$H$5:$H$504,'Time Off Log'!$A$5:$A$504,$C1306,'Time Off Log'!$B$5:$B$504,"Sick",'Time Off Log'!$E$5:$E$504,"Approved",'Time Off Log'!$C$5:$C$504,"&gt;="&amp;INDEX(Periods!$E$5:$E$57,$B1306),'Time Off Log'!$C$5:$C$504,"&lt;="&amp;INDEX(Periods!$F$5:$F$57,$B1306)))</f>
        <v/>
      </c>
      <c r="S1306" s="48">
        <f>IF($B1306=1,N(INDEX(Employees!$T$5:$T$29,$A1306)),V1305)</f>
        <v/>
      </c>
      <c r="T1306" s="48">
        <f>IF(INDEX(Employees!$S$5:$S$29,$A1306)="",Q1306,MAX(0,MIN(Q1306,INDEX(Employees!$S$5:$S$29,$A1306)-(S1306-R1306))))</f>
        <v/>
      </c>
      <c r="U1306" s="48">
        <f>Q1306-T1306</f>
        <v/>
      </c>
      <c r="V1306" s="48">
        <f>S1306-R1306+T1306</f>
        <v/>
      </c>
    </row>
    <row r="1307">
      <c r="A1307" s="47" t="n">
        <v>25</v>
      </c>
      <c r="B1307" s="47" t="n">
        <v>31</v>
      </c>
      <c r="C1307" s="48">
        <f>INDEX(Employees!$B$5:$B$29,$A1307)&amp;""</f>
        <v/>
      </c>
      <c r="D1307" s="49">
        <f>INDEX(Periods!$B$5:$B$57,$B1307)</f>
        <v/>
      </c>
      <c r="E1307" s="49">
        <f>INDEX(Periods!$C$5:$C$57,$B1307)</f>
        <v/>
      </c>
      <c r="F1307" s="47">
        <f>IF(AND($C1307&lt;&gt;"",INDEX(Periods!$D$5:$D$57,$B1307)=1),1,0)</f>
        <v/>
      </c>
      <c r="G1307" s="47">
        <f>IF($F1307=0,0,IF(AND(OR(INDEX(Employees!$D$5:$D$29,$A1307)="",$E1307&gt;=INDEX(Employees!$D$5:$D$29,$A1307)+N(INDEX(Employees!$U$5:$U$29,$A1307))),OR(INDEX(Employees!$E$5:$E$29,$A1307)="",$D1307&lt;=INDEX(Employees!$E$5:$E$29,$A1307))),1,0))</f>
        <v/>
      </c>
      <c r="H1307" s="47">
        <f>IF($G1307=0,0,IF(INDEX(Employees!$D$5:$D$29,$A1307)="",0,DATEDIF(INDEX(Employees!$D$5:$D$29,$A1307),$E1307,"y")))</f>
        <v/>
      </c>
      <c r="I1307" s="48">
        <f>IF($G1307=0,0,IF(INDEX('Hours Worked'!$D$5:$BD$29,$A1307,$B1307)="",N(INDEX(Employees!$H$5:$H$29,$A1307)),INDEX('Hours Worked'!$D$5:$BD$29,$A1307,$B1307)))</f>
        <v/>
      </c>
      <c r="J1307" s="48">
        <f>IF(OR($G1307=0,INDEX(Employees!$O$5:$O$29,$A1307)&lt;&gt;"Yes"),0,IF(COUNTIF(Settings!$D$4:$D$9,"&lt;="&amp;$H1307)=0,0,INDEX(Settings!$E$4:$E$9,COUNTIF(Settings!$D$4:$D$9,"&lt;="&amp;$H1307))))</f>
        <v/>
      </c>
      <c r="K1307" s="48">
        <f>IF($G1307=0,0,IF(INDEX(Employees!$I$5:$I$29,$A1307)="Per pay period",(N(INDEX(Employees!$J$5:$J$29,$A1307))+$J1307)/Settings!$B$13,IF(INDEX(Employees!$I$5:$I$29,$A1307)="Per hour worked",N(INDEX(Employees!$K$5:$K$29,$A1307))*$I1307,IF(INDEX(Employees!$I$5:$I$29,$A1307)="Front-loaded",IF(OR($B1307=1,N($G1306)=0),N(INDEX(Employees!$J$5:$J$29,$A1307))+$J1307,0),0))))</f>
        <v/>
      </c>
      <c r="L1307" s="48">
        <f>IF($F1307=0,0,SUMIFS('Time Off Log'!$H$5:$H$504,'Time Off Log'!$A$5:$A$504,$C1307,'Time Off Log'!$B$5:$B$504,"PTO",'Time Off Log'!$E$5:$E$504,"Approved",'Time Off Log'!$C$5:$C$504,"&gt;="&amp;INDEX(Periods!$E$5:$E$57,$B1307),'Time Off Log'!$C$5:$C$504,"&lt;="&amp;INDEX(Periods!$F$5:$F$57,$B1307)))</f>
        <v/>
      </c>
      <c r="M1307" s="48">
        <f>IF($B1307=1,N(INDEX(Employees!$N$5:$N$29,$A1307)),P1306)</f>
        <v/>
      </c>
      <c r="N1307" s="48">
        <f>IF(INDEX(Employees!$L$5:$L$29,$A1307)="",K1307,MAX(0,MIN(K1307,INDEX(Employees!$L$5:$L$29,$A1307)-(M1307-L1307))))</f>
        <v/>
      </c>
      <c r="O1307" s="48">
        <f>K1307-N1307</f>
        <v/>
      </c>
      <c r="P1307" s="48">
        <f>M1307-L1307+N1307</f>
        <v/>
      </c>
      <c r="Q1307" s="48">
        <f>IF($G1307=0,0,IF(INDEX(Employees!$P$5:$P$29,$A1307)="Per pay period",(N(INDEX(Employees!$Q$5:$Q$29,$A1307)))/Settings!$B$13,IF(INDEX(Employees!$P$5:$P$29,$A1307)="Per hour worked",N(INDEX(Employees!$R$5:$R$29,$A1307))*$I1307,IF(INDEX(Employees!$P$5:$P$29,$A1307)="Front-loaded",IF(OR($B1307=1,N($G1306)=0),N(INDEX(Employees!$Q$5:$Q$29,$A1307)),0),0))))</f>
        <v/>
      </c>
      <c r="R1307" s="48">
        <f>IF($F1307=0,0,SUMIFS('Time Off Log'!$H$5:$H$504,'Time Off Log'!$A$5:$A$504,$C1307,'Time Off Log'!$B$5:$B$504,"Sick",'Time Off Log'!$E$5:$E$504,"Approved",'Time Off Log'!$C$5:$C$504,"&gt;="&amp;INDEX(Periods!$E$5:$E$57,$B1307),'Time Off Log'!$C$5:$C$504,"&lt;="&amp;INDEX(Periods!$F$5:$F$57,$B1307)))</f>
        <v/>
      </c>
      <c r="S1307" s="48">
        <f>IF($B1307=1,N(INDEX(Employees!$T$5:$T$29,$A1307)),V1306)</f>
        <v/>
      </c>
      <c r="T1307" s="48">
        <f>IF(INDEX(Employees!$S$5:$S$29,$A1307)="",Q1307,MAX(0,MIN(Q1307,INDEX(Employees!$S$5:$S$29,$A1307)-(S1307-R1307))))</f>
        <v/>
      </c>
      <c r="U1307" s="48">
        <f>Q1307-T1307</f>
        <v/>
      </c>
      <c r="V1307" s="48">
        <f>S1307-R1307+T1307</f>
        <v/>
      </c>
    </row>
    <row r="1308">
      <c r="A1308" s="47" t="n">
        <v>25</v>
      </c>
      <c r="B1308" s="47" t="n">
        <v>32</v>
      </c>
      <c r="C1308" s="48">
        <f>INDEX(Employees!$B$5:$B$29,$A1308)&amp;""</f>
        <v/>
      </c>
      <c r="D1308" s="49">
        <f>INDEX(Periods!$B$5:$B$57,$B1308)</f>
        <v/>
      </c>
      <c r="E1308" s="49">
        <f>INDEX(Periods!$C$5:$C$57,$B1308)</f>
        <v/>
      </c>
      <c r="F1308" s="47">
        <f>IF(AND($C1308&lt;&gt;"",INDEX(Periods!$D$5:$D$57,$B1308)=1),1,0)</f>
        <v/>
      </c>
      <c r="G1308" s="47">
        <f>IF($F1308=0,0,IF(AND(OR(INDEX(Employees!$D$5:$D$29,$A1308)="",$E1308&gt;=INDEX(Employees!$D$5:$D$29,$A1308)+N(INDEX(Employees!$U$5:$U$29,$A1308))),OR(INDEX(Employees!$E$5:$E$29,$A1308)="",$D1308&lt;=INDEX(Employees!$E$5:$E$29,$A1308))),1,0))</f>
        <v/>
      </c>
      <c r="H1308" s="47">
        <f>IF($G1308=0,0,IF(INDEX(Employees!$D$5:$D$29,$A1308)="",0,DATEDIF(INDEX(Employees!$D$5:$D$29,$A1308),$E1308,"y")))</f>
        <v/>
      </c>
      <c r="I1308" s="48">
        <f>IF($G1308=0,0,IF(INDEX('Hours Worked'!$D$5:$BD$29,$A1308,$B1308)="",N(INDEX(Employees!$H$5:$H$29,$A1308)),INDEX('Hours Worked'!$D$5:$BD$29,$A1308,$B1308)))</f>
        <v/>
      </c>
      <c r="J1308" s="48">
        <f>IF(OR($G1308=0,INDEX(Employees!$O$5:$O$29,$A1308)&lt;&gt;"Yes"),0,IF(COUNTIF(Settings!$D$4:$D$9,"&lt;="&amp;$H1308)=0,0,INDEX(Settings!$E$4:$E$9,COUNTIF(Settings!$D$4:$D$9,"&lt;="&amp;$H1308))))</f>
        <v/>
      </c>
      <c r="K1308" s="48">
        <f>IF($G1308=0,0,IF(INDEX(Employees!$I$5:$I$29,$A1308)="Per pay period",(N(INDEX(Employees!$J$5:$J$29,$A1308))+$J1308)/Settings!$B$13,IF(INDEX(Employees!$I$5:$I$29,$A1308)="Per hour worked",N(INDEX(Employees!$K$5:$K$29,$A1308))*$I1308,IF(INDEX(Employees!$I$5:$I$29,$A1308)="Front-loaded",IF(OR($B1308=1,N($G1307)=0),N(INDEX(Employees!$J$5:$J$29,$A1308))+$J1308,0),0))))</f>
        <v/>
      </c>
      <c r="L1308" s="48">
        <f>IF($F1308=0,0,SUMIFS('Time Off Log'!$H$5:$H$504,'Time Off Log'!$A$5:$A$504,$C1308,'Time Off Log'!$B$5:$B$504,"PTO",'Time Off Log'!$E$5:$E$504,"Approved",'Time Off Log'!$C$5:$C$504,"&gt;="&amp;INDEX(Periods!$E$5:$E$57,$B1308),'Time Off Log'!$C$5:$C$504,"&lt;="&amp;INDEX(Periods!$F$5:$F$57,$B1308)))</f>
        <v/>
      </c>
      <c r="M1308" s="48">
        <f>IF($B1308=1,N(INDEX(Employees!$N$5:$N$29,$A1308)),P1307)</f>
        <v/>
      </c>
      <c r="N1308" s="48">
        <f>IF(INDEX(Employees!$L$5:$L$29,$A1308)="",K1308,MAX(0,MIN(K1308,INDEX(Employees!$L$5:$L$29,$A1308)-(M1308-L1308))))</f>
        <v/>
      </c>
      <c r="O1308" s="48">
        <f>K1308-N1308</f>
        <v/>
      </c>
      <c r="P1308" s="48">
        <f>M1308-L1308+N1308</f>
        <v/>
      </c>
      <c r="Q1308" s="48">
        <f>IF($G1308=0,0,IF(INDEX(Employees!$P$5:$P$29,$A1308)="Per pay period",(N(INDEX(Employees!$Q$5:$Q$29,$A1308)))/Settings!$B$13,IF(INDEX(Employees!$P$5:$P$29,$A1308)="Per hour worked",N(INDEX(Employees!$R$5:$R$29,$A1308))*$I1308,IF(INDEX(Employees!$P$5:$P$29,$A1308)="Front-loaded",IF(OR($B1308=1,N($G1307)=0),N(INDEX(Employees!$Q$5:$Q$29,$A1308)),0),0))))</f>
        <v/>
      </c>
      <c r="R1308" s="48">
        <f>IF($F1308=0,0,SUMIFS('Time Off Log'!$H$5:$H$504,'Time Off Log'!$A$5:$A$504,$C1308,'Time Off Log'!$B$5:$B$504,"Sick",'Time Off Log'!$E$5:$E$504,"Approved",'Time Off Log'!$C$5:$C$504,"&gt;="&amp;INDEX(Periods!$E$5:$E$57,$B1308),'Time Off Log'!$C$5:$C$504,"&lt;="&amp;INDEX(Periods!$F$5:$F$57,$B1308)))</f>
        <v/>
      </c>
      <c r="S1308" s="48">
        <f>IF($B1308=1,N(INDEX(Employees!$T$5:$T$29,$A1308)),V1307)</f>
        <v/>
      </c>
      <c r="T1308" s="48">
        <f>IF(INDEX(Employees!$S$5:$S$29,$A1308)="",Q1308,MAX(0,MIN(Q1308,INDEX(Employees!$S$5:$S$29,$A1308)-(S1308-R1308))))</f>
        <v/>
      </c>
      <c r="U1308" s="48">
        <f>Q1308-T1308</f>
        <v/>
      </c>
      <c r="V1308" s="48">
        <f>S1308-R1308+T1308</f>
        <v/>
      </c>
    </row>
    <row r="1309">
      <c r="A1309" s="47" t="n">
        <v>25</v>
      </c>
      <c r="B1309" s="47" t="n">
        <v>33</v>
      </c>
      <c r="C1309" s="48">
        <f>INDEX(Employees!$B$5:$B$29,$A1309)&amp;""</f>
        <v/>
      </c>
      <c r="D1309" s="49">
        <f>INDEX(Periods!$B$5:$B$57,$B1309)</f>
        <v/>
      </c>
      <c r="E1309" s="49">
        <f>INDEX(Periods!$C$5:$C$57,$B1309)</f>
        <v/>
      </c>
      <c r="F1309" s="47">
        <f>IF(AND($C1309&lt;&gt;"",INDEX(Periods!$D$5:$D$57,$B1309)=1),1,0)</f>
        <v/>
      </c>
      <c r="G1309" s="47">
        <f>IF($F1309=0,0,IF(AND(OR(INDEX(Employees!$D$5:$D$29,$A1309)="",$E1309&gt;=INDEX(Employees!$D$5:$D$29,$A1309)+N(INDEX(Employees!$U$5:$U$29,$A1309))),OR(INDEX(Employees!$E$5:$E$29,$A1309)="",$D1309&lt;=INDEX(Employees!$E$5:$E$29,$A1309))),1,0))</f>
        <v/>
      </c>
      <c r="H1309" s="47">
        <f>IF($G1309=0,0,IF(INDEX(Employees!$D$5:$D$29,$A1309)="",0,DATEDIF(INDEX(Employees!$D$5:$D$29,$A1309),$E1309,"y")))</f>
        <v/>
      </c>
      <c r="I1309" s="48">
        <f>IF($G1309=0,0,IF(INDEX('Hours Worked'!$D$5:$BD$29,$A1309,$B1309)="",N(INDEX(Employees!$H$5:$H$29,$A1309)),INDEX('Hours Worked'!$D$5:$BD$29,$A1309,$B1309)))</f>
        <v/>
      </c>
      <c r="J1309" s="48">
        <f>IF(OR($G1309=0,INDEX(Employees!$O$5:$O$29,$A1309)&lt;&gt;"Yes"),0,IF(COUNTIF(Settings!$D$4:$D$9,"&lt;="&amp;$H1309)=0,0,INDEX(Settings!$E$4:$E$9,COUNTIF(Settings!$D$4:$D$9,"&lt;="&amp;$H1309))))</f>
        <v/>
      </c>
      <c r="K1309" s="48">
        <f>IF($G1309=0,0,IF(INDEX(Employees!$I$5:$I$29,$A1309)="Per pay period",(N(INDEX(Employees!$J$5:$J$29,$A1309))+$J1309)/Settings!$B$13,IF(INDEX(Employees!$I$5:$I$29,$A1309)="Per hour worked",N(INDEX(Employees!$K$5:$K$29,$A1309))*$I1309,IF(INDEX(Employees!$I$5:$I$29,$A1309)="Front-loaded",IF(OR($B1309=1,N($G1308)=0),N(INDEX(Employees!$J$5:$J$29,$A1309))+$J1309,0),0))))</f>
        <v/>
      </c>
      <c r="L1309" s="48">
        <f>IF($F1309=0,0,SUMIFS('Time Off Log'!$H$5:$H$504,'Time Off Log'!$A$5:$A$504,$C1309,'Time Off Log'!$B$5:$B$504,"PTO",'Time Off Log'!$E$5:$E$504,"Approved",'Time Off Log'!$C$5:$C$504,"&gt;="&amp;INDEX(Periods!$E$5:$E$57,$B1309),'Time Off Log'!$C$5:$C$504,"&lt;="&amp;INDEX(Periods!$F$5:$F$57,$B1309)))</f>
        <v/>
      </c>
      <c r="M1309" s="48">
        <f>IF($B1309=1,N(INDEX(Employees!$N$5:$N$29,$A1309)),P1308)</f>
        <v/>
      </c>
      <c r="N1309" s="48">
        <f>IF(INDEX(Employees!$L$5:$L$29,$A1309)="",K1309,MAX(0,MIN(K1309,INDEX(Employees!$L$5:$L$29,$A1309)-(M1309-L1309))))</f>
        <v/>
      </c>
      <c r="O1309" s="48">
        <f>K1309-N1309</f>
        <v/>
      </c>
      <c r="P1309" s="48">
        <f>M1309-L1309+N1309</f>
        <v/>
      </c>
      <c r="Q1309" s="48">
        <f>IF($G1309=0,0,IF(INDEX(Employees!$P$5:$P$29,$A1309)="Per pay period",(N(INDEX(Employees!$Q$5:$Q$29,$A1309)))/Settings!$B$13,IF(INDEX(Employees!$P$5:$P$29,$A1309)="Per hour worked",N(INDEX(Employees!$R$5:$R$29,$A1309))*$I1309,IF(INDEX(Employees!$P$5:$P$29,$A1309)="Front-loaded",IF(OR($B1309=1,N($G1308)=0),N(INDEX(Employees!$Q$5:$Q$29,$A1309)),0),0))))</f>
        <v/>
      </c>
      <c r="R1309" s="48">
        <f>IF($F1309=0,0,SUMIFS('Time Off Log'!$H$5:$H$504,'Time Off Log'!$A$5:$A$504,$C1309,'Time Off Log'!$B$5:$B$504,"Sick",'Time Off Log'!$E$5:$E$504,"Approved",'Time Off Log'!$C$5:$C$504,"&gt;="&amp;INDEX(Periods!$E$5:$E$57,$B1309),'Time Off Log'!$C$5:$C$504,"&lt;="&amp;INDEX(Periods!$F$5:$F$57,$B1309)))</f>
        <v/>
      </c>
      <c r="S1309" s="48">
        <f>IF($B1309=1,N(INDEX(Employees!$T$5:$T$29,$A1309)),V1308)</f>
        <v/>
      </c>
      <c r="T1309" s="48">
        <f>IF(INDEX(Employees!$S$5:$S$29,$A1309)="",Q1309,MAX(0,MIN(Q1309,INDEX(Employees!$S$5:$S$29,$A1309)-(S1309-R1309))))</f>
        <v/>
      </c>
      <c r="U1309" s="48">
        <f>Q1309-T1309</f>
        <v/>
      </c>
      <c r="V1309" s="48">
        <f>S1309-R1309+T1309</f>
        <v/>
      </c>
    </row>
    <row r="1310">
      <c r="A1310" s="47" t="n">
        <v>25</v>
      </c>
      <c r="B1310" s="47" t="n">
        <v>34</v>
      </c>
      <c r="C1310" s="48">
        <f>INDEX(Employees!$B$5:$B$29,$A1310)&amp;""</f>
        <v/>
      </c>
      <c r="D1310" s="49">
        <f>INDEX(Periods!$B$5:$B$57,$B1310)</f>
        <v/>
      </c>
      <c r="E1310" s="49">
        <f>INDEX(Periods!$C$5:$C$57,$B1310)</f>
        <v/>
      </c>
      <c r="F1310" s="47">
        <f>IF(AND($C1310&lt;&gt;"",INDEX(Periods!$D$5:$D$57,$B1310)=1),1,0)</f>
        <v/>
      </c>
      <c r="G1310" s="47">
        <f>IF($F1310=0,0,IF(AND(OR(INDEX(Employees!$D$5:$D$29,$A1310)="",$E1310&gt;=INDEX(Employees!$D$5:$D$29,$A1310)+N(INDEX(Employees!$U$5:$U$29,$A1310))),OR(INDEX(Employees!$E$5:$E$29,$A1310)="",$D1310&lt;=INDEX(Employees!$E$5:$E$29,$A1310))),1,0))</f>
        <v/>
      </c>
      <c r="H1310" s="47">
        <f>IF($G1310=0,0,IF(INDEX(Employees!$D$5:$D$29,$A1310)="",0,DATEDIF(INDEX(Employees!$D$5:$D$29,$A1310),$E1310,"y")))</f>
        <v/>
      </c>
      <c r="I1310" s="48">
        <f>IF($G1310=0,0,IF(INDEX('Hours Worked'!$D$5:$BD$29,$A1310,$B1310)="",N(INDEX(Employees!$H$5:$H$29,$A1310)),INDEX('Hours Worked'!$D$5:$BD$29,$A1310,$B1310)))</f>
        <v/>
      </c>
      <c r="J1310" s="48">
        <f>IF(OR($G1310=0,INDEX(Employees!$O$5:$O$29,$A1310)&lt;&gt;"Yes"),0,IF(COUNTIF(Settings!$D$4:$D$9,"&lt;="&amp;$H1310)=0,0,INDEX(Settings!$E$4:$E$9,COUNTIF(Settings!$D$4:$D$9,"&lt;="&amp;$H1310))))</f>
        <v/>
      </c>
      <c r="K1310" s="48">
        <f>IF($G1310=0,0,IF(INDEX(Employees!$I$5:$I$29,$A1310)="Per pay period",(N(INDEX(Employees!$J$5:$J$29,$A1310))+$J1310)/Settings!$B$13,IF(INDEX(Employees!$I$5:$I$29,$A1310)="Per hour worked",N(INDEX(Employees!$K$5:$K$29,$A1310))*$I1310,IF(INDEX(Employees!$I$5:$I$29,$A1310)="Front-loaded",IF(OR($B1310=1,N($G1309)=0),N(INDEX(Employees!$J$5:$J$29,$A1310))+$J1310,0),0))))</f>
        <v/>
      </c>
      <c r="L1310" s="48">
        <f>IF($F1310=0,0,SUMIFS('Time Off Log'!$H$5:$H$504,'Time Off Log'!$A$5:$A$504,$C1310,'Time Off Log'!$B$5:$B$504,"PTO",'Time Off Log'!$E$5:$E$504,"Approved",'Time Off Log'!$C$5:$C$504,"&gt;="&amp;INDEX(Periods!$E$5:$E$57,$B1310),'Time Off Log'!$C$5:$C$504,"&lt;="&amp;INDEX(Periods!$F$5:$F$57,$B1310)))</f>
        <v/>
      </c>
      <c r="M1310" s="48">
        <f>IF($B1310=1,N(INDEX(Employees!$N$5:$N$29,$A1310)),P1309)</f>
        <v/>
      </c>
      <c r="N1310" s="48">
        <f>IF(INDEX(Employees!$L$5:$L$29,$A1310)="",K1310,MAX(0,MIN(K1310,INDEX(Employees!$L$5:$L$29,$A1310)-(M1310-L1310))))</f>
        <v/>
      </c>
      <c r="O1310" s="48">
        <f>K1310-N1310</f>
        <v/>
      </c>
      <c r="P1310" s="48">
        <f>M1310-L1310+N1310</f>
        <v/>
      </c>
      <c r="Q1310" s="48">
        <f>IF($G1310=0,0,IF(INDEX(Employees!$P$5:$P$29,$A1310)="Per pay period",(N(INDEX(Employees!$Q$5:$Q$29,$A1310)))/Settings!$B$13,IF(INDEX(Employees!$P$5:$P$29,$A1310)="Per hour worked",N(INDEX(Employees!$R$5:$R$29,$A1310))*$I1310,IF(INDEX(Employees!$P$5:$P$29,$A1310)="Front-loaded",IF(OR($B1310=1,N($G1309)=0),N(INDEX(Employees!$Q$5:$Q$29,$A1310)),0),0))))</f>
        <v/>
      </c>
      <c r="R1310" s="48">
        <f>IF($F1310=0,0,SUMIFS('Time Off Log'!$H$5:$H$504,'Time Off Log'!$A$5:$A$504,$C1310,'Time Off Log'!$B$5:$B$504,"Sick",'Time Off Log'!$E$5:$E$504,"Approved",'Time Off Log'!$C$5:$C$504,"&gt;="&amp;INDEX(Periods!$E$5:$E$57,$B1310),'Time Off Log'!$C$5:$C$504,"&lt;="&amp;INDEX(Periods!$F$5:$F$57,$B1310)))</f>
        <v/>
      </c>
      <c r="S1310" s="48">
        <f>IF($B1310=1,N(INDEX(Employees!$T$5:$T$29,$A1310)),V1309)</f>
        <v/>
      </c>
      <c r="T1310" s="48">
        <f>IF(INDEX(Employees!$S$5:$S$29,$A1310)="",Q1310,MAX(0,MIN(Q1310,INDEX(Employees!$S$5:$S$29,$A1310)-(S1310-R1310))))</f>
        <v/>
      </c>
      <c r="U1310" s="48">
        <f>Q1310-T1310</f>
        <v/>
      </c>
      <c r="V1310" s="48">
        <f>S1310-R1310+T1310</f>
        <v/>
      </c>
    </row>
    <row r="1311">
      <c r="A1311" s="47" t="n">
        <v>25</v>
      </c>
      <c r="B1311" s="47" t="n">
        <v>35</v>
      </c>
      <c r="C1311" s="48">
        <f>INDEX(Employees!$B$5:$B$29,$A1311)&amp;""</f>
        <v/>
      </c>
      <c r="D1311" s="49">
        <f>INDEX(Periods!$B$5:$B$57,$B1311)</f>
        <v/>
      </c>
      <c r="E1311" s="49">
        <f>INDEX(Periods!$C$5:$C$57,$B1311)</f>
        <v/>
      </c>
      <c r="F1311" s="47">
        <f>IF(AND($C1311&lt;&gt;"",INDEX(Periods!$D$5:$D$57,$B1311)=1),1,0)</f>
        <v/>
      </c>
      <c r="G1311" s="47">
        <f>IF($F1311=0,0,IF(AND(OR(INDEX(Employees!$D$5:$D$29,$A1311)="",$E1311&gt;=INDEX(Employees!$D$5:$D$29,$A1311)+N(INDEX(Employees!$U$5:$U$29,$A1311))),OR(INDEX(Employees!$E$5:$E$29,$A1311)="",$D1311&lt;=INDEX(Employees!$E$5:$E$29,$A1311))),1,0))</f>
        <v/>
      </c>
      <c r="H1311" s="47">
        <f>IF($G1311=0,0,IF(INDEX(Employees!$D$5:$D$29,$A1311)="",0,DATEDIF(INDEX(Employees!$D$5:$D$29,$A1311),$E1311,"y")))</f>
        <v/>
      </c>
      <c r="I1311" s="48">
        <f>IF($G1311=0,0,IF(INDEX('Hours Worked'!$D$5:$BD$29,$A1311,$B1311)="",N(INDEX(Employees!$H$5:$H$29,$A1311)),INDEX('Hours Worked'!$D$5:$BD$29,$A1311,$B1311)))</f>
        <v/>
      </c>
      <c r="J1311" s="48">
        <f>IF(OR($G1311=0,INDEX(Employees!$O$5:$O$29,$A1311)&lt;&gt;"Yes"),0,IF(COUNTIF(Settings!$D$4:$D$9,"&lt;="&amp;$H1311)=0,0,INDEX(Settings!$E$4:$E$9,COUNTIF(Settings!$D$4:$D$9,"&lt;="&amp;$H1311))))</f>
        <v/>
      </c>
      <c r="K1311" s="48">
        <f>IF($G1311=0,0,IF(INDEX(Employees!$I$5:$I$29,$A1311)="Per pay period",(N(INDEX(Employees!$J$5:$J$29,$A1311))+$J1311)/Settings!$B$13,IF(INDEX(Employees!$I$5:$I$29,$A1311)="Per hour worked",N(INDEX(Employees!$K$5:$K$29,$A1311))*$I1311,IF(INDEX(Employees!$I$5:$I$29,$A1311)="Front-loaded",IF(OR($B1311=1,N($G1310)=0),N(INDEX(Employees!$J$5:$J$29,$A1311))+$J1311,0),0))))</f>
        <v/>
      </c>
      <c r="L1311" s="48">
        <f>IF($F1311=0,0,SUMIFS('Time Off Log'!$H$5:$H$504,'Time Off Log'!$A$5:$A$504,$C1311,'Time Off Log'!$B$5:$B$504,"PTO",'Time Off Log'!$E$5:$E$504,"Approved",'Time Off Log'!$C$5:$C$504,"&gt;="&amp;INDEX(Periods!$E$5:$E$57,$B1311),'Time Off Log'!$C$5:$C$504,"&lt;="&amp;INDEX(Periods!$F$5:$F$57,$B1311)))</f>
        <v/>
      </c>
      <c r="M1311" s="48">
        <f>IF($B1311=1,N(INDEX(Employees!$N$5:$N$29,$A1311)),P1310)</f>
        <v/>
      </c>
      <c r="N1311" s="48">
        <f>IF(INDEX(Employees!$L$5:$L$29,$A1311)="",K1311,MAX(0,MIN(K1311,INDEX(Employees!$L$5:$L$29,$A1311)-(M1311-L1311))))</f>
        <v/>
      </c>
      <c r="O1311" s="48">
        <f>K1311-N1311</f>
        <v/>
      </c>
      <c r="P1311" s="48">
        <f>M1311-L1311+N1311</f>
        <v/>
      </c>
      <c r="Q1311" s="48">
        <f>IF($G1311=0,0,IF(INDEX(Employees!$P$5:$P$29,$A1311)="Per pay period",(N(INDEX(Employees!$Q$5:$Q$29,$A1311)))/Settings!$B$13,IF(INDEX(Employees!$P$5:$P$29,$A1311)="Per hour worked",N(INDEX(Employees!$R$5:$R$29,$A1311))*$I1311,IF(INDEX(Employees!$P$5:$P$29,$A1311)="Front-loaded",IF(OR($B1311=1,N($G1310)=0),N(INDEX(Employees!$Q$5:$Q$29,$A1311)),0),0))))</f>
        <v/>
      </c>
      <c r="R1311" s="48">
        <f>IF($F1311=0,0,SUMIFS('Time Off Log'!$H$5:$H$504,'Time Off Log'!$A$5:$A$504,$C1311,'Time Off Log'!$B$5:$B$504,"Sick",'Time Off Log'!$E$5:$E$504,"Approved",'Time Off Log'!$C$5:$C$504,"&gt;="&amp;INDEX(Periods!$E$5:$E$57,$B1311),'Time Off Log'!$C$5:$C$504,"&lt;="&amp;INDEX(Periods!$F$5:$F$57,$B1311)))</f>
        <v/>
      </c>
      <c r="S1311" s="48">
        <f>IF($B1311=1,N(INDEX(Employees!$T$5:$T$29,$A1311)),V1310)</f>
        <v/>
      </c>
      <c r="T1311" s="48">
        <f>IF(INDEX(Employees!$S$5:$S$29,$A1311)="",Q1311,MAX(0,MIN(Q1311,INDEX(Employees!$S$5:$S$29,$A1311)-(S1311-R1311))))</f>
        <v/>
      </c>
      <c r="U1311" s="48">
        <f>Q1311-T1311</f>
        <v/>
      </c>
      <c r="V1311" s="48">
        <f>S1311-R1311+T1311</f>
        <v/>
      </c>
    </row>
    <row r="1312">
      <c r="A1312" s="47" t="n">
        <v>25</v>
      </c>
      <c r="B1312" s="47" t="n">
        <v>36</v>
      </c>
      <c r="C1312" s="48">
        <f>INDEX(Employees!$B$5:$B$29,$A1312)&amp;""</f>
        <v/>
      </c>
      <c r="D1312" s="49">
        <f>INDEX(Periods!$B$5:$B$57,$B1312)</f>
        <v/>
      </c>
      <c r="E1312" s="49">
        <f>INDEX(Periods!$C$5:$C$57,$B1312)</f>
        <v/>
      </c>
      <c r="F1312" s="47">
        <f>IF(AND($C1312&lt;&gt;"",INDEX(Periods!$D$5:$D$57,$B1312)=1),1,0)</f>
        <v/>
      </c>
      <c r="G1312" s="47">
        <f>IF($F1312=0,0,IF(AND(OR(INDEX(Employees!$D$5:$D$29,$A1312)="",$E1312&gt;=INDEX(Employees!$D$5:$D$29,$A1312)+N(INDEX(Employees!$U$5:$U$29,$A1312))),OR(INDEX(Employees!$E$5:$E$29,$A1312)="",$D1312&lt;=INDEX(Employees!$E$5:$E$29,$A1312))),1,0))</f>
        <v/>
      </c>
      <c r="H1312" s="47">
        <f>IF($G1312=0,0,IF(INDEX(Employees!$D$5:$D$29,$A1312)="",0,DATEDIF(INDEX(Employees!$D$5:$D$29,$A1312),$E1312,"y")))</f>
        <v/>
      </c>
      <c r="I1312" s="48">
        <f>IF($G1312=0,0,IF(INDEX('Hours Worked'!$D$5:$BD$29,$A1312,$B1312)="",N(INDEX(Employees!$H$5:$H$29,$A1312)),INDEX('Hours Worked'!$D$5:$BD$29,$A1312,$B1312)))</f>
        <v/>
      </c>
      <c r="J1312" s="48">
        <f>IF(OR($G1312=0,INDEX(Employees!$O$5:$O$29,$A1312)&lt;&gt;"Yes"),0,IF(COUNTIF(Settings!$D$4:$D$9,"&lt;="&amp;$H1312)=0,0,INDEX(Settings!$E$4:$E$9,COUNTIF(Settings!$D$4:$D$9,"&lt;="&amp;$H1312))))</f>
        <v/>
      </c>
      <c r="K1312" s="48">
        <f>IF($G1312=0,0,IF(INDEX(Employees!$I$5:$I$29,$A1312)="Per pay period",(N(INDEX(Employees!$J$5:$J$29,$A1312))+$J1312)/Settings!$B$13,IF(INDEX(Employees!$I$5:$I$29,$A1312)="Per hour worked",N(INDEX(Employees!$K$5:$K$29,$A1312))*$I1312,IF(INDEX(Employees!$I$5:$I$29,$A1312)="Front-loaded",IF(OR($B1312=1,N($G1311)=0),N(INDEX(Employees!$J$5:$J$29,$A1312))+$J1312,0),0))))</f>
        <v/>
      </c>
      <c r="L1312" s="48">
        <f>IF($F1312=0,0,SUMIFS('Time Off Log'!$H$5:$H$504,'Time Off Log'!$A$5:$A$504,$C1312,'Time Off Log'!$B$5:$B$504,"PTO",'Time Off Log'!$E$5:$E$504,"Approved",'Time Off Log'!$C$5:$C$504,"&gt;="&amp;INDEX(Periods!$E$5:$E$57,$B1312),'Time Off Log'!$C$5:$C$504,"&lt;="&amp;INDEX(Periods!$F$5:$F$57,$B1312)))</f>
        <v/>
      </c>
      <c r="M1312" s="48">
        <f>IF($B1312=1,N(INDEX(Employees!$N$5:$N$29,$A1312)),P1311)</f>
        <v/>
      </c>
      <c r="N1312" s="48">
        <f>IF(INDEX(Employees!$L$5:$L$29,$A1312)="",K1312,MAX(0,MIN(K1312,INDEX(Employees!$L$5:$L$29,$A1312)-(M1312-L1312))))</f>
        <v/>
      </c>
      <c r="O1312" s="48">
        <f>K1312-N1312</f>
        <v/>
      </c>
      <c r="P1312" s="48">
        <f>M1312-L1312+N1312</f>
        <v/>
      </c>
      <c r="Q1312" s="48">
        <f>IF($G1312=0,0,IF(INDEX(Employees!$P$5:$P$29,$A1312)="Per pay period",(N(INDEX(Employees!$Q$5:$Q$29,$A1312)))/Settings!$B$13,IF(INDEX(Employees!$P$5:$P$29,$A1312)="Per hour worked",N(INDEX(Employees!$R$5:$R$29,$A1312))*$I1312,IF(INDEX(Employees!$P$5:$P$29,$A1312)="Front-loaded",IF(OR($B1312=1,N($G1311)=0),N(INDEX(Employees!$Q$5:$Q$29,$A1312)),0),0))))</f>
        <v/>
      </c>
      <c r="R1312" s="48">
        <f>IF($F1312=0,0,SUMIFS('Time Off Log'!$H$5:$H$504,'Time Off Log'!$A$5:$A$504,$C1312,'Time Off Log'!$B$5:$B$504,"Sick",'Time Off Log'!$E$5:$E$504,"Approved",'Time Off Log'!$C$5:$C$504,"&gt;="&amp;INDEX(Periods!$E$5:$E$57,$B1312),'Time Off Log'!$C$5:$C$504,"&lt;="&amp;INDEX(Periods!$F$5:$F$57,$B1312)))</f>
        <v/>
      </c>
      <c r="S1312" s="48">
        <f>IF($B1312=1,N(INDEX(Employees!$T$5:$T$29,$A1312)),V1311)</f>
        <v/>
      </c>
      <c r="T1312" s="48">
        <f>IF(INDEX(Employees!$S$5:$S$29,$A1312)="",Q1312,MAX(0,MIN(Q1312,INDEX(Employees!$S$5:$S$29,$A1312)-(S1312-R1312))))</f>
        <v/>
      </c>
      <c r="U1312" s="48">
        <f>Q1312-T1312</f>
        <v/>
      </c>
      <c r="V1312" s="48">
        <f>S1312-R1312+T1312</f>
        <v/>
      </c>
    </row>
    <row r="1313">
      <c r="A1313" s="47" t="n">
        <v>25</v>
      </c>
      <c r="B1313" s="47" t="n">
        <v>37</v>
      </c>
      <c r="C1313" s="48">
        <f>INDEX(Employees!$B$5:$B$29,$A1313)&amp;""</f>
        <v/>
      </c>
      <c r="D1313" s="49">
        <f>INDEX(Periods!$B$5:$B$57,$B1313)</f>
        <v/>
      </c>
      <c r="E1313" s="49">
        <f>INDEX(Periods!$C$5:$C$57,$B1313)</f>
        <v/>
      </c>
      <c r="F1313" s="47">
        <f>IF(AND($C1313&lt;&gt;"",INDEX(Periods!$D$5:$D$57,$B1313)=1),1,0)</f>
        <v/>
      </c>
      <c r="G1313" s="47">
        <f>IF($F1313=0,0,IF(AND(OR(INDEX(Employees!$D$5:$D$29,$A1313)="",$E1313&gt;=INDEX(Employees!$D$5:$D$29,$A1313)+N(INDEX(Employees!$U$5:$U$29,$A1313))),OR(INDEX(Employees!$E$5:$E$29,$A1313)="",$D1313&lt;=INDEX(Employees!$E$5:$E$29,$A1313))),1,0))</f>
        <v/>
      </c>
      <c r="H1313" s="47">
        <f>IF($G1313=0,0,IF(INDEX(Employees!$D$5:$D$29,$A1313)="",0,DATEDIF(INDEX(Employees!$D$5:$D$29,$A1313),$E1313,"y")))</f>
        <v/>
      </c>
      <c r="I1313" s="48">
        <f>IF($G1313=0,0,IF(INDEX('Hours Worked'!$D$5:$BD$29,$A1313,$B1313)="",N(INDEX(Employees!$H$5:$H$29,$A1313)),INDEX('Hours Worked'!$D$5:$BD$29,$A1313,$B1313)))</f>
        <v/>
      </c>
      <c r="J1313" s="48">
        <f>IF(OR($G1313=0,INDEX(Employees!$O$5:$O$29,$A1313)&lt;&gt;"Yes"),0,IF(COUNTIF(Settings!$D$4:$D$9,"&lt;="&amp;$H1313)=0,0,INDEX(Settings!$E$4:$E$9,COUNTIF(Settings!$D$4:$D$9,"&lt;="&amp;$H1313))))</f>
        <v/>
      </c>
      <c r="K1313" s="48">
        <f>IF($G1313=0,0,IF(INDEX(Employees!$I$5:$I$29,$A1313)="Per pay period",(N(INDEX(Employees!$J$5:$J$29,$A1313))+$J1313)/Settings!$B$13,IF(INDEX(Employees!$I$5:$I$29,$A1313)="Per hour worked",N(INDEX(Employees!$K$5:$K$29,$A1313))*$I1313,IF(INDEX(Employees!$I$5:$I$29,$A1313)="Front-loaded",IF(OR($B1313=1,N($G1312)=0),N(INDEX(Employees!$J$5:$J$29,$A1313))+$J1313,0),0))))</f>
        <v/>
      </c>
      <c r="L1313" s="48">
        <f>IF($F1313=0,0,SUMIFS('Time Off Log'!$H$5:$H$504,'Time Off Log'!$A$5:$A$504,$C1313,'Time Off Log'!$B$5:$B$504,"PTO",'Time Off Log'!$E$5:$E$504,"Approved",'Time Off Log'!$C$5:$C$504,"&gt;="&amp;INDEX(Periods!$E$5:$E$57,$B1313),'Time Off Log'!$C$5:$C$504,"&lt;="&amp;INDEX(Periods!$F$5:$F$57,$B1313)))</f>
        <v/>
      </c>
      <c r="M1313" s="48">
        <f>IF($B1313=1,N(INDEX(Employees!$N$5:$N$29,$A1313)),P1312)</f>
        <v/>
      </c>
      <c r="N1313" s="48">
        <f>IF(INDEX(Employees!$L$5:$L$29,$A1313)="",K1313,MAX(0,MIN(K1313,INDEX(Employees!$L$5:$L$29,$A1313)-(M1313-L1313))))</f>
        <v/>
      </c>
      <c r="O1313" s="48">
        <f>K1313-N1313</f>
        <v/>
      </c>
      <c r="P1313" s="48">
        <f>M1313-L1313+N1313</f>
        <v/>
      </c>
      <c r="Q1313" s="48">
        <f>IF($G1313=0,0,IF(INDEX(Employees!$P$5:$P$29,$A1313)="Per pay period",(N(INDEX(Employees!$Q$5:$Q$29,$A1313)))/Settings!$B$13,IF(INDEX(Employees!$P$5:$P$29,$A1313)="Per hour worked",N(INDEX(Employees!$R$5:$R$29,$A1313))*$I1313,IF(INDEX(Employees!$P$5:$P$29,$A1313)="Front-loaded",IF(OR($B1313=1,N($G1312)=0),N(INDEX(Employees!$Q$5:$Q$29,$A1313)),0),0))))</f>
        <v/>
      </c>
      <c r="R1313" s="48">
        <f>IF($F1313=0,0,SUMIFS('Time Off Log'!$H$5:$H$504,'Time Off Log'!$A$5:$A$504,$C1313,'Time Off Log'!$B$5:$B$504,"Sick",'Time Off Log'!$E$5:$E$504,"Approved",'Time Off Log'!$C$5:$C$504,"&gt;="&amp;INDEX(Periods!$E$5:$E$57,$B1313),'Time Off Log'!$C$5:$C$504,"&lt;="&amp;INDEX(Periods!$F$5:$F$57,$B1313)))</f>
        <v/>
      </c>
      <c r="S1313" s="48">
        <f>IF($B1313=1,N(INDEX(Employees!$T$5:$T$29,$A1313)),V1312)</f>
        <v/>
      </c>
      <c r="T1313" s="48">
        <f>IF(INDEX(Employees!$S$5:$S$29,$A1313)="",Q1313,MAX(0,MIN(Q1313,INDEX(Employees!$S$5:$S$29,$A1313)-(S1313-R1313))))</f>
        <v/>
      </c>
      <c r="U1313" s="48">
        <f>Q1313-T1313</f>
        <v/>
      </c>
      <c r="V1313" s="48">
        <f>S1313-R1313+T1313</f>
        <v/>
      </c>
    </row>
    <row r="1314">
      <c r="A1314" s="47" t="n">
        <v>25</v>
      </c>
      <c r="B1314" s="47" t="n">
        <v>38</v>
      </c>
      <c r="C1314" s="48">
        <f>INDEX(Employees!$B$5:$B$29,$A1314)&amp;""</f>
        <v/>
      </c>
      <c r="D1314" s="49">
        <f>INDEX(Periods!$B$5:$B$57,$B1314)</f>
        <v/>
      </c>
      <c r="E1314" s="49">
        <f>INDEX(Periods!$C$5:$C$57,$B1314)</f>
        <v/>
      </c>
      <c r="F1314" s="47">
        <f>IF(AND($C1314&lt;&gt;"",INDEX(Periods!$D$5:$D$57,$B1314)=1),1,0)</f>
        <v/>
      </c>
      <c r="G1314" s="47">
        <f>IF($F1314=0,0,IF(AND(OR(INDEX(Employees!$D$5:$D$29,$A1314)="",$E1314&gt;=INDEX(Employees!$D$5:$D$29,$A1314)+N(INDEX(Employees!$U$5:$U$29,$A1314))),OR(INDEX(Employees!$E$5:$E$29,$A1314)="",$D1314&lt;=INDEX(Employees!$E$5:$E$29,$A1314))),1,0))</f>
        <v/>
      </c>
      <c r="H1314" s="47">
        <f>IF($G1314=0,0,IF(INDEX(Employees!$D$5:$D$29,$A1314)="",0,DATEDIF(INDEX(Employees!$D$5:$D$29,$A1314),$E1314,"y")))</f>
        <v/>
      </c>
      <c r="I1314" s="48">
        <f>IF($G1314=0,0,IF(INDEX('Hours Worked'!$D$5:$BD$29,$A1314,$B1314)="",N(INDEX(Employees!$H$5:$H$29,$A1314)),INDEX('Hours Worked'!$D$5:$BD$29,$A1314,$B1314)))</f>
        <v/>
      </c>
      <c r="J1314" s="48">
        <f>IF(OR($G1314=0,INDEX(Employees!$O$5:$O$29,$A1314)&lt;&gt;"Yes"),0,IF(COUNTIF(Settings!$D$4:$D$9,"&lt;="&amp;$H1314)=0,0,INDEX(Settings!$E$4:$E$9,COUNTIF(Settings!$D$4:$D$9,"&lt;="&amp;$H1314))))</f>
        <v/>
      </c>
      <c r="K1314" s="48">
        <f>IF($G1314=0,0,IF(INDEX(Employees!$I$5:$I$29,$A1314)="Per pay period",(N(INDEX(Employees!$J$5:$J$29,$A1314))+$J1314)/Settings!$B$13,IF(INDEX(Employees!$I$5:$I$29,$A1314)="Per hour worked",N(INDEX(Employees!$K$5:$K$29,$A1314))*$I1314,IF(INDEX(Employees!$I$5:$I$29,$A1314)="Front-loaded",IF(OR($B1314=1,N($G1313)=0),N(INDEX(Employees!$J$5:$J$29,$A1314))+$J1314,0),0))))</f>
        <v/>
      </c>
      <c r="L1314" s="48">
        <f>IF($F1314=0,0,SUMIFS('Time Off Log'!$H$5:$H$504,'Time Off Log'!$A$5:$A$504,$C1314,'Time Off Log'!$B$5:$B$504,"PTO",'Time Off Log'!$E$5:$E$504,"Approved",'Time Off Log'!$C$5:$C$504,"&gt;="&amp;INDEX(Periods!$E$5:$E$57,$B1314),'Time Off Log'!$C$5:$C$504,"&lt;="&amp;INDEX(Periods!$F$5:$F$57,$B1314)))</f>
        <v/>
      </c>
      <c r="M1314" s="48">
        <f>IF($B1314=1,N(INDEX(Employees!$N$5:$N$29,$A1314)),P1313)</f>
        <v/>
      </c>
      <c r="N1314" s="48">
        <f>IF(INDEX(Employees!$L$5:$L$29,$A1314)="",K1314,MAX(0,MIN(K1314,INDEX(Employees!$L$5:$L$29,$A1314)-(M1314-L1314))))</f>
        <v/>
      </c>
      <c r="O1314" s="48">
        <f>K1314-N1314</f>
        <v/>
      </c>
      <c r="P1314" s="48">
        <f>M1314-L1314+N1314</f>
        <v/>
      </c>
      <c r="Q1314" s="48">
        <f>IF($G1314=0,0,IF(INDEX(Employees!$P$5:$P$29,$A1314)="Per pay period",(N(INDEX(Employees!$Q$5:$Q$29,$A1314)))/Settings!$B$13,IF(INDEX(Employees!$P$5:$P$29,$A1314)="Per hour worked",N(INDEX(Employees!$R$5:$R$29,$A1314))*$I1314,IF(INDEX(Employees!$P$5:$P$29,$A1314)="Front-loaded",IF(OR($B1314=1,N($G1313)=0),N(INDEX(Employees!$Q$5:$Q$29,$A1314)),0),0))))</f>
        <v/>
      </c>
      <c r="R1314" s="48">
        <f>IF($F1314=0,0,SUMIFS('Time Off Log'!$H$5:$H$504,'Time Off Log'!$A$5:$A$504,$C1314,'Time Off Log'!$B$5:$B$504,"Sick",'Time Off Log'!$E$5:$E$504,"Approved",'Time Off Log'!$C$5:$C$504,"&gt;="&amp;INDEX(Periods!$E$5:$E$57,$B1314),'Time Off Log'!$C$5:$C$504,"&lt;="&amp;INDEX(Periods!$F$5:$F$57,$B1314)))</f>
        <v/>
      </c>
      <c r="S1314" s="48">
        <f>IF($B1314=1,N(INDEX(Employees!$T$5:$T$29,$A1314)),V1313)</f>
        <v/>
      </c>
      <c r="T1314" s="48">
        <f>IF(INDEX(Employees!$S$5:$S$29,$A1314)="",Q1314,MAX(0,MIN(Q1314,INDEX(Employees!$S$5:$S$29,$A1314)-(S1314-R1314))))</f>
        <v/>
      </c>
      <c r="U1314" s="48">
        <f>Q1314-T1314</f>
        <v/>
      </c>
      <c r="V1314" s="48">
        <f>S1314-R1314+T1314</f>
        <v/>
      </c>
    </row>
    <row r="1315">
      <c r="A1315" s="47" t="n">
        <v>25</v>
      </c>
      <c r="B1315" s="47" t="n">
        <v>39</v>
      </c>
      <c r="C1315" s="48">
        <f>INDEX(Employees!$B$5:$B$29,$A1315)&amp;""</f>
        <v/>
      </c>
      <c r="D1315" s="49">
        <f>INDEX(Periods!$B$5:$B$57,$B1315)</f>
        <v/>
      </c>
      <c r="E1315" s="49">
        <f>INDEX(Periods!$C$5:$C$57,$B1315)</f>
        <v/>
      </c>
      <c r="F1315" s="47">
        <f>IF(AND($C1315&lt;&gt;"",INDEX(Periods!$D$5:$D$57,$B1315)=1),1,0)</f>
        <v/>
      </c>
      <c r="G1315" s="47">
        <f>IF($F1315=0,0,IF(AND(OR(INDEX(Employees!$D$5:$D$29,$A1315)="",$E1315&gt;=INDEX(Employees!$D$5:$D$29,$A1315)+N(INDEX(Employees!$U$5:$U$29,$A1315))),OR(INDEX(Employees!$E$5:$E$29,$A1315)="",$D1315&lt;=INDEX(Employees!$E$5:$E$29,$A1315))),1,0))</f>
        <v/>
      </c>
      <c r="H1315" s="47">
        <f>IF($G1315=0,0,IF(INDEX(Employees!$D$5:$D$29,$A1315)="",0,DATEDIF(INDEX(Employees!$D$5:$D$29,$A1315),$E1315,"y")))</f>
        <v/>
      </c>
      <c r="I1315" s="48">
        <f>IF($G1315=0,0,IF(INDEX('Hours Worked'!$D$5:$BD$29,$A1315,$B1315)="",N(INDEX(Employees!$H$5:$H$29,$A1315)),INDEX('Hours Worked'!$D$5:$BD$29,$A1315,$B1315)))</f>
        <v/>
      </c>
      <c r="J1315" s="48">
        <f>IF(OR($G1315=0,INDEX(Employees!$O$5:$O$29,$A1315)&lt;&gt;"Yes"),0,IF(COUNTIF(Settings!$D$4:$D$9,"&lt;="&amp;$H1315)=0,0,INDEX(Settings!$E$4:$E$9,COUNTIF(Settings!$D$4:$D$9,"&lt;="&amp;$H1315))))</f>
        <v/>
      </c>
      <c r="K1315" s="48">
        <f>IF($G1315=0,0,IF(INDEX(Employees!$I$5:$I$29,$A1315)="Per pay period",(N(INDEX(Employees!$J$5:$J$29,$A1315))+$J1315)/Settings!$B$13,IF(INDEX(Employees!$I$5:$I$29,$A1315)="Per hour worked",N(INDEX(Employees!$K$5:$K$29,$A1315))*$I1315,IF(INDEX(Employees!$I$5:$I$29,$A1315)="Front-loaded",IF(OR($B1315=1,N($G1314)=0),N(INDEX(Employees!$J$5:$J$29,$A1315))+$J1315,0),0))))</f>
        <v/>
      </c>
      <c r="L1315" s="48">
        <f>IF($F1315=0,0,SUMIFS('Time Off Log'!$H$5:$H$504,'Time Off Log'!$A$5:$A$504,$C1315,'Time Off Log'!$B$5:$B$504,"PTO",'Time Off Log'!$E$5:$E$504,"Approved",'Time Off Log'!$C$5:$C$504,"&gt;="&amp;INDEX(Periods!$E$5:$E$57,$B1315),'Time Off Log'!$C$5:$C$504,"&lt;="&amp;INDEX(Periods!$F$5:$F$57,$B1315)))</f>
        <v/>
      </c>
      <c r="M1315" s="48">
        <f>IF($B1315=1,N(INDEX(Employees!$N$5:$N$29,$A1315)),P1314)</f>
        <v/>
      </c>
      <c r="N1315" s="48">
        <f>IF(INDEX(Employees!$L$5:$L$29,$A1315)="",K1315,MAX(0,MIN(K1315,INDEX(Employees!$L$5:$L$29,$A1315)-(M1315-L1315))))</f>
        <v/>
      </c>
      <c r="O1315" s="48">
        <f>K1315-N1315</f>
        <v/>
      </c>
      <c r="P1315" s="48">
        <f>M1315-L1315+N1315</f>
        <v/>
      </c>
      <c r="Q1315" s="48">
        <f>IF($G1315=0,0,IF(INDEX(Employees!$P$5:$P$29,$A1315)="Per pay period",(N(INDEX(Employees!$Q$5:$Q$29,$A1315)))/Settings!$B$13,IF(INDEX(Employees!$P$5:$P$29,$A1315)="Per hour worked",N(INDEX(Employees!$R$5:$R$29,$A1315))*$I1315,IF(INDEX(Employees!$P$5:$P$29,$A1315)="Front-loaded",IF(OR($B1315=1,N($G1314)=0),N(INDEX(Employees!$Q$5:$Q$29,$A1315)),0),0))))</f>
        <v/>
      </c>
      <c r="R1315" s="48">
        <f>IF($F1315=0,0,SUMIFS('Time Off Log'!$H$5:$H$504,'Time Off Log'!$A$5:$A$504,$C1315,'Time Off Log'!$B$5:$B$504,"Sick",'Time Off Log'!$E$5:$E$504,"Approved",'Time Off Log'!$C$5:$C$504,"&gt;="&amp;INDEX(Periods!$E$5:$E$57,$B1315),'Time Off Log'!$C$5:$C$504,"&lt;="&amp;INDEX(Periods!$F$5:$F$57,$B1315)))</f>
        <v/>
      </c>
      <c r="S1315" s="48">
        <f>IF($B1315=1,N(INDEX(Employees!$T$5:$T$29,$A1315)),V1314)</f>
        <v/>
      </c>
      <c r="T1315" s="48">
        <f>IF(INDEX(Employees!$S$5:$S$29,$A1315)="",Q1315,MAX(0,MIN(Q1315,INDEX(Employees!$S$5:$S$29,$A1315)-(S1315-R1315))))</f>
        <v/>
      </c>
      <c r="U1315" s="48">
        <f>Q1315-T1315</f>
        <v/>
      </c>
      <c r="V1315" s="48">
        <f>S1315-R1315+T1315</f>
        <v/>
      </c>
    </row>
    <row r="1316">
      <c r="A1316" s="47" t="n">
        <v>25</v>
      </c>
      <c r="B1316" s="47" t="n">
        <v>40</v>
      </c>
      <c r="C1316" s="48">
        <f>INDEX(Employees!$B$5:$B$29,$A1316)&amp;""</f>
        <v/>
      </c>
      <c r="D1316" s="49">
        <f>INDEX(Periods!$B$5:$B$57,$B1316)</f>
        <v/>
      </c>
      <c r="E1316" s="49">
        <f>INDEX(Periods!$C$5:$C$57,$B1316)</f>
        <v/>
      </c>
      <c r="F1316" s="47">
        <f>IF(AND($C1316&lt;&gt;"",INDEX(Periods!$D$5:$D$57,$B1316)=1),1,0)</f>
        <v/>
      </c>
      <c r="G1316" s="47">
        <f>IF($F1316=0,0,IF(AND(OR(INDEX(Employees!$D$5:$D$29,$A1316)="",$E1316&gt;=INDEX(Employees!$D$5:$D$29,$A1316)+N(INDEX(Employees!$U$5:$U$29,$A1316))),OR(INDEX(Employees!$E$5:$E$29,$A1316)="",$D1316&lt;=INDEX(Employees!$E$5:$E$29,$A1316))),1,0))</f>
        <v/>
      </c>
      <c r="H1316" s="47">
        <f>IF($G1316=0,0,IF(INDEX(Employees!$D$5:$D$29,$A1316)="",0,DATEDIF(INDEX(Employees!$D$5:$D$29,$A1316),$E1316,"y")))</f>
        <v/>
      </c>
      <c r="I1316" s="48">
        <f>IF($G1316=0,0,IF(INDEX('Hours Worked'!$D$5:$BD$29,$A1316,$B1316)="",N(INDEX(Employees!$H$5:$H$29,$A1316)),INDEX('Hours Worked'!$D$5:$BD$29,$A1316,$B1316)))</f>
        <v/>
      </c>
      <c r="J1316" s="48">
        <f>IF(OR($G1316=0,INDEX(Employees!$O$5:$O$29,$A1316)&lt;&gt;"Yes"),0,IF(COUNTIF(Settings!$D$4:$D$9,"&lt;="&amp;$H1316)=0,0,INDEX(Settings!$E$4:$E$9,COUNTIF(Settings!$D$4:$D$9,"&lt;="&amp;$H1316))))</f>
        <v/>
      </c>
      <c r="K1316" s="48">
        <f>IF($G1316=0,0,IF(INDEX(Employees!$I$5:$I$29,$A1316)="Per pay period",(N(INDEX(Employees!$J$5:$J$29,$A1316))+$J1316)/Settings!$B$13,IF(INDEX(Employees!$I$5:$I$29,$A1316)="Per hour worked",N(INDEX(Employees!$K$5:$K$29,$A1316))*$I1316,IF(INDEX(Employees!$I$5:$I$29,$A1316)="Front-loaded",IF(OR($B1316=1,N($G1315)=0),N(INDEX(Employees!$J$5:$J$29,$A1316))+$J1316,0),0))))</f>
        <v/>
      </c>
      <c r="L1316" s="48">
        <f>IF($F1316=0,0,SUMIFS('Time Off Log'!$H$5:$H$504,'Time Off Log'!$A$5:$A$504,$C1316,'Time Off Log'!$B$5:$B$504,"PTO",'Time Off Log'!$E$5:$E$504,"Approved",'Time Off Log'!$C$5:$C$504,"&gt;="&amp;INDEX(Periods!$E$5:$E$57,$B1316),'Time Off Log'!$C$5:$C$504,"&lt;="&amp;INDEX(Periods!$F$5:$F$57,$B1316)))</f>
        <v/>
      </c>
      <c r="M1316" s="48">
        <f>IF($B1316=1,N(INDEX(Employees!$N$5:$N$29,$A1316)),P1315)</f>
        <v/>
      </c>
      <c r="N1316" s="48">
        <f>IF(INDEX(Employees!$L$5:$L$29,$A1316)="",K1316,MAX(0,MIN(K1316,INDEX(Employees!$L$5:$L$29,$A1316)-(M1316-L1316))))</f>
        <v/>
      </c>
      <c r="O1316" s="48">
        <f>K1316-N1316</f>
        <v/>
      </c>
      <c r="P1316" s="48">
        <f>M1316-L1316+N1316</f>
        <v/>
      </c>
      <c r="Q1316" s="48">
        <f>IF($G1316=0,0,IF(INDEX(Employees!$P$5:$P$29,$A1316)="Per pay period",(N(INDEX(Employees!$Q$5:$Q$29,$A1316)))/Settings!$B$13,IF(INDEX(Employees!$P$5:$P$29,$A1316)="Per hour worked",N(INDEX(Employees!$R$5:$R$29,$A1316))*$I1316,IF(INDEX(Employees!$P$5:$P$29,$A1316)="Front-loaded",IF(OR($B1316=1,N($G1315)=0),N(INDEX(Employees!$Q$5:$Q$29,$A1316)),0),0))))</f>
        <v/>
      </c>
      <c r="R1316" s="48">
        <f>IF($F1316=0,0,SUMIFS('Time Off Log'!$H$5:$H$504,'Time Off Log'!$A$5:$A$504,$C1316,'Time Off Log'!$B$5:$B$504,"Sick",'Time Off Log'!$E$5:$E$504,"Approved",'Time Off Log'!$C$5:$C$504,"&gt;="&amp;INDEX(Periods!$E$5:$E$57,$B1316),'Time Off Log'!$C$5:$C$504,"&lt;="&amp;INDEX(Periods!$F$5:$F$57,$B1316)))</f>
        <v/>
      </c>
      <c r="S1316" s="48">
        <f>IF($B1316=1,N(INDEX(Employees!$T$5:$T$29,$A1316)),V1315)</f>
        <v/>
      </c>
      <c r="T1316" s="48">
        <f>IF(INDEX(Employees!$S$5:$S$29,$A1316)="",Q1316,MAX(0,MIN(Q1316,INDEX(Employees!$S$5:$S$29,$A1316)-(S1316-R1316))))</f>
        <v/>
      </c>
      <c r="U1316" s="48">
        <f>Q1316-T1316</f>
        <v/>
      </c>
      <c r="V1316" s="48">
        <f>S1316-R1316+T1316</f>
        <v/>
      </c>
    </row>
    <row r="1317">
      <c r="A1317" s="47" t="n">
        <v>25</v>
      </c>
      <c r="B1317" s="47" t="n">
        <v>41</v>
      </c>
      <c r="C1317" s="48">
        <f>INDEX(Employees!$B$5:$B$29,$A1317)&amp;""</f>
        <v/>
      </c>
      <c r="D1317" s="49">
        <f>INDEX(Periods!$B$5:$B$57,$B1317)</f>
        <v/>
      </c>
      <c r="E1317" s="49">
        <f>INDEX(Periods!$C$5:$C$57,$B1317)</f>
        <v/>
      </c>
      <c r="F1317" s="47">
        <f>IF(AND($C1317&lt;&gt;"",INDEX(Periods!$D$5:$D$57,$B1317)=1),1,0)</f>
        <v/>
      </c>
      <c r="G1317" s="47">
        <f>IF($F1317=0,0,IF(AND(OR(INDEX(Employees!$D$5:$D$29,$A1317)="",$E1317&gt;=INDEX(Employees!$D$5:$D$29,$A1317)+N(INDEX(Employees!$U$5:$U$29,$A1317))),OR(INDEX(Employees!$E$5:$E$29,$A1317)="",$D1317&lt;=INDEX(Employees!$E$5:$E$29,$A1317))),1,0))</f>
        <v/>
      </c>
      <c r="H1317" s="47">
        <f>IF($G1317=0,0,IF(INDEX(Employees!$D$5:$D$29,$A1317)="",0,DATEDIF(INDEX(Employees!$D$5:$D$29,$A1317),$E1317,"y")))</f>
        <v/>
      </c>
      <c r="I1317" s="48">
        <f>IF($G1317=0,0,IF(INDEX('Hours Worked'!$D$5:$BD$29,$A1317,$B1317)="",N(INDEX(Employees!$H$5:$H$29,$A1317)),INDEX('Hours Worked'!$D$5:$BD$29,$A1317,$B1317)))</f>
        <v/>
      </c>
      <c r="J1317" s="48">
        <f>IF(OR($G1317=0,INDEX(Employees!$O$5:$O$29,$A1317)&lt;&gt;"Yes"),0,IF(COUNTIF(Settings!$D$4:$D$9,"&lt;="&amp;$H1317)=0,0,INDEX(Settings!$E$4:$E$9,COUNTIF(Settings!$D$4:$D$9,"&lt;="&amp;$H1317))))</f>
        <v/>
      </c>
      <c r="K1317" s="48">
        <f>IF($G1317=0,0,IF(INDEX(Employees!$I$5:$I$29,$A1317)="Per pay period",(N(INDEX(Employees!$J$5:$J$29,$A1317))+$J1317)/Settings!$B$13,IF(INDEX(Employees!$I$5:$I$29,$A1317)="Per hour worked",N(INDEX(Employees!$K$5:$K$29,$A1317))*$I1317,IF(INDEX(Employees!$I$5:$I$29,$A1317)="Front-loaded",IF(OR($B1317=1,N($G1316)=0),N(INDEX(Employees!$J$5:$J$29,$A1317))+$J1317,0),0))))</f>
        <v/>
      </c>
      <c r="L1317" s="48">
        <f>IF($F1317=0,0,SUMIFS('Time Off Log'!$H$5:$H$504,'Time Off Log'!$A$5:$A$504,$C1317,'Time Off Log'!$B$5:$B$504,"PTO",'Time Off Log'!$E$5:$E$504,"Approved",'Time Off Log'!$C$5:$C$504,"&gt;="&amp;INDEX(Periods!$E$5:$E$57,$B1317),'Time Off Log'!$C$5:$C$504,"&lt;="&amp;INDEX(Periods!$F$5:$F$57,$B1317)))</f>
        <v/>
      </c>
      <c r="M1317" s="48">
        <f>IF($B1317=1,N(INDEX(Employees!$N$5:$N$29,$A1317)),P1316)</f>
        <v/>
      </c>
      <c r="N1317" s="48">
        <f>IF(INDEX(Employees!$L$5:$L$29,$A1317)="",K1317,MAX(0,MIN(K1317,INDEX(Employees!$L$5:$L$29,$A1317)-(M1317-L1317))))</f>
        <v/>
      </c>
      <c r="O1317" s="48">
        <f>K1317-N1317</f>
        <v/>
      </c>
      <c r="P1317" s="48">
        <f>M1317-L1317+N1317</f>
        <v/>
      </c>
      <c r="Q1317" s="48">
        <f>IF($G1317=0,0,IF(INDEX(Employees!$P$5:$P$29,$A1317)="Per pay period",(N(INDEX(Employees!$Q$5:$Q$29,$A1317)))/Settings!$B$13,IF(INDEX(Employees!$P$5:$P$29,$A1317)="Per hour worked",N(INDEX(Employees!$R$5:$R$29,$A1317))*$I1317,IF(INDEX(Employees!$P$5:$P$29,$A1317)="Front-loaded",IF(OR($B1317=1,N($G1316)=0),N(INDEX(Employees!$Q$5:$Q$29,$A1317)),0),0))))</f>
        <v/>
      </c>
      <c r="R1317" s="48">
        <f>IF($F1317=0,0,SUMIFS('Time Off Log'!$H$5:$H$504,'Time Off Log'!$A$5:$A$504,$C1317,'Time Off Log'!$B$5:$B$504,"Sick",'Time Off Log'!$E$5:$E$504,"Approved",'Time Off Log'!$C$5:$C$504,"&gt;="&amp;INDEX(Periods!$E$5:$E$57,$B1317),'Time Off Log'!$C$5:$C$504,"&lt;="&amp;INDEX(Periods!$F$5:$F$57,$B1317)))</f>
        <v/>
      </c>
      <c r="S1317" s="48">
        <f>IF($B1317=1,N(INDEX(Employees!$T$5:$T$29,$A1317)),V1316)</f>
        <v/>
      </c>
      <c r="T1317" s="48">
        <f>IF(INDEX(Employees!$S$5:$S$29,$A1317)="",Q1317,MAX(0,MIN(Q1317,INDEX(Employees!$S$5:$S$29,$A1317)-(S1317-R1317))))</f>
        <v/>
      </c>
      <c r="U1317" s="48">
        <f>Q1317-T1317</f>
        <v/>
      </c>
      <c r="V1317" s="48">
        <f>S1317-R1317+T1317</f>
        <v/>
      </c>
    </row>
    <row r="1318">
      <c r="A1318" s="47" t="n">
        <v>25</v>
      </c>
      <c r="B1318" s="47" t="n">
        <v>42</v>
      </c>
      <c r="C1318" s="48">
        <f>INDEX(Employees!$B$5:$B$29,$A1318)&amp;""</f>
        <v/>
      </c>
      <c r="D1318" s="49">
        <f>INDEX(Periods!$B$5:$B$57,$B1318)</f>
        <v/>
      </c>
      <c r="E1318" s="49">
        <f>INDEX(Periods!$C$5:$C$57,$B1318)</f>
        <v/>
      </c>
      <c r="F1318" s="47">
        <f>IF(AND($C1318&lt;&gt;"",INDEX(Periods!$D$5:$D$57,$B1318)=1),1,0)</f>
        <v/>
      </c>
      <c r="G1318" s="47">
        <f>IF($F1318=0,0,IF(AND(OR(INDEX(Employees!$D$5:$D$29,$A1318)="",$E1318&gt;=INDEX(Employees!$D$5:$D$29,$A1318)+N(INDEX(Employees!$U$5:$U$29,$A1318))),OR(INDEX(Employees!$E$5:$E$29,$A1318)="",$D1318&lt;=INDEX(Employees!$E$5:$E$29,$A1318))),1,0))</f>
        <v/>
      </c>
      <c r="H1318" s="47">
        <f>IF($G1318=0,0,IF(INDEX(Employees!$D$5:$D$29,$A1318)="",0,DATEDIF(INDEX(Employees!$D$5:$D$29,$A1318),$E1318,"y")))</f>
        <v/>
      </c>
      <c r="I1318" s="48">
        <f>IF($G1318=0,0,IF(INDEX('Hours Worked'!$D$5:$BD$29,$A1318,$B1318)="",N(INDEX(Employees!$H$5:$H$29,$A1318)),INDEX('Hours Worked'!$D$5:$BD$29,$A1318,$B1318)))</f>
        <v/>
      </c>
      <c r="J1318" s="48">
        <f>IF(OR($G1318=0,INDEX(Employees!$O$5:$O$29,$A1318)&lt;&gt;"Yes"),0,IF(COUNTIF(Settings!$D$4:$D$9,"&lt;="&amp;$H1318)=0,0,INDEX(Settings!$E$4:$E$9,COUNTIF(Settings!$D$4:$D$9,"&lt;="&amp;$H1318))))</f>
        <v/>
      </c>
      <c r="K1318" s="48">
        <f>IF($G1318=0,0,IF(INDEX(Employees!$I$5:$I$29,$A1318)="Per pay period",(N(INDEX(Employees!$J$5:$J$29,$A1318))+$J1318)/Settings!$B$13,IF(INDEX(Employees!$I$5:$I$29,$A1318)="Per hour worked",N(INDEX(Employees!$K$5:$K$29,$A1318))*$I1318,IF(INDEX(Employees!$I$5:$I$29,$A1318)="Front-loaded",IF(OR($B1318=1,N($G1317)=0),N(INDEX(Employees!$J$5:$J$29,$A1318))+$J1318,0),0))))</f>
        <v/>
      </c>
      <c r="L1318" s="48">
        <f>IF($F1318=0,0,SUMIFS('Time Off Log'!$H$5:$H$504,'Time Off Log'!$A$5:$A$504,$C1318,'Time Off Log'!$B$5:$B$504,"PTO",'Time Off Log'!$E$5:$E$504,"Approved",'Time Off Log'!$C$5:$C$504,"&gt;="&amp;INDEX(Periods!$E$5:$E$57,$B1318),'Time Off Log'!$C$5:$C$504,"&lt;="&amp;INDEX(Periods!$F$5:$F$57,$B1318)))</f>
        <v/>
      </c>
      <c r="M1318" s="48">
        <f>IF($B1318=1,N(INDEX(Employees!$N$5:$N$29,$A1318)),P1317)</f>
        <v/>
      </c>
      <c r="N1318" s="48">
        <f>IF(INDEX(Employees!$L$5:$L$29,$A1318)="",K1318,MAX(0,MIN(K1318,INDEX(Employees!$L$5:$L$29,$A1318)-(M1318-L1318))))</f>
        <v/>
      </c>
      <c r="O1318" s="48">
        <f>K1318-N1318</f>
        <v/>
      </c>
      <c r="P1318" s="48">
        <f>M1318-L1318+N1318</f>
        <v/>
      </c>
      <c r="Q1318" s="48">
        <f>IF($G1318=0,0,IF(INDEX(Employees!$P$5:$P$29,$A1318)="Per pay period",(N(INDEX(Employees!$Q$5:$Q$29,$A1318)))/Settings!$B$13,IF(INDEX(Employees!$P$5:$P$29,$A1318)="Per hour worked",N(INDEX(Employees!$R$5:$R$29,$A1318))*$I1318,IF(INDEX(Employees!$P$5:$P$29,$A1318)="Front-loaded",IF(OR($B1318=1,N($G1317)=0),N(INDEX(Employees!$Q$5:$Q$29,$A1318)),0),0))))</f>
        <v/>
      </c>
      <c r="R1318" s="48">
        <f>IF($F1318=0,0,SUMIFS('Time Off Log'!$H$5:$H$504,'Time Off Log'!$A$5:$A$504,$C1318,'Time Off Log'!$B$5:$B$504,"Sick",'Time Off Log'!$E$5:$E$504,"Approved",'Time Off Log'!$C$5:$C$504,"&gt;="&amp;INDEX(Periods!$E$5:$E$57,$B1318),'Time Off Log'!$C$5:$C$504,"&lt;="&amp;INDEX(Periods!$F$5:$F$57,$B1318)))</f>
        <v/>
      </c>
      <c r="S1318" s="48">
        <f>IF($B1318=1,N(INDEX(Employees!$T$5:$T$29,$A1318)),V1317)</f>
        <v/>
      </c>
      <c r="T1318" s="48">
        <f>IF(INDEX(Employees!$S$5:$S$29,$A1318)="",Q1318,MAX(0,MIN(Q1318,INDEX(Employees!$S$5:$S$29,$A1318)-(S1318-R1318))))</f>
        <v/>
      </c>
      <c r="U1318" s="48">
        <f>Q1318-T1318</f>
        <v/>
      </c>
      <c r="V1318" s="48">
        <f>S1318-R1318+T1318</f>
        <v/>
      </c>
    </row>
    <row r="1319">
      <c r="A1319" s="47" t="n">
        <v>25</v>
      </c>
      <c r="B1319" s="47" t="n">
        <v>43</v>
      </c>
      <c r="C1319" s="48">
        <f>INDEX(Employees!$B$5:$B$29,$A1319)&amp;""</f>
        <v/>
      </c>
      <c r="D1319" s="49">
        <f>INDEX(Periods!$B$5:$B$57,$B1319)</f>
        <v/>
      </c>
      <c r="E1319" s="49">
        <f>INDEX(Periods!$C$5:$C$57,$B1319)</f>
        <v/>
      </c>
      <c r="F1319" s="47">
        <f>IF(AND($C1319&lt;&gt;"",INDEX(Periods!$D$5:$D$57,$B1319)=1),1,0)</f>
        <v/>
      </c>
      <c r="G1319" s="47">
        <f>IF($F1319=0,0,IF(AND(OR(INDEX(Employees!$D$5:$D$29,$A1319)="",$E1319&gt;=INDEX(Employees!$D$5:$D$29,$A1319)+N(INDEX(Employees!$U$5:$U$29,$A1319))),OR(INDEX(Employees!$E$5:$E$29,$A1319)="",$D1319&lt;=INDEX(Employees!$E$5:$E$29,$A1319))),1,0))</f>
        <v/>
      </c>
      <c r="H1319" s="47">
        <f>IF($G1319=0,0,IF(INDEX(Employees!$D$5:$D$29,$A1319)="",0,DATEDIF(INDEX(Employees!$D$5:$D$29,$A1319),$E1319,"y")))</f>
        <v/>
      </c>
      <c r="I1319" s="48">
        <f>IF($G1319=0,0,IF(INDEX('Hours Worked'!$D$5:$BD$29,$A1319,$B1319)="",N(INDEX(Employees!$H$5:$H$29,$A1319)),INDEX('Hours Worked'!$D$5:$BD$29,$A1319,$B1319)))</f>
        <v/>
      </c>
      <c r="J1319" s="48">
        <f>IF(OR($G1319=0,INDEX(Employees!$O$5:$O$29,$A1319)&lt;&gt;"Yes"),0,IF(COUNTIF(Settings!$D$4:$D$9,"&lt;="&amp;$H1319)=0,0,INDEX(Settings!$E$4:$E$9,COUNTIF(Settings!$D$4:$D$9,"&lt;="&amp;$H1319))))</f>
        <v/>
      </c>
      <c r="K1319" s="48">
        <f>IF($G1319=0,0,IF(INDEX(Employees!$I$5:$I$29,$A1319)="Per pay period",(N(INDEX(Employees!$J$5:$J$29,$A1319))+$J1319)/Settings!$B$13,IF(INDEX(Employees!$I$5:$I$29,$A1319)="Per hour worked",N(INDEX(Employees!$K$5:$K$29,$A1319))*$I1319,IF(INDEX(Employees!$I$5:$I$29,$A1319)="Front-loaded",IF(OR($B1319=1,N($G1318)=0),N(INDEX(Employees!$J$5:$J$29,$A1319))+$J1319,0),0))))</f>
        <v/>
      </c>
      <c r="L1319" s="48">
        <f>IF($F1319=0,0,SUMIFS('Time Off Log'!$H$5:$H$504,'Time Off Log'!$A$5:$A$504,$C1319,'Time Off Log'!$B$5:$B$504,"PTO",'Time Off Log'!$E$5:$E$504,"Approved",'Time Off Log'!$C$5:$C$504,"&gt;="&amp;INDEX(Periods!$E$5:$E$57,$B1319),'Time Off Log'!$C$5:$C$504,"&lt;="&amp;INDEX(Periods!$F$5:$F$57,$B1319)))</f>
        <v/>
      </c>
      <c r="M1319" s="48">
        <f>IF($B1319=1,N(INDEX(Employees!$N$5:$N$29,$A1319)),P1318)</f>
        <v/>
      </c>
      <c r="N1319" s="48">
        <f>IF(INDEX(Employees!$L$5:$L$29,$A1319)="",K1319,MAX(0,MIN(K1319,INDEX(Employees!$L$5:$L$29,$A1319)-(M1319-L1319))))</f>
        <v/>
      </c>
      <c r="O1319" s="48">
        <f>K1319-N1319</f>
        <v/>
      </c>
      <c r="P1319" s="48">
        <f>M1319-L1319+N1319</f>
        <v/>
      </c>
      <c r="Q1319" s="48">
        <f>IF($G1319=0,0,IF(INDEX(Employees!$P$5:$P$29,$A1319)="Per pay period",(N(INDEX(Employees!$Q$5:$Q$29,$A1319)))/Settings!$B$13,IF(INDEX(Employees!$P$5:$P$29,$A1319)="Per hour worked",N(INDEX(Employees!$R$5:$R$29,$A1319))*$I1319,IF(INDEX(Employees!$P$5:$P$29,$A1319)="Front-loaded",IF(OR($B1319=1,N($G1318)=0),N(INDEX(Employees!$Q$5:$Q$29,$A1319)),0),0))))</f>
        <v/>
      </c>
      <c r="R1319" s="48">
        <f>IF($F1319=0,0,SUMIFS('Time Off Log'!$H$5:$H$504,'Time Off Log'!$A$5:$A$504,$C1319,'Time Off Log'!$B$5:$B$504,"Sick",'Time Off Log'!$E$5:$E$504,"Approved",'Time Off Log'!$C$5:$C$504,"&gt;="&amp;INDEX(Periods!$E$5:$E$57,$B1319),'Time Off Log'!$C$5:$C$504,"&lt;="&amp;INDEX(Periods!$F$5:$F$57,$B1319)))</f>
        <v/>
      </c>
      <c r="S1319" s="48">
        <f>IF($B1319=1,N(INDEX(Employees!$T$5:$T$29,$A1319)),V1318)</f>
        <v/>
      </c>
      <c r="T1319" s="48">
        <f>IF(INDEX(Employees!$S$5:$S$29,$A1319)="",Q1319,MAX(0,MIN(Q1319,INDEX(Employees!$S$5:$S$29,$A1319)-(S1319-R1319))))</f>
        <v/>
      </c>
      <c r="U1319" s="48">
        <f>Q1319-T1319</f>
        <v/>
      </c>
      <c r="V1319" s="48">
        <f>S1319-R1319+T1319</f>
        <v/>
      </c>
    </row>
    <row r="1320">
      <c r="A1320" s="47" t="n">
        <v>25</v>
      </c>
      <c r="B1320" s="47" t="n">
        <v>44</v>
      </c>
      <c r="C1320" s="48">
        <f>INDEX(Employees!$B$5:$B$29,$A1320)&amp;""</f>
        <v/>
      </c>
      <c r="D1320" s="49">
        <f>INDEX(Periods!$B$5:$B$57,$B1320)</f>
        <v/>
      </c>
      <c r="E1320" s="49">
        <f>INDEX(Periods!$C$5:$C$57,$B1320)</f>
        <v/>
      </c>
      <c r="F1320" s="47">
        <f>IF(AND($C1320&lt;&gt;"",INDEX(Periods!$D$5:$D$57,$B1320)=1),1,0)</f>
        <v/>
      </c>
      <c r="G1320" s="47">
        <f>IF($F1320=0,0,IF(AND(OR(INDEX(Employees!$D$5:$D$29,$A1320)="",$E1320&gt;=INDEX(Employees!$D$5:$D$29,$A1320)+N(INDEX(Employees!$U$5:$U$29,$A1320))),OR(INDEX(Employees!$E$5:$E$29,$A1320)="",$D1320&lt;=INDEX(Employees!$E$5:$E$29,$A1320))),1,0))</f>
        <v/>
      </c>
      <c r="H1320" s="47">
        <f>IF($G1320=0,0,IF(INDEX(Employees!$D$5:$D$29,$A1320)="",0,DATEDIF(INDEX(Employees!$D$5:$D$29,$A1320),$E1320,"y")))</f>
        <v/>
      </c>
      <c r="I1320" s="48">
        <f>IF($G1320=0,0,IF(INDEX('Hours Worked'!$D$5:$BD$29,$A1320,$B1320)="",N(INDEX(Employees!$H$5:$H$29,$A1320)),INDEX('Hours Worked'!$D$5:$BD$29,$A1320,$B1320)))</f>
        <v/>
      </c>
      <c r="J1320" s="48">
        <f>IF(OR($G1320=0,INDEX(Employees!$O$5:$O$29,$A1320)&lt;&gt;"Yes"),0,IF(COUNTIF(Settings!$D$4:$D$9,"&lt;="&amp;$H1320)=0,0,INDEX(Settings!$E$4:$E$9,COUNTIF(Settings!$D$4:$D$9,"&lt;="&amp;$H1320))))</f>
        <v/>
      </c>
      <c r="K1320" s="48">
        <f>IF($G1320=0,0,IF(INDEX(Employees!$I$5:$I$29,$A1320)="Per pay period",(N(INDEX(Employees!$J$5:$J$29,$A1320))+$J1320)/Settings!$B$13,IF(INDEX(Employees!$I$5:$I$29,$A1320)="Per hour worked",N(INDEX(Employees!$K$5:$K$29,$A1320))*$I1320,IF(INDEX(Employees!$I$5:$I$29,$A1320)="Front-loaded",IF(OR($B1320=1,N($G1319)=0),N(INDEX(Employees!$J$5:$J$29,$A1320))+$J1320,0),0))))</f>
        <v/>
      </c>
      <c r="L1320" s="48">
        <f>IF($F1320=0,0,SUMIFS('Time Off Log'!$H$5:$H$504,'Time Off Log'!$A$5:$A$504,$C1320,'Time Off Log'!$B$5:$B$504,"PTO",'Time Off Log'!$E$5:$E$504,"Approved",'Time Off Log'!$C$5:$C$504,"&gt;="&amp;INDEX(Periods!$E$5:$E$57,$B1320),'Time Off Log'!$C$5:$C$504,"&lt;="&amp;INDEX(Periods!$F$5:$F$57,$B1320)))</f>
        <v/>
      </c>
      <c r="M1320" s="48">
        <f>IF($B1320=1,N(INDEX(Employees!$N$5:$N$29,$A1320)),P1319)</f>
        <v/>
      </c>
      <c r="N1320" s="48">
        <f>IF(INDEX(Employees!$L$5:$L$29,$A1320)="",K1320,MAX(0,MIN(K1320,INDEX(Employees!$L$5:$L$29,$A1320)-(M1320-L1320))))</f>
        <v/>
      </c>
      <c r="O1320" s="48">
        <f>K1320-N1320</f>
        <v/>
      </c>
      <c r="P1320" s="48">
        <f>M1320-L1320+N1320</f>
        <v/>
      </c>
      <c r="Q1320" s="48">
        <f>IF($G1320=0,0,IF(INDEX(Employees!$P$5:$P$29,$A1320)="Per pay period",(N(INDEX(Employees!$Q$5:$Q$29,$A1320)))/Settings!$B$13,IF(INDEX(Employees!$P$5:$P$29,$A1320)="Per hour worked",N(INDEX(Employees!$R$5:$R$29,$A1320))*$I1320,IF(INDEX(Employees!$P$5:$P$29,$A1320)="Front-loaded",IF(OR($B1320=1,N($G1319)=0),N(INDEX(Employees!$Q$5:$Q$29,$A1320)),0),0))))</f>
        <v/>
      </c>
      <c r="R1320" s="48">
        <f>IF($F1320=0,0,SUMIFS('Time Off Log'!$H$5:$H$504,'Time Off Log'!$A$5:$A$504,$C1320,'Time Off Log'!$B$5:$B$504,"Sick",'Time Off Log'!$E$5:$E$504,"Approved",'Time Off Log'!$C$5:$C$504,"&gt;="&amp;INDEX(Periods!$E$5:$E$57,$B1320),'Time Off Log'!$C$5:$C$504,"&lt;="&amp;INDEX(Periods!$F$5:$F$57,$B1320)))</f>
        <v/>
      </c>
      <c r="S1320" s="48">
        <f>IF($B1320=1,N(INDEX(Employees!$T$5:$T$29,$A1320)),V1319)</f>
        <v/>
      </c>
      <c r="T1320" s="48">
        <f>IF(INDEX(Employees!$S$5:$S$29,$A1320)="",Q1320,MAX(0,MIN(Q1320,INDEX(Employees!$S$5:$S$29,$A1320)-(S1320-R1320))))</f>
        <v/>
      </c>
      <c r="U1320" s="48">
        <f>Q1320-T1320</f>
        <v/>
      </c>
      <c r="V1320" s="48">
        <f>S1320-R1320+T1320</f>
        <v/>
      </c>
    </row>
    <row r="1321">
      <c r="A1321" s="47" t="n">
        <v>25</v>
      </c>
      <c r="B1321" s="47" t="n">
        <v>45</v>
      </c>
      <c r="C1321" s="48">
        <f>INDEX(Employees!$B$5:$B$29,$A1321)&amp;""</f>
        <v/>
      </c>
      <c r="D1321" s="49">
        <f>INDEX(Periods!$B$5:$B$57,$B1321)</f>
        <v/>
      </c>
      <c r="E1321" s="49">
        <f>INDEX(Periods!$C$5:$C$57,$B1321)</f>
        <v/>
      </c>
      <c r="F1321" s="47">
        <f>IF(AND($C1321&lt;&gt;"",INDEX(Periods!$D$5:$D$57,$B1321)=1),1,0)</f>
        <v/>
      </c>
      <c r="G1321" s="47">
        <f>IF($F1321=0,0,IF(AND(OR(INDEX(Employees!$D$5:$D$29,$A1321)="",$E1321&gt;=INDEX(Employees!$D$5:$D$29,$A1321)+N(INDEX(Employees!$U$5:$U$29,$A1321))),OR(INDEX(Employees!$E$5:$E$29,$A1321)="",$D1321&lt;=INDEX(Employees!$E$5:$E$29,$A1321))),1,0))</f>
        <v/>
      </c>
      <c r="H1321" s="47">
        <f>IF($G1321=0,0,IF(INDEX(Employees!$D$5:$D$29,$A1321)="",0,DATEDIF(INDEX(Employees!$D$5:$D$29,$A1321),$E1321,"y")))</f>
        <v/>
      </c>
      <c r="I1321" s="48">
        <f>IF($G1321=0,0,IF(INDEX('Hours Worked'!$D$5:$BD$29,$A1321,$B1321)="",N(INDEX(Employees!$H$5:$H$29,$A1321)),INDEX('Hours Worked'!$D$5:$BD$29,$A1321,$B1321)))</f>
        <v/>
      </c>
      <c r="J1321" s="48">
        <f>IF(OR($G1321=0,INDEX(Employees!$O$5:$O$29,$A1321)&lt;&gt;"Yes"),0,IF(COUNTIF(Settings!$D$4:$D$9,"&lt;="&amp;$H1321)=0,0,INDEX(Settings!$E$4:$E$9,COUNTIF(Settings!$D$4:$D$9,"&lt;="&amp;$H1321))))</f>
        <v/>
      </c>
      <c r="K1321" s="48">
        <f>IF($G1321=0,0,IF(INDEX(Employees!$I$5:$I$29,$A1321)="Per pay period",(N(INDEX(Employees!$J$5:$J$29,$A1321))+$J1321)/Settings!$B$13,IF(INDEX(Employees!$I$5:$I$29,$A1321)="Per hour worked",N(INDEX(Employees!$K$5:$K$29,$A1321))*$I1321,IF(INDEX(Employees!$I$5:$I$29,$A1321)="Front-loaded",IF(OR($B1321=1,N($G1320)=0),N(INDEX(Employees!$J$5:$J$29,$A1321))+$J1321,0),0))))</f>
        <v/>
      </c>
      <c r="L1321" s="48">
        <f>IF($F1321=0,0,SUMIFS('Time Off Log'!$H$5:$H$504,'Time Off Log'!$A$5:$A$504,$C1321,'Time Off Log'!$B$5:$B$504,"PTO",'Time Off Log'!$E$5:$E$504,"Approved",'Time Off Log'!$C$5:$C$504,"&gt;="&amp;INDEX(Periods!$E$5:$E$57,$B1321),'Time Off Log'!$C$5:$C$504,"&lt;="&amp;INDEX(Periods!$F$5:$F$57,$B1321)))</f>
        <v/>
      </c>
      <c r="M1321" s="48">
        <f>IF($B1321=1,N(INDEX(Employees!$N$5:$N$29,$A1321)),P1320)</f>
        <v/>
      </c>
      <c r="N1321" s="48">
        <f>IF(INDEX(Employees!$L$5:$L$29,$A1321)="",K1321,MAX(0,MIN(K1321,INDEX(Employees!$L$5:$L$29,$A1321)-(M1321-L1321))))</f>
        <v/>
      </c>
      <c r="O1321" s="48">
        <f>K1321-N1321</f>
        <v/>
      </c>
      <c r="P1321" s="48">
        <f>M1321-L1321+N1321</f>
        <v/>
      </c>
      <c r="Q1321" s="48">
        <f>IF($G1321=0,0,IF(INDEX(Employees!$P$5:$P$29,$A1321)="Per pay period",(N(INDEX(Employees!$Q$5:$Q$29,$A1321)))/Settings!$B$13,IF(INDEX(Employees!$P$5:$P$29,$A1321)="Per hour worked",N(INDEX(Employees!$R$5:$R$29,$A1321))*$I1321,IF(INDEX(Employees!$P$5:$P$29,$A1321)="Front-loaded",IF(OR($B1321=1,N($G1320)=0),N(INDEX(Employees!$Q$5:$Q$29,$A1321)),0),0))))</f>
        <v/>
      </c>
      <c r="R1321" s="48">
        <f>IF($F1321=0,0,SUMIFS('Time Off Log'!$H$5:$H$504,'Time Off Log'!$A$5:$A$504,$C1321,'Time Off Log'!$B$5:$B$504,"Sick",'Time Off Log'!$E$5:$E$504,"Approved",'Time Off Log'!$C$5:$C$504,"&gt;="&amp;INDEX(Periods!$E$5:$E$57,$B1321),'Time Off Log'!$C$5:$C$504,"&lt;="&amp;INDEX(Periods!$F$5:$F$57,$B1321)))</f>
        <v/>
      </c>
      <c r="S1321" s="48">
        <f>IF($B1321=1,N(INDEX(Employees!$T$5:$T$29,$A1321)),V1320)</f>
        <v/>
      </c>
      <c r="T1321" s="48">
        <f>IF(INDEX(Employees!$S$5:$S$29,$A1321)="",Q1321,MAX(0,MIN(Q1321,INDEX(Employees!$S$5:$S$29,$A1321)-(S1321-R1321))))</f>
        <v/>
      </c>
      <c r="U1321" s="48">
        <f>Q1321-T1321</f>
        <v/>
      </c>
      <c r="V1321" s="48">
        <f>S1321-R1321+T1321</f>
        <v/>
      </c>
    </row>
    <row r="1322">
      <c r="A1322" s="47" t="n">
        <v>25</v>
      </c>
      <c r="B1322" s="47" t="n">
        <v>46</v>
      </c>
      <c r="C1322" s="48">
        <f>INDEX(Employees!$B$5:$B$29,$A1322)&amp;""</f>
        <v/>
      </c>
      <c r="D1322" s="49">
        <f>INDEX(Periods!$B$5:$B$57,$B1322)</f>
        <v/>
      </c>
      <c r="E1322" s="49">
        <f>INDEX(Periods!$C$5:$C$57,$B1322)</f>
        <v/>
      </c>
      <c r="F1322" s="47">
        <f>IF(AND($C1322&lt;&gt;"",INDEX(Periods!$D$5:$D$57,$B1322)=1),1,0)</f>
        <v/>
      </c>
      <c r="G1322" s="47">
        <f>IF($F1322=0,0,IF(AND(OR(INDEX(Employees!$D$5:$D$29,$A1322)="",$E1322&gt;=INDEX(Employees!$D$5:$D$29,$A1322)+N(INDEX(Employees!$U$5:$U$29,$A1322))),OR(INDEX(Employees!$E$5:$E$29,$A1322)="",$D1322&lt;=INDEX(Employees!$E$5:$E$29,$A1322))),1,0))</f>
        <v/>
      </c>
      <c r="H1322" s="47">
        <f>IF($G1322=0,0,IF(INDEX(Employees!$D$5:$D$29,$A1322)="",0,DATEDIF(INDEX(Employees!$D$5:$D$29,$A1322),$E1322,"y")))</f>
        <v/>
      </c>
      <c r="I1322" s="48">
        <f>IF($G1322=0,0,IF(INDEX('Hours Worked'!$D$5:$BD$29,$A1322,$B1322)="",N(INDEX(Employees!$H$5:$H$29,$A1322)),INDEX('Hours Worked'!$D$5:$BD$29,$A1322,$B1322)))</f>
        <v/>
      </c>
      <c r="J1322" s="48">
        <f>IF(OR($G1322=0,INDEX(Employees!$O$5:$O$29,$A1322)&lt;&gt;"Yes"),0,IF(COUNTIF(Settings!$D$4:$D$9,"&lt;="&amp;$H1322)=0,0,INDEX(Settings!$E$4:$E$9,COUNTIF(Settings!$D$4:$D$9,"&lt;="&amp;$H1322))))</f>
        <v/>
      </c>
      <c r="K1322" s="48">
        <f>IF($G1322=0,0,IF(INDEX(Employees!$I$5:$I$29,$A1322)="Per pay period",(N(INDEX(Employees!$J$5:$J$29,$A1322))+$J1322)/Settings!$B$13,IF(INDEX(Employees!$I$5:$I$29,$A1322)="Per hour worked",N(INDEX(Employees!$K$5:$K$29,$A1322))*$I1322,IF(INDEX(Employees!$I$5:$I$29,$A1322)="Front-loaded",IF(OR($B1322=1,N($G1321)=0),N(INDEX(Employees!$J$5:$J$29,$A1322))+$J1322,0),0))))</f>
        <v/>
      </c>
      <c r="L1322" s="48">
        <f>IF($F1322=0,0,SUMIFS('Time Off Log'!$H$5:$H$504,'Time Off Log'!$A$5:$A$504,$C1322,'Time Off Log'!$B$5:$B$504,"PTO",'Time Off Log'!$E$5:$E$504,"Approved",'Time Off Log'!$C$5:$C$504,"&gt;="&amp;INDEX(Periods!$E$5:$E$57,$B1322),'Time Off Log'!$C$5:$C$504,"&lt;="&amp;INDEX(Periods!$F$5:$F$57,$B1322)))</f>
        <v/>
      </c>
      <c r="M1322" s="48">
        <f>IF($B1322=1,N(INDEX(Employees!$N$5:$N$29,$A1322)),P1321)</f>
        <v/>
      </c>
      <c r="N1322" s="48">
        <f>IF(INDEX(Employees!$L$5:$L$29,$A1322)="",K1322,MAX(0,MIN(K1322,INDEX(Employees!$L$5:$L$29,$A1322)-(M1322-L1322))))</f>
        <v/>
      </c>
      <c r="O1322" s="48">
        <f>K1322-N1322</f>
        <v/>
      </c>
      <c r="P1322" s="48">
        <f>M1322-L1322+N1322</f>
        <v/>
      </c>
      <c r="Q1322" s="48">
        <f>IF($G1322=0,0,IF(INDEX(Employees!$P$5:$P$29,$A1322)="Per pay period",(N(INDEX(Employees!$Q$5:$Q$29,$A1322)))/Settings!$B$13,IF(INDEX(Employees!$P$5:$P$29,$A1322)="Per hour worked",N(INDEX(Employees!$R$5:$R$29,$A1322))*$I1322,IF(INDEX(Employees!$P$5:$P$29,$A1322)="Front-loaded",IF(OR($B1322=1,N($G1321)=0),N(INDEX(Employees!$Q$5:$Q$29,$A1322)),0),0))))</f>
        <v/>
      </c>
      <c r="R1322" s="48">
        <f>IF($F1322=0,0,SUMIFS('Time Off Log'!$H$5:$H$504,'Time Off Log'!$A$5:$A$504,$C1322,'Time Off Log'!$B$5:$B$504,"Sick",'Time Off Log'!$E$5:$E$504,"Approved",'Time Off Log'!$C$5:$C$504,"&gt;="&amp;INDEX(Periods!$E$5:$E$57,$B1322),'Time Off Log'!$C$5:$C$504,"&lt;="&amp;INDEX(Periods!$F$5:$F$57,$B1322)))</f>
        <v/>
      </c>
      <c r="S1322" s="48">
        <f>IF($B1322=1,N(INDEX(Employees!$T$5:$T$29,$A1322)),V1321)</f>
        <v/>
      </c>
      <c r="T1322" s="48">
        <f>IF(INDEX(Employees!$S$5:$S$29,$A1322)="",Q1322,MAX(0,MIN(Q1322,INDEX(Employees!$S$5:$S$29,$A1322)-(S1322-R1322))))</f>
        <v/>
      </c>
      <c r="U1322" s="48">
        <f>Q1322-T1322</f>
        <v/>
      </c>
      <c r="V1322" s="48">
        <f>S1322-R1322+T1322</f>
        <v/>
      </c>
    </row>
    <row r="1323">
      <c r="A1323" s="47" t="n">
        <v>25</v>
      </c>
      <c r="B1323" s="47" t="n">
        <v>47</v>
      </c>
      <c r="C1323" s="48">
        <f>INDEX(Employees!$B$5:$B$29,$A1323)&amp;""</f>
        <v/>
      </c>
      <c r="D1323" s="49">
        <f>INDEX(Periods!$B$5:$B$57,$B1323)</f>
        <v/>
      </c>
      <c r="E1323" s="49">
        <f>INDEX(Periods!$C$5:$C$57,$B1323)</f>
        <v/>
      </c>
      <c r="F1323" s="47">
        <f>IF(AND($C1323&lt;&gt;"",INDEX(Periods!$D$5:$D$57,$B1323)=1),1,0)</f>
        <v/>
      </c>
      <c r="G1323" s="47">
        <f>IF($F1323=0,0,IF(AND(OR(INDEX(Employees!$D$5:$D$29,$A1323)="",$E1323&gt;=INDEX(Employees!$D$5:$D$29,$A1323)+N(INDEX(Employees!$U$5:$U$29,$A1323))),OR(INDEX(Employees!$E$5:$E$29,$A1323)="",$D1323&lt;=INDEX(Employees!$E$5:$E$29,$A1323))),1,0))</f>
        <v/>
      </c>
      <c r="H1323" s="47">
        <f>IF($G1323=0,0,IF(INDEX(Employees!$D$5:$D$29,$A1323)="",0,DATEDIF(INDEX(Employees!$D$5:$D$29,$A1323),$E1323,"y")))</f>
        <v/>
      </c>
      <c r="I1323" s="48">
        <f>IF($G1323=0,0,IF(INDEX('Hours Worked'!$D$5:$BD$29,$A1323,$B1323)="",N(INDEX(Employees!$H$5:$H$29,$A1323)),INDEX('Hours Worked'!$D$5:$BD$29,$A1323,$B1323)))</f>
        <v/>
      </c>
      <c r="J1323" s="48">
        <f>IF(OR($G1323=0,INDEX(Employees!$O$5:$O$29,$A1323)&lt;&gt;"Yes"),0,IF(COUNTIF(Settings!$D$4:$D$9,"&lt;="&amp;$H1323)=0,0,INDEX(Settings!$E$4:$E$9,COUNTIF(Settings!$D$4:$D$9,"&lt;="&amp;$H1323))))</f>
        <v/>
      </c>
      <c r="K1323" s="48">
        <f>IF($G1323=0,0,IF(INDEX(Employees!$I$5:$I$29,$A1323)="Per pay period",(N(INDEX(Employees!$J$5:$J$29,$A1323))+$J1323)/Settings!$B$13,IF(INDEX(Employees!$I$5:$I$29,$A1323)="Per hour worked",N(INDEX(Employees!$K$5:$K$29,$A1323))*$I1323,IF(INDEX(Employees!$I$5:$I$29,$A1323)="Front-loaded",IF(OR($B1323=1,N($G1322)=0),N(INDEX(Employees!$J$5:$J$29,$A1323))+$J1323,0),0))))</f>
        <v/>
      </c>
      <c r="L1323" s="48">
        <f>IF($F1323=0,0,SUMIFS('Time Off Log'!$H$5:$H$504,'Time Off Log'!$A$5:$A$504,$C1323,'Time Off Log'!$B$5:$B$504,"PTO",'Time Off Log'!$E$5:$E$504,"Approved",'Time Off Log'!$C$5:$C$504,"&gt;="&amp;INDEX(Periods!$E$5:$E$57,$B1323),'Time Off Log'!$C$5:$C$504,"&lt;="&amp;INDEX(Periods!$F$5:$F$57,$B1323)))</f>
        <v/>
      </c>
      <c r="M1323" s="48">
        <f>IF($B1323=1,N(INDEX(Employees!$N$5:$N$29,$A1323)),P1322)</f>
        <v/>
      </c>
      <c r="N1323" s="48">
        <f>IF(INDEX(Employees!$L$5:$L$29,$A1323)="",K1323,MAX(0,MIN(K1323,INDEX(Employees!$L$5:$L$29,$A1323)-(M1323-L1323))))</f>
        <v/>
      </c>
      <c r="O1323" s="48">
        <f>K1323-N1323</f>
        <v/>
      </c>
      <c r="P1323" s="48">
        <f>M1323-L1323+N1323</f>
        <v/>
      </c>
      <c r="Q1323" s="48">
        <f>IF($G1323=0,0,IF(INDEX(Employees!$P$5:$P$29,$A1323)="Per pay period",(N(INDEX(Employees!$Q$5:$Q$29,$A1323)))/Settings!$B$13,IF(INDEX(Employees!$P$5:$P$29,$A1323)="Per hour worked",N(INDEX(Employees!$R$5:$R$29,$A1323))*$I1323,IF(INDEX(Employees!$P$5:$P$29,$A1323)="Front-loaded",IF(OR($B1323=1,N($G1322)=0),N(INDEX(Employees!$Q$5:$Q$29,$A1323)),0),0))))</f>
        <v/>
      </c>
      <c r="R1323" s="48">
        <f>IF($F1323=0,0,SUMIFS('Time Off Log'!$H$5:$H$504,'Time Off Log'!$A$5:$A$504,$C1323,'Time Off Log'!$B$5:$B$504,"Sick",'Time Off Log'!$E$5:$E$504,"Approved",'Time Off Log'!$C$5:$C$504,"&gt;="&amp;INDEX(Periods!$E$5:$E$57,$B1323),'Time Off Log'!$C$5:$C$504,"&lt;="&amp;INDEX(Periods!$F$5:$F$57,$B1323)))</f>
        <v/>
      </c>
      <c r="S1323" s="48">
        <f>IF($B1323=1,N(INDEX(Employees!$T$5:$T$29,$A1323)),V1322)</f>
        <v/>
      </c>
      <c r="T1323" s="48">
        <f>IF(INDEX(Employees!$S$5:$S$29,$A1323)="",Q1323,MAX(0,MIN(Q1323,INDEX(Employees!$S$5:$S$29,$A1323)-(S1323-R1323))))</f>
        <v/>
      </c>
      <c r="U1323" s="48">
        <f>Q1323-T1323</f>
        <v/>
      </c>
      <c r="V1323" s="48">
        <f>S1323-R1323+T1323</f>
        <v/>
      </c>
    </row>
    <row r="1324">
      <c r="A1324" s="47" t="n">
        <v>25</v>
      </c>
      <c r="B1324" s="47" t="n">
        <v>48</v>
      </c>
      <c r="C1324" s="48">
        <f>INDEX(Employees!$B$5:$B$29,$A1324)&amp;""</f>
        <v/>
      </c>
      <c r="D1324" s="49">
        <f>INDEX(Periods!$B$5:$B$57,$B1324)</f>
        <v/>
      </c>
      <c r="E1324" s="49">
        <f>INDEX(Periods!$C$5:$C$57,$B1324)</f>
        <v/>
      </c>
      <c r="F1324" s="47">
        <f>IF(AND($C1324&lt;&gt;"",INDEX(Periods!$D$5:$D$57,$B1324)=1),1,0)</f>
        <v/>
      </c>
      <c r="G1324" s="47">
        <f>IF($F1324=0,0,IF(AND(OR(INDEX(Employees!$D$5:$D$29,$A1324)="",$E1324&gt;=INDEX(Employees!$D$5:$D$29,$A1324)+N(INDEX(Employees!$U$5:$U$29,$A1324))),OR(INDEX(Employees!$E$5:$E$29,$A1324)="",$D1324&lt;=INDEX(Employees!$E$5:$E$29,$A1324))),1,0))</f>
        <v/>
      </c>
      <c r="H1324" s="47">
        <f>IF($G1324=0,0,IF(INDEX(Employees!$D$5:$D$29,$A1324)="",0,DATEDIF(INDEX(Employees!$D$5:$D$29,$A1324),$E1324,"y")))</f>
        <v/>
      </c>
      <c r="I1324" s="48">
        <f>IF($G1324=0,0,IF(INDEX('Hours Worked'!$D$5:$BD$29,$A1324,$B1324)="",N(INDEX(Employees!$H$5:$H$29,$A1324)),INDEX('Hours Worked'!$D$5:$BD$29,$A1324,$B1324)))</f>
        <v/>
      </c>
      <c r="J1324" s="48">
        <f>IF(OR($G1324=0,INDEX(Employees!$O$5:$O$29,$A1324)&lt;&gt;"Yes"),0,IF(COUNTIF(Settings!$D$4:$D$9,"&lt;="&amp;$H1324)=0,0,INDEX(Settings!$E$4:$E$9,COUNTIF(Settings!$D$4:$D$9,"&lt;="&amp;$H1324))))</f>
        <v/>
      </c>
      <c r="K1324" s="48">
        <f>IF($G1324=0,0,IF(INDEX(Employees!$I$5:$I$29,$A1324)="Per pay period",(N(INDEX(Employees!$J$5:$J$29,$A1324))+$J1324)/Settings!$B$13,IF(INDEX(Employees!$I$5:$I$29,$A1324)="Per hour worked",N(INDEX(Employees!$K$5:$K$29,$A1324))*$I1324,IF(INDEX(Employees!$I$5:$I$29,$A1324)="Front-loaded",IF(OR($B1324=1,N($G1323)=0),N(INDEX(Employees!$J$5:$J$29,$A1324))+$J1324,0),0))))</f>
        <v/>
      </c>
      <c r="L1324" s="48">
        <f>IF($F1324=0,0,SUMIFS('Time Off Log'!$H$5:$H$504,'Time Off Log'!$A$5:$A$504,$C1324,'Time Off Log'!$B$5:$B$504,"PTO",'Time Off Log'!$E$5:$E$504,"Approved",'Time Off Log'!$C$5:$C$504,"&gt;="&amp;INDEX(Periods!$E$5:$E$57,$B1324),'Time Off Log'!$C$5:$C$504,"&lt;="&amp;INDEX(Periods!$F$5:$F$57,$B1324)))</f>
        <v/>
      </c>
      <c r="M1324" s="48">
        <f>IF($B1324=1,N(INDEX(Employees!$N$5:$N$29,$A1324)),P1323)</f>
        <v/>
      </c>
      <c r="N1324" s="48">
        <f>IF(INDEX(Employees!$L$5:$L$29,$A1324)="",K1324,MAX(0,MIN(K1324,INDEX(Employees!$L$5:$L$29,$A1324)-(M1324-L1324))))</f>
        <v/>
      </c>
      <c r="O1324" s="48">
        <f>K1324-N1324</f>
        <v/>
      </c>
      <c r="P1324" s="48">
        <f>M1324-L1324+N1324</f>
        <v/>
      </c>
      <c r="Q1324" s="48">
        <f>IF($G1324=0,0,IF(INDEX(Employees!$P$5:$P$29,$A1324)="Per pay period",(N(INDEX(Employees!$Q$5:$Q$29,$A1324)))/Settings!$B$13,IF(INDEX(Employees!$P$5:$P$29,$A1324)="Per hour worked",N(INDEX(Employees!$R$5:$R$29,$A1324))*$I1324,IF(INDEX(Employees!$P$5:$P$29,$A1324)="Front-loaded",IF(OR($B1324=1,N($G1323)=0),N(INDEX(Employees!$Q$5:$Q$29,$A1324)),0),0))))</f>
        <v/>
      </c>
      <c r="R1324" s="48">
        <f>IF($F1324=0,0,SUMIFS('Time Off Log'!$H$5:$H$504,'Time Off Log'!$A$5:$A$504,$C1324,'Time Off Log'!$B$5:$B$504,"Sick",'Time Off Log'!$E$5:$E$504,"Approved",'Time Off Log'!$C$5:$C$504,"&gt;="&amp;INDEX(Periods!$E$5:$E$57,$B1324),'Time Off Log'!$C$5:$C$504,"&lt;="&amp;INDEX(Periods!$F$5:$F$57,$B1324)))</f>
        <v/>
      </c>
      <c r="S1324" s="48">
        <f>IF($B1324=1,N(INDEX(Employees!$T$5:$T$29,$A1324)),V1323)</f>
        <v/>
      </c>
      <c r="T1324" s="48">
        <f>IF(INDEX(Employees!$S$5:$S$29,$A1324)="",Q1324,MAX(0,MIN(Q1324,INDEX(Employees!$S$5:$S$29,$A1324)-(S1324-R1324))))</f>
        <v/>
      </c>
      <c r="U1324" s="48">
        <f>Q1324-T1324</f>
        <v/>
      </c>
      <c r="V1324" s="48">
        <f>S1324-R1324+T1324</f>
        <v/>
      </c>
    </row>
    <row r="1325">
      <c r="A1325" s="47" t="n">
        <v>25</v>
      </c>
      <c r="B1325" s="47" t="n">
        <v>49</v>
      </c>
      <c r="C1325" s="48">
        <f>INDEX(Employees!$B$5:$B$29,$A1325)&amp;""</f>
        <v/>
      </c>
      <c r="D1325" s="49">
        <f>INDEX(Periods!$B$5:$B$57,$B1325)</f>
        <v/>
      </c>
      <c r="E1325" s="49">
        <f>INDEX(Periods!$C$5:$C$57,$B1325)</f>
        <v/>
      </c>
      <c r="F1325" s="47">
        <f>IF(AND($C1325&lt;&gt;"",INDEX(Periods!$D$5:$D$57,$B1325)=1),1,0)</f>
        <v/>
      </c>
      <c r="G1325" s="47">
        <f>IF($F1325=0,0,IF(AND(OR(INDEX(Employees!$D$5:$D$29,$A1325)="",$E1325&gt;=INDEX(Employees!$D$5:$D$29,$A1325)+N(INDEX(Employees!$U$5:$U$29,$A1325))),OR(INDEX(Employees!$E$5:$E$29,$A1325)="",$D1325&lt;=INDEX(Employees!$E$5:$E$29,$A1325))),1,0))</f>
        <v/>
      </c>
      <c r="H1325" s="47">
        <f>IF($G1325=0,0,IF(INDEX(Employees!$D$5:$D$29,$A1325)="",0,DATEDIF(INDEX(Employees!$D$5:$D$29,$A1325),$E1325,"y")))</f>
        <v/>
      </c>
      <c r="I1325" s="48">
        <f>IF($G1325=0,0,IF(INDEX('Hours Worked'!$D$5:$BD$29,$A1325,$B1325)="",N(INDEX(Employees!$H$5:$H$29,$A1325)),INDEX('Hours Worked'!$D$5:$BD$29,$A1325,$B1325)))</f>
        <v/>
      </c>
      <c r="J1325" s="48">
        <f>IF(OR($G1325=0,INDEX(Employees!$O$5:$O$29,$A1325)&lt;&gt;"Yes"),0,IF(COUNTIF(Settings!$D$4:$D$9,"&lt;="&amp;$H1325)=0,0,INDEX(Settings!$E$4:$E$9,COUNTIF(Settings!$D$4:$D$9,"&lt;="&amp;$H1325))))</f>
        <v/>
      </c>
      <c r="K1325" s="48">
        <f>IF($G1325=0,0,IF(INDEX(Employees!$I$5:$I$29,$A1325)="Per pay period",(N(INDEX(Employees!$J$5:$J$29,$A1325))+$J1325)/Settings!$B$13,IF(INDEX(Employees!$I$5:$I$29,$A1325)="Per hour worked",N(INDEX(Employees!$K$5:$K$29,$A1325))*$I1325,IF(INDEX(Employees!$I$5:$I$29,$A1325)="Front-loaded",IF(OR($B1325=1,N($G1324)=0),N(INDEX(Employees!$J$5:$J$29,$A1325))+$J1325,0),0))))</f>
        <v/>
      </c>
      <c r="L1325" s="48">
        <f>IF($F1325=0,0,SUMIFS('Time Off Log'!$H$5:$H$504,'Time Off Log'!$A$5:$A$504,$C1325,'Time Off Log'!$B$5:$B$504,"PTO",'Time Off Log'!$E$5:$E$504,"Approved",'Time Off Log'!$C$5:$C$504,"&gt;="&amp;INDEX(Periods!$E$5:$E$57,$B1325),'Time Off Log'!$C$5:$C$504,"&lt;="&amp;INDEX(Periods!$F$5:$F$57,$B1325)))</f>
        <v/>
      </c>
      <c r="M1325" s="48">
        <f>IF($B1325=1,N(INDEX(Employees!$N$5:$N$29,$A1325)),P1324)</f>
        <v/>
      </c>
      <c r="N1325" s="48">
        <f>IF(INDEX(Employees!$L$5:$L$29,$A1325)="",K1325,MAX(0,MIN(K1325,INDEX(Employees!$L$5:$L$29,$A1325)-(M1325-L1325))))</f>
        <v/>
      </c>
      <c r="O1325" s="48">
        <f>K1325-N1325</f>
        <v/>
      </c>
      <c r="P1325" s="48">
        <f>M1325-L1325+N1325</f>
        <v/>
      </c>
      <c r="Q1325" s="48">
        <f>IF($G1325=0,0,IF(INDEX(Employees!$P$5:$P$29,$A1325)="Per pay period",(N(INDEX(Employees!$Q$5:$Q$29,$A1325)))/Settings!$B$13,IF(INDEX(Employees!$P$5:$P$29,$A1325)="Per hour worked",N(INDEX(Employees!$R$5:$R$29,$A1325))*$I1325,IF(INDEX(Employees!$P$5:$P$29,$A1325)="Front-loaded",IF(OR($B1325=1,N($G1324)=0),N(INDEX(Employees!$Q$5:$Q$29,$A1325)),0),0))))</f>
        <v/>
      </c>
      <c r="R1325" s="48">
        <f>IF($F1325=0,0,SUMIFS('Time Off Log'!$H$5:$H$504,'Time Off Log'!$A$5:$A$504,$C1325,'Time Off Log'!$B$5:$B$504,"Sick",'Time Off Log'!$E$5:$E$504,"Approved",'Time Off Log'!$C$5:$C$504,"&gt;="&amp;INDEX(Periods!$E$5:$E$57,$B1325),'Time Off Log'!$C$5:$C$504,"&lt;="&amp;INDEX(Periods!$F$5:$F$57,$B1325)))</f>
        <v/>
      </c>
      <c r="S1325" s="48">
        <f>IF($B1325=1,N(INDEX(Employees!$T$5:$T$29,$A1325)),V1324)</f>
        <v/>
      </c>
      <c r="T1325" s="48">
        <f>IF(INDEX(Employees!$S$5:$S$29,$A1325)="",Q1325,MAX(0,MIN(Q1325,INDEX(Employees!$S$5:$S$29,$A1325)-(S1325-R1325))))</f>
        <v/>
      </c>
      <c r="U1325" s="48">
        <f>Q1325-T1325</f>
        <v/>
      </c>
      <c r="V1325" s="48">
        <f>S1325-R1325+T1325</f>
        <v/>
      </c>
    </row>
    <row r="1326">
      <c r="A1326" s="47" t="n">
        <v>25</v>
      </c>
      <c r="B1326" s="47" t="n">
        <v>50</v>
      </c>
      <c r="C1326" s="48">
        <f>INDEX(Employees!$B$5:$B$29,$A1326)&amp;""</f>
        <v/>
      </c>
      <c r="D1326" s="49">
        <f>INDEX(Periods!$B$5:$B$57,$B1326)</f>
        <v/>
      </c>
      <c r="E1326" s="49">
        <f>INDEX(Periods!$C$5:$C$57,$B1326)</f>
        <v/>
      </c>
      <c r="F1326" s="47">
        <f>IF(AND($C1326&lt;&gt;"",INDEX(Periods!$D$5:$D$57,$B1326)=1),1,0)</f>
        <v/>
      </c>
      <c r="G1326" s="47">
        <f>IF($F1326=0,0,IF(AND(OR(INDEX(Employees!$D$5:$D$29,$A1326)="",$E1326&gt;=INDEX(Employees!$D$5:$D$29,$A1326)+N(INDEX(Employees!$U$5:$U$29,$A1326))),OR(INDEX(Employees!$E$5:$E$29,$A1326)="",$D1326&lt;=INDEX(Employees!$E$5:$E$29,$A1326))),1,0))</f>
        <v/>
      </c>
      <c r="H1326" s="47">
        <f>IF($G1326=0,0,IF(INDEX(Employees!$D$5:$D$29,$A1326)="",0,DATEDIF(INDEX(Employees!$D$5:$D$29,$A1326),$E1326,"y")))</f>
        <v/>
      </c>
      <c r="I1326" s="48">
        <f>IF($G1326=0,0,IF(INDEX('Hours Worked'!$D$5:$BD$29,$A1326,$B1326)="",N(INDEX(Employees!$H$5:$H$29,$A1326)),INDEX('Hours Worked'!$D$5:$BD$29,$A1326,$B1326)))</f>
        <v/>
      </c>
      <c r="J1326" s="48">
        <f>IF(OR($G1326=0,INDEX(Employees!$O$5:$O$29,$A1326)&lt;&gt;"Yes"),0,IF(COUNTIF(Settings!$D$4:$D$9,"&lt;="&amp;$H1326)=0,0,INDEX(Settings!$E$4:$E$9,COUNTIF(Settings!$D$4:$D$9,"&lt;="&amp;$H1326))))</f>
        <v/>
      </c>
      <c r="K1326" s="48">
        <f>IF($G1326=0,0,IF(INDEX(Employees!$I$5:$I$29,$A1326)="Per pay period",(N(INDEX(Employees!$J$5:$J$29,$A1326))+$J1326)/Settings!$B$13,IF(INDEX(Employees!$I$5:$I$29,$A1326)="Per hour worked",N(INDEX(Employees!$K$5:$K$29,$A1326))*$I1326,IF(INDEX(Employees!$I$5:$I$29,$A1326)="Front-loaded",IF(OR($B1326=1,N($G1325)=0),N(INDEX(Employees!$J$5:$J$29,$A1326))+$J1326,0),0))))</f>
        <v/>
      </c>
      <c r="L1326" s="48">
        <f>IF($F1326=0,0,SUMIFS('Time Off Log'!$H$5:$H$504,'Time Off Log'!$A$5:$A$504,$C1326,'Time Off Log'!$B$5:$B$504,"PTO",'Time Off Log'!$E$5:$E$504,"Approved",'Time Off Log'!$C$5:$C$504,"&gt;="&amp;INDEX(Periods!$E$5:$E$57,$B1326),'Time Off Log'!$C$5:$C$504,"&lt;="&amp;INDEX(Periods!$F$5:$F$57,$B1326)))</f>
        <v/>
      </c>
      <c r="M1326" s="48">
        <f>IF($B1326=1,N(INDEX(Employees!$N$5:$N$29,$A1326)),P1325)</f>
        <v/>
      </c>
      <c r="N1326" s="48">
        <f>IF(INDEX(Employees!$L$5:$L$29,$A1326)="",K1326,MAX(0,MIN(K1326,INDEX(Employees!$L$5:$L$29,$A1326)-(M1326-L1326))))</f>
        <v/>
      </c>
      <c r="O1326" s="48">
        <f>K1326-N1326</f>
        <v/>
      </c>
      <c r="P1326" s="48">
        <f>M1326-L1326+N1326</f>
        <v/>
      </c>
      <c r="Q1326" s="48">
        <f>IF($G1326=0,0,IF(INDEX(Employees!$P$5:$P$29,$A1326)="Per pay period",(N(INDEX(Employees!$Q$5:$Q$29,$A1326)))/Settings!$B$13,IF(INDEX(Employees!$P$5:$P$29,$A1326)="Per hour worked",N(INDEX(Employees!$R$5:$R$29,$A1326))*$I1326,IF(INDEX(Employees!$P$5:$P$29,$A1326)="Front-loaded",IF(OR($B1326=1,N($G1325)=0),N(INDEX(Employees!$Q$5:$Q$29,$A1326)),0),0))))</f>
        <v/>
      </c>
      <c r="R1326" s="48">
        <f>IF($F1326=0,0,SUMIFS('Time Off Log'!$H$5:$H$504,'Time Off Log'!$A$5:$A$504,$C1326,'Time Off Log'!$B$5:$B$504,"Sick",'Time Off Log'!$E$5:$E$504,"Approved",'Time Off Log'!$C$5:$C$504,"&gt;="&amp;INDEX(Periods!$E$5:$E$57,$B1326),'Time Off Log'!$C$5:$C$504,"&lt;="&amp;INDEX(Periods!$F$5:$F$57,$B1326)))</f>
        <v/>
      </c>
      <c r="S1326" s="48">
        <f>IF($B1326=1,N(INDEX(Employees!$T$5:$T$29,$A1326)),V1325)</f>
        <v/>
      </c>
      <c r="T1326" s="48">
        <f>IF(INDEX(Employees!$S$5:$S$29,$A1326)="",Q1326,MAX(0,MIN(Q1326,INDEX(Employees!$S$5:$S$29,$A1326)-(S1326-R1326))))</f>
        <v/>
      </c>
      <c r="U1326" s="48">
        <f>Q1326-T1326</f>
        <v/>
      </c>
      <c r="V1326" s="48">
        <f>S1326-R1326+T1326</f>
        <v/>
      </c>
    </row>
    <row r="1327">
      <c r="A1327" s="47" t="n">
        <v>25</v>
      </c>
      <c r="B1327" s="47" t="n">
        <v>51</v>
      </c>
      <c r="C1327" s="48">
        <f>INDEX(Employees!$B$5:$B$29,$A1327)&amp;""</f>
        <v/>
      </c>
      <c r="D1327" s="49">
        <f>INDEX(Periods!$B$5:$B$57,$B1327)</f>
        <v/>
      </c>
      <c r="E1327" s="49">
        <f>INDEX(Periods!$C$5:$C$57,$B1327)</f>
        <v/>
      </c>
      <c r="F1327" s="47">
        <f>IF(AND($C1327&lt;&gt;"",INDEX(Periods!$D$5:$D$57,$B1327)=1),1,0)</f>
        <v/>
      </c>
      <c r="G1327" s="47">
        <f>IF($F1327=0,0,IF(AND(OR(INDEX(Employees!$D$5:$D$29,$A1327)="",$E1327&gt;=INDEX(Employees!$D$5:$D$29,$A1327)+N(INDEX(Employees!$U$5:$U$29,$A1327))),OR(INDEX(Employees!$E$5:$E$29,$A1327)="",$D1327&lt;=INDEX(Employees!$E$5:$E$29,$A1327))),1,0))</f>
        <v/>
      </c>
      <c r="H1327" s="47">
        <f>IF($G1327=0,0,IF(INDEX(Employees!$D$5:$D$29,$A1327)="",0,DATEDIF(INDEX(Employees!$D$5:$D$29,$A1327),$E1327,"y")))</f>
        <v/>
      </c>
      <c r="I1327" s="48">
        <f>IF($G1327=0,0,IF(INDEX('Hours Worked'!$D$5:$BD$29,$A1327,$B1327)="",N(INDEX(Employees!$H$5:$H$29,$A1327)),INDEX('Hours Worked'!$D$5:$BD$29,$A1327,$B1327)))</f>
        <v/>
      </c>
      <c r="J1327" s="48">
        <f>IF(OR($G1327=0,INDEX(Employees!$O$5:$O$29,$A1327)&lt;&gt;"Yes"),0,IF(COUNTIF(Settings!$D$4:$D$9,"&lt;="&amp;$H1327)=0,0,INDEX(Settings!$E$4:$E$9,COUNTIF(Settings!$D$4:$D$9,"&lt;="&amp;$H1327))))</f>
        <v/>
      </c>
      <c r="K1327" s="48">
        <f>IF($G1327=0,0,IF(INDEX(Employees!$I$5:$I$29,$A1327)="Per pay period",(N(INDEX(Employees!$J$5:$J$29,$A1327))+$J1327)/Settings!$B$13,IF(INDEX(Employees!$I$5:$I$29,$A1327)="Per hour worked",N(INDEX(Employees!$K$5:$K$29,$A1327))*$I1327,IF(INDEX(Employees!$I$5:$I$29,$A1327)="Front-loaded",IF(OR($B1327=1,N($G1326)=0),N(INDEX(Employees!$J$5:$J$29,$A1327))+$J1327,0),0))))</f>
        <v/>
      </c>
      <c r="L1327" s="48">
        <f>IF($F1327=0,0,SUMIFS('Time Off Log'!$H$5:$H$504,'Time Off Log'!$A$5:$A$504,$C1327,'Time Off Log'!$B$5:$B$504,"PTO",'Time Off Log'!$E$5:$E$504,"Approved",'Time Off Log'!$C$5:$C$504,"&gt;="&amp;INDEX(Periods!$E$5:$E$57,$B1327),'Time Off Log'!$C$5:$C$504,"&lt;="&amp;INDEX(Periods!$F$5:$F$57,$B1327)))</f>
        <v/>
      </c>
      <c r="M1327" s="48">
        <f>IF($B1327=1,N(INDEX(Employees!$N$5:$N$29,$A1327)),P1326)</f>
        <v/>
      </c>
      <c r="N1327" s="48">
        <f>IF(INDEX(Employees!$L$5:$L$29,$A1327)="",K1327,MAX(0,MIN(K1327,INDEX(Employees!$L$5:$L$29,$A1327)-(M1327-L1327))))</f>
        <v/>
      </c>
      <c r="O1327" s="48">
        <f>K1327-N1327</f>
        <v/>
      </c>
      <c r="P1327" s="48">
        <f>M1327-L1327+N1327</f>
        <v/>
      </c>
      <c r="Q1327" s="48">
        <f>IF($G1327=0,0,IF(INDEX(Employees!$P$5:$P$29,$A1327)="Per pay period",(N(INDEX(Employees!$Q$5:$Q$29,$A1327)))/Settings!$B$13,IF(INDEX(Employees!$P$5:$P$29,$A1327)="Per hour worked",N(INDEX(Employees!$R$5:$R$29,$A1327))*$I1327,IF(INDEX(Employees!$P$5:$P$29,$A1327)="Front-loaded",IF(OR($B1327=1,N($G1326)=0),N(INDEX(Employees!$Q$5:$Q$29,$A1327)),0),0))))</f>
        <v/>
      </c>
      <c r="R1327" s="48">
        <f>IF($F1327=0,0,SUMIFS('Time Off Log'!$H$5:$H$504,'Time Off Log'!$A$5:$A$504,$C1327,'Time Off Log'!$B$5:$B$504,"Sick",'Time Off Log'!$E$5:$E$504,"Approved",'Time Off Log'!$C$5:$C$504,"&gt;="&amp;INDEX(Periods!$E$5:$E$57,$B1327),'Time Off Log'!$C$5:$C$504,"&lt;="&amp;INDEX(Periods!$F$5:$F$57,$B1327)))</f>
        <v/>
      </c>
      <c r="S1327" s="48">
        <f>IF($B1327=1,N(INDEX(Employees!$T$5:$T$29,$A1327)),V1326)</f>
        <v/>
      </c>
      <c r="T1327" s="48">
        <f>IF(INDEX(Employees!$S$5:$S$29,$A1327)="",Q1327,MAX(0,MIN(Q1327,INDEX(Employees!$S$5:$S$29,$A1327)-(S1327-R1327))))</f>
        <v/>
      </c>
      <c r="U1327" s="48">
        <f>Q1327-T1327</f>
        <v/>
      </c>
      <c r="V1327" s="48">
        <f>S1327-R1327+T1327</f>
        <v/>
      </c>
    </row>
    <row r="1328">
      <c r="A1328" s="47" t="n">
        <v>25</v>
      </c>
      <c r="B1328" s="47" t="n">
        <v>52</v>
      </c>
      <c r="C1328" s="48">
        <f>INDEX(Employees!$B$5:$B$29,$A1328)&amp;""</f>
        <v/>
      </c>
      <c r="D1328" s="49">
        <f>INDEX(Periods!$B$5:$B$57,$B1328)</f>
        <v/>
      </c>
      <c r="E1328" s="49">
        <f>INDEX(Periods!$C$5:$C$57,$B1328)</f>
        <v/>
      </c>
      <c r="F1328" s="47">
        <f>IF(AND($C1328&lt;&gt;"",INDEX(Periods!$D$5:$D$57,$B1328)=1),1,0)</f>
        <v/>
      </c>
      <c r="G1328" s="47">
        <f>IF($F1328=0,0,IF(AND(OR(INDEX(Employees!$D$5:$D$29,$A1328)="",$E1328&gt;=INDEX(Employees!$D$5:$D$29,$A1328)+N(INDEX(Employees!$U$5:$U$29,$A1328))),OR(INDEX(Employees!$E$5:$E$29,$A1328)="",$D1328&lt;=INDEX(Employees!$E$5:$E$29,$A1328))),1,0))</f>
        <v/>
      </c>
      <c r="H1328" s="47">
        <f>IF($G1328=0,0,IF(INDEX(Employees!$D$5:$D$29,$A1328)="",0,DATEDIF(INDEX(Employees!$D$5:$D$29,$A1328),$E1328,"y")))</f>
        <v/>
      </c>
      <c r="I1328" s="48">
        <f>IF($G1328=0,0,IF(INDEX('Hours Worked'!$D$5:$BD$29,$A1328,$B1328)="",N(INDEX(Employees!$H$5:$H$29,$A1328)),INDEX('Hours Worked'!$D$5:$BD$29,$A1328,$B1328)))</f>
        <v/>
      </c>
      <c r="J1328" s="48">
        <f>IF(OR($G1328=0,INDEX(Employees!$O$5:$O$29,$A1328)&lt;&gt;"Yes"),0,IF(COUNTIF(Settings!$D$4:$D$9,"&lt;="&amp;$H1328)=0,0,INDEX(Settings!$E$4:$E$9,COUNTIF(Settings!$D$4:$D$9,"&lt;="&amp;$H1328))))</f>
        <v/>
      </c>
      <c r="K1328" s="48">
        <f>IF($G1328=0,0,IF(INDEX(Employees!$I$5:$I$29,$A1328)="Per pay period",(N(INDEX(Employees!$J$5:$J$29,$A1328))+$J1328)/Settings!$B$13,IF(INDEX(Employees!$I$5:$I$29,$A1328)="Per hour worked",N(INDEX(Employees!$K$5:$K$29,$A1328))*$I1328,IF(INDEX(Employees!$I$5:$I$29,$A1328)="Front-loaded",IF(OR($B1328=1,N($G1327)=0),N(INDEX(Employees!$J$5:$J$29,$A1328))+$J1328,0),0))))</f>
        <v/>
      </c>
      <c r="L1328" s="48">
        <f>IF($F1328=0,0,SUMIFS('Time Off Log'!$H$5:$H$504,'Time Off Log'!$A$5:$A$504,$C1328,'Time Off Log'!$B$5:$B$504,"PTO",'Time Off Log'!$E$5:$E$504,"Approved",'Time Off Log'!$C$5:$C$504,"&gt;="&amp;INDEX(Periods!$E$5:$E$57,$B1328),'Time Off Log'!$C$5:$C$504,"&lt;="&amp;INDEX(Periods!$F$5:$F$57,$B1328)))</f>
        <v/>
      </c>
      <c r="M1328" s="48">
        <f>IF($B1328=1,N(INDEX(Employees!$N$5:$N$29,$A1328)),P1327)</f>
        <v/>
      </c>
      <c r="N1328" s="48">
        <f>IF(INDEX(Employees!$L$5:$L$29,$A1328)="",K1328,MAX(0,MIN(K1328,INDEX(Employees!$L$5:$L$29,$A1328)-(M1328-L1328))))</f>
        <v/>
      </c>
      <c r="O1328" s="48">
        <f>K1328-N1328</f>
        <v/>
      </c>
      <c r="P1328" s="48">
        <f>M1328-L1328+N1328</f>
        <v/>
      </c>
      <c r="Q1328" s="48">
        <f>IF($G1328=0,0,IF(INDEX(Employees!$P$5:$P$29,$A1328)="Per pay period",(N(INDEX(Employees!$Q$5:$Q$29,$A1328)))/Settings!$B$13,IF(INDEX(Employees!$P$5:$P$29,$A1328)="Per hour worked",N(INDEX(Employees!$R$5:$R$29,$A1328))*$I1328,IF(INDEX(Employees!$P$5:$P$29,$A1328)="Front-loaded",IF(OR($B1328=1,N($G1327)=0),N(INDEX(Employees!$Q$5:$Q$29,$A1328)),0),0))))</f>
        <v/>
      </c>
      <c r="R1328" s="48">
        <f>IF($F1328=0,0,SUMIFS('Time Off Log'!$H$5:$H$504,'Time Off Log'!$A$5:$A$504,$C1328,'Time Off Log'!$B$5:$B$504,"Sick",'Time Off Log'!$E$5:$E$504,"Approved",'Time Off Log'!$C$5:$C$504,"&gt;="&amp;INDEX(Periods!$E$5:$E$57,$B1328),'Time Off Log'!$C$5:$C$504,"&lt;="&amp;INDEX(Periods!$F$5:$F$57,$B1328)))</f>
        <v/>
      </c>
      <c r="S1328" s="48">
        <f>IF($B1328=1,N(INDEX(Employees!$T$5:$T$29,$A1328)),V1327)</f>
        <v/>
      </c>
      <c r="T1328" s="48">
        <f>IF(INDEX(Employees!$S$5:$S$29,$A1328)="",Q1328,MAX(0,MIN(Q1328,INDEX(Employees!$S$5:$S$29,$A1328)-(S1328-R1328))))</f>
        <v/>
      </c>
      <c r="U1328" s="48">
        <f>Q1328-T1328</f>
        <v/>
      </c>
      <c r="V1328" s="48">
        <f>S1328-R1328+T1328</f>
        <v/>
      </c>
    </row>
    <row r="1329">
      <c r="A1329" s="47" t="n">
        <v>25</v>
      </c>
      <c r="B1329" s="47" t="n">
        <v>53</v>
      </c>
      <c r="C1329" s="48">
        <f>INDEX(Employees!$B$5:$B$29,$A1329)&amp;""</f>
        <v/>
      </c>
      <c r="D1329" s="49">
        <f>INDEX(Periods!$B$5:$B$57,$B1329)</f>
        <v/>
      </c>
      <c r="E1329" s="49">
        <f>INDEX(Periods!$C$5:$C$57,$B1329)</f>
        <v/>
      </c>
      <c r="F1329" s="47">
        <f>IF(AND($C1329&lt;&gt;"",INDEX(Periods!$D$5:$D$57,$B1329)=1),1,0)</f>
        <v/>
      </c>
      <c r="G1329" s="47">
        <f>IF($F1329=0,0,IF(AND(OR(INDEX(Employees!$D$5:$D$29,$A1329)="",$E1329&gt;=INDEX(Employees!$D$5:$D$29,$A1329)+N(INDEX(Employees!$U$5:$U$29,$A1329))),OR(INDEX(Employees!$E$5:$E$29,$A1329)="",$D1329&lt;=INDEX(Employees!$E$5:$E$29,$A1329))),1,0))</f>
        <v/>
      </c>
      <c r="H1329" s="47">
        <f>IF($G1329=0,0,IF(INDEX(Employees!$D$5:$D$29,$A1329)="",0,DATEDIF(INDEX(Employees!$D$5:$D$29,$A1329),$E1329,"y")))</f>
        <v/>
      </c>
      <c r="I1329" s="48">
        <f>IF($G1329=0,0,IF(INDEX('Hours Worked'!$D$5:$BD$29,$A1329,$B1329)="",N(INDEX(Employees!$H$5:$H$29,$A1329)),INDEX('Hours Worked'!$D$5:$BD$29,$A1329,$B1329)))</f>
        <v/>
      </c>
      <c r="J1329" s="48">
        <f>IF(OR($G1329=0,INDEX(Employees!$O$5:$O$29,$A1329)&lt;&gt;"Yes"),0,IF(COUNTIF(Settings!$D$4:$D$9,"&lt;="&amp;$H1329)=0,0,INDEX(Settings!$E$4:$E$9,COUNTIF(Settings!$D$4:$D$9,"&lt;="&amp;$H1329))))</f>
        <v/>
      </c>
      <c r="K1329" s="48">
        <f>IF($G1329=0,0,IF(INDEX(Employees!$I$5:$I$29,$A1329)="Per pay period",(N(INDEX(Employees!$J$5:$J$29,$A1329))+$J1329)/Settings!$B$13,IF(INDEX(Employees!$I$5:$I$29,$A1329)="Per hour worked",N(INDEX(Employees!$K$5:$K$29,$A1329))*$I1329,IF(INDEX(Employees!$I$5:$I$29,$A1329)="Front-loaded",IF(OR($B1329=1,N($G1328)=0),N(INDEX(Employees!$J$5:$J$29,$A1329))+$J1329,0),0))))</f>
        <v/>
      </c>
      <c r="L1329" s="48">
        <f>IF($F1329=0,0,SUMIFS('Time Off Log'!$H$5:$H$504,'Time Off Log'!$A$5:$A$504,$C1329,'Time Off Log'!$B$5:$B$504,"PTO",'Time Off Log'!$E$5:$E$504,"Approved",'Time Off Log'!$C$5:$C$504,"&gt;="&amp;INDEX(Periods!$E$5:$E$57,$B1329),'Time Off Log'!$C$5:$C$504,"&lt;="&amp;INDEX(Periods!$F$5:$F$57,$B1329)))</f>
        <v/>
      </c>
      <c r="M1329" s="48">
        <f>IF($B1329=1,N(INDEX(Employees!$N$5:$N$29,$A1329)),P1328)</f>
        <v/>
      </c>
      <c r="N1329" s="48">
        <f>IF(INDEX(Employees!$L$5:$L$29,$A1329)="",K1329,MAX(0,MIN(K1329,INDEX(Employees!$L$5:$L$29,$A1329)-(M1329-L1329))))</f>
        <v/>
      </c>
      <c r="O1329" s="48">
        <f>K1329-N1329</f>
        <v/>
      </c>
      <c r="P1329" s="48">
        <f>M1329-L1329+N1329</f>
        <v/>
      </c>
      <c r="Q1329" s="48">
        <f>IF($G1329=0,0,IF(INDEX(Employees!$P$5:$P$29,$A1329)="Per pay period",(N(INDEX(Employees!$Q$5:$Q$29,$A1329)))/Settings!$B$13,IF(INDEX(Employees!$P$5:$P$29,$A1329)="Per hour worked",N(INDEX(Employees!$R$5:$R$29,$A1329))*$I1329,IF(INDEX(Employees!$P$5:$P$29,$A1329)="Front-loaded",IF(OR($B1329=1,N($G1328)=0),N(INDEX(Employees!$Q$5:$Q$29,$A1329)),0),0))))</f>
        <v/>
      </c>
      <c r="R1329" s="48">
        <f>IF($F1329=0,0,SUMIFS('Time Off Log'!$H$5:$H$504,'Time Off Log'!$A$5:$A$504,$C1329,'Time Off Log'!$B$5:$B$504,"Sick",'Time Off Log'!$E$5:$E$504,"Approved",'Time Off Log'!$C$5:$C$504,"&gt;="&amp;INDEX(Periods!$E$5:$E$57,$B1329),'Time Off Log'!$C$5:$C$504,"&lt;="&amp;INDEX(Periods!$F$5:$F$57,$B1329)))</f>
        <v/>
      </c>
      <c r="S1329" s="48">
        <f>IF($B1329=1,N(INDEX(Employees!$T$5:$T$29,$A1329)),V1328)</f>
        <v/>
      </c>
      <c r="T1329" s="48">
        <f>IF(INDEX(Employees!$S$5:$S$29,$A1329)="",Q1329,MAX(0,MIN(Q1329,INDEX(Employees!$S$5:$S$29,$A1329)-(S1329-R1329))))</f>
        <v/>
      </c>
      <c r="U1329" s="48">
        <f>Q1329-T1329</f>
        <v/>
      </c>
      <c r="V1329" s="48">
        <f>S1329-R1329+T1329</f>
        <v/>
      </c>
    </row>
  </sheetData>
  <sheetProtection selectLockedCells="0" selectUnlockedCells="0" sheet="1" objects="0" insertRows="1" insertHyperlinks="1" autoFilter="0" scenarios="0" formatColumns="0" deleteColumns="1" insertColumns="1" pivotTables="1" deleteRows="1" formatCells="1" formatRows="1" sort="0"/>
  <autoFilter ref="A4:V1329"/>
  <conditionalFormatting sqref="A5:V1329">
    <cfRule type="expression" priority="1" dxfId="14">
      <formula>$F5=0</formula>
    </cfRule>
  </conditionalFormatting>
  <conditionalFormatting sqref="O5:O1329">
    <cfRule type="cellIs" priority="2" operator="greaterThan" dxfId="4">
      <formula>0.00001</formula>
    </cfRule>
  </conditionalFormatting>
  <printOptions horizontalCentered="1"/>
  <pageMargins left="0.4" right="0.4" top="0.5" bottom="0.5" header="0.5" footer="0.5"/>
  <pageSetup orientation="landscape" paperSize="1"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PTO &amp; Sick Leave Ledger</dc:creator>
  <dc:title xmlns:dc="http://purl.org/dc/elements/1.1/">PTO &amp; Sick Leave Ledger</dc:title>
  <dcterms:created xmlns:dcterms="http://purl.org/dc/terms/" xmlns:xsi="http://www.w3.org/2001/XMLSchema-instance" xsi:type="dcterms:W3CDTF">2026-10-11T12:49:29Z</dcterms:created>
  <dcterms:modified xmlns:dcterms="http://purl.org/dc/terms/" xmlns:xsi="http://www.w3.org/2001/XMLSchema-instance" xsi:type="dcterms:W3CDTF">2026-10-11T12:49:30Z</dcterms:modified>
</cp:coreProperties>
</file>