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Forecast" sheetId="2" state="visible" r:id="rId2"/>
    <sheet xmlns:r="http://schemas.openxmlformats.org/officeDocument/2006/relationships" name="Settings" sheetId="3" state="visible" r:id="rId3"/>
    <sheet xmlns:r="http://schemas.openxmlformats.org/officeDocument/2006/relationships" name="Recurring" sheetId="4" state="visible" r:id="rId4"/>
    <sheet xmlns:r="http://schemas.openxmlformats.org/officeDocument/2006/relationships" name="Customers" sheetId="5" state="visible" r:id="rId5"/>
    <sheet xmlns:r="http://schemas.openxmlformats.org/officeDocument/2006/relationships" name="Receivables" sheetId="6" state="visible" r:id="rId6"/>
    <sheet xmlns:r="http://schemas.openxmlformats.org/officeDocument/2006/relationships" name="Payables" sheetId="7" state="visible" r:id="rId7"/>
  </sheets>
  <definedNames>
    <definedName name="W1">Settings!$C$4</definedName>
    <definedName name="OpenBal">Settings!$C$5</definedName>
    <definedName name="Buffer">Settings!$C$6</definedName>
    <definedName name="DefTerms">Settings!$C$7</definedName>
    <definedName name="DefLate">Settings!$C$8</definedName>
    <definedName name="StressDays">Settings!$C$9</definedName>
    <definedName name="CollectPct">Settings!$C$10</definedName>
    <definedName name="OverdueW1">Settings!$C$11</definedName>
    <definedName name="InCats">Settings!$A$15:$A$22</definedName>
    <definedName name="OutCats">Settings!$A$27:$A$38</definedName>
    <definedName name="FreqName">Settings!$E$15:$E$23</definedName>
    <definedName name="FreqDays">Settings!$F$15:$F$23</definedName>
    <definedName name="FreqMonths">Settings!$G$15:$G$23</definedName>
    <definedName name="CustName">Customers!$A$7:$A$46</definedName>
    <definedName name="CustLate">Customers!$B$7:$B$46</definedName>
    <definedName name="_xlnm.Print_Area" localSheetId="0">'Start Here'!$A$1:$B$33</definedName>
    <definedName name="_xlnm.Print_Area" localSheetId="1">'Forecast'!$A$1:$O$68</definedName>
    <definedName name="_xlnm.Print_Area" localSheetId="2">'Settings'!$A$1:$G$40</definedName>
    <definedName name="_xlnm.Print_Area" localSheetId="3">'Recurring'!$A$1:$W$26</definedName>
    <definedName name="_xlnm.Print_Area" localSheetId="4">'Customers'!$A$1:$G$18</definedName>
    <definedName name="_xlnm.Print_Area" localSheetId="5">'Receivables'!$A$1:$Q$31</definedName>
    <definedName name="_xlnm.Print_Area" localSheetId="6">'Payables'!$A$1:$N$26</definedName>
  </definedNames>
  <calcPr calcId="124519" fullCalcOnLoad="1"/>
</workbook>
</file>

<file path=xl/styles.xml><?xml version="1.0" encoding="utf-8"?>
<styleSheet xmlns="http://schemas.openxmlformats.org/spreadsheetml/2006/main">
  <numFmts count="4">
    <numFmt numFmtId="164" formatCode="mmm d, yyyy"/>
    <numFmt numFmtId="165" formatCode="#,##0.00;[Red]-#,##0.00;0.00"/>
    <numFmt numFmtId="166" formatCode="mmm d"/>
    <numFmt numFmtId="167" formatCode="#,##0.00;[Red]-#,##0.00;&quot;&quot;"/>
  </numFmts>
  <fonts count="7">
    <font>
      <name val="Calibri"/>
      <family val="2"/>
      <color theme="1"/>
      <sz val="11"/>
      <scheme val="minor"/>
    </font>
    <font>
      <name val="Arial"/>
      <b val="1"/>
      <color rgb="000F2D33"/>
      <sz val="16"/>
    </font>
    <font>
      <name val="Arial"/>
      <i val="1"/>
      <color rgb="00555555"/>
      <sz val="9"/>
    </font>
    <font>
      <name val="Arial"/>
      <b val="1"/>
      <sz val="10"/>
    </font>
    <font>
      <name val="Arial"/>
      <b val="1"/>
      <color rgb="001F4E5F"/>
      <sz val="11"/>
    </font>
    <font>
      <name val="Arial"/>
      <sz val="10"/>
    </font>
    <font>
      <name val="Arial"/>
      <b val="1"/>
      <color rgb="00FFFFFF"/>
      <sz val="10"/>
    </font>
  </fonts>
  <fills count="7">
    <fill>
      <patternFill/>
    </fill>
    <fill>
      <patternFill patternType="gray125"/>
    </fill>
    <fill>
      <patternFill patternType="solid">
        <fgColor rgb="001F4E5F"/>
      </patternFill>
    </fill>
    <fill>
      <patternFill patternType="solid">
        <fgColor rgb="00FFF4CC"/>
      </patternFill>
    </fill>
    <fill>
      <patternFill patternType="solid">
        <fgColor rgb="00EEF2F1"/>
      </patternFill>
    </fill>
    <fill>
      <patternFill patternType="solid">
        <fgColor rgb="00D9E6E3"/>
      </patternFill>
    </fill>
    <fill>
      <patternFill patternType="solid">
        <fgColor rgb="00CFE0DC"/>
      </patternFill>
    </fill>
  </fills>
  <borders count="6">
    <border>
      <left/>
      <right/>
      <top/>
      <bottom/>
      <diagonal/>
    </border>
    <border>
      <left style="thin">
        <color rgb="00C9D3D1"/>
      </left>
      <right style="thin">
        <color rgb="00C9D3D1"/>
      </right>
      <top style="thin">
        <color rgb="00C9D3D1"/>
      </top>
      <bottom style="thin">
        <color rgb="00C9D3D1"/>
      </bottom>
    </border>
    <border>
      <left/>
      <right/>
      <top style="thin">
        <color rgb="00C9D3D1"/>
      </top>
      <bottom/>
      <diagonal/>
    </border>
    <border>
      <left/>
      <right style="thin">
        <color rgb="00C9D3D1"/>
      </right>
      <top style="thin">
        <color rgb="00C9D3D1"/>
      </top>
      <bottom/>
      <diagonal/>
    </border>
    <border>
      <left/>
      <right style="thin">
        <color rgb="00C9D3D1"/>
      </right>
      <top style="thin">
        <color rgb="00C9D3D1"/>
      </top>
      <bottom style="thin">
        <color rgb="00C9D3D1"/>
      </bottom>
      <diagonal/>
    </border>
    <border>
      <left/>
      <right/>
      <top style="thin">
        <color rgb="00C9D3D1"/>
      </top>
      <bottom style="thin">
        <color rgb="00C9D3D1"/>
      </bottom>
      <diagonal/>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3" fillId="0" borderId="1" pivotButton="0" quotePrefix="0" xfId="0"/>
    <xf numFmtId="164" fontId="3" fillId="4" borderId="1" pivotButton="0" quotePrefix="0" xfId="0"/>
    <xf numFmtId="0" fontId="0" fillId="0" borderId="4" pivotButton="0" quotePrefix="0" xfId="0"/>
    <xf numFmtId="0" fontId="3" fillId="0" borderId="0" pivotButton="0" quotePrefix="0" xfId="0"/>
    <xf numFmtId="165" fontId="3" fillId="4" borderId="1" pivotButton="0" quotePrefix="0" xfId="0"/>
    <xf numFmtId="0" fontId="5" fillId="4" borderId="1" pivotButton="0" quotePrefix="0" xfId="0"/>
    <xf numFmtId="0" fontId="0" fillId="0" borderId="5" pivotButton="0" quotePrefix="0" xfId="0"/>
    <xf numFmtId="1" fontId="3" fillId="4" borderId="1" pivotButton="0" quotePrefix="0" xfId="0"/>
    <xf numFmtId="166" fontId="5" fillId="4" borderId="1" pivotButton="0" quotePrefix="0" xfId="0"/>
    <xf numFmtId="0" fontId="6" fillId="2" borderId="1" pivotButton="0" quotePrefix="0" xfId="0"/>
    <xf numFmtId="0" fontId="6" fillId="2" borderId="1" applyAlignment="1" pivotButton="0" quotePrefix="0" xfId="0">
      <alignment horizontal="center" vertical="center" wrapText="1"/>
    </xf>
    <xf numFmtId="166" fontId="3" fillId="4" borderId="1" applyAlignment="1" pivotButton="0" quotePrefix="0" xfId="0">
      <alignment horizontal="center" vertical="center" wrapText="1"/>
    </xf>
    <xf numFmtId="165" fontId="5" fillId="4" borderId="1" pivotButton="0" quotePrefix="0" xfId="0"/>
    <xf numFmtId="0" fontId="3" fillId="5" borderId="0" pivotButton="0" quotePrefix="0" xfId="0"/>
    <xf numFmtId="0" fontId="0" fillId="5" borderId="0" pivotButton="0" quotePrefix="0" xfId="0"/>
    <xf numFmtId="0" fontId="5" fillId="0" borderId="1" pivotButton="0" quotePrefix="0" xfId="0"/>
    <xf numFmtId="167" fontId="5" fillId="4" borderId="1" pivotButton="0" quotePrefix="0" xfId="0"/>
    <xf numFmtId="165" fontId="3" fillId="6" borderId="1" pivotButton="0" quotePrefix="0" xfId="0"/>
    <xf numFmtId="0" fontId="3" fillId="4" borderId="1" applyAlignment="1" pivotButton="0" quotePrefix="0" xfId="0">
      <alignment horizontal="center" vertical="center" wrapText="1"/>
    </xf>
    <xf numFmtId="164" fontId="5" fillId="3" borderId="1" applyProtection="1" pivotButton="0" quotePrefix="0" xfId="0">
      <protection locked="0" hidden="0"/>
    </xf>
    <xf numFmtId="165" fontId="5" fillId="3" borderId="1" applyProtection="1" pivotButton="0" quotePrefix="0" xfId="0">
      <protection locked="0" hidden="0"/>
    </xf>
    <xf numFmtId="1" fontId="5" fillId="3" borderId="1" applyProtection="1" pivotButton="0" quotePrefix="0" xfId="0">
      <protection locked="0" hidden="0"/>
    </xf>
    <xf numFmtId="9" fontId="5" fillId="3" borderId="1" applyProtection="1" pivotButton="0" quotePrefix="0" xfId="0">
      <protection locked="0" hidden="0"/>
    </xf>
    <xf numFmtId="9" fontId="3" fillId="4" borderId="1" pivotButton="0" quotePrefix="0" xfId="0"/>
    <xf numFmtId="0" fontId="5" fillId="3" borderId="1" applyProtection="1" pivotButton="0" quotePrefix="0" xfId="0">
      <protection locked="0" hidden="0"/>
    </xf>
    <xf numFmtId="0" fontId="3" fillId="4" borderId="1" pivotButton="0" quotePrefix="0" xfId="0"/>
    <xf numFmtId="0" fontId="0" fillId="0" borderId="1" pivotButton="0" quotePrefix="0" xfId="0"/>
    <xf numFmtId="164" fontId="5" fillId="4" borderId="1" pivotButton="0" quotePrefix="0" xfId="0"/>
    <xf numFmtId="0" fontId="2" fillId="0" borderId="0" applyAlignment="1" pivotButton="0" quotePrefix="0" xfId="0">
      <alignment horizontal="right"/>
    </xf>
    <xf numFmtId="167" fontId="5" fillId="3" borderId="1" applyProtection="1" pivotButton="0" quotePrefix="0" xfId="0">
      <protection locked="0" hidden="0"/>
    </xf>
    <xf numFmtId="1" fontId="5" fillId="4" borderId="1" pivotButton="0" quotePrefix="0" xfId="0"/>
    <xf numFmtId="167" fontId="3" fillId="4" borderId="1" pivotButton="0" quotePrefix="0" xfId="0"/>
  </cellXfs>
  <cellStyles count="1">
    <cellStyle name="Normal" xfId="0" builtinId="0" hidden="0"/>
  </cellStyles>
  <dxfs count="4">
    <dxf>
      <fill>
        <patternFill patternType="solid">
          <fgColor rgb="00F4B9A6"/>
        </patternFill>
      </fill>
    </dxf>
    <dxf>
      <fill>
        <patternFill patternType="solid">
          <fgColor rgb="00FCE1B8"/>
        </patternFill>
      </fill>
    </dxf>
    <dxf>
      <fill>
        <patternFill patternType="solid">
          <fgColor rgb="00F8D2C4"/>
        </patternFill>
      </fill>
    </dxf>
    <dxf>
      <fill>
        <patternFill patternType="solid">
          <fgColor rgb="00FCE6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Closing balance vs minimum buffer</a:t>
            </a:r>
          </a:p>
        </rich>
      </tx>
    </title>
    <plotArea>
      <lineChart>
        <grouping val="standard"/>
        <ser>
          <idx val="0"/>
          <order val="0"/>
          <tx>
            <strRef>
              <f>'Forecast'!A45</f>
            </strRef>
          </tx>
          <spPr>
            <a:ln xmlns:a="http://schemas.openxmlformats.org/drawingml/2006/main" w="32000">
              <a:solidFill>
                <a:srgbClr val="1F4E5F"/>
              </a:solidFill>
              <a:prstDash val="solid"/>
            </a:ln>
          </spPr>
          <marker>
            <symbol val="none"/>
            <spPr>
              <a:ln xmlns:a="http://schemas.openxmlformats.org/drawingml/2006/main">
                <a:prstDash val="solid"/>
              </a:ln>
            </spPr>
          </marker>
          <cat>
            <numRef>
              <f>'Forecast'!$B$16:$N$16</f>
            </numRef>
          </cat>
          <val>
            <numRef>
              <f>'Forecast'!$B$45:$N$45</f>
            </numRef>
          </val>
          <smooth val="0"/>
        </ser>
        <ser>
          <idx val="1"/>
          <order val="1"/>
          <tx>
            <strRef>
              <f>'Forecast'!A46</f>
            </strRef>
          </tx>
          <spPr>
            <a:ln xmlns:a="http://schemas.openxmlformats.org/drawingml/2006/main">
              <a:solidFill>
                <a:srgbClr val="E07A2F"/>
              </a:solidFill>
              <a:prstDash val="dash"/>
            </a:ln>
          </spPr>
          <marker>
            <symbol val="none"/>
            <spPr>
              <a:ln xmlns:a="http://schemas.openxmlformats.org/drawingml/2006/main">
                <a:prstDash val="solid"/>
              </a:ln>
            </spPr>
          </marker>
          <cat>
            <numRef>
              <f>'Forecast'!$B$16:$N$16</f>
            </numRef>
          </cat>
          <val>
            <numRef>
              <f>'Forecast'!$B$46:$N$46</f>
            </numRef>
          </val>
          <smooth val="0"/>
        </ser>
        <axId val="10"/>
        <axId val="100"/>
      </lineChart>
      <catAx>
        <axId val="10"/>
        <scaling>
          <orientation val="minMax"/>
        </scaling>
        <delete val="0"/>
        <axPos val="l"/>
        <title>
          <tx>
            <rich>
              <a:bodyPr xmlns:a="http://schemas.openxmlformats.org/drawingml/2006/main"/>
              <a:p xmlns:a="http://schemas.openxmlformats.org/drawingml/2006/main">
                <a:pPr>
                  <a:defRPr/>
                </a:pPr>
                <a:r>
                  <a:t>Week starting</a:t>
                </a:r>
              </a:p>
            </rich>
          </tx>
        </title>
        <numFmt formatCode="mmm d" sourceLinked="0"/>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51</row>
      <rowOff>0</rowOff>
    </from>
    <ext cx="118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31"/>
  <sheetViews>
    <sheetView showGridLines="0" workbookViewId="0">
      <selection activeCell="A1" sqref="A1"/>
    </sheetView>
  </sheetViews>
  <sheetFormatPr baseColWidth="8" defaultRowHeight="15"/>
  <cols>
    <col width="4" customWidth="1" min="1" max="1"/>
    <col width="110" customWidth="1" min="2" max="2"/>
  </cols>
  <sheetData>
    <row r="1" ht="24" customHeight="1">
      <c r="A1" s="1" t="inlineStr">
        <is>
          <t>13-Week Cash Flow Forecast</t>
        </is>
      </c>
    </row>
    <row r="2">
      <c r="A2" s="2" t="inlineStr">
        <is>
          <t>Tidewick · free spreadsheet template · License: free for personal or business use; don't resell or re-host.</t>
        </is>
      </c>
    </row>
    <row r="4">
      <c r="B4" s="3" t="inlineStr">
        <is>
          <t>What it does</t>
        </is>
      </c>
    </row>
    <row r="5" ht="45" customHeight="1">
      <c r="B5" s="4" t="inlineStr">
        <is>
          <t>List each invoice, bill and recurring payment once, with its date. The Forecast sheet drops every amount into the week the cash really moves, carries each week's closing balance into the next, and warns you about any week that dips below your minimum cash buffer.</t>
        </is>
      </c>
    </row>
    <row r="6" ht="30" customHeight="1">
      <c r="B6" s="4" t="inlineStr">
        <is>
          <t>Yellow cells are for typing. Grey cells calculate; the sheets are protected (no password) so formulas aren't overwritten by accident.</t>
        </is>
      </c>
    </row>
    <row r="7">
      <c r="B7" s="4" t="inlineStr"/>
    </row>
    <row r="8">
      <c r="B8" s="3" t="inlineStr">
        <is>
          <t>Set up once (10 minutes)</t>
        </is>
      </c>
    </row>
    <row r="9" ht="30" customHeight="1">
      <c r="B9" s="4" t="inlineStr">
        <is>
          <t>1. Settings: type the Monday that Week 1 starts (or leave it blank to use the Monday of the current week), today's bank balance and the minimum cash you never want to drop below.</t>
        </is>
      </c>
    </row>
    <row r="10" ht="15" customHeight="1">
      <c r="B10" s="4" t="inlineStr">
        <is>
          <t>2. Settings: keep or rename the money-in and money-out categories. They become the rows of the Forecast.</t>
        </is>
      </c>
    </row>
    <row r="11" ht="45" customHeight="1">
      <c r="B11" s="4" t="inlineStr">
        <is>
          <t>3. Recurring: payroll, rent, loan payments, retainers, weekly sales. Pick a frequency (weekly, every 2 or 4 weeks, monthly, quarterly, twice a year, yearly or once) and the first date. Monthly items keep their day of the month; the 31st becomes the last day in shorter months.</t>
        </is>
      </c>
    </row>
    <row r="12" ht="30" customHeight="1">
      <c r="B12" s="4" t="inlineStr">
        <is>
          <t>4. Customers: how many days late each customer usually pays (negative if they pay early). Invoices for that customer move by that many days automatically.</t>
        </is>
      </c>
    </row>
    <row r="13" ht="30" customHeight="1">
      <c r="B13" s="4" t="inlineStr">
        <is>
          <t>5. Receivables: each open invoice with its invoice date and terms (or a promised date). Payables: each bill with its due date (or the date you plan to pay).</t>
        </is>
      </c>
    </row>
    <row r="14" ht="15" customHeight="1">
      <c r="B14" s="4" t="inlineStr">
        <is>
          <t>6. Read the Forecast sheet: lowest balance, first week below the buffer, and the weekly grid with a chart.</t>
        </is>
      </c>
    </row>
    <row r="15">
      <c r="B15" s="4" t="inlineStr"/>
    </row>
    <row r="16">
      <c r="B16" s="3" t="inlineStr">
        <is>
          <t>Every week (15 minutes)</t>
        </is>
      </c>
    </row>
    <row r="17" ht="45" customHeight="1">
      <c r="B17" s="4" t="inlineStr">
        <is>
          <t>Change the Week 1 date to the new Monday and type the new bank balance. Enter what was paid or received in the 'Received so far' / 'Paid so far' columns, add new invoices and bills, and check the Status column. Nothing needs to be shifted by hand: items whose date has passed drop out (recurring) or move into Week 1 as overdue (invoices and bills).</t>
        </is>
      </c>
    </row>
    <row r="18">
      <c r="B18" s="4" t="inlineStr"/>
    </row>
    <row r="19">
      <c r="B19" s="3" t="inlineStr">
        <is>
          <t>Stress test</t>
        </is>
      </c>
    </row>
    <row r="20" ht="30" customHeight="1">
      <c r="B20" s="4" t="inlineStr">
        <is>
          <t>On Settings, try 'extra days late' (for example 14) and 'share of open invoices you expect to collect' (for example 80%). The Forecast shows whether you still stay above the buffer. Set them back to 0 and 100% for your normal view.</t>
        </is>
      </c>
    </row>
    <row r="21">
      <c r="B21" s="4" t="inlineStr"/>
    </row>
    <row r="22">
      <c r="B22" s="3" t="inlineStr">
        <is>
          <t>Status words</t>
        </is>
      </c>
    </row>
    <row r="23" ht="45" customHeight="1">
      <c r="B23" s="4" t="inlineStr">
        <is>
          <t>Week n: counted in that week. Overdue → Week 1: the expected date has passed but it's still open, so it's counted in Week 1 (switch this off on Settings). After Week 13: open, but outside this window. Paid: fully received or paid. Doubtful / On hold: left out on purpose. Not counted: something needs fixing; the Check column says what.</t>
        </is>
      </c>
    </row>
    <row r="24">
      <c r="B24" s="4" t="inlineStr"/>
    </row>
    <row r="25">
      <c r="B25" s="3" t="inlineStr">
        <is>
          <t>Limits and honest notes</t>
        </is>
      </c>
    </row>
    <row r="26" ht="60" customHeight="1">
      <c r="B26" s="4" t="inlineStr">
        <is>
          <t>60 recurring items, 40 customers, 300 invoices and 300 bills per file. Amounts are in one currency (no symbol is assumed). Weekends and bank holidays aren't shifted. Avoid starting category or customer names with &lt; &gt; = and avoid * ? ~ in them (they act as wildcards in lookups). Tested in LibreOffice Calc; not yet tested in Microsoft Excel, Google Sheets or Apple Numbers. This is a planning tool, not accounting or financial advice.</t>
        </is>
      </c>
    </row>
    <row r="27">
      <c r="B27" s="4" t="inlineStr"/>
    </row>
    <row r="28">
      <c r="B28" s="3" t="inlineStr">
        <is>
          <t>Example rows</t>
        </is>
      </c>
    </row>
    <row r="29" ht="30" customHeight="1">
      <c r="B29" s="4" t="inlineStr">
        <is>
          <t>The example business, customers and amounts are fictional. Delete the yellow example rows (select the yellow cells and press Delete) or download the blank copy, which has the same formulas and categories with no rows filled in.</t>
        </is>
      </c>
    </row>
    <row r="30">
      <c r="B30" s="4" t="inlineStr"/>
    </row>
    <row r="31">
      <c r="B31" s="3" t="inlineStr">
        <is>
          <t>License: free for personal or business use; don't resell or re-host. Sharing a link to the Tidewick page is fine. Made by the Tidewick studio (tidewick.pages.dev).</t>
        </is>
      </c>
    </row>
  </sheetData>
  <sheetProtection selectLockedCells="0" selectUnlockedCells="0" sheet="1" objects="0" insertRows="1" insertHyperlinks="1" autoFilter="1" scenarios="0" formatColumns="0" deleteColumns="1" insertColumns="1" pivotTables="1" deleteRows="1" formatCells="1" formatRows="0" sort="1"/>
  <printOptions horizontalCentered="1"/>
  <pageMargins left="0.4" right="0.4"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16" topLeftCell="B17" activePane="bottomRight" state="frozen"/>
      <selection pane="topRight"/>
      <selection pane="bottomLeft"/>
      <selection pane="bottomRight" activeCell="A1" sqref="A1"/>
    </sheetView>
  </sheetViews>
  <sheetFormatPr baseColWidth="8" defaultRowHeight="15"/>
  <cols>
    <col width="3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3" customWidth="1" min="15" max="15"/>
  </cols>
  <sheetData>
    <row r="1" ht="24" customHeight="1">
      <c r="A1" s="1" t="inlineStr">
        <is>
          <t>13-week cash forecast</t>
        </is>
      </c>
    </row>
    <row r="2">
      <c r="A2" s="2" t="inlineStr">
        <is>
          <t>Every amount comes from Recurring, Receivables and Payables. Change the Week 1 date and bank balance on Settings each week to roll it forward.</t>
        </is>
      </c>
    </row>
    <row r="4">
      <c r="A4" s="5" t="inlineStr">
        <is>
          <t>Week 1 starts</t>
        </is>
      </c>
      <c r="B4" s="6">
        <f>W1</f>
        <v/>
      </c>
      <c r="D4" s="5" t="inlineStr">
        <is>
          <t>Week 13 ends</t>
        </is>
      </c>
      <c r="H4" s="6">
        <f>W1+90</f>
        <v/>
      </c>
      <c r="I4" s="7" t="n"/>
      <c r="J4" s="8" t="inlineStr">
        <is>
          <t>Stress test in use</t>
        </is>
      </c>
    </row>
    <row r="5">
      <c r="A5" s="5" t="inlineStr">
        <is>
          <t>Opening bank balance</t>
        </is>
      </c>
      <c r="B5" s="9">
        <f>OpenBal</f>
        <v/>
      </c>
      <c r="D5" s="5" t="inlineStr">
        <is>
          <t>Closing balance, Week 13</t>
        </is>
      </c>
      <c r="H5" s="9">
        <f>N45</f>
        <v/>
      </c>
      <c r="I5" s="7" t="n"/>
      <c r="J5" s="10">
        <f>IF(OR(StressDays&lt;&gt;0,CollectPct&lt;1),"Yes: "&amp;IF(StressDays&gt;=0,"+","")&amp;StressDays&amp;" days late, "&amp;ROUND(CollectPct*100,0)&amp;"% collected","No (normal view)")</f>
        <v/>
      </c>
      <c r="K5" s="11" t="n"/>
      <c r="L5" s="11" t="n"/>
      <c r="M5" s="11" t="n"/>
      <c r="N5" s="11" t="n"/>
      <c r="O5" s="7" t="n"/>
    </row>
    <row r="6">
      <c r="A6" s="5" t="inlineStr">
        <is>
          <t>Minimum cash buffer</t>
        </is>
      </c>
      <c r="B6" s="9">
        <f>Buffer</f>
        <v/>
      </c>
      <c r="D6" s="5" t="inlineStr">
        <is>
          <t>Cash in, 13 weeks</t>
        </is>
      </c>
      <c r="H6" s="9">
        <f>O28</f>
        <v/>
      </c>
      <c r="I6" s="7" t="n"/>
    </row>
    <row r="7">
      <c r="A7" s="5" t="inlineStr">
        <is>
          <t>Lowest closing balance</t>
        </is>
      </c>
      <c r="B7" s="9">
        <f>MIN(B45:N45)</f>
        <v/>
      </c>
      <c r="D7" s="5" t="inlineStr">
        <is>
          <t>Cash out, 13 weeks</t>
        </is>
      </c>
      <c r="H7" s="9">
        <f>O43</f>
        <v/>
      </c>
      <c r="I7" s="7" t="n"/>
    </row>
    <row r="8">
      <c r="A8" s="5" t="inlineStr">
        <is>
          <t>Lowest balance is in week</t>
        </is>
      </c>
      <c r="B8" s="12">
        <f>MATCH(B7,B45:N45,0)</f>
        <v/>
      </c>
      <c r="C8" s="13">
        <f>W1+7*(B8-1)</f>
        <v/>
      </c>
      <c r="D8" s="5" t="inlineStr">
        <is>
          <t>Overdue invoices counted in Week 1 (open)</t>
        </is>
      </c>
      <c r="H8" s="9">
        <f>SUMIFS(Receivables!$M$7:$M$306,Receivables!$P$7:$P$306,"Overdue → Week 1")</f>
        <v/>
      </c>
      <c r="I8" s="7" t="n"/>
    </row>
    <row r="9">
      <c r="A9" s="5" t="inlineStr">
        <is>
          <t>First week below the buffer</t>
        </is>
      </c>
      <c r="B9" s="12">
        <f>IF(MIN(B49:N49)&gt;13,"None",MIN(B49:N49))</f>
        <v/>
      </c>
      <c r="C9" s="13">
        <f>IF(ISNUMBER(B9),W1+7*(B9-1),"")</f>
        <v/>
      </c>
      <c r="D9" s="5" t="inlineStr">
        <is>
          <t>Overdue bills counted in Week 1 (open)</t>
        </is>
      </c>
      <c r="H9" s="9">
        <f>SUMIFS(Payables!$J$7:$J$306,Payables!$M$7:$M$306,"Overdue → Week 1")</f>
        <v/>
      </c>
      <c r="I9" s="7" t="n"/>
    </row>
    <row r="10">
      <c r="A10" s="5" t="inlineStr">
        <is>
          <t>First week below zero</t>
        </is>
      </c>
      <c r="B10" s="12">
        <f>IF(MIN(B50:N50)&gt;13,"None",MIN(B50:N50))</f>
        <v/>
      </c>
      <c r="C10" s="13">
        <f>IF(ISNUMBER(B10),W1+7*(B10-1),"")</f>
        <v/>
      </c>
      <c r="D10" s="5" t="inlineStr">
        <is>
          <t>Invoices due after Week 13 (open)</t>
        </is>
      </c>
      <c r="H10" s="9">
        <f>SUMIFS(Receivables!$M$7:$M$306,Receivables!$P$7:$P$306,"After Week 13")</f>
        <v/>
      </c>
      <c r="I10" s="7" t="n"/>
    </row>
    <row r="11">
      <c r="A11" s="5" t="inlineStr">
        <is>
          <t>Weeks below the buffer</t>
        </is>
      </c>
      <c r="B11" s="12">
        <f>COUNTIF(B49:N49,"&lt;99")</f>
        <v/>
      </c>
      <c r="D11" s="5" t="inlineStr">
        <is>
          <t>Bills due after Week 13 (open)</t>
        </is>
      </c>
      <c r="H11" s="9">
        <f>SUMIFS(Payables!$J$7:$J$306,Payables!$M$7:$M$306,"After Week 13")</f>
        <v/>
      </c>
      <c r="I11" s="7" t="n"/>
    </row>
    <row r="12">
      <c r="A12" s="5" t="inlineStr">
        <is>
          <t>Rows to fix (not counted)</t>
        </is>
      </c>
      <c r="B12" s="12">
        <f>COUNTIF(Recurring!$X$7:$X$66,0)+COUNTIF(Receivables!$R$7:$R$306,0)+COUNTIF(Payables!$O$7:$O$306,0)</f>
        <v/>
      </c>
      <c r="D12" s="5" t="inlineStr">
        <is>
          <t>Left out: doubtful invoices + bills on hold</t>
        </is>
      </c>
      <c r="H12" s="9">
        <f>SUMIFS(Receivables!$M$7:$M$306,Receivables!$P$7:$P$306,"Doubtful (left out)")+SUMIFS(Payables!$J$7:$J$306,Payables!$M$7:$M$306,"On hold (left out)")</f>
        <v/>
      </c>
      <c r="I12" s="7" t="n"/>
    </row>
    <row r="15">
      <c r="A15" s="14" t="inlineStr">
        <is>
          <t>Week</t>
        </is>
      </c>
      <c r="B15" s="15" t="n">
        <v>1</v>
      </c>
      <c r="C15" s="15" t="n">
        <v>2</v>
      </c>
      <c r="D15" s="15" t="n">
        <v>3</v>
      </c>
      <c r="E15" s="15" t="n">
        <v>4</v>
      </c>
      <c r="F15" s="15" t="n">
        <v>5</v>
      </c>
      <c r="G15" s="15" t="n">
        <v>6</v>
      </c>
      <c r="H15" s="15" t="n">
        <v>7</v>
      </c>
      <c r="I15" s="15" t="n">
        <v>8</v>
      </c>
      <c r="J15" s="15" t="n">
        <v>9</v>
      </c>
      <c r="K15" s="15" t="n">
        <v>10</v>
      </c>
      <c r="L15" s="15" t="n">
        <v>11</v>
      </c>
      <c r="M15" s="15" t="n">
        <v>12</v>
      </c>
      <c r="N15" s="15" t="n">
        <v>13</v>
      </c>
      <c r="O15" s="15" t="inlineStr">
        <is>
          <t>13 weeks</t>
        </is>
      </c>
    </row>
    <row r="16">
      <c r="A16" s="8" t="inlineStr">
        <is>
          <t>Week starts</t>
        </is>
      </c>
      <c r="B16" s="16">
        <f>W1+0</f>
        <v/>
      </c>
      <c r="C16" s="16">
        <f>W1+7</f>
        <v/>
      </c>
      <c r="D16" s="16">
        <f>W1+14</f>
        <v/>
      </c>
      <c r="E16" s="16">
        <f>W1+21</f>
        <v/>
      </c>
      <c r="F16" s="16">
        <f>W1+28</f>
        <v/>
      </c>
      <c r="G16" s="16">
        <f>W1+35</f>
        <v/>
      </c>
      <c r="H16" s="16">
        <f>W1+42</f>
        <v/>
      </c>
      <c r="I16" s="16">
        <f>W1+49</f>
        <v/>
      </c>
      <c r="J16" s="16">
        <f>W1+56</f>
        <v/>
      </c>
      <c r="K16" s="16">
        <f>W1+63</f>
        <v/>
      </c>
      <c r="L16" s="16">
        <f>W1+70</f>
        <v/>
      </c>
      <c r="M16" s="16">
        <f>W1+77</f>
        <v/>
      </c>
      <c r="N16" s="16">
        <f>W1+84</f>
        <v/>
      </c>
    </row>
    <row r="17">
      <c r="A17" s="8" t="inlineStr">
        <is>
          <t>Opening balance</t>
        </is>
      </c>
      <c r="B17" s="17">
        <f>OpenBal</f>
        <v/>
      </c>
      <c r="C17" s="17">
        <f>B45</f>
        <v/>
      </c>
      <c r="D17" s="17">
        <f>C45</f>
        <v/>
      </c>
      <c r="E17" s="17">
        <f>D45</f>
        <v/>
      </c>
      <c r="F17" s="17">
        <f>E45</f>
        <v/>
      </c>
      <c r="G17" s="17">
        <f>F45</f>
        <v/>
      </c>
      <c r="H17" s="17">
        <f>G45</f>
        <v/>
      </c>
      <c r="I17" s="17">
        <f>H45</f>
        <v/>
      </c>
      <c r="J17" s="17">
        <f>I45</f>
        <v/>
      </c>
      <c r="K17" s="17">
        <f>J45</f>
        <v/>
      </c>
      <c r="L17" s="17">
        <f>K45</f>
        <v/>
      </c>
      <c r="M17" s="17">
        <f>L45</f>
        <v/>
      </c>
      <c r="N17" s="17">
        <f>M45</f>
        <v/>
      </c>
      <c r="O17" s="17">
        <f>B17</f>
        <v/>
      </c>
    </row>
    <row r="18">
      <c r="A18" s="18" t="inlineStr">
        <is>
          <t>CASH IN</t>
        </is>
      </c>
      <c r="B18" s="19" t="n"/>
      <c r="C18" s="19" t="n"/>
      <c r="D18" s="19" t="n"/>
      <c r="E18" s="19" t="n"/>
      <c r="F18" s="19" t="n"/>
      <c r="G18" s="19" t="n"/>
      <c r="H18" s="19" t="n"/>
      <c r="I18" s="19" t="n"/>
      <c r="J18" s="19" t="n"/>
      <c r="K18" s="19" t="n"/>
      <c r="L18" s="19" t="n"/>
      <c r="M18" s="19" t="n"/>
      <c r="N18" s="19" t="n"/>
      <c r="O18" s="19" t="n"/>
    </row>
    <row r="19">
      <c r="A19" s="20">
        <f>IF(Settings!A15="","",Settings!A15)</f>
        <v/>
      </c>
      <c r="B19" s="21">
        <f>IF($A19="",0,SUMIFS(Recurring!$K$7:$K$66,Recurring!$B$7:$B$66,"In",Recurring!$C$7:$C$66,$A19)+SUMIFS(Receivables!$O$7:$O$306,Receivables!$N$7:$N$306,1,Receivables!$C$7:$C$306,$A19))</f>
        <v/>
      </c>
      <c r="C19" s="21">
        <f>IF($A19="",0,SUMIFS(Recurring!$L$7:$L$66,Recurring!$B$7:$B$66,"In",Recurring!$C$7:$C$66,$A19)+SUMIFS(Receivables!$O$7:$O$306,Receivables!$N$7:$N$306,2,Receivables!$C$7:$C$306,$A19))</f>
        <v/>
      </c>
      <c r="D19" s="21">
        <f>IF($A19="",0,SUMIFS(Recurring!$M$7:$M$66,Recurring!$B$7:$B$66,"In",Recurring!$C$7:$C$66,$A19)+SUMIFS(Receivables!$O$7:$O$306,Receivables!$N$7:$N$306,3,Receivables!$C$7:$C$306,$A19))</f>
        <v/>
      </c>
      <c r="E19" s="21">
        <f>IF($A19="",0,SUMIFS(Recurring!$N$7:$N$66,Recurring!$B$7:$B$66,"In",Recurring!$C$7:$C$66,$A19)+SUMIFS(Receivables!$O$7:$O$306,Receivables!$N$7:$N$306,4,Receivables!$C$7:$C$306,$A19))</f>
        <v/>
      </c>
      <c r="F19" s="21">
        <f>IF($A19="",0,SUMIFS(Recurring!$O$7:$O$66,Recurring!$B$7:$B$66,"In",Recurring!$C$7:$C$66,$A19)+SUMIFS(Receivables!$O$7:$O$306,Receivables!$N$7:$N$306,5,Receivables!$C$7:$C$306,$A19))</f>
        <v/>
      </c>
      <c r="G19" s="21">
        <f>IF($A19="",0,SUMIFS(Recurring!$P$7:$P$66,Recurring!$B$7:$B$66,"In",Recurring!$C$7:$C$66,$A19)+SUMIFS(Receivables!$O$7:$O$306,Receivables!$N$7:$N$306,6,Receivables!$C$7:$C$306,$A19))</f>
        <v/>
      </c>
      <c r="H19" s="21">
        <f>IF($A19="",0,SUMIFS(Recurring!$Q$7:$Q$66,Recurring!$B$7:$B$66,"In",Recurring!$C$7:$C$66,$A19)+SUMIFS(Receivables!$O$7:$O$306,Receivables!$N$7:$N$306,7,Receivables!$C$7:$C$306,$A19))</f>
        <v/>
      </c>
      <c r="I19" s="21">
        <f>IF($A19="",0,SUMIFS(Recurring!$R$7:$R$66,Recurring!$B$7:$B$66,"In",Recurring!$C$7:$C$66,$A19)+SUMIFS(Receivables!$O$7:$O$306,Receivables!$N$7:$N$306,8,Receivables!$C$7:$C$306,$A19))</f>
        <v/>
      </c>
      <c r="J19" s="21">
        <f>IF($A19="",0,SUMIFS(Recurring!$S$7:$S$66,Recurring!$B$7:$B$66,"In",Recurring!$C$7:$C$66,$A19)+SUMIFS(Receivables!$O$7:$O$306,Receivables!$N$7:$N$306,9,Receivables!$C$7:$C$306,$A19))</f>
        <v/>
      </c>
      <c r="K19" s="21">
        <f>IF($A19="",0,SUMIFS(Recurring!$T$7:$T$66,Recurring!$B$7:$B$66,"In",Recurring!$C$7:$C$66,$A19)+SUMIFS(Receivables!$O$7:$O$306,Receivables!$N$7:$N$306,10,Receivables!$C$7:$C$306,$A19))</f>
        <v/>
      </c>
      <c r="L19" s="21">
        <f>IF($A19="",0,SUMIFS(Recurring!$U$7:$U$66,Recurring!$B$7:$B$66,"In",Recurring!$C$7:$C$66,$A19)+SUMIFS(Receivables!$O$7:$O$306,Receivables!$N$7:$N$306,11,Receivables!$C$7:$C$306,$A19))</f>
        <v/>
      </c>
      <c r="M19" s="21">
        <f>IF($A19="",0,SUMIFS(Recurring!$V$7:$V$66,Recurring!$B$7:$B$66,"In",Recurring!$C$7:$C$66,$A19)+SUMIFS(Receivables!$O$7:$O$306,Receivables!$N$7:$N$306,12,Receivables!$C$7:$C$306,$A19))</f>
        <v/>
      </c>
      <c r="N19" s="21">
        <f>IF($A19="",0,SUMIFS(Recurring!$W$7:$W$66,Recurring!$B$7:$B$66,"In",Recurring!$C$7:$C$66,$A19)+SUMIFS(Receivables!$O$7:$O$306,Receivables!$N$7:$N$306,13,Receivables!$C$7:$C$306,$A19))</f>
        <v/>
      </c>
      <c r="O19" s="21">
        <f>SUM(B19:N19)</f>
        <v/>
      </c>
    </row>
    <row r="20">
      <c r="A20" s="20">
        <f>IF(Settings!A16="","",Settings!A16)</f>
        <v/>
      </c>
      <c r="B20" s="21">
        <f>IF($A20="",0,SUMIFS(Recurring!$K$7:$K$66,Recurring!$B$7:$B$66,"In",Recurring!$C$7:$C$66,$A20)+SUMIFS(Receivables!$O$7:$O$306,Receivables!$N$7:$N$306,1,Receivables!$C$7:$C$306,$A20))</f>
        <v/>
      </c>
      <c r="C20" s="21">
        <f>IF($A20="",0,SUMIFS(Recurring!$L$7:$L$66,Recurring!$B$7:$B$66,"In",Recurring!$C$7:$C$66,$A20)+SUMIFS(Receivables!$O$7:$O$306,Receivables!$N$7:$N$306,2,Receivables!$C$7:$C$306,$A20))</f>
        <v/>
      </c>
      <c r="D20" s="21">
        <f>IF($A20="",0,SUMIFS(Recurring!$M$7:$M$66,Recurring!$B$7:$B$66,"In",Recurring!$C$7:$C$66,$A20)+SUMIFS(Receivables!$O$7:$O$306,Receivables!$N$7:$N$306,3,Receivables!$C$7:$C$306,$A20))</f>
        <v/>
      </c>
      <c r="E20" s="21">
        <f>IF($A20="",0,SUMIFS(Recurring!$N$7:$N$66,Recurring!$B$7:$B$66,"In",Recurring!$C$7:$C$66,$A20)+SUMIFS(Receivables!$O$7:$O$306,Receivables!$N$7:$N$306,4,Receivables!$C$7:$C$306,$A20))</f>
        <v/>
      </c>
      <c r="F20" s="21">
        <f>IF($A20="",0,SUMIFS(Recurring!$O$7:$O$66,Recurring!$B$7:$B$66,"In",Recurring!$C$7:$C$66,$A20)+SUMIFS(Receivables!$O$7:$O$306,Receivables!$N$7:$N$306,5,Receivables!$C$7:$C$306,$A20))</f>
        <v/>
      </c>
      <c r="G20" s="21">
        <f>IF($A20="",0,SUMIFS(Recurring!$P$7:$P$66,Recurring!$B$7:$B$66,"In",Recurring!$C$7:$C$66,$A20)+SUMIFS(Receivables!$O$7:$O$306,Receivables!$N$7:$N$306,6,Receivables!$C$7:$C$306,$A20))</f>
        <v/>
      </c>
      <c r="H20" s="21">
        <f>IF($A20="",0,SUMIFS(Recurring!$Q$7:$Q$66,Recurring!$B$7:$B$66,"In",Recurring!$C$7:$C$66,$A20)+SUMIFS(Receivables!$O$7:$O$306,Receivables!$N$7:$N$306,7,Receivables!$C$7:$C$306,$A20))</f>
        <v/>
      </c>
      <c r="I20" s="21">
        <f>IF($A20="",0,SUMIFS(Recurring!$R$7:$R$66,Recurring!$B$7:$B$66,"In",Recurring!$C$7:$C$66,$A20)+SUMIFS(Receivables!$O$7:$O$306,Receivables!$N$7:$N$306,8,Receivables!$C$7:$C$306,$A20))</f>
        <v/>
      </c>
      <c r="J20" s="21">
        <f>IF($A20="",0,SUMIFS(Recurring!$S$7:$S$66,Recurring!$B$7:$B$66,"In",Recurring!$C$7:$C$66,$A20)+SUMIFS(Receivables!$O$7:$O$306,Receivables!$N$7:$N$306,9,Receivables!$C$7:$C$306,$A20))</f>
        <v/>
      </c>
      <c r="K20" s="21">
        <f>IF($A20="",0,SUMIFS(Recurring!$T$7:$T$66,Recurring!$B$7:$B$66,"In",Recurring!$C$7:$C$66,$A20)+SUMIFS(Receivables!$O$7:$O$306,Receivables!$N$7:$N$306,10,Receivables!$C$7:$C$306,$A20))</f>
        <v/>
      </c>
      <c r="L20" s="21">
        <f>IF($A20="",0,SUMIFS(Recurring!$U$7:$U$66,Recurring!$B$7:$B$66,"In",Recurring!$C$7:$C$66,$A20)+SUMIFS(Receivables!$O$7:$O$306,Receivables!$N$7:$N$306,11,Receivables!$C$7:$C$306,$A20))</f>
        <v/>
      </c>
      <c r="M20" s="21">
        <f>IF($A20="",0,SUMIFS(Recurring!$V$7:$V$66,Recurring!$B$7:$B$66,"In",Recurring!$C$7:$C$66,$A20)+SUMIFS(Receivables!$O$7:$O$306,Receivables!$N$7:$N$306,12,Receivables!$C$7:$C$306,$A20))</f>
        <v/>
      </c>
      <c r="N20" s="21">
        <f>IF($A20="",0,SUMIFS(Recurring!$W$7:$W$66,Recurring!$B$7:$B$66,"In",Recurring!$C$7:$C$66,$A20)+SUMIFS(Receivables!$O$7:$O$306,Receivables!$N$7:$N$306,13,Receivables!$C$7:$C$306,$A20))</f>
        <v/>
      </c>
      <c r="O20" s="21">
        <f>SUM(B20:N20)</f>
        <v/>
      </c>
    </row>
    <row r="21">
      <c r="A21" s="20">
        <f>IF(Settings!A17="","",Settings!A17)</f>
        <v/>
      </c>
      <c r="B21" s="21">
        <f>IF($A21="",0,SUMIFS(Recurring!$K$7:$K$66,Recurring!$B$7:$B$66,"In",Recurring!$C$7:$C$66,$A21)+SUMIFS(Receivables!$O$7:$O$306,Receivables!$N$7:$N$306,1,Receivables!$C$7:$C$306,$A21))</f>
        <v/>
      </c>
      <c r="C21" s="21">
        <f>IF($A21="",0,SUMIFS(Recurring!$L$7:$L$66,Recurring!$B$7:$B$66,"In",Recurring!$C$7:$C$66,$A21)+SUMIFS(Receivables!$O$7:$O$306,Receivables!$N$7:$N$306,2,Receivables!$C$7:$C$306,$A21))</f>
        <v/>
      </c>
      <c r="D21" s="21">
        <f>IF($A21="",0,SUMIFS(Recurring!$M$7:$M$66,Recurring!$B$7:$B$66,"In",Recurring!$C$7:$C$66,$A21)+SUMIFS(Receivables!$O$7:$O$306,Receivables!$N$7:$N$306,3,Receivables!$C$7:$C$306,$A21))</f>
        <v/>
      </c>
      <c r="E21" s="21">
        <f>IF($A21="",0,SUMIFS(Recurring!$N$7:$N$66,Recurring!$B$7:$B$66,"In",Recurring!$C$7:$C$66,$A21)+SUMIFS(Receivables!$O$7:$O$306,Receivables!$N$7:$N$306,4,Receivables!$C$7:$C$306,$A21))</f>
        <v/>
      </c>
      <c r="F21" s="21">
        <f>IF($A21="",0,SUMIFS(Recurring!$O$7:$O$66,Recurring!$B$7:$B$66,"In",Recurring!$C$7:$C$66,$A21)+SUMIFS(Receivables!$O$7:$O$306,Receivables!$N$7:$N$306,5,Receivables!$C$7:$C$306,$A21))</f>
        <v/>
      </c>
      <c r="G21" s="21">
        <f>IF($A21="",0,SUMIFS(Recurring!$P$7:$P$66,Recurring!$B$7:$B$66,"In",Recurring!$C$7:$C$66,$A21)+SUMIFS(Receivables!$O$7:$O$306,Receivables!$N$7:$N$306,6,Receivables!$C$7:$C$306,$A21))</f>
        <v/>
      </c>
      <c r="H21" s="21">
        <f>IF($A21="",0,SUMIFS(Recurring!$Q$7:$Q$66,Recurring!$B$7:$B$66,"In",Recurring!$C$7:$C$66,$A21)+SUMIFS(Receivables!$O$7:$O$306,Receivables!$N$7:$N$306,7,Receivables!$C$7:$C$306,$A21))</f>
        <v/>
      </c>
      <c r="I21" s="21">
        <f>IF($A21="",0,SUMIFS(Recurring!$R$7:$R$66,Recurring!$B$7:$B$66,"In",Recurring!$C$7:$C$66,$A21)+SUMIFS(Receivables!$O$7:$O$306,Receivables!$N$7:$N$306,8,Receivables!$C$7:$C$306,$A21))</f>
        <v/>
      </c>
      <c r="J21" s="21">
        <f>IF($A21="",0,SUMIFS(Recurring!$S$7:$S$66,Recurring!$B$7:$B$66,"In",Recurring!$C$7:$C$66,$A21)+SUMIFS(Receivables!$O$7:$O$306,Receivables!$N$7:$N$306,9,Receivables!$C$7:$C$306,$A21))</f>
        <v/>
      </c>
      <c r="K21" s="21">
        <f>IF($A21="",0,SUMIFS(Recurring!$T$7:$T$66,Recurring!$B$7:$B$66,"In",Recurring!$C$7:$C$66,$A21)+SUMIFS(Receivables!$O$7:$O$306,Receivables!$N$7:$N$306,10,Receivables!$C$7:$C$306,$A21))</f>
        <v/>
      </c>
      <c r="L21" s="21">
        <f>IF($A21="",0,SUMIFS(Recurring!$U$7:$U$66,Recurring!$B$7:$B$66,"In",Recurring!$C$7:$C$66,$A21)+SUMIFS(Receivables!$O$7:$O$306,Receivables!$N$7:$N$306,11,Receivables!$C$7:$C$306,$A21))</f>
        <v/>
      </c>
      <c r="M21" s="21">
        <f>IF($A21="",0,SUMIFS(Recurring!$V$7:$V$66,Recurring!$B$7:$B$66,"In",Recurring!$C$7:$C$66,$A21)+SUMIFS(Receivables!$O$7:$O$306,Receivables!$N$7:$N$306,12,Receivables!$C$7:$C$306,$A21))</f>
        <v/>
      </c>
      <c r="N21" s="21">
        <f>IF($A21="",0,SUMIFS(Recurring!$W$7:$W$66,Recurring!$B$7:$B$66,"In",Recurring!$C$7:$C$66,$A21)+SUMIFS(Receivables!$O$7:$O$306,Receivables!$N$7:$N$306,13,Receivables!$C$7:$C$306,$A21))</f>
        <v/>
      </c>
      <c r="O21" s="21">
        <f>SUM(B21:N21)</f>
        <v/>
      </c>
    </row>
    <row r="22">
      <c r="A22" s="20">
        <f>IF(Settings!A18="","",Settings!A18)</f>
        <v/>
      </c>
      <c r="B22" s="21">
        <f>IF($A22="",0,SUMIFS(Recurring!$K$7:$K$66,Recurring!$B$7:$B$66,"In",Recurring!$C$7:$C$66,$A22)+SUMIFS(Receivables!$O$7:$O$306,Receivables!$N$7:$N$306,1,Receivables!$C$7:$C$306,$A22))</f>
        <v/>
      </c>
      <c r="C22" s="21">
        <f>IF($A22="",0,SUMIFS(Recurring!$L$7:$L$66,Recurring!$B$7:$B$66,"In",Recurring!$C$7:$C$66,$A22)+SUMIFS(Receivables!$O$7:$O$306,Receivables!$N$7:$N$306,2,Receivables!$C$7:$C$306,$A22))</f>
        <v/>
      </c>
      <c r="D22" s="21">
        <f>IF($A22="",0,SUMIFS(Recurring!$M$7:$M$66,Recurring!$B$7:$B$66,"In",Recurring!$C$7:$C$66,$A22)+SUMIFS(Receivables!$O$7:$O$306,Receivables!$N$7:$N$306,3,Receivables!$C$7:$C$306,$A22))</f>
        <v/>
      </c>
      <c r="E22" s="21">
        <f>IF($A22="",0,SUMIFS(Recurring!$N$7:$N$66,Recurring!$B$7:$B$66,"In",Recurring!$C$7:$C$66,$A22)+SUMIFS(Receivables!$O$7:$O$306,Receivables!$N$7:$N$306,4,Receivables!$C$7:$C$306,$A22))</f>
        <v/>
      </c>
      <c r="F22" s="21">
        <f>IF($A22="",0,SUMIFS(Recurring!$O$7:$O$66,Recurring!$B$7:$B$66,"In",Recurring!$C$7:$C$66,$A22)+SUMIFS(Receivables!$O$7:$O$306,Receivables!$N$7:$N$306,5,Receivables!$C$7:$C$306,$A22))</f>
        <v/>
      </c>
      <c r="G22" s="21">
        <f>IF($A22="",0,SUMIFS(Recurring!$P$7:$P$66,Recurring!$B$7:$B$66,"In",Recurring!$C$7:$C$66,$A22)+SUMIFS(Receivables!$O$7:$O$306,Receivables!$N$7:$N$306,6,Receivables!$C$7:$C$306,$A22))</f>
        <v/>
      </c>
      <c r="H22" s="21">
        <f>IF($A22="",0,SUMIFS(Recurring!$Q$7:$Q$66,Recurring!$B$7:$B$66,"In",Recurring!$C$7:$C$66,$A22)+SUMIFS(Receivables!$O$7:$O$306,Receivables!$N$7:$N$306,7,Receivables!$C$7:$C$306,$A22))</f>
        <v/>
      </c>
      <c r="I22" s="21">
        <f>IF($A22="",0,SUMIFS(Recurring!$R$7:$R$66,Recurring!$B$7:$B$66,"In",Recurring!$C$7:$C$66,$A22)+SUMIFS(Receivables!$O$7:$O$306,Receivables!$N$7:$N$306,8,Receivables!$C$7:$C$306,$A22))</f>
        <v/>
      </c>
      <c r="J22" s="21">
        <f>IF($A22="",0,SUMIFS(Recurring!$S$7:$S$66,Recurring!$B$7:$B$66,"In",Recurring!$C$7:$C$66,$A22)+SUMIFS(Receivables!$O$7:$O$306,Receivables!$N$7:$N$306,9,Receivables!$C$7:$C$306,$A22))</f>
        <v/>
      </c>
      <c r="K22" s="21">
        <f>IF($A22="",0,SUMIFS(Recurring!$T$7:$T$66,Recurring!$B$7:$B$66,"In",Recurring!$C$7:$C$66,$A22)+SUMIFS(Receivables!$O$7:$O$306,Receivables!$N$7:$N$306,10,Receivables!$C$7:$C$306,$A22))</f>
        <v/>
      </c>
      <c r="L22" s="21">
        <f>IF($A22="",0,SUMIFS(Recurring!$U$7:$U$66,Recurring!$B$7:$B$66,"In",Recurring!$C$7:$C$66,$A22)+SUMIFS(Receivables!$O$7:$O$306,Receivables!$N$7:$N$306,11,Receivables!$C$7:$C$306,$A22))</f>
        <v/>
      </c>
      <c r="M22" s="21">
        <f>IF($A22="",0,SUMIFS(Recurring!$V$7:$V$66,Recurring!$B$7:$B$66,"In",Recurring!$C$7:$C$66,$A22)+SUMIFS(Receivables!$O$7:$O$306,Receivables!$N$7:$N$306,12,Receivables!$C$7:$C$306,$A22))</f>
        <v/>
      </c>
      <c r="N22" s="21">
        <f>IF($A22="",0,SUMIFS(Recurring!$W$7:$W$66,Recurring!$B$7:$B$66,"In",Recurring!$C$7:$C$66,$A22)+SUMIFS(Receivables!$O$7:$O$306,Receivables!$N$7:$N$306,13,Receivables!$C$7:$C$306,$A22))</f>
        <v/>
      </c>
      <c r="O22" s="21">
        <f>SUM(B22:N22)</f>
        <v/>
      </c>
    </row>
    <row r="23">
      <c r="A23" s="20">
        <f>IF(Settings!A19="","",Settings!A19)</f>
        <v/>
      </c>
      <c r="B23" s="21">
        <f>IF($A23="",0,SUMIFS(Recurring!$K$7:$K$66,Recurring!$B$7:$B$66,"In",Recurring!$C$7:$C$66,$A23)+SUMIFS(Receivables!$O$7:$O$306,Receivables!$N$7:$N$306,1,Receivables!$C$7:$C$306,$A23))</f>
        <v/>
      </c>
      <c r="C23" s="21">
        <f>IF($A23="",0,SUMIFS(Recurring!$L$7:$L$66,Recurring!$B$7:$B$66,"In",Recurring!$C$7:$C$66,$A23)+SUMIFS(Receivables!$O$7:$O$306,Receivables!$N$7:$N$306,2,Receivables!$C$7:$C$306,$A23))</f>
        <v/>
      </c>
      <c r="D23" s="21">
        <f>IF($A23="",0,SUMIFS(Recurring!$M$7:$M$66,Recurring!$B$7:$B$66,"In",Recurring!$C$7:$C$66,$A23)+SUMIFS(Receivables!$O$7:$O$306,Receivables!$N$7:$N$306,3,Receivables!$C$7:$C$306,$A23))</f>
        <v/>
      </c>
      <c r="E23" s="21">
        <f>IF($A23="",0,SUMIFS(Recurring!$N$7:$N$66,Recurring!$B$7:$B$66,"In",Recurring!$C$7:$C$66,$A23)+SUMIFS(Receivables!$O$7:$O$306,Receivables!$N$7:$N$306,4,Receivables!$C$7:$C$306,$A23))</f>
        <v/>
      </c>
      <c r="F23" s="21">
        <f>IF($A23="",0,SUMIFS(Recurring!$O$7:$O$66,Recurring!$B$7:$B$66,"In",Recurring!$C$7:$C$66,$A23)+SUMIFS(Receivables!$O$7:$O$306,Receivables!$N$7:$N$306,5,Receivables!$C$7:$C$306,$A23))</f>
        <v/>
      </c>
      <c r="G23" s="21">
        <f>IF($A23="",0,SUMIFS(Recurring!$P$7:$P$66,Recurring!$B$7:$B$66,"In",Recurring!$C$7:$C$66,$A23)+SUMIFS(Receivables!$O$7:$O$306,Receivables!$N$7:$N$306,6,Receivables!$C$7:$C$306,$A23))</f>
        <v/>
      </c>
      <c r="H23" s="21">
        <f>IF($A23="",0,SUMIFS(Recurring!$Q$7:$Q$66,Recurring!$B$7:$B$66,"In",Recurring!$C$7:$C$66,$A23)+SUMIFS(Receivables!$O$7:$O$306,Receivables!$N$7:$N$306,7,Receivables!$C$7:$C$306,$A23))</f>
        <v/>
      </c>
      <c r="I23" s="21">
        <f>IF($A23="",0,SUMIFS(Recurring!$R$7:$R$66,Recurring!$B$7:$B$66,"In",Recurring!$C$7:$C$66,$A23)+SUMIFS(Receivables!$O$7:$O$306,Receivables!$N$7:$N$306,8,Receivables!$C$7:$C$306,$A23))</f>
        <v/>
      </c>
      <c r="J23" s="21">
        <f>IF($A23="",0,SUMIFS(Recurring!$S$7:$S$66,Recurring!$B$7:$B$66,"In",Recurring!$C$7:$C$66,$A23)+SUMIFS(Receivables!$O$7:$O$306,Receivables!$N$7:$N$306,9,Receivables!$C$7:$C$306,$A23))</f>
        <v/>
      </c>
      <c r="K23" s="21">
        <f>IF($A23="",0,SUMIFS(Recurring!$T$7:$T$66,Recurring!$B$7:$B$66,"In",Recurring!$C$7:$C$66,$A23)+SUMIFS(Receivables!$O$7:$O$306,Receivables!$N$7:$N$306,10,Receivables!$C$7:$C$306,$A23))</f>
        <v/>
      </c>
      <c r="L23" s="21">
        <f>IF($A23="",0,SUMIFS(Recurring!$U$7:$U$66,Recurring!$B$7:$B$66,"In",Recurring!$C$7:$C$66,$A23)+SUMIFS(Receivables!$O$7:$O$306,Receivables!$N$7:$N$306,11,Receivables!$C$7:$C$306,$A23))</f>
        <v/>
      </c>
      <c r="M23" s="21">
        <f>IF($A23="",0,SUMIFS(Recurring!$V$7:$V$66,Recurring!$B$7:$B$66,"In",Recurring!$C$7:$C$66,$A23)+SUMIFS(Receivables!$O$7:$O$306,Receivables!$N$7:$N$306,12,Receivables!$C$7:$C$306,$A23))</f>
        <v/>
      </c>
      <c r="N23" s="21">
        <f>IF($A23="",0,SUMIFS(Recurring!$W$7:$W$66,Recurring!$B$7:$B$66,"In",Recurring!$C$7:$C$66,$A23)+SUMIFS(Receivables!$O$7:$O$306,Receivables!$N$7:$N$306,13,Receivables!$C$7:$C$306,$A23))</f>
        <v/>
      </c>
      <c r="O23" s="21">
        <f>SUM(B23:N23)</f>
        <v/>
      </c>
    </row>
    <row r="24">
      <c r="A24" s="20">
        <f>IF(Settings!A20="","",Settings!A20)</f>
        <v/>
      </c>
      <c r="B24" s="21">
        <f>IF($A24="",0,SUMIFS(Recurring!$K$7:$K$66,Recurring!$B$7:$B$66,"In",Recurring!$C$7:$C$66,$A24)+SUMIFS(Receivables!$O$7:$O$306,Receivables!$N$7:$N$306,1,Receivables!$C$7:$C$306,$A24))</f>
        <v/>
      </c>
      <c r="C24" s="21">
        <f>IF($A24="",0,SUMIFS(Recurring!$L$7:$L$66,Recurring!$B$7:$B$66,"In",Recurring!$C$7:$C$66,$A24)+SUMIFS(Receivables!$O$7:$O$306,Receivables!$N$7:$N$306,2,Receivables!$C$7:$C$306,$A24))</f>
        <v/>
      </c>
      <c r="D24" s="21">
        <f>IF($A24="",0,SUMIFS(Recurring!$M$7:$M$66,Recurring!$B$7:$B$66,"In",Recurring!$C$7:$C$66,$A24)+SUMIFS(Receivables!$O$7:$O$306,Receivables!$N$7:$N$306,3,Receivables!$C$7:$C$306,$A24))</f>
        <v/>
      </c>
      <c r="E24" s="21">
        <f>IF($A24="",0,SUMIFS(Recurring!$N$7:$N$66,Recurring!$B$7:$B$66,"In",Recurring!$C$7:$C$66,$A24)+SUMIFS(Receivables!$O$7:$O$306,Receivables!$N$7:$N$306,4,Receivables!$C$7:$C$306,$A24))</f>
        <v/>
      </c>
      <c r="F24" s="21">
        <f>IF($A24="",0,SUMIFS(Recurring!$O$7:$O$66,Recurring!$B$7:$B$66,"In",Recurring!$C$7:$C$66,$A24)+SUMIFS(Receivables!$O$7:$O$306,Receivables!$N$7:$N$306,5,Receivables!$C$7:$C$306,$A24))</f>
        <v/>
      </c>
      <c r="G24" s="21">
        <f>IF($A24="",0,SUMIFS(Recurring!$P$7:$P$66,Recurring!$B$7:$B$66,"In",Recurring!$C$7:$C$66,$A24)+SUMIFS(Receivables!$O$7:$O$306,Receivables!$N$7:$N$306,6,Receivables!$C$7:$C$306,$A24))</f>
        <v/>
      </c>
      <c r="H24" s="21">
        <f>IF($A24="",0,SUMIFS(Recurring!$Q$7:$Q$66,Recurring!$B$7:$B$66,"In",Recurring!$C$7:$C$66,$A24)+SUMIFS(Receivables!$O$7:$O$306,Receivables!$N$7:$N$306,7,Receivables!$C$7:$C$306,$A24))</f>
        <v/>
      </c>
      <c r="I24" s="21">
        <f>IF($A24="",0,SUMIFS(Recurring!$R$7:$R$66,Recurring!$B$7:$B$66,"In",Recurring!$C$7:$C$66,$A24)+SUMIFS(Receivables!$O$7:$O$306,Receivables!$N$7:$N$306,8,Receivables!$C$7:$C$306,$A24))</f>
        <v/>
      </c>
      <c r="J24" s="21">
        <f>IF($A24="",0,SUMIFS(Recurring!$S$7:$S$66,Recurring!$B$7:$B$66,"In",Recurring!$C$7:$C$66,$A24)+SUMIFS(Receivables!$O$7:$O$306,Receivables!$N$7:$N$306,9,Receivables!$C$7:$C$306,$A24))</f>
        <v/>
      </c>
      <c r="K24" s="21">
        <f>IF($A24="",0,SUMIFS(Recurring!$T$7:$T$66,Recurring!$B$7:$B$66,"In",Recurring!$C$7:$C$66,$A24)+SUMIFS(Receivables!$O$7:$O$306,Receivables!$N$7:$N$306,10,Receivables!$C$7:$C$306,$A24))</f>
        <v/>
      </c>
      <c r="L24" s="21">
        <f>IF($A24="",0,SUMIFS(Recurring!$U$7:$U$66,Recurring!$B$7:$B$66,"In",Recurring!$C$7:$C$66,$A24)+SUMIFS(Receivables!$O$7:$O$306,Receivables!$N$7:$N$306,11,Receivables!$C$7:$C$306,$A24))</f>
        <v/>
      </c>
      <c r="M24" s="21">
        <f>IF($A24="",0,SUMIFS(Recurring!$V$7:$V$66,Recurring!$B$7:$B$66,"In",Recurring!$C$7:$C$66,$A24)+SUMIFS(Receivables!$O$7:$O$306,Receivables!$N$7:$N$306,12,Receivables!$C$7:$C$306,$A24))</f>
        <v/>
      </c>
      <c r="N24" s="21">
        <f>IF($A24="",0,SUMIFS(Recurring!$W$7:$W$66,Recurring!$B$7:$B$66,"In",Recurring!$C$7:$C$66,$A24)+SUMIFS(Receivables!$O$7:$O$306,Receivables!$N$7:$N$306,13,Receivables!$C$7:$C$306,$A24))</f>
        <v/>
      </c>
      <c r="O24" s="21">
        <f>SUM(B24:N24)</f>
        <v/>
      </c>
    </row>
    <row r="25">
      <c r="A25" s="20">
        <f>IF(Settings!A21="","",Settings!A21)</f>
        <v/>
      </c>
      <c r="B25" s="21">
        <f>IF($A25="",0,SUMIFS(Recurring!$K$7:$K$66,Recurring!$B$7:$B$66,"In",Recurring!$C$7:$C$66,$A25)+SUMIFS(Receivables!$O$7:$O$306,Receivables!$N$7:$N$306,1,Receivables!$C$7:$C$306,$A25))</f>
        <v/>
      </c>
      <c r="C25" s="21">
        <f>IF($A25="",0,SUMIFS(Recurring!$L$7:$L$66,Recurring!$B$7:$B$66,"In",Recurring!$C$7:$C$66,$A25)+SUMIFS(Receivables!$O$7:$O$306,Receivables!$N$7:$N$306,2,Receivables!$C$7:$C$306,$A25))</f>
        <v/>
      </c>
      <c r="D25" s="21">
        <f>IF($A25="",0,SUMIFS(Recurring!$M$7:$M$66,Recurring!$B$7:$B$66,"In",Recurring!$C$7:$C$66,$A25)+SUMIFS(Receivables!$O$7:$O$306,Receivables!$N$7:$N$306,3,Receivables!$C$7:$C$306,$A25))</f>
        <v/>
      </c>
      <c r="E25" s="21">
        <f>IF($A25="",0,SUMIFS(Recurring!$N$7:$N$66,Recurring!$B$7:$B$66,"In",Recurring!$C$7:$C$66,$A25)+SUMIFS(Receivables!$O$7:$O$306,Receivables!$N$7:$N$306,4,Receivables!$C$7:$C$306,$A25))</f>
        <v/>
      </c>
      <c r="F25" s="21">
        <f>IF($A25="",0,SUMIFS(Recurring!$O$7:$O$66,Recurring!$B$7:$B$66,"In",Recurring!$C$7:$C$66,$A25)+SUMIFS(Receivables!$O$7:$O$306,Receivables!$N$7:$N$306,5,Receivables!$C$7:$C$306,$A25))</f>
        <v/>
      </c>
      <c r="G25" s="21">
        <f>IF($A25="",0,SUMIFS(Recurring!$P$7:$P$66,Recurring!$B$7:$B$66,"In",Recurring!$C$7:$C$66,$A25)+SUMIFS(Receivables!$O$7:$O$306,Receivables!$N$7:$N$306,6,Receivables!$C$7:$C$306,$A25))</f>
        <v/>
      </c>
      <c r="H25" s="21">
        <f>IF($A25="",0,SUMIFS(Recurring!$Q$7:$Q$66,Recurring!$B$7:$B$66,"In",Recurring!$C$7:$C$66,$A25)+SUMIFS(Receivables!$O$7:$O$306,Receivables!$N$7:$N$306,7,Receivables!$C$7:$C$306,$A25))</f>
        <v/>
      </c>
      <c r="I25" s="21">
        <f>IF($A25="",0,SUMIFS(Recurring!$R$7:$R$66,Recurring!$B$7:$B$66,"In",Recurring!$C$7:$C$66,$A25)+SUMIFS(Receivables!$O$7:$O$306,Receivables!$N$7:$N$306,8,Receivables!$C$7:$C$306,$A25))</f>
        <v/>
      </c>
      <c r="J25" s="21">
        <f>IF($A25="",0,SUMIFS(Recurring!$S$7:$S$66,Recurring!$B$7:$B$66,"In",Recurring!$C$7:$C$66,$A25)+SUMIFS(Receivables!$O$7:$O$306,Receivables!$N$7:$N$306,9,Receivables!$C$7:$C$306,$A25))</f>
        <v/>
      </c>
      <c r="K25" s="21">
        <f>IF($A25="",0,SUMIFS(Recurring!$T$7:$T$66,Recurring!$B$7:$B$66,"In",Recurring!$C$7:$C$66,$A25)+SUMIFS(Receivables!$O$7:$O$306,Receivables!$N$7:$N$306,10,Receivables!$C$7:$C$306,$A25))</f>
        <v/>
      </c>
      <c r="L25" s="21">
        <f>IF($A25="",0,SUMIFS(Recurring!$U$7:$U$66,Recurring!$B$7:$B$66,"In",Recurring!$C$7:$C$66,$A25)+SUMIFS(Receivables!$O$7:$O$306,Receivables!$N$7:$N$306,11,Receivables!$C$7:$C$306,$A25))</f>
        <v/>
      </c>
      <c r="M25" s="21">
        <f>IF($A25="",0,SUMIFS(Recurring!$V$7:$V$66,Recurring!$B$7:$B$66,"In",Recurring!$C$7:$C$66,$A25)+SUMIFS(Receivables!$O$7:$O$306,Receivables!$N$7:$N$306,12,Receivables!$C$7:$C$306,$A25))</f>
        <v/>
      </c>
      <c r="N25" s="21">
        <f>IF($A25="",0,SUMIFS(Recurring!$W$7:$W$66,Recurring!$B$7:$B$66,"In",Recurring!$C$7:$C$66,$A25)+SUMIFS(Receivables!$O$7:$O$306,Receivables!$N$7:$N$306,13,Receivables!$C$7:$C$306,$A25))</f>
        <v/>
      </c>
      <c r="O25" s="21">
        <f>SUM(B25:N25)</f>
        <v/>
      </c>
    </row>
    <row r="26">
      <c r="A26" s="20">
        <f>IF(Settings!A22="","",Settings!A22)</f>
        <v/>
      </c>
      <c r="B26" s="21">
        <f>IF($A26="",0,SUMIFS(Recurring!$K$7:$K$66,Recurring!$B$7:$B$66,"In",Recurring!$C$7:$C$66,$A26)+SUMIFS(Receivables!$O$7:$O$306,Receivables!$N$7:$N$306,1,Receivables!$C$7:$C$306,$A26))</f>
        <v/>
      </c>
      <c r="C26" s="21">
        <f>IF($A26="",0,SUMIFS(Recurring!$L$7:$L$66,Recurring!$B$7:$B$66,"In",Recurring!$C$7:$C$66,$A26)+SUMIFS(Receivables!$O$7:$O$306,Receivables!$N$7:$N$306,2,Receivables!$C$7:$C$306,$A26))</f>
        <v/>
      </c>
      <c r="D26" s="21">
        <f>IF($A26="",0,SUMIFS(Recurring!$M$7:$M$66,Recurring!$B$7:$B$66,"In",Recurring!$C$7:$C$66,$A26)+SUMIFS(Receivables!$O$7:$O$306,Receivables!$N$7:$N$306,3,Receivables!$C$7:$C$306,$A26))</f>
        <v/>
      </c>
      <c r="E26" s="21">
        <f>IF($A26="",0,SUMIFS(Recurring!$N$7:$N$66,Recurring!$B$7:$B$66,"In",Recurring!$C$7:$C$66,$A26)+SUMIFS(Receivables!$O$7:$O$306,Receivables!$N$7:$N$306,4,Receivables!$C$7:$C$306,$A26))</f>
        <v/>
      </c>
      <c r="F26" s="21">
        <f>IF($A26="",0,SUMIFS(Recurring!$O$7:$O$66,Recurring!$B$7:$B$66,"In",Recurring!$C$7:$C$66,$A26)+SUMIFS(Receivables!$O$7:$O$306,Receivables!$N$7:$N$306,5,Receivables!$C$7:$C$306,$A26))</f>
        <v/>
      </c>
      <c r="G26" s="21">
        <f>IF($A26="",0,SUMIFS(Recurring!$P$7:$P$66,Recurring!$B$7:$B$66,"In",Recurring!$C$7:$C$66,$A26)+SUMIFS(Receivables!$O$7:$O$306,Receivables!$N$7:$N$306,6,Receivables!$C$7:$C$306,$A26))</f>
        <v/>
      </c>
      <c r="H26" s="21">
        <f>IF($A26="",0,SUMIFS(Recurring!$Q$7:$Q$66,Recurring!$B$7:$B$66,"In",Recurring!$C$7:$C$66,$A26)+SUMIFS(Receivables!$O$7:$O$306,Receivables!$N$7:$N$306,7,Receivables!$C$7:$C$306,$A26))</f>
        <v/>
      </c>
      <c r="I26" s="21">
        <f>IF($A26="",0,SUMIFS(Recurring!$R$7:$R$66,Recurring!$B$7:$B$66,"In",Recurring!$C$7:$C$66,$A26)+SUMIFS(Receivables!$O$7:$O$306,Receivables!$N$7:$N$306,8,Receivables!$C$7:$C$306,$A26))</f>
        <v/>
      </c>
      <c r="J26" s="21">
        <f>IF($A26="",0,SUMIFS(Recurring!$S$7:$S$66,Recurring!$B$7:$B$66,"In",Recurring!$C$7:$C$66,$A26)+SUMIFS(Receivables!$O$7:$O$306,Receivables!$N$7:$N$306,9,Receivables!$C$7:$C$306,$A26))</f>
        <v/>
      </c>
      <c r="K26" s="21">
        <f>IF($A26="",0,SUMIFS(Recurring!$T$7:$T$66,Recurring!$B$7:$B$66,"In",Recurring!$C$7:$C$66,$A26)+SUMIFS(Receivables!$O$7:$O$306,Receivables!$N$7:$N$306,10,Receivables!$C$7:$C$306,$A26))</f>
        <v/>
      </c>
      <c r="L26" s="21">
        <f>IF($A26="",0,SUMIFS(Recurring!$U$7:$U$66,Recurring!$B$7:$B$66,"In",Recurring!$C$7:$C$66,$A26)+SUMIFS(Receivables!$O$7:$O$306,Receivables!$N$7:$N$306,11,Receivables!$C$7:$C$306,$A26))</f>
        <v/>
      </c>
      <c r="M26" s="21">
        <f>IF($A26="",0,SUMIFS(Recurring!$V$7:$V$66,Recurring!$B$7:$B$66,"In",Recurring!$C$7:$C$66,$A26)+SUMIFS(Receivables!$O$7:$O$306,Receivables!$N$7:$N$306,12,Receivables!$C$7:$C$306,$A26))</f>
        <v/>
      </c>
      <c r="N26" s="21">
        <f>IF($A26="",0,SUMIFS(Recurring!$W$7:$W$66,Recurring!$B$7:$B$66,"In",Recurring!$C$7:$C$66,$A26)+SUMIFS(Receivables!$O$7:$O$306,Receivables!$N$7:$N$306,13,Receivables!$C$7:$C$306,$A26))</f>
        <v/>
      </c>
      <c r="O26" s="21">
        <f>SUM(B26:N26)</f>
        <v/>
      </c>
    </row>
    <row r="27">
      <c r="A27" s="2" t="inlineStr">
        <is>
          <t>Other / unlisted (in)</t>
        </is>
      </c>
      <c r="B27" s="21">
        <f>ROUND(B28-SUM(B19:B26),6)</f>
        <v/>
      </c>
      <c r="C27" s="21">
        <f>ROUND(C28-SUM(C19:C26),6)</f>
        <v/>
      </c>
      <c r="D27" s="21">
        <f>ROUND(D28-SUM(D19:D26),6)</f>
        <v/>
      </c>
      <c r="E27" s="21">
        <f>ROUND(E28-SUM(E19:E26),6)</f>
        <v/>
      </c>
      <c r="F27" s="21">
        <f>ROUND(F28-SUM(F19:F26),6)</f>
        <v/>
      </c>
      <c r="G27" s="21">
        <f>ROUND(G28-SUM(G19:G26),6)</f>
        <v/>
      </c>
      <c r="H27" s="21">
        <f>ROUND(H28-SUM(H19:H26),6)</f>
        <v/>
      </c>
      <c r="I27" s="21">
        <f>ROUND(I28-SUM(I19:I26),6)</f>
        <v/>
      </c>
      <c r="J27" s="21">
        <f>ROUND(J28-SUM(J19:J26),6)</f>
        <v/>
      </c>
      <c r="K27" s="21">
        <f>ROUND(K28-SUM(K19:K26),6)</f>
        <v/>
      </c>
      <c r="L27" s="21">
        <f>ROUND(L28-SUM(L19:L26),6)</f>
        <v/>
      </c>
      <c r="M27" s="21">
        <f>ROUND(M28-SUM(M19:M26),6)</f>
        <v/>
      </c>
      <c r="N27" s="21">
        <f>ROUND(N28-SUM(N19:N26),6)</f>
        <v/>
      </c>
      <c r="O27" s="21">
        <f>SUM(B27:N27)</f>
        <v/>
      </c>
    </row>
    <row r="28">
      <c r="A28" s="8" t="inlineStr">
        <is>
          <t>Total cash in</t>
        </is>
      </c>
      <c r="B28" s="22">
        <f>SUMIFS(Recurring!$K$7:$K$66,Recurring!$B$7:$B$66,"In")+SUMIFS(Receivables!$O$7:$O$306,Receivables!$N$7:$N$306,1)</f>
        <v/>
      </c>
      <c r="C28" s="22">
        <f>SUMIFS(Recurring!$L$7:$L$66,Recurring!$B$7:$B$66,"In")+SUMIFS(Receivables!$O$7:$O$306,Receivables!$N$7:$N$306,2)</f>
        <v/>
      </c>
      <c r="D28" s="22">
        <f>SUMIFS(Recurring!$M$7:$M$66,Recurring!$B$7:$B$66,"In")+SUMIFS(Receivables!$O$7:$O$306,Receivables!$N$7:$N$306,3)</f>
        <v/>
      </c>
      <c r="E28" s="22">
        <f>SUMIFS(Recurring!$N$7:$N$66,Recurring!$B$7:$B$66,"In")+SUMIFS(Receivables!$O$7:$O$306,Receivables!$N$7:$N$306,4)</f>
        <v/>
      </c>
      <c r="F28" s="22">
        <f>SUMIFS(Recurring!$O$7:$O$66,Recurring!$B$7:$B$66,"In")+SUMIFS(Receivables!$O$7:$O$306,Receivables!$N$7:$N$306,5)</f>
        <v/>
      </c>
      <c r="G28" s="22">
        <f>SUMIFS(Recurring!$P$7:$P$66,Recurring!$B$7:$B$66,"In")+SUMIFS(Receivables!$O$7:$O$306,Receivables!$N$7:$N$306,6)</f>
        <v/>
      </c>
      <c r="H28" s="22">
        <f>SUMIFS(Recurring!$Q$7:$Q$66,Recurring!$B$7:$B$66,"In")+SUMIFS(Receivables!$O$7:$O$306,Receivables!$N$7:$N$306,7)</f>
        <v/>
      </c>
      <c r="I28" s="22">
        <f>SUMIFS(Recurring!$R$7:$R$66,Recurring!$B$7:$B$66,"In")+SUMIFS(Receivables!$O$7:$O$306,Receivables!$N$7:$N$306,8)</f>
        <v/>
      </c>
      <c r="J28" s="22">
        <f>SUMIFS(Recurring!$S$7:$S$66,Recurring!$B$7:$B$66,"In")+SUMIFS(Receivables!$O$7:$O$306,Receivables!$N$7:$N$306,9)</f>
        <v/>
      </c>
      <c r="K28" s="22">
        <f>SUMIFS(Recurring!$T$7:$T$66,Recurring!$B$7:$B$66,"In")+SUMIFS(Receivables!$O$7:$O$306,Receivables!$N$7:$N$306,10)</f>
        <v/>
      </c>
      <c r="L28" s="22">
        <f>SUMIFS(Recurring!$U$7:$U$66,Recurring!$B$7:$B$66,"In")+SUMIFS(Receivables!$O$7:$O$306,Receivables!$N$7:$N$306,11)</f>
        <v/>
      </c>
      <c r="M28" s="22">
        <f>SUMIFS(Recurring!$V$7:$V$66,Recurring!$B$7:$B$66,"In")+SUMIFS(Receivables!$O$7:$O$306,Receivables!$N$7:$N$306,12)</f>
        <v/>
      </c>
      <c r="N28" s="22">
        <f>SUMIFS(Recurring!$W$7:$W$66,Recurring!$B$7:$B$66,"In")+SUMIFS(Receivables!$O$7:$O$306,Receivables!$N$7:$N$306,13)</f>
        <v/>
      </c>
      <c r="O28" s="9">
        <f>SUM(B28:N28)</f>
        <v/>
      </c>
    </row>
    <row r="29">
      <c r="A29" s="18" t="inlineStr">
        <is>
          <t>CASH OUT</t>
        </is>
      </c>
      <c r="B29" s="19" t="n"/>
      <c r="C29" s="19" t="n"/>
      <c r="D29" s="19" t="n"/>
      <c r="E29" s="19" t="n"/>
      <c r="F29" s="19" t="n"/>
      <c r="G29" s="19" t="n"/>
      <c r="H29" s="19" t="n"/>
      <c r="I29" s="19" t="n"/>
      <c r="J29" s="19" t="n"/>
      <c r="K29" s="19" t="n"/>
      <c r="L29" s="19" t="n"/>
      <c r="M29" s="19" t="n"/>
      <c r="N29" s="19" t="n"/>
      <c r="O29" s="19" t="n"/>
    </row>
    <row r="30">
      <c r="A30" s="20">
        <f>IF(Settings!A27="","",Settings!A27)</f>
        <v/>
      </c>
      <c r="B30" s="21">
        <f>IF($A30="",0,SUMIFS(Recurring!$K$7:$K$66,Recurring!$B$7:$B$66,"Out",Recurring!$C$7:$C$66,$A30)+SUMIFS(Payables!$L$7:$L$306,Payables!$K$7:$K$306,1,Payables!$C$7:$C$306,$A30))</f>
        <v/>
      </c>
      <c r="C30" s="21">
        <f>IF($A30="",0,SUMIFS(Recurring!$L$7:$L$66,Recurring!$B$7:$B$66,"Out",Recurring!$C$7:$C$66,$A30)+SUMIFS(Payables!$L$7:$L$306,Payables!$K$7:$K$306,2,Payables!$C$7:$C$306,$A30))</f>
        <v/>
      </c>
      <c r="D30" s="21">
        <f>IF($A30="",0,SUMIFS(Recurring!$M$7:$M$66,Recurring!$B$7:$B$66,"Out",Recurring!$C$7:$C$66,$A30)+SUMIFS(Payables!$L$7:$L$306,Payables!$K$7:$K$306,3,Payables!$C$7:$C$306,$A30))</f>
        <v/>
      </c>
      <c r="E30" s="21">
        <f>IF($A30="",0,SUMIFS(Recurring!$N$7:$N$66,Recurring!$B$7:$B$66,"Out",Recurring!$C$7:$C$66,$A30)+SUMIFS(Payables!$L$7:$L$306,Payables!$K$7:$K$306,4,Payables!$C$7:$C$306,$A30))</f>
        <v/>
      </c>
      <c r="F30" s="21">
        <f>IF($A30="",0,SUMIFS(Recurring!$O$7:$O$66,Recurring!$B$7:$B$66,"Out",Recurring!$C$7:$C$66,$A30)+SUMIFS(Payables!$L$7:$L$306,Payables!$K$7:$K$306,5,Payables!$C$7:$C$306,$A30))</f>
        <v/>
      </c>
      <c r="G30" s="21">
        <f>IF($A30="",0,SUMIFS(Recurring!$P$7:$P$66,Recurring!$B$7:$B$66,"Out",Recurring!$C$7:$C$66,$A30)+SUMIFS(Payables!$L$7:$L$306,Payables!$K$7:$K$306,6,Payables!$C$7:$C$306,$A30))</f>
        <v/>
      </c>
      <c r="H30" s="21">
        <f>IF($A30="",0,SUMIFS(Recurring!$Q$7:$Q$66,Recurring!$B$7:$B$66,"Out",Recurring!$C$7:$C$66,$A30)+SUMIFS(Payables!$L$7:$L$306,Payables!$K$7:$K$306,7,Payables!$C$7:$C$306,$A30))</f>
        <v/>
      </c>
      <c r="I30" s="21">
        <f>IF($A30="",0,SUMIFS(Recurring!$R$7:$R$66,Recurring!$B$7:$B$66,"Out",Recurring!$C$7:$C$66,$A30)+SUMIFS(Payables!$L$7:$L$306,Payables!$K$7:$K$306,8,Payables!$C$7:$C$306,$A30))</f>
        <v/>
      </c>
      <c r="J30" s="21">
        <f>IF($A30="",0,SUMIFS(Recurring!$S$7:$S$66,Recurring!$B$7:$B$66,"Out",Recurring!$C$7:$C$66,$A30)+SUMIFS(Payables!$L$7:$L$306,Payables!$K$7:$K$306,9,Payables!$C$7:$C$306,$A30))</f>
        <v/>
      </c>
      <c r="K30" s="21">
        <f>IF($A30="",0,SUMIFS(Recurring!$T$7:$T$66,Recurring!$B$7:$B$66,"Out",Recurring!$C$7:$C$66,$A30)+SUMIFS(Payables!$L$7:$L$306,Payables!$K$7:$K$306,10,Payables!$C$7:$C$306,$A30))</f>
        <v/>
      </c>
      <c r="L30" s="21">
        <f>IF($A30="",0,SUMIFS(Recurring!$U$7:$U$66,Recurring!$B$7:$B$66,"Out",Recurring!$C$7:$C$66,$A30)+SUMIFS(Payables!$L$7:$L$306,Payables!$K$7:$K$306,11,Payables!$C$7:$C$306,$A30))</f>
        <v/>
      </c>
      <c r="M30" s="21">
        <f>IF($A30="",0,SUMIFS(Recurring!$V$7:$V$66,Recurring!$B$7:$B$66,"Out",Recurring!$C$7:$C$66,$A30)+SUMIFS(Payables!$L$7:$L$306,Payables!$K$7:$K$306,12,Payables!$C$7:$C$306,$A30))</f>
        <v/>
      </c>
      <c r="N30" s="21">
        <f>IF($A30="",0,SUMIFS(Recurring!$W$7:$W$66,Recurring!$B$7:$B$66,"Out",Recurring!$C$7:$C$66,$A30)+SUMIFS(Payables!$L$7:$L$306,Payables!$K$7:$K$306,13,Payables!$C$7:$C$306,$A30))</f>
        <v/>
      </c>
      <c r="O30" s="21">
        <f>SUM(B30:N30)</f>
        <v/>
      </c>
    </row>
    <row r="31">
      <c r="A31" s="20">
        <f>IF(Settings!A28="","",Settings!A28)</f>
        <v/>
      </c>
      <c r="B31" s="21">
        <f>IF($A31="",0,SUMIFS(Recurring!$K$7:$K$66,Recurring!$B$7:$B$66,"Out",Recurring!$C$7:$C$66,$A31)+SUMIFS(Payables!$L$7:$L$306,Payables!$K$7:$K$306,1,Payables!$C$7:$C$306,$A31))</f>
        <v/>
      </c>
      <c r="C31" s="21">
        <f>IF($A31="",0,SUMIFS(Recurring!$L$7:$L$66,Recurring!$B$7:$B$66,"Out",Recurring!$C$7:$C$66,$A31)+SUMIFS(Payables!$L$7:$L$306,Payables!$K$7:$K$306,2,Payables!$C$7:$C$306,$A31))</f>
        <v/>
      </c>
      <c r="D31" s="21">
        <f>IF($A31="",0,SUMIFS(Recurring!$M$7:$M$66,Recurring!$B$7:$B$66,"Out",Recurring!$C$7:$C$66,$A31)+SUMIFS(Payables!$L$7:$L$306,Payables!$K$7:$K$306,3,Payables!$C$7:$C$306,$A31))</f>
        <v/>
      </c>
      <c r="E31" s="21">
        <f>IF($A31="",0,SUMIFS(Recurring!$N$7:$N$66,Recurring!$B$7:$B$66,"Out",Recurring!$C$7:$C$66,$A31)+SUMIFS(Payables!$L$7:$L$306,Payables!$K$7:$K$306,4,Payables!$C$7:$C$306,$A31))</f>
        <v/>
      </c>
      <c r="F31" s="21">
        <f>IF($A31="",0,SUMIFS(Recurring!$O$7:$O$66,Recurring!$B$7:$B$66,"Out",Recurring!$C$7:$C$66,$A31)+SUMIFS(Payables!$L$7:$L$306,Payables!$K$7:$K$306,5,Payables!$C$7:$C$306,$A31))</f>
        <v/>
      </c>
      <c r="G31" s="21">
        <f>IF($A31="",0,SUMIFS(Recurring!$P$7:$P$66,Recurring!$B$7:$B$66,"Out",Recurring!$C$7:$C$66,$A31)+SUMIFS(Payables!$L$7:$L$306,Payables!$K$7:$K$306,6,Payables!$C$7:$C$306,$A31))</f>
        <v/>
      </c>
      <c r="H31" s="21">
        <f>IF($A31="",0,SUMIFS(Recurring!$Q$7:$Q$66,Recurring!$B$7:$B$66,"Out",Recurring!$C$7:$C$66,$A31)+SUMIFS(Payables!$L$7:$L$306,Payables!$K$7:$K$306,7,Payables!$C$7:$C$306,$A31))</f>
        <v/>
      </c>
      <c r="I31" s="21">
        <f>IF($A31="",0,SUMIFS(Recurring!$R$7:$R$66,Recurring!$B$7:$B$66,"Out",Recurring!$C$7:$C$66,$A31)+SUMIFS(Payables!$L$7:$L$306,Payables!$K$7:$K$306,8,Payables!$C$7:$C$306,$A31))</f>
        <v/>
      </c>
      <c r="J31" s="21">
        <f>IF($A31="",0,SUMIFS(Recurring!$S$7:$S$66,Recurring!$B$7:$B$66,"Out",Recurring!$C$7:$C$66,$A31)+SUMIFS(Payables!$L$7:$L$306,Payables!$K$7:$K$306,9,Payables!$C$7:$C$306,$A31))</f>
        <v/>
      </c>
      <c r="K31" s="21">
        <f>IF($A31="",0,SUMIFS(Recurring!$T$7:$T$66,Recurring!$B$7:$B$66,"Out",Recurring!$C$7:$C$66,$A31)+SUMIFS(Payables!$L$7:$L$306,Payables!$K$7:$K$306,10,Payables!$C$7:$C$306,$A31))</f>
        <v/>
      </c>
      <c r="L31" s="21">
        <f>IF($A31="",0,SUMIFS(Recurring!$U$7:$U$66,Recurring!$B$7:$B$66,"Out",Recurring!$C$7:$C$66,$A31)+SUMIFS(Payables!$L$7:$L$306,Payables!$K$7:$K$306,11,Payables!$C$7:$C$306,$A31))</f>
        <v/>
      </c>
      <c r="M31" s="21">
        <f>IF($A31="",0,SUMIFS(Recurring!$V$7:$V$66,Recurring!$B$7:$B$66,"Out",Recurring!$C$7:$C$66,$A31)+SUMIFS(Payables!$L$7:$L$306,Payables!$K$7:$K$306,12,Payables!$C$7:$C$306,$A31))</f>
        <v/>
      </c>
      <c r="N31" s="21">
        <f>IF($A31="",0,SUMIFS(Recurring!$W$7:$W$66,Recurring!$B$7:$B$66,"Out",Recurring!$C$7:$C$66,$A31)+SUMIFS(Payables!$L$7:$L$306,Payables!$K$7:$K$306,13,Payables!$C$7:$C$306,$A31))</f>
        <v/>
      </c>
      <c r="O31" s="21">
        <f>SUM(B31:N31)</f>
        <v/>
      </c>
    </row>
    <row r="32">
      <c r="A32" s="20">
        <f>IF(Settings!A29="","",Settings!A29)</f>
        <v/>
      </c>
      <c r="B32" s="21">
        <f>IF($A32="",0,SUMIFS(Recurring!$K$7:$K$66,Recurring!$B$7:$B$66,"Out",Recurring!$C$7:$C$66,$A32)+SUMIFS(Payables!$L$7:$L$306,Payables!$K$7:$K$306,1,Payables!$C$7:$C$306,$A32))</f>
        <v/>
      </c>
      <c r="C32" s="21">
        <f>IF($A32="",0,SUMIFS(Recurring!$L$7:$L$66,Recurring!$B$7:$B$66,"Out",Recurring!$C$7:$C$66,$A32)+SUMIFS(Payables!$L$7:$L$306,Payables!$K$7:$K$306,2,Payables!$C$7:$C$306,$A32))</f>
        <v/>
      </c>
      <c r="D32" s="21">
        <f>IF($A32="",0,SUMIFS(Recurring!$M$7:$M$66,Recurring!$B$7:$B$66,"Out",Recurring!$C$7:$C$66,$A32)+SUMIFS(Payables!$L$7:$L$306,Payables!$K$7:$K$306,3,Payables!$C$7:$C$306,$A32))</f>
        <v/>
      </c>
      <c r="E32" s="21">
        <f>IF($A32="",0,SUMIFS(Recurring!$N$7:$N$66,Recurring!$B$7:$B$66,"Out",Recurring!$C$7:$C$66,$A32)+SUMIFS(Payables!$L$7:$L$306,Payables!$K$7:$K$306,4,Payables!$C$7:$C$306,$A32))</f>
        <v/>
      </c>
      <c r="F32" s="21">
        <f>IF($A32="",0,SUMIFS(Recurring!$O$7:$O$66,Recurring!$B$7:$B$66,"Out",Recurring!$C$7:$C$66,$A32)+SUMIFS(Payables!$L$7:$L$306,Payables!$K$7:$K$306,5,Payables!$C$7:$C$306,$A32))</f>
        <v/>
      </c>
      <c r="G32" s="21">
        <f>IF($A32="",0,SUMIFS(Recurring!$P$7:$P$66,Recurring!$B$7:$B$66,"Out",Recurring!$C$7:$C$66,$A32)+SUMIFS(Payables!$L$7:$L$306,Payables!$K$7:$K$306,6,Payables!$C$7:$C$306,$A32))</f>
        <v/>
      </c>
      <c r="H32" s="21">
        <f>IF($A32="",0,SUMIFS(Recurring!$Q$7:$Q$66,Recurring!$B$7:$B$66,"Out",Recurring!$C$7:$C$66,$A32)+SUMIFS(Payables!$L$7:$L$306,Payables!$K$7:$K$306,7,Payables!$C$7:$C$306,$A32))</f>
        <v/>
      </c>
      <c r="I32" s="21">
        <f>IF($A32="",0,SUMIFS(Recurring!$R$7:$R$66,Recurring!$B$7:$B$66,"Out",Recurring!$C$7:$C$66,$A32)+SUMIFS(Payables!$L$7:$L$306,Payables!$K$7:$K$306,8,Payables!$C$7:$C$306,$A32))</f>
        <v/>
      </c>
      <c r="J32" s="21">
        <f>IF($A32="",0,SUMIFS(Recurring!$S$7:$S$66,Recurring!$B$7:$B$66,"Out",Recurring!$C$7:$C$66,$A32)+SUMIFS(Payables!$L$7:$L$306,Payables!$K$7:$K$306,9,Payables!$C$7:$C$306,$A32))</f>
        <v/>
      </c>
      <c r="K32" s="21">
        <f>IF($A32="",0,SUMIFS(Recurring!$T$7:$T$66,Recurring!$B$7:$B$66,"Out",Recurring!$C$7:$C$66,$A32)+SUMIFS(Payables!$L$7:$L$306,Payables!$K$7:$K$306,10,Payables!$C$7:$C$306,$A32))</f>
        <v/>
      </c>
      <c r="L32" s="21">
        <f>IF($A32="",0,SUMIFS(Recurring!$U$7:$U$66,Recurring!$B$7:$B$66,"Out",Recurring!$C$7:$C$66,$A32)+SUMIFS(Payables!$L$7:$L$306,Payables!$K$7:$K$306,11,Payables!$C$7:$C$306,$A32))</f>
        <v/>
      </c>
      <c r="M32" s="21">
        <f>IF($A32="",0,SUMIFS(Recurring!$V$7:$V$66,Recurring!$B$7:$B$66,"Out",Recurring!$C$7:$C$66,$A32)+SUMIFS(Payables!$L$7:$L$306,Payables!$K$7:$K$306,12,Payables!$C$7:$C$306,$A32))</f>
        <v/>
      </c>
      <c r="N32" s="21">
        <f>IF($A32="",0,SUMIFS(Recurring!$W$7:$W$66,Recurring!$B$7:$B$66,"Out",Recurring!$C$7:$C$66,$A32)+SUMIFS(Payables!$L$7:$L$306,Payables!$K$7:$K$306,13,Payables!$C$7:$C$306,$A32))</f>
        <v/>
      </c>
      <c r="O32" s="21">
        <f>SUM(B32:N32)</f>
        <v/>
      </c>
    </row>
    <row r="33">
      <c r="A33" s="20">
        <f>IF(Settings!A30="","",Settings!A30)</f>
        <v/>
      </c>
      <c r="B33" s="21">
        <f>IF($A33="",0,SUMIFS(Recurring!$K$7:$K$66,Recurring!$B$7:$B$66,"Out",Recurring!$C$7:$C$66,$A33)+SUMIFS(Payables!$L$7:$L$306,Payables!$K$7:$K$306,1,Payables!$C$7:$C$306,$A33))</f>
        <v/>
      </c>
      <c r="C33" s="21">
        <f>IF($A33="",0,SUMIFS(Recurring!$L$7:$L$66,Recurring!$B$7:$B$66,"Out",Recurring!$C$7:$C$66,$A33)+SUMIFS(Payables!$L$7:$L$306,Payables!$K$7:$K$306,2,Payables!$C$7:$C$306,$A33))</f>
        <v/>
      </c>
      <c r="D33" s="21">
        <f>IF($A33="",0,SUMIFS(Recurring!$M$7:$M$66,Recurring!$B$7:$B$66,"Out",Recurring!$C$7:$C$66,$A33)+SUMIFS(Payables!$L$7:$L$306,Payables!$K$7:$K$306,3,Payables!$C$7:$C$306,$A33))</f>
        <v/>
      </c>
      <c r="E33" s="21">
        <f>IF($A33="",0,SUMIFS(Recurring!$N$7:$N$66,Recurring!$B$7:$B$66,"Out",Recurring!$C$7:$C$66,$A33)+SUMIFS(Payables!$L$7:$L$306,Payables!$K$7:$K$306,4,Payables!$C$7:$C$306,$A33))</f>
        <v/>
      </c>
      <c r="F33" s="21">
        <f>IF($A33="",0,SUMIFS(Recurring!$O$7:$O$66,Recurring!$B$7:$B$66,"Out",Recurring!$C$7:$C$66,$A33)+SUMIFS(Payables!$L$7:$L$306,Payables!$K$7:$K$306,5,Payables!$C$7:$C$306,$A33))</f>
        <v/>
      </c>
      <c r="G33" s="21">
        <f>IF($A33="",0,SUMIFS(Recurring!$P$7:$P$66,Recurring!$B$7:$B$66,"Out",Recurring!$C$7:$C$66,$A33)+SUMIFS(Payables!$L$7:$L$306,Payables!$K$7:$K$306,6,Payables!$C$7:$C$306,$A33))</f>
        <v/>
      </c>
      <c r="H33" s="21">
        <f>IF($A33="",0,SUMIFS(Recurring!$Q$7:$Q$66,Recurring!$B$7:$B$66,"Out",Recurring!$C$7:$C$66,$A33)+SUMIFS(Payables!$L$7:$L$306,Payables!$K$7:$K$306,7,Payables!$C$7:$C$306,$A33))</f>
        <v/>
      </c>
      <c r="I33" s="21">
        <f>IF($A33="",0,SUMIFS(Recurring!$R$7:$R$66,Recurring!$B$7:$B$66,"Out",Recurring!$C$7:$C$66,$A33)+SUMIFS(Payables!$L$7:$L$306,Payables!$K$7:$K$306,8,Payables!$C$7:$C$306,$A33))</f>
        <v/>
      </c>
      <c r="J33" s="21">
        <f>IF($A33="",0,SUMIFS(Recurring!$S$7:$S$66,Recurring!$B$7:$B$66,"Out",Recurring!$C$7:$C$66,$A33)+SUMIFS(Payables!$L$7:$L$306,Payables!$K$7:$K$306,9,Payables!$C$7:$C$306,$A33))</f>
        <v/>
      </c>
      <c r="K33" s="21">
        <f>IF($A33="",0,SUMIFS(Recurring!$T$7:$T$66,Recurring!$B$7:$B$66,"Out",Recurring!$C$7:$C$66,$A33)+SUMIFS(Payables!$L$7:$L$306,Payables!$K$7:$K$306,10,Payables!$C$7:$C$306,$A33))</f>
        <v/>
      </c>
      <c r="L33" s="21">
        <f>IF($A33="",0,SUMIFS(Recurring!$U$7:$U$66,Recurring!$B$7:$B$66,"Out",Recurring!$C$7:$C$66,$A33)+SUMIFS(Payables!$L$7:$L$306,Payables!$K$7:$K$306,11,Payables!$C$7:$C$306,$A33))</f>
        <v/>
      </c>
      <c r="M33" s="21">
        <f>IF($A33="",0,SUMIFS(Recurring!$V$7:$V$66,Recurring!$B$7:$B$66,"Out",Recurring!$C$7:$C$66,$A33)+SUMIFS(Payables!$L$7:$L$306,Payables!$K$7:$K$306,12,Payables!$C$7:$C$306,$A33))</f>
        <v/>
      </c>
      <c r="N33" s="21">
        <f>IF($A33="",0,SUMIFS(Recurring!$W$7:$W$66,Recurring!$B$7:$B$66,"Out",Recurring!$C$7:$C$66,$A33)+SUMIFS(Payables!$L$7:$L$306,Payables!$K$7:$K$306,13,Payables!$C$7:$C$306,$A33))</f>
        <v/>
      </c>
      <c r="O33" s="21">
        <f>SUM(B33:N33)</f>
        <v/>
      </c>
    </row>
    <row r="34">
      <c r="A34" s="20">
        <f>IF(Settings!A31="","",Settings!A31)</f>
        <v/>
      </c>
      <c r="B34" s="21">
        <f>IF($A34="",0,SUMIFS(Recurring!$K$7:$K$66,Recurring!$B$7:$B$66,"Out",Recurring!$C$7:$C$66,$A34)+SUMIFS(Payables!$L$7:$L$306,Payables!$K$7:$K$306,1,Payables!$C$7:$C$306,$A34))</f>
        <v/>
      </c>
      <c r="C34" s="21">
        <f>IF($A34="",0,SUMIFS(Recurring!$L$7:$L$66,Recurring!$B$7:$B$66,"Out",Recurring!$C$7:$C$66,$A34)+SUMIFS(Payables!$L$7:$L$306,Payables!$K$7:$K$306,2,Payables!$C$7:$C$306,$A34))</f>
        <v/>
      </c>
      <c r="D34" s="21">
        <f>IF($A34="",0,SUMIFS(Recurring!$M$7:$M$66,Recurring!$B$7:$B$66,"Out",Recurring!$C$7:$C$66,$A34)+SUMIFS(Payables!$L$7:$L$306,Payables!$K$7:$K$306,3,Payables!$C$7:$C$306,$A34))</f>
        <v/>
      </c>
      <c r="E34" s="21">
        <f>IF($A34="",0,SUMIFS(Recurring!$N$7:$N$66,Recurring!$B$7:$B$66,"Out",Recurring!$C$7:$C$66,$A34)+SUMIFS(Payables!$L$7:$L$306,Payables!$K$7:$K$306,4,Payables!$C$7:$C$306,$A34))</f>
        <v/>
      </c>
      <c r="F34" s="21">
        <f>IF($A34="",0,SUMIFS(Recurring!$O$7:$O$66,Recurring!$B$7:$B$66,"Out",Recurring!$C$7:$C$66,$A34)+SUMIFS(Payables!$L$7:$L$306,Payables!$K$7:$K$306,5,Payables!$C$7:$C$306,$A34))</f>
        <v/>
      </c>
      <c r="G34" s="21">
        <f>IF($A34="",0,SUMIFS(Recurring!$P$7:$P$66,Recurring!$B$7:$B$66,"Out",Recurring!$C$7:$C$66,$A34)+SUMIFS(Payables!$L$7:$L$306,Payables!$K$7:$K$306,6,Payables!$C$7:$C$306,$A34))</f>
        <v/>
      </c>
      <c r="H34" s="21">
        <f>IF($A34="",0,SUMIFS(Recurring!$Q$7:$Q$66,Recurring!$B$7:$B$66,"Out",Recurring!$C$7:$C$66,$A34)+SUMIFS(Payables!$L$7:$L$306,Payables!$K$7:$K$306,7,Payables!$C$7:$C$306,$A34))</f>
        <v/>
      </c>
      <c r="I34" s="21">
        <f>IF($A34="",0,SUMIFS(Recurring!$R$7:$R$66,Recurring!$B$7:$B$66,"Out",Recurring!$C$7:$C$66,$A34)+SUMIFS(Payables!$L$7:$L$306,Payables!$K$7:$K$306,8,Payables!$C$7:$C$306,$A34))</f>
        <v/>
      </c>
      <c r="J34" s="21">
        <f>IF($A34="",0,SUMIFS(Recurring!$S$7:$S$66,Recurring!$B$7:$B$66,"Out",Recurring!$C$7:$C$66,$A34)+SUMIFS(Payables!$L$7:$L$306,Payables!$K$7:$K$306,9,Payables!$C$7:$C$306,$A34))</f>
        <v/>
      </c>
      <c r="K34" s="21">
        <f>IF($A34="",0,SUMIFS(Recurring!$T$7:$T$66,Recurring!$B$7:$B$66,"Out",Recurring!$C$7:$C$66,$A34)+SUMIFS(Payables!$L$7:$L$306,Payables!$K$7:$K$306,10,Payables!$C$7:$C$306,$A34))</f>
        <v/>
      </c>
      <c r="L34" s="21">
        <f>IF($A34="",0,SUMIFS(Recurring!$U$7:$U$66,Recurring!$B$7:$B$66,"Out",Recurring!$C$7:$C$66,$A34)+SUMIFS(Payables!$L$7:$L$306,Payables!$K$7:$K$306,11,Payables!$C$7:$C$306,$A34))</f>
        <v/>
      </c>
      <c r="M34" s="21">
        <f>IF($A34="",0,SUMIFS(Recurring!$V$7:$V$66,Recurring!$B$7:$B$66,"Out",Recurring!$C$7:$C$66,$A34)+SUMIFS(Payables!$L$7:$L$306,Payables!$K$7:$K$306,12,Payables!$C$7:$C$306,$A34))</f>
        <v/>
      </c>
      <c r="N34" s="21">
        <f>IF($A34="",0,SUMIFS(Recurring!$W$7:$W$66,Recurring!$B$7:$B$66,"Out",Recurring!$C$7:$C$66,$A34)+SUMIFS(Payables!$L$7:$L$306,Payables!$K$7:$K$306,13,Payables!$C$7:$C$306,$A34))</f>
        <v/>
      </c>
      <c r="O34" s="21">
        <f>SUM(B34:N34)</f>
        <v/>
      </c>
    </row>
    <row r="35">
      <c r="A35" s="20">
        <f>IF(Settings!A32="","",Settings!A32)</f>
        <v/>
      </c>
      <c r="B35" s="21">
        <f>IF($A35="",0,SUMIFS(Recurring!$K$7:$K$66,Recurring!$B$7:$B$66,"Out",Recurring!$C$7:$C$66,$A35)+SUMIFS(Payables!$L$7:$L$306,Payables!$K$7:$K$306,1,Payables!$C$7:$C$306,$A35))</f>
        <v/>
      </c>
      <c r="C35" s="21">
        <f>IF($A35="",0,SUMIFS(Recurring!$L$7:$L$66,Recurring!$B$7:$B$66,"Out",Recurring!$C$7:$C$66,$A35)+SUMIFS(Payables!$L$7:$L$306,Payables!$K$7:$K$306,2,Payables!$C$7:$C$306,$A35))</f>
        <v/>
      </c>
      <c r="D35" s="21">
        <f>IF($A35="",0,SUMIFS(Recurring!$M$7:$M$66,Recurring!$B$7:$B$66,"Out",Recurring!$C$7:$C$66,$A35)+SUMIFS(Payables!$L$7:$L$306,Payables!$K$7:$K$306,3,Payables!$C$7:$C$306,$A35))</f>
        <v/>
      </c>
      <c r="E35" s="21">
        <f>IF($A35="",0,SUMIFS(Recurring!$N$7:$N$66,Recurring!$B$7:$B$66,"Out",Recurring!$C$7:$C$66,$A35)+SUMIFS(Payables!$L$7:$L$306,Payables!$K$7:$K$306,4,Payables!$C$7:$C$306,$A35))</f>
        <v/>
      </c>
      <c r="F35" s="21">
        <f>IF($A35="",0,SUMIFS(Recurring!$O$7:$O$66,Recurring!$B$7:$B$66,"Out",Recurring!$C$7:$C$66,$A35)+SUMIFS(Payables!$L$7:$L$306,Payables!$K$7:$K$306,5,Payables!$C$7:$C$306,$A35))</f>
        <v/>
      </c>
      <c r="G35" s="21">
        <f>IF($A35="",0,SUMIFS(Recurring!$P$7:$P$66,Recurring!$B$7:$B$66,"Out",Recurring!$C$7:$C$66,$A35)+SUMIFS(Payables!$L$7:$L$306,Payables!$K$7:$K$306,6,Payables!$C$7:$C$306,$A35))</f>
        <v/>
      </c>
      <c r="H35" s="21">
        <f>IF($A35="",0,SUMIFS(Recurring!$Q$7:$Q$66,Recurring!$B$7:$B$66,"Out",Recurring!$C$7:$C$66,$A35)+SUMIFS(Payables!$L$7:$L$306,Payables!$K$7:$K$306,7,Payables!$C$7:$C$306,$A35))</f>
        <v/>
      </c>
      <c r="I35" s="21">
        <f>IF($A35="",0,SUMIFS(Recurring!$R$7:$R$66,Recurring!$B$7:$B$66,"Out",Recurring!$C$7:$C$66,$A35)+SUMIFS(Payables!$L$7:$L$306,Payables!$K$7:$K$306,8,Payables!$C$7:$C$306,$A35))</f>
        <v/>
      </c>
      <c r="J35" s="21">
        <f>IF($A35="",0,SUMIFS(Recurring!$S$7:$S$66,Recurring!$B$7:$B$66,"Out",Recurring!$C$7:$C$66,$A35)+SUMIFS(Payables!$L$7:$L$306,Payables!$K$7:$K$306,9,Payables!$C$7:$C$306,$A35))</f>
        <v/>
      </c>
      <c r="K35" s="21">
        <f>IF($A35="",0,SUMIFS(Recurring!$T$7:$T$66,Recurring!$B$7:$B$66,"Out",Recurring!$C$7:$C$66,$A35)+SUMIFS(Payables!$L$7:$L$306,Payables!$K$7:$K$306,10,Payables!$C$7:$C$306,$A35))</f>
        <v/>
      </c>
      <c r="L35" s="21">
        <f>IF($A35="",0,SUMIFS(Recurring!$U$7:$U$66,Recurring!$B$7:$B$66,"Out",Recurring!$C$7:$C$66,$A35)+SUMIFS(Payables!$L$7:$L$306,Payables!$K$7:$K$306,11,Payables!$C$7:$C$306,$A35))</f>
        <v/>
      </c>
      <c r="M35" s="21">
        <f>IF($A35="",0,SUMIFS(Recurring!$V$7:$V$66,Recurring!$B$7:$B$66,"Out",Recurring!$C$7:$C$66,$A35)+SUMIFS(Payables!$L$7:$L$306,Payables!$K$7:$K$306,12,Payables!$C$7:$C$306,$A35))</f>
        <v/>
      </c>
      <c r="N35" s="21">
        <f>IF($A35="",0,SUMIFS(Recurring!$W$7:$W$66,Recurring!$B$7:$B$66,"Out",Recurring!$C$7:$C$66,$A35)+SUMIFS(Payables!$L$7:$L$306,Payables!$K$7:$K$306,13,Payables!$C$7:$C$306,$A35))</f>
        <v/>
      </c>
      <c r="O35" s="21">
        <f>SUM(B35:N35)</f>
        <v/>
      </c>
    </row>
    <row r="36">
      <c r="A36" s="20">
        <f>IF(Settings!A33="","",Settings!A33)</f>
        <v/>
      </c>
      <c r="B36" s="21">
        <f>IF($A36="",0,SUMIFS(Recurring!$K$7:$K$66,Recurring!$B$7:$B$66,"Out",Recurring!$C$7:$C$66,$A36)+SUMIFS(Payables!$L$7:$L$306,Payables!$K$7:$K$306,1,Payables!$C$7:$C$306,$A36))</f>
        <v/>
      </c>
      <c r="C36" s="21">
        <f>IF($A36="",0,SUMIFS(Recurring!$L$7:$L$66,Recurring!$B$7:$B$66,"Out",Recurring!$C$7:$C$66,$A36)+SUMIFS(Payables!$L$7:$L$306,Payables!$K$7:$K$306,2,Payables!$C$7:$C$306,$A36))</f>
        <v/>
      </c>
      <c r="D36" s="21">
        <f>IF($A36="",0,SUMIFS(Recurring!$M$7:$M$66,Recurring!$B$7:$B$66,"Out",Recurring!$C$7:$C$66,$A36)+SUMIFS(Payables!$L$7:$L$306,Payables!$K$7:$K$306,3,Payables!$C$7:$C$306,$A36))</f>
        <v/>
      </c>
      <c r="E36" s="21">
        <f>IF($A36="",0,SUMIFS(Recurring!$N$7:$N$66,Recurring!$B$7:$B$66,"Out",Recurring!$C$7:$C$66,$A36)+SUMIFS(Payables!$L$7:$L$306,Payables!$K$7:$K$306,4,Payables!$C$7:$C$306,$A36))</f>
        <v/>
      </c>
      <c r="F36" s="21">
        <f>IF($A36="",0,SUMIFS(Recurring!$O$7:$O$66,Recurring!$B$7:$B$66,"Out",Recurring!$C$7:$C$66,$A36)+SUMIFS(Payables!$L$7:$L$306,Payables!$K$7:$K$306,5,Payables!$C$7:$C$306,$A36))</f>
        <v/>
      </c>
      <c r="G36" s="21">
        <f>IF($A36="",0,SUMIFS(Recurring!$P$7:$P$66,Recurring!$B$7:$B$66,"Out",Recurring!$C$7:$C$66,$A36)+SUMIFS(Payables!$L$7:$L$306,Payables!$K$7:$K$306,6,Payables!$C$7:$C$306,$A36))</f>
        <v/>
      </c>
      <c r="H36" s="21">
        <f>IF($A36="",0,SUMIFS(Recurring!$Q$7:$Q$66,Recurring!$B$7:$B$66,"Out",Recurring!$C$7:$C$66,$A36)+SUMIFS(Payables!$L$7:$L$306,Payables!$K$7:$K$306,7,Payables!$C$7:$C$306,$A36))</f>
        <v/>
      </c>
      <c r="I36" s="21">
        <f>IF($A36="",0,SUMIFS(Recurring!$R$7:$R$66,Recurring!$B$7:$B$66,"Out",Recurring!$C$7:$C$66,$A36)+SUMIFS(Payables!$L$7:$L$306,Payables!$K$7:$K$306,8,Payables!$C$7:$C$306,$A36))</f>
        <v/>
      </c>
      <c r="J36" s="21">
        <f>IF($A36="",0,SUMIFS(Recurring!$S$7:$S$66,Recurring!$B$7:$B$66,"Out",Recurring!$C$7:$C$66,$A36)+SUMIFS(Payables!$L$7:$L$306,Payables!$K$7:$K$306,9,Payables!$C$7:$C$306,$A36))</f>
        <v/>
      </c>
      <c r="K36" s="21">
        <f>IF($A36="",0,SUMIFS(Recurring!$T$7:$T$66,Recurring!$B$7:$B$66,"Out",Recurring!$C$7:$C$66,$A36)+SUMIFS(Payables!$L$7:$L$306,Payables!$K$7:$K$306,10,Payables!$C$7:$C$306,$A36))</f>
        <v/>
      </c>
      <c r="L36" s="21">
        <f>IF($A36="",0,SUMIFS(Recurring!$U$7:$U$66,Recurring!$B$7:$B$66,"Out",Recurring!$C$7:$C$66,$A36)+SUMIFS(Payables!$L$7:$L$306,Payables!$K$7:$K$306,11,Payables!$C$7:$C$306,$A36))</f>
        <v/>
      </c>
      <c r="M36" s="21">
        <f>IF($A36="",0,SUMIFS(Recurring!$V$7:$V$66,Recurring!$B$7:$B$66,"Out",Recurring!$C$7:$C$66,$A36)+SUMIFS(Payables!$L$7:$L$306,Payables!$K$7:$K$306,12,Payables!$C$7:$C$306,$A36))</f>
        <v/>
      </c>
      <c r="N36" s="21">
        <f>IF($A36="",0,SUMIFS(Recurring!$W$7:$W$66,Recurring!$B$7:$B$66,"Out",Recurring!$C$7:$C$66,$A36)+SUMIFS(Payables!$L$7:$L$306,Payables!$K$7:$K$306,13,Payables!$C$7:$C$306,$A36))</f>
        <v/>
      </c>
      <c r="O36" s="21">
        <f>SUM(B36:N36)</f>
        <v/>
      </c>
    </row>
    <row r="37">
      <c r="A37" s="20">
        <f>IF(Settings!A34="","",Settings!A34)</f>
        <v/>
      </c>
      <c r="B37" s="21">
        <f>IF($A37="",0,SUMIFS(Recurring!$K$7:$K$66,Recurring!$B$7:$B$66,"Out",Recurring!$C$7:$C$66,$A37)+SUMIFS(Payables!$L$7:$L$306,Payables!$K$7:$K$306,1,Payables!$C$7:$C$306,$A37))</f>
        <v/>
      </c>
      <c r="C37" s="21">
        <f>IF($A37="",0,SUMIFS(Recurring!$L$7:$L$66,Recurring!$B$7:$B$66,"Out",Recurring!$C$7:$C$66,$A37)+SUMIFS(Payables!$L$7:$L$306,Payables!$K$7:$K$306,2,Payables!$C$7:$C$306,$A37))</f>
        <v/>
      </c>
      <c r="D37" s="21">
        <f>IF($A37="",0,SUMIFS(Recurring!$M$7:$M$66,Recurring!$B$7:$B$66,"Out",Recurring!$C$7:$C$66,$A37)+SUMIFS(Payables!$L$7:$L$306,Payables!$K$7:$K$306,3,Payables!$C$7:$C$306,$A37))</f>
        <v/>
      </c>
      <c r="E37" s="21">
        <f>IF($A37="",0,SUMIFS(Recurring!$N$7:$N$66,Recurring!$B$7:$B$66,"Out",Recurring!$C$7:$C$66,$A37)+SUMIFS(Payables!$L$7:$L$306,Payables!$K$7:$K$306,4,Payables!$C$7:$C$306,$A37))</f>
        <v/>
      </c>
      <c r="F37" s="21">
        <f>IF($A37="",0,SUMIFS(Recurring!$O$7:$O$66,Recurring!$B$7:$B$66,"Out",Recurring!$C$7:$C$66,$A37)+SUMIFS(Payables!$L$7:$L$306,Payables!$K$7:$K$306,5,Payables!$C$7:$C$306,$A37))</f>
        <v/>
      </c>
      <c r="G37" s="21">
        <f>IF($A37="",0,SUMIFS(Recurring!$P$7:$P$66,Recurring!$B$7:$B$66,"Out",Recurring!$C$7:$C$66,$A37)+SUMIFS(Payables!$L$7:$L$306,Payables!$K$7:$K$306,6,Payables!$C$7:$C$306,$A37))</f>
        <v/>
      </c>
      <c r="H37" s="21">
        <f>IF($A37="",0,SUMIFS(Recurring!$Q$7:$Q$66,Recurring!$B$7:$B$66,"Out",Recurring!$C$7:$C$66,$A37)+SUMIFS(Payables!$L$7:$L$306,Payables!$K$7:$K$306,7,Payables!$C$7:$C$306,$A37))</f>
        <v/>
      </c>
      <c r="I37" s="21">
        <f>IF($A37="",0,SUMIFS(Recurring!$R$7:$R$66,Recurring!$B$7:$B$66,"Out",Recurring!$C$7:$C$66,$A37)+SUMIFS(Payables!$L$7:$L$306,Payables!$K$7:$K$306,8,Payables!$C$7:$C$306,$A37))</f>
        <v/>
      </c>
      <c r="J37" s="21">
        <f>IF($A37="",0,SUMIFS(Recurring!$S$7:$S$66,Recurring!$B$7:$B$66,"Out",Recurring!$C$7:$C$66,$A37)+SUMIFS(Payables!$L$7:$L$306,Payables!$K$7:$K$306,9,Payables!$C$7:$C$306,$A37))</f>
        <v/>
      </c>
      <c r="K37" s="21">
        <f>IF($A37="",0,SUMIFS(Recurring!$T$7:$T$66,Recurring!$B$7:$B$66,"Out",Recurring!$C$7:$C$66,$A37)+SUMIFS(Payables!$L$7:$L$306,Payables!$K$7:$K$306,10,Payables!$C$7:$C$306,$A37))</f>
        <v/>
      </c>
      <c r="L37" s="21">
        <f>IF($A37="",0,SUMIFS(Recurring!$U$7:$U$66,Recurring!$B$7:$B$66,"Out",Recurring!$C$7:$C$66,$A37)+SUMIFS(Payables!$L$7:$L$306,Payables!$K$7:$K$306,11,Payables!$C$7:$C$306,$A37))</f>
        <v/>
      </c>
      <c r="M37" s="21">
        <f>IF($A37="",0,SUMIFS(Recurring!$V$7:$V$66,Recurring!$B$7:$B$66,"Out",Recurring!$C$7:$C$66,$A37)+SUMIFS(Payables!$L$7:$L$306,Payables!$K$7:$K$306,12,Payables!$C$7:$C$306,$A37))</f>
        <v/>
      </c>
      <c r="N37" s="21">
        <f>IF($A37="",0,SUMIFS(Recurring!$W$7:$W$66,Recurring!$B$7:$B$66,"Out",Recurring!$C$7:$C$66,$A37)+SUMIFS(Payables!$L$7:$L$306,Payables!$K$7:$K$306,13,Payables!$C$7:$C$306,$A37))</f>
        <v/>
      </c>
      <c r="O37" s="21">
        <f>SUM(B37:N37)</f>
        <v/>
      </c>
    </row>
    <row r="38">
      <c r="A38" s="20">
        <f>IF(Settings!A35="","",Settings!A35)</f>
        <v/>
      </c>
      <c r="B38" s="21">
        <f>IF($A38="",0,SUMIFS(Recurring!$K$7:$K$66,Recurring!$B$7:$B$66,"Out",Recurring!$C$7:$C$66,$A38)+SUMIFS(Payables!$L$7:$L$306,Payables!$K$7:$K$306,1,Payables!$C$7:$C$306,$A38))</f>
        <v/>
      </c>
      <c r="C38" s="21">
        <f>IF($A38="",0,SUMIFS(Recurring!$L$7:$L$66,Recurring!$B$7:$B$66,"Out",Recurring!$C$7:$C$66,$A38)+SUMIFS(Payables!$L$7:$L$306,Payables!$K$7:$K$306,2,Payables!$C$7:$C$306,$A38))</f>
        <v/>
      </c>
      <c r="D38" s="21">
        <f>IF($A38="",0,SUMIFS(Recurring!$M$7:$M$66,Recurring!$B$7:$B$66,"Out",Recurring!$C$7:$C$66,$A38)+SUMIFS(Payables!$L$7:$L$306,Payables!$K$7:$K$306,3,Payables!$C$7:$C$306,$A38))</f>
        <v/>
      </c>
      <c r="E38" s="21">
        <f>IF($A38="",0,SUMIFS(Recurring!$N$7:$N$66,Recurring!$B$7:$B$66,"Out",Recurring!$C$7:$C$66,$A38)+SUMIFS(Payables!$L$7:$L$306,Payables!$K$7:$K$306,4,Payables!$C$7:$C$306,$A38))</f>
        <v/>
      </c>
      <c r="F38" s="21">
        <f>IF($A38="",0,SUMIFS(Recurring!$O$7:$O$66,Recurring!$B$7:$B$66,"Out",Recurring!$C$7:$C$66,$A38)+SUMIFS(Payables!$L$7:$L$306,Payables!$K$7:$K$306,5,Payables!$C$7:$C$306,$A38))</f>
        <v/>
      </c>
      <c r="G38" s="21">
        <f>IF($A38="",0,SUMIFS(Recurring!$P$7:$P$66,Recurring!$B$7:$B$66,"Out",Recurring!$C$7:$C$66,$A38)+SUMIFS(Payables!$L$7:$L$306,Payables!$K$7:$K$306,6,Payables!$C$7:$C$306,$A38))</f>
        <v/>
      </c>
      <c r="H38" s="21">
        <f>IF($A38="",0,SUMIFS(Recurring!$Q$7:$Q$66,Recurring!$B$7:$B$66,"Out",Recurring!$C$7:$C$66,$A38)+SUMIFS(Payables!$L$7:$L$306,Payables!$K$7:$K$306,7,Payables!$C$7:$C$306,$A38))</f>
        <v/>
      </c>
      <c r="I38" s="21">
        <f>IF($A38="",0,SUMIFS(Recurring!$R$7:$R$66,Recurring!$B$7:$B$66,"Out",Recurring!$C$7:$C$66,$A38)+SUMIFS(Payables!$L$7:$L$306,Payables!$K$7:$K$306,8,Payables!$C$7:$C$306,$A38))</f>
        <v/>
      </c>
      <c r="J38" s="21">
        <f>IF($A38="",0,SUMIFS(Recurring!$S$7:$S$66,Recurring!$B$7:$B$66,"Out",Recurring!$C$7:$C$66,$A38)+SUMIFS(Payables!$L$7:$L$306,Payables!$K$7:$K$306,9,Payables!$C$7:$C$306,$A38))</f>
        <v/>
      </c>
      <c r="K38" s="21">
        <f>IF($A38="",0,SUMIFS(Recurring!$T$7:$T$66,Recurring!$B$7:$B$66,"Out",Recurring!$C$7:$C$66,$A38)+SUMIFS(Payables!$L$7:$L$306,Payables!$K$7:$K$306,10,Payables!$C$7:$C$306,$A38))</f>
        <v/>
      </c>
      <c r="L38" s="21">
        <f>IF($A38="",0,SUMIFS(Recurring!$U$7:$U$66,Recurring!$B$7:$B$66,"Out",Recurring!$C$7:$C$66,$A38)+SUMIFS(Payables!$L$7:$L$306,Payables!$K$7:$K$306,11,Payables!$C$7:$C$306,$A38))</f>
        <v/>
      </c>
      <c r="M38" s="21">
        <f>IF($A38="",0,SUMIFS(Recurring!$V$7:$V$66,Recurring!$B$7:$B$66,"Out",Recurring!$C$7:$C$66,$A38)+SUMIFS(Payables!$L$7:$L$306,Payables!$K$7:$K$306,12,Payables!$C$7:$C$306,$A38))</f>
        <v/>
      </c>
      <c r="N38" s="21">
        <f>IF($A38="",0,SUMIFS(Recurring!$W$7:$W$66,Recurring!$B$7:$B$66,"Out",Recurring!$C$7:$C$66,$A38)+SUMIFS(Payables!$L$7:$L$306,Payables!$K$7:$K$306,13,Payables!$C$7:$C$306,$A38))</f>
        <v/>
      </c>
      <c r="O38" s="21">
        <f>SUM(B38:N38)</f>
        <v/>
      </c>
    </row>
    <row r="39">
      <c r="A39" s="20">
        <f>IF(Settings!A36="","",Settings!A36)</f>
        <v/>
      </c>
      <c r="B39" s="21">
        <f>IF($A39="",0,SUMIFS(Recurring!$K$7:$K$66,Recurring!$B$7:$B$66,"Out",Recurring!$C$7:$C$66,$A39)+SUMIFS(Payables!$L$7:$L$306,Payables!$K$7:$K$306,1,Payables!$C$7:$C$306,$A39))</f>
        <v/>
      </c>
      <c r="C39" s="21">
        <f>IF($A39="",0,SUMIFS(Recurring!$L$7:$L$66,Recurring!$B$7:$B$66,"Out",Recurring!$C$7:$C$66,$A39)+SUMIFS(Payables!$L$7:$L$306,Payables!$K$7:$K$306,2,Payables!$C$7:$C$306,$A39))</f>
        <v/>
      </c>
      <c r="D39" s="21">
        <f>IF($A39="",0,SUMIFS(Recurring!$M$7:$M$66,Recurring!$B$7:$B$66,"Out",Recurring!$C$7:$C$66,$A39)+SUMIFS(Payables!$L$7:$L$306,Payables!$K$7:$K$306,3,Payables!$C$7:$C$306,$A39))</f>
        <v/>
      </c>
      <c r="E39" s="21">
        <f>IF($A39="",0,SUMIFS(Recurring!$N$7:$N$66,Recurring!$B$7:$B$66,"Out",Recurring!$C$7:$C$66,$A39)+SUMIFS(Payables!$L$7:$L$306,Payables!$K$7:$K$306,4,Payables!$C$7:$C$306,$A39))</f>
        <v/>
      </c>
      <c r="F39" s="21">
        <f>IF($A39="",0,SUMIFS(Recurring!$O$7:$O$66,Recurring!$B$7:$B$66,"Out",Recurring!$C$7:$C$66,$A39)+SUMIFS(Payables!$L$7:$L$306,Payables!$K$7:$K$306,5,Payables!$C$7:$C$306,$A39))</f>
        <v/>
      </c>
      <c r="G39" s="21">
        <f>IF($A39="",0,SUMIFS(Recurring!$P$7:$P$66,Recurring!$B$7:$B$66,"Out",Recurring!$C$7:$C$66,$A39)+SUMIFS(Payables!$L$7:$L$306,Payables!$K$7:$K$306,6,Payables!$C$7:$C$306,$A39))</f>
        <v/>
      </c>
      <c r="H39" s="21">
        <f>IF($A39="",0,SUMIFS(Recurring!$Q$7:$Q$66,Recurring!$B$7:$B$66,"Out",Recurring!$C$7:$C$66,$A39)+SUMIFS(Payables!$L$7:$L$306,Payables!$K$7:$K$306,7,Payables!$C$7:$C$306,$A39))</f>
        <v/>
      </c>
      <c r="I39" s="21">
        <f>IF($A39="",0,SUMIFS(Recurring!$R$7:$R$66,Recurring!$B$7:$B$66,"Out",Recurring!$C$7:$C$66,$A39)+SUMIFS(Payables!$L$7:$L$306,Payables!$K$7:$K$306,8,Payables!$C$7:$C$306,$A39))</f>
        <v/>
      </c>
      <c r="J39" s="21">
        <f>IF($A39="",0,SUMIFS(Recurring!$S$7:$S$66,Recurring!$B$7:$B$66,"Out",Recurring!$C$7:$C$66,$A39)+SUMIFS(Payables!$L$7:$L$306,Payables!$K$7:$K$306,9,Payables!$C$7:$C$306,$A39))</f>
        <v/>
      </c>
      <c r="K39" s="21">
        <f>IF($A39="",0,SUMIFS(Recurring!$T$7:$T$66,Recurring!$B$7:$B$66,"Out",Recurring!$C$7:$C$66,$A39)+SUMIFS(Payables!$L$7:$L$306,Payables!$K$7:$K$306,10,Payables!$C$7:$C$306,$A39))</f>
        <v/>
      </c>
      <c r="L39" s="21">
        <f>IF($A39="",0,SUMIFS(Recurring!$U$7:$U$66,Recurring!$B$7:$B$66,"Out",Recurring!$C$7:$C$66,$A39)+SUMIFS(Payables!$L$7:$L$306,Payables!$K$7:$K$306,11,Payables!$C$7:$C$306,$A39))</f>
        <v/>
      </c>
      <c r="M39" s="21">
        <f>IF($A39="",0,SUMIFS(Recurring!$V$7:$V$66,Recurring!$B$7:$B$66,"Out",Recurring!$C$7:$C$66,$A39)+SUMIFS(Payables!$L$7:$L$306,Payables!$K$7:$K$306,12,Payables!$C$7:$C$306,$A39))</f>
        <v/>
      </c>
      <c r="N39" s="21">
        <f>IF($A39="",0,SUMIFS(Recurring!$W$7:$W$66,Recurring!$B$7:$B$66,"Out",Recurring!$C$7:$C$66,$A39)+SUMIFS(Payables!$L$7:$L$306,Payables!$K$7:$K$306,13,Payables!$C$7:$C$306,$A39))</f>
        <v/>
      </c>
      <c r="O39" s="21">
        <f>SUM(B39:N39)</f>
        <v/>
      </c>
    </row>
    <row r="40">
      <c r="A40" s="20">
        <f>IF(Settings!A37="","",Settings!A37)</f>
        <v/>
      </c>
      <c r="B40" s="21">
        <f>IF($A40="",0,SUMIFS(Recurring!$K$7:$K$66,Recurring!$B$7:$B$66,"Out",Recurring!$C$7:$C$66,$A40)+SUMIFS(Payables!$L$7:$L$306,Payables!$K$7:$K$306,1,Payables!$C$7:$C$306,$A40))</f>
        <v/>
      </c>
      <c r="C40" s="21">
        <f>IF($A40="",0,SUMIFS(Recurring!$L$7:$L$66,Recurring!$B$7:$B$66,"Out",Recurring!$C$7:$C$66,$A40)+SUMIFS(Payables!$L$7:$L$306,Payables!$K$7:$K$306,2,Payables!$C$7:$C$306,$A40))</f>
        <v/>
      </c>
      <c r="D40" s="21">
        <f>IF($A40="",0,SUMIFS(Recurring!$M$7:$M$66,Recurring!$B$7:$B$66,"Out",Recurring!$C$7:$C$66,$A40)+SUMIFS(Payables!$L$7:$L$306,Payables!$K$7:$K$306,3,Payables!$C$7:$C$306,$A40))</f>
        <v/>
      </c>
      <c r="E40" s="21">
        <f>IF($A40="",0,SUMIFS(Recurring!$N$7:$N$66,Recurring!$B$7:$B$66,"Out",Recurring!$C$7:$C$66,$A40)+SUMIFS(Payables!$L$7:$L$306,Payables!$K$7:$K$306,4,Payables!$C$7:$C$306,$A40))</f>
        <v/>
      </c>
      <c r="F40" s="21">
        <f>IF($A40="",0,SUMIFS(Recurring!$O$7:$O$66,Recurring!$B$7:$B$66,"Out",Recurring!$C$7:$C$66,$A40)+SUMIFS(Payables!$L$7:$L$306,Payables!$K$7:$K$306,5,Payables!$C$7:$C$306,$A40))</f>
        <v/>
      </c>
      <c r="G40" s="21">
        <f>IF($A40="",0,SUMIFS(Recurring!$P$7:$P$66,Recurring!$B$7:$B$66,"Out",Recurring!$C$7:$C$66,$A40)+SUMIFS(Payables!$L$7:$L$306,Payables!$K$7:$K$306,6,Payables!$C$7:$C$306,$A40))</f>
        <v/>
      </c>
      <c r="H40" s="21">
        <f>IF($A40="",0,SUMIFS(Recurring!$Q$7:$Q$66,Recurring!$B$7:$B$66,"Out",Recurring!$C$7:$C$66,$A40)+SUMIFS(Payables!$L$7:$L$306,Payables!$K$7:$K$306,7,Payables!$C$7:$C$306,$A40))</f>
        <v/>
      </c>
      <c r="I40" s="21">
        <f>IF($A40="",0,SUMIFS(Recurring!$R$7:$R$66,Recurring!$B$7:$B$66,"Out",Recurring!$C$7:$C$66,$A40)+SUMIFS(Payables!$L$7:$L$306,Payables!$K$7:$K$306,8,Payables!$C$7:$C$306,$A40))</f>
        <v/>
      </c>
      <c r="J40" s="21">
        <f>IF($A40="",0,SUMIFS(Recurring!$S$7:$S$66,Recurring!$B$7:$B$66,"Out",Recurring!$C$7:$C$66,$A40)+SUMIFS(Payables!$L$7:$L$306,Payables!$K$7:$K$306,9,Payables!$C$7:$C$306,$A40))</f>
        <v/>
      </c>
      <c r="K40" s="21">
        <f>IF($A40="",0,SUMIFS(Recurring!$T$7:$T$66,Recurring!$B$7:$B$66,"Out",Recurring!$C$7:$C$66,$A40)+SUMIFS(Payables!$L$7:$L$306,Payables!$K$7:$K$306,10,Payables!$C$7:$C$306,$A40))</f>
        <v/>
      </c>
      <c r="L40" s="21">
        <f>IF($A40="",0,SUMIFS(Recurring!$U$7:$U$66,Recurring!$B$7:$B$66,"Out",Recurring!$C$7:$C$66,$A40)+SUMIFS(Payables!$L$7:$L$306,Payables!$K$7:$K$306,11,Payables!$C$7:$C$306,$A40))</f>
        <v/>
      </c>
      <c r="M40" s="21">
        <f>IF($A40="",0,SUMIFS(Recurring!$V$7:$V$66,Recurring!$B$7:$B$66,"Out",Recurring!$C$7:$C$66,$A40)+SUMIFS(Payables!$L$7:$L$306,Payables!$K$7:$K$306,12,Payables!$C$7:$C$306,$A40))</f>
        <v/>
      </c>
      <c r="N40" s="21">
        <f>IF($A40="",0,SUMIFS(Recurring!$W$7:$W$66,Recurring!$B$7:$B$66,"Out",Recurring!$C$7:$C$66,$A40)+SUMIFS(Payables!$L$7:$L$306,Payables!$K$7:$K$306,13,Payables!$C$7:$C$306,$A40))</f>
        <v/>
      </c>
      <c r="O40" s="21">
        <f>SUM(B40:N40)</f>
        <v/>
      </c>
    </row>
    <row r="41">
      <c r="A41" s="20">
        <f>IF(Settings!A38="","",Settings!A38)</f>
        <v/>
      </c>
      <c r="B41" s="21">
        <f>IF($A41="",0,SUMIFS(Recurring!$K$7:$K$66,Recurring!$B$7:$B$66,"Out",Recurring!$C$7:$C$66,$A41)+SUMIFS(Payables!$L$7:$L$306,Payables!$K$7:$K$306,1,Payables!$C$7:$C$306,$A41))</f>
        <v/>
      </c>
      <c r="C41" s="21">
        <f>IF($A41="",0,SUMIFS(Recurring!$L$7:$L$66,Recurring!$B$7:$B$66,"Out",Recurring!$C$7:$C$66,$A41)+SUMIFS(Payables!$L$7:$L$306,Payables!$K$7:$K$306,2,Payables!$C$7:$C$306,$A41))</f>
        <v/>
      </c>
      <c r="D41" s="21">
        <f>IF($A41="",0,SUMIFS(Recurring!$M$7:$M$66,Recurring!$B$7:$B$66,"Out",Recurring!$C$7:$C$66,$A41)+SUMIFS(Payables!$L$7:$L$306,Payables!$K$7:$K$306,3,Payables!$C$7:$C$306,$A41))</f>
        <v/>
      </c>
      <c r="E41" s="21">
        <f>IF($A41="",0,SUMIFS(Recurring!$N$7:$N$66,Recurring!$B$7:$B$66,"Out",Recurring!$C$7:$C$66,$A41)+SUMIFS(Payables!$L$7:$L$306,Payables!$K$7:$K$306,4,Payables!$C$7:$C$306,$A41))</f>
        <v/>
      </c>
      <c r="F41" s="21">
        <f>IF($A41="",0,SUMIFS(Recurring!$O$7:$O$66,Recurring!$B$7:$B$66,"Out",Recurring!$C$7:$C$66,$A41)+SUMIFS(Payables!$L$7:$L$306,Payables!$K$7:$K$306,5,Payables!$C$7:$C$306,$A41))</f>
        <v/>
      </c>
      <c r="G41" s="21">
        <f>IF($A41="",0,SUMIFS(Recurring!$P$7:$P$66,Recurring!$B$7:$B$66,"Out",Recurring!$C$7:$C$66,$A41)+SUMIFS(Payables!$L$7:$L$306,Payables!$K$7:$K$306,6,Payables!$C$7:$C$306,$A41))</f>
        <v/>
      </c>
      <c r="H41" s="21">
        <f>IF($A41="",0,SUMIFS(Recurring!$Q$7:$Q$66,Recurring!$B$7:$B$66,"Out",Recurring!$C$7:$C$66,$A41)+SUMIFS(Payables!$L$7:$L$306,Payables!$K$7:$K$306,7,Payables!$C$7:$C$306,$A41))</f>
        <v/>
      </c>
      <c r="I41" s="21">
        <f>IF($A41="",0,SUMIFS(Recurring!$R$7:$R$66,Recurring!$B$7:$B$66,"Out",Recurring!$C$7:$C$66,$A41)+SUMIFS(Payables!$L$7:$L$306,Payables!$K$7:$K$306,8,Payables!$C$7:$C$306,$A41))</f>
        <v/>
      </c>
      <c r="J41" s="21">
        <f>IF($A41="",0,SUMIFS(Recurring!$S$7:$S$66,Recurring!$B$7:$B$66,"Out",Recurring!$C$7:$C$66,$A41)+SUMIFS(Payables!$L$7:$L$306,Payables!$K$7:$K$306,9,Payables!$C$7:$C$306,$A41))</f>
        <v/>
      </c>
      <c r="K41" s="21">
        <f>IF($A41="",0,SUMIFS(Recurring!$T$7:$T$66,Recurring!$B$7:$B$66,"Out",Recurring!$C$7:$C$66,$A41)+SUMIFS(Payables!$L$7:$L$306,Payables!$K$7:$K$306,10,Payables!$C$7:$C$306,$A41))</f>
        <v/>
      </c>
      <c r="L41" s="21">
        <f>IF($A41="",0,SUMIFS(Recurring!$U$7:$U$66,Recurring!$B$7:$B$66,"Out",Recurring!$C$7:$C$66,$A41)+SUMIFS(Payables!$L$7:$L$306,Payables!$K$7:$K$306,11,Payables!$C$7:$C$306,$A41))</f>
        <v/>
      </c>
      <c r="M41" s="21">
        <f>IF($A41="",0,SUMIFS(Recurring!$V$7:$V$66,Recurring!$B$7:$B$66,"Out",Recurring!$C$7:$C$66,$A41)+SUMIFS(Payables!$L$7:$L$306,Payables!$K$7:$K$306,12,Payables!$C$7:$C$306,$A41))</f>
        <v/>
      </c>
      <c r="N41" s="21">
        <f>IF($A41="",0,SUMIFS(Recurring!$W$7:$W$66,Recurring!$B$7:$B$66,"Out",Recurring!$C$7:$C$66,$A41)+SUMIFS(Payables!$L$7:$L$306,Payables!$K$7:$K$306,13,Payables!$C$7:$C$306,$A41))</f>
        <v/>
      </c>
      <c r="O41" s="21">
        <f>SUM(B41:N41)</f>
        <v/>
      </c>
    </row>
    <row r="42">
      <c r="A42" s="2" t="inlineStr">
        <is>
          <t>Other / unlisted (out)</t>
        </is>
      </c>
      <c r="B42" s="21">
        <f>ROUND(B43-SUM(B30:B41),6)</f>
        <v/>
      </c>
      <c r="C42" s="21">
        <f>ROUND(C43-SUM(C30:C41),6)</f>
        <v/>
      </c>
      <c r="D42" s="21">
        <f>ROUND(D43-SUM(D30:D41),6)</f>
        <v/>
      </c>
      <c r="E42" s="21">
        <f>ROUND(E43-SUM(E30:E41),6)</f>
        <v/>
      </c>
      <c r="F42" s="21">
        <f>ROUND(F43-SUM(F30:F41),6)</f>
        <v/>
      </c>
      <c r="G42" s="21">
        <f>ROUND(G43-SUM(G30:G41),6)</f>
        <v/>
      </c>
      <c r="H42" s="21">
        <f>ROUND(H43-SUM(H30:H41),6)</f>
        <v/>
      </c>
      <c r="I42" s="21">
        <f>ROUND(I43-SUM(I30:I41),6)</f>
        <v/>
      </c>
      <c r="J42" s="21">
        <f>ROUND(J43-SUM(J30:J41),6)</f>
        <v/>
      </c>
      <c r="K42" s="21">
        <f>ROUND(K43-SUM(K30:K41),6)</f>
        <v/>
      </c>
      <c r="L42" s="21">
        <f>ROUND(L43-SUM(L30:L41),6)</f>
        <v/>
      </c>
      <c r="M42" s="21">
        <f>ROUND(M43-SUM(M30:M41),6)</f>
        <v/>
      </c>
      <c r="N42" s="21">
        <f>ROUND(N43-SUM(N30:N41),6)</f>
        <v/>
      </c>
      <c r="O42" s="21">
        <f>SUM(B42:N42)</f>
        <v/>
      </c>
    </row>
    <row r="43">
      <c r="A43" s="8" t="inlineStr">
        <is>
          <t>Total cash out</t>
        </is>
      </c>
      <c r="B43" s="22">
        <f>SUMIFS(Recurring!$K$7:$K$66,Recurring!$B$7:$B$66,"Out")+SUMIFS(Payables!$L$7:$L$306,Payables!$K$7:$K$306,1)</f>
        <v/>
      </c>
      <c r="C43" s="22">
        <f>SUMIFS(Recurring!$L$7:$L$66,Recurring!$B$7:$B$66,"Out")+SUMIFS(Payables!$L$7:$L$306,Payables!$K$7:$K$306,2)</f>
        <v/>
      </c>
      <c r="D43" s="22">
        <f>SUMIFS(Recurring!$M$7:$M$66,Recurring!$B$7:$B$66,"Out")+SUMIFS(Payables!$L$7:$L$306,Payables!$K$7:$K$306,3)</f>
        <v/>
      </c>
      <c r="E43" s="22">
        <f>SUMIFS(Recurring!$N$7:$N$66,Recurring!$B$7:$B$66,"Out")+SUMIFS(Payables!$L$7:$L$306,Payables!$K$7:$K$306,4)</f>
        <v/>
      </c>
      <c r="F43" s="22">
        <f>SUMIFS(Recurring!$O$7:$O$66,Recurring!$B$7:$B$66,"Out")+SUMIFS(Payables!$L$7:$L$306,Payables!$K$7:$K$306,5)</f>
        <v/>
      </c>
      <c r="G43" s="22">
        <f>SUMIFS(Recurring!$P$7:$P$66,Recurring!$B$7:$B$66,"Out")+SUMIFS(Payables!$L$7:$L$306,Payables!$K$7:$K$306,6)</f>
        <v/>
      </c>
      <c r="H43" s="22">
        <f>SUMIFS(Recurring!$Q$7:$Q$66,Recurring!$B$7:$B$66,"Out")+SUMIFS(Payables!$L$7:$L$306,Payables!$K$7:$K$306,7)</f>
        <v/>
      </c>
      <c r="I43" s="22">
        <f>SUMIFS(Recurring!$R$7:$R$66,Recurring!$B$7:$B$66,"Out")+SUMIFS(Payables!$L$7:$L$306,Payables!$K$7:$K$306,8)</f>
        <v/>
      </c>
      <c r="J43" s="22">
        <f>SUMIFS(Recurring!$S$7:$S$66,Recurring!$B$7:$B$66,"Out")+SUMIFS(Payables!$L$7:$L$306,Payables!$K$7:$K$306,9)</f>
        <v/>
      </c>
      <c r="K43" s="22">
        <f>SUMIFS(Recurring!$T$7:$T$66,Recurring!$B$7:$B$66,"Out")+SUMIFS(Payables!$L$7:$L$306,Payables!$K$7:$K$306,10)</f>
        <v/>
      </c>
      <c r="L43" s="22">
        <f>SUMIFS(Recurring!$U$7:$U$66,Recurring!$B$7:$B$66,"Out")+SUMIFS(Payables!$L$7:$L$306,Payables!$K$7:$K$306,11)</f>
        <v/>
      </c>
      <c r="M43" s="22">
        <f>SUMIFS(Recurring!$V$7:$V$66,Recurring!$B$7:$B$66,"Out")+SUMIFS(Payables!$L$7:$L$306,Payables!$K$7:$K$306,12)</f>
        <v/>
      </c>
      <c r="N43" s="22">
        <f>SUMIFS(Recurring!$W$7:$W$66,Recurring!$B$7:$B$66,"Out")+SUMIFS(Payables!$L$7:$L$306,Payables!$K$7:$K$306,13)</f>
        <v/>
      </c>
      <c r="O43" s="9">
        <f>SUM(B43:N43)</f>
        <v/>
      </c>
    </row>
    <row r="44">
      <c r="A44" s="8" t="inlineStr">
        <is>
          <t>Net cash flow</t>
        </is>
      </c>
      <c r="B44" s="9">
        <f>B28-B43</f>
        <v/>
      </c>
      <c r="C44" s="9">
        <f>C28-C43</f>
        <v/>
      </c>
      <c r="D44" s="9">
        <f>D28-D43</f>
        <v/>
      </c>
      <c r="E44" s="9">
        <f>E28-E43</f>
        <v/>
      </c>
      <c r="F44" s="9">
        <f>F28-F43</f>
        <v/>
      </c>
      <c r="G44" s="9">
        <f>G28-G43</f>
        <v/>
      </c>
      <c r="H44" s="9">
        <f>H28-H43</f>
        <v/>
      </c>
      <c r="I44" s="9">
        <f>I28-I43</f>
        <v/>
      </c>
      <c r="J44" s="9">
        <f>J28-J43</f>
        <v/>
      </c>
      <c r="K44" s="9">
        <f>K28-K43</f>
        <v/>
      </c>
      <c r="L44" s="9">
        <f>L28-L43</f>
        <v/>
      </c>
      <c r="M44" s="9">
        <f>M28-M43</f>
        <v/>
      </c>
      <c r="N44" s="9">
        <f>N28-N43</f>
        <v/>
      </c>
      <c r="O44" s="9">
        <f>SUM(B44:N44)</f>
        <v/>
      </c>
    </row>
    <row r="45">
      <c r="A45" s="8" t="inlineStr">
        <is>
          <t>Closing balance</t>
        </is>
      </c>
      <c r="B45" s="22">
        <f>B17+B44</f>
        <v/>
      </c>
      <c r="C45" s="22">
        <f>C17+C44</f>
        <v/>
      </c>
      <c r="D45" s="22">
        <f>D17+D44</f>
        <v/>
      </c>
      <c r="E45" s="22">
        <f>E17+E44</f>
        <v/>
      </c>
      <c r="F45" s="22">
        <f>F17+F44</f>
        <v/>
      </c>
      <c r="G45" s="22">
        <f>G17+G44</f>
        <v/>
      </c>
      <c r="H45" s="22">
        <f>H17+H44</f>
        <v/>
      </c>
      <c r="I45" s="22">
        <f>I17+I44</f>
        <v/>
      </c>
      <c r="J45" s="22">
        <f>J17+J44</f>
        <v/>
      </c>
      <c r="K45" s="22">
        <f>K17+K44</f>
        <v/>
      </c>
      <c r="L45" s="22">
        <f>L17+L44</f>
        <v/>
      </c>
      <c r="M45" s="22">
        <f>M17+M44</f>
        <v/>
      </c>
      <c r="N45" s="22">
        <f>N17+N44</f>
        <v/>
      </c>
      <c r="O45" s="22">
        <f>N45</f>
        <v/>
      </c>
    </row>
    <row r="46">
      <c r="A46" s="8" t="inlineStr">
        <is>
          <t>Minimum buffer</t>
        </is>
      </c>
      <c r="B46" s="17">
        <f>Buffer</f>
        <v/>
      </c>
      <c r="C46" s="17">
        <f>Buffer</f>
        <v/>
      </c>
      <c r="D46" s="17">
        <f>Buffer</f>
        <v/>
      </c>
      <c r="E46" s="17">
        <f>Buffer</f>
        <v/>
      </c>
      <c r="F46" s="17">
        <f>Buffer</f>
        <v/>
      </c>
      <c r="G46" s="17">
        <f>Buffer</f>
        <v/>
      </c>
      <c r="H46" s="17">
        <f>Buffer</f>
        <v/>
      </c>
      <c r="I46" s="17">
        <f>Buffer</f>
        <v/>
      </c>
      <c r="J46" s="17">
        <f>Buffer</f>
        <v/>
      </c>
      <c r="K46" s="17">
        <f>Buffer</f>
        <v/>
      </c>
      <c r="L46" s="17">
        <f>Buffer</f>
        <v/>
      </c>
      <c r="M46" s="17">
        <f>Buffer</f>
        <v/>
      </c>
      <c r="N46" s="17">
        <f>Buffer</f>
        <v/>
      </c>
    </row>
    <row r="47">
      <c r="A47" s="8" t="inlineStr">
        <is>
          <t>Headroom over buffer</t>
        </is>
      </c>
      <c r="B47" s="17">
        <f>B45-B46</f>
        <v/>
      </c>
      <c r="C47" s="17">
        <f>C45-C46</f>
        <v/>
      </c>
      <c r="D47" s="17">
        <f>D45-D46</f>
        <v/>
      </c>
      <c r="E47" s="17">
        <f>E45-E46</f>
        <v/>
      </c>
      <c r="F47" s="17">
        <f>F45-F46</f>
        <v/>
      </c>
      <c r="G47" s="17">
        <f>G45-G46</f>
        <v/>
      </c>
      <c r="H47" s="17">
        <f>H45-H46</f>
        <v/>
      </c>
      <c r="I47" s="17">
        <f>I45-I46</f>
        <v/>
      </c>
      <c r="J47" s="17">
        <f>J45-J46</f>
        <v/>
      </c>
      <c r="K47" s="17">
        <f>K45-K46</f>
        <v/>
      </c>
      <c r="L47" s="17">
        <f>L45-L46</f>
        <v/>
      </c>
      <c r="M47" s="17">
        <f>M45-M46</f>
        <v/>
      </c>
      <c r="N47" s="17">
        <f>N45-N46</f>
        <v/>
      </c>
    </row>
    <row r="48">
      <c r="A48" s="8" t="inlineStr">
        <is>
          <t>Alert</t>
        </is>
      </c>
      <c r="B48" s="23">
        <f>IF(B45&lt;0,"Below 0",IF(B45&lt;B46,"Low","OK"))</f>
        <v/>
      </c>
      <c r="C48" s="23">
        <f>IF(C45&lt;0,"Below 0",IF(C45&lt;C46,"Low","OK"))</f>
        <v/>
      </c>
      <c r="D48" s="23">
        <f>IF(D45&lt;0,"Below 0",IF(D45&lt;D46,"Low","OK"))</f>
        <v/>
      </c>
      <c r="E48" s="23">
        <f>IF(E45&lt;0,"Below 0",IF(E45&lt;E46,"Low","OK"))</f>
        <v/>
      </c>
      <c r="F48" s="23">
        <f>IF(F45&lt;0,"Below 0",IF(F45&lt;F46,"Low","OK"))</f>
        <v/>
      </c>
      <c r="G48" s="23">
        <f>IF(G45&lt;0,"Below 0",IF(G45&lt;G46,"Low","OK"))</f>
        <v/>
      </c>
      <c r="H48" s="23">
        <f>IF(H45&lt;0,"Below 0",IF(H45&lt;H46,"Low","OK"))</f>
        <v/>
      </c>
      <c r="I48" s="23">
        <f>IF(I45&lt;0,"Below 0",IF(I45&lt;I46,"Low","OK"))</f>
        <v/>
      </c>
      <c r="J48" s="23">
        <f>IF(J45&lt;0,"Below 0",IF(J45&lt;J46,"Low","OK"))</f>
        <v/>
      </c>
      <c r="K48" s="23">
        <f>IF(K45&lt;0,"Below 0",IF(K45&lt;K46,"Low","OK"))</f>
        <v/>
      </c>
      <c r="L48" s="23">
        <f>IF(L45&lt;0,"Below 0",IF(L45&lt;L46,"Low","OK"))</f>
        <v/>
      </c>
      <c r="M48" s="23">
        <f>IF(M45&lt;0,"Below 0",IF(M45&lt;M46,"Low","OK"))</f>
        <v/>
      </c>
      <c r="N48" s="23">
        <f>IF(N45&lt;0,"Below 0",IF(N45&lt;N46,"Low","OK"))</f>
        <v/>
      </c>
    </row>
    <row r="49" hidden="1">
      <c r="A49" t="inlineStr">
        <is>
          <t>helper: week no. if below buffer</t>
        </is>
      </c>
      <c r="B49">
        <f>IF(B45&lt;B46,1,99)</f>
        <v/>
      </c>
      <c r="C49">
        <f>IF(C45&lt;C46,2,99)</f>
        <v/>
      </c>
      <c r="D49">
        <f>IF(D45&lt;D46,3,99)</f>
        <v/>
      </c>
      <c r="E49">
        <f>IF(E45&lt;E46,4,99)</f>
        <v/>
      </c>
      <c r="F49">
        <f>IF(F45&lt;F46,5,99)</f>
        <v/>
      </c>
      <c r="G49">
        <f>IF(G45&lt;G46,6,99)</f>
        <v/>
      </c>
      <c r="H49">
        <f>IF(H45&lt;H46,7,99)</f>
        <v/>
      </c>
      <c r="I49">
        <f>IF(I45&lt;I46,8,99)</f>
        <v/>
      </c>
      <c r="J49">
        <f>IF(J45&lt;J46,9,99)</f>
        <v/>
      </c>
      <c r="K49">
        <f>IF(K45&lt;K46,10,99)</f>
        <v/>
      </c>
      <c r="L49">
        <f>IF(L45&lt;L46,11,99)</f>
        <v/>
      </c>
      <c r="M49">
        <f>IF(M45&lt;M46,12,99)</f>
        <v/>
      </c>
      <c r="N49">
        <f>IF(N45&lt;N46,13,99)</f>
        <v/>
      </c>
    </row>
    <row r="50" hidden="1">
      <c r="A50" t="inlineStr">
        <is>
          <t>helper: week no. if below zero</t>
        </is>
      </c>
      <c r="B50">
        <f>IF(B45&lt;0,1,99)</f>
        <v/>
      </c>
      <c r="C50">
        <f>IF(C45&lt;0,2,99)</f>
        <v/>
      </c>
      <c r="D50">
        <f>IF(D45&lt;0,3,99)</f>
        <v/>
      </c>
      <c r="E50">
        <f>IF(E45&lt;0,4,99)</f>
        <v/>
      </c>
      <c r="F50">
        <f>IF(F45&lt;0,5,99)</f>
        <v/>
      </c>
      <c r="G50">
        <f>IF(G45&lt;0,6,99)</f>
        <v/>
      </c>
      <c r="H50">
        <f>IF(H45&lt;0,7,99)</f>
        <v/>
      </c>
      <c r="I50">
        <f>IF(I45&lt;0,8,99)</f>
        <v/>
      </c>
      <c r="J50">
        <f>IF(J45&lt;0,9,99)</f>
        <v/>
      </c>
      <c r="K50">
        <f>IF(K45&lt;0,10,99)</f>
        <v/>
      </c>
      <c r="L50">
        <f>IF(L45&lt;0,11,99)</f>
        <v/>
      </c>
      <c r="M50">
        <f>IF(M45&lt;0,12,99)</f>
        <v/>
      </c>
      <c r="N50">
        <f>IF(N45&lt;0,13,99)</f>
        <v/>
      </c>
    </row>
  </sheetData>
  <sheetProtection selectLockedCells="0" selectUnlockedCells="0" sheet="1" objects="0" insertRows="1" insertHyperlinks="1" autoFilter="1" scenarios="0" formatColumns="0" deleteColumns="1" insertColumns="1" pivotTables="1" deleteRows="1" formatCells="1" formatRows="0" sort="1"/>
  <mergeCells count="19">
    <mergeCell ref="D9:G9"/>
    <mergeCell ref="D12:G12"/>
    <mergeCell ref="D8:G8"/>
    <mergeCell ref="H10:I10"/>
    <mergeCell ref="H4:I4"/>
    <mergeCell ref="D5:G5"/>
    <mergeCell ref="H9:I9"/>
    <mergeCell ref="H6:I6"/>
    <mergeCell ref="D10:G10"/>
    <mergeCell ref="H11:I11"/>
    <mergeCell ref="H7:I7"/>
    <mergeCell ref="D6:G6"/>
    <mergeCell ref="D11:G11"/>
    <mergeCell ref="H12:I12"/>
    <mergeCell ref="J5:O5"/>
    <mergeCell ref="D7:G7"/>
    <mergeCell ref="H5:I5"/>
    <mergeCell ref="H8:I8"/>
    <mergeCell ref="D4:G4"/>
  </mergeCells>
  <conditionalFormatting sqref="B45:N45">
    <cfRule type="expression" priority="1" dxfId="0" stopIfTrue="1">
      <formula>B$45&lt;0</formula>
    </cfRule>
    <cfRule type="expression" priority="2" dxfId="1">
      <formula>B$45&lt;B$46</formula>
    </cfRule>
  </conditionalFormatting>
  <conditionalFormatting sqref="B48:N48">
    <cfRule type="expression" priority="3" dxfId="0" stopIfTrue="1">
      <formula>B$45&lt;0</formula>
    </cfRule>
    <cfRule type="expression" priority="4" dxfId="1">
      <formula>B$45&lt;B$46</formula>
    </cfRule>
  </conditionalFormatting>
  <printOptions horizontalCentered="1"/>
  <pageMargins left="0.4" right="0.4"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I40"/>
  <sheetViews>
    <sheetView workbookViewId="0">
      <pane ySplit="3" topLeftCell="A4" activePane="bottomLeft" state="frozen"/>
      <selection pane="bottomLeft" activeCell="A1" sqref="A1"/>
    </sheetView>
  </sheetViews>
  <sheetFormatPr baseColWidth="8" defaultRowHeight="15"/>
  <cols>
    <col width="54" customWidth="1" min="1" max="1"/>
    <col width="18" customWidth="1" min="2" max="2"/>
    <col width="18" customWidth="1" min="3" max="3"/>
    <col width="4" customWidth="1" min="4" max="4"/>
    <col width="18" customWidth="1" min="5" max="5"/>
    <col width="12" customWidth="1" min="6" max="6"/>
    <col width="12" customWidth="1" min="7" max="7"/>
    <col width="4" customWidth="1" min="8" max="8"/>
    <col hidden="1" width="13" customWidth="1" min="9" max="9"/>
  </cols>
  <sheetData>
    <row r="1" ht="24" customHeight="1">
      <c r="A1" s="1" t="inlineStr">
        <is>
          <t>Settings</t>
        </is>
      </c>
    </row>
    <row r="2">
      <c r="A2" s="2" t="inlineStr">
        <is>
          <t>Yellow = your input. Column C shows the value the formulas actually use (blank inputs fall back to the default shown).</t>
        </is>
      </c>
    </row>
    <row r="3" ht="30" customHeight="1">
      <c r="A3" s="15" t="inlineStr">
        <is>
          <t>Setting</t>
        </is>
      </c>
      <c r="B3" s="15" t="inlineStr">
        <is>
          <t>Your input</t>
        </is>
      </c>
      <c r="C3" s="15" t="inlineStr">
        <is>
          <t>Value used</t>
        </is>
      </c>
    </row>
    <row r="4">
      <c r="A4" s="20" t="inlineStr">
        <is>
          <t>Week 1 starts on (blank = Monday of this week)</t>
        </is>
      </c>
      <c r="B4" s="24" t="n"/>
      <c r="C4" s="6">
        <f>IF(ISNUMBER(B4),INT(B4),TODAY()-WEEKDAY(TODAY(),3))</f>
        <v/>
      </c>
    </row>
    <row r="5">
      <c r="A5" s="20" t="inlineStr">
        <is>
          <t>Opening bank balance at the start of Week 1</t>
        </is>
      </c>
      <c r="B5" s="25" t="n"/>
      <c r="C5" s="9">
        <f>IF(ISNUMBER(B5),B5,0)</f>
        <v/>
      </c>
    </row>
    <row r="6">
      <c r="A6" s="20" t="inlineStr">
        <is>
          <t>Minimum cash buffer (warn below this)</t>
        </is>
      </c>
      <c r="B6" s="25" t="n"/>
      <c r="C6" s="9">
        <f>IF(ISNUMBER(B6),B6,0)</f>
        <v/>
      </c>
    </row>
    <row r="7">
      <c r="A7" s="20" t="inlineStr">
        <is>
          <t>Default invoice terms in days (blank = 0, due on receipt)</t>
        </is>
      </c>
      <c r="B7" s="26" t="n">
        <v>30</v>
      </c>
      <c r="C7" s="12">
        <f>IF(ISNUMBER(B7),INT(B7),0)</f>
        <v/>
      </c>
    </row>
    <row r="8">
      <c r="A8" s="20" t="inlineStr">
        <is>
          <t>Default days late for customers not on the Customers sheet</t>
        </is>
      </c>
      <c r="B8" s="26" t="n">
        <v>0</v>
      </c>
      <c r="C8" s="12">
        <f>IF(ISNUMBER(B8),INT(B8),0)</f>
        <v/>
      </c>
    </row>
    <row r="9">
      <c r="A9" s="20" t="inlineStr">
        <is>
          <t>Stress test: extra days late for every open invoice</t>
        </is>
      </c>
      <c r="B9" s="26" t="n">
        <v>0</v>
      </c>
      <c r="C9" s="12">
        <f>IF(ISNUMBER(B9),INT(B9),0)</f>
        <v/>
      </c>
    </row>
    <row r="10">
      <c r="A10" s="20" t="inlineStr">
        <is>
          <t>Stress test: share of open invoices you expect to collect</t>
        </is>
      </c>
      <c r="B10" s="27" t="n">
        <v>1</v>
      </c>
      <c r="C10" s="28">
        <f>IF(ISNUMBER(B10),MAX(0,MIN(1,B10)),1)</f>
        <v/>
      </c>
    </row>
    <row r="11">
      <c r="A11" s="20" t="inlineStr">
        <is>
          <t>Count overdue open items in Week 1? (Yes/No)</t>
        </is>
      </c>
      <c r="B11" s="29" t="inlineStr">
        <is>
          <t>Yes</t>
        </is>
      </c>
      <c r="C11" s="30">
        <f>IF(B11="No","No","Yes")</f>
        <v/>
      </c>
    </row>
    <row r="12">
      <c r="A12" s="31" t="inlineStr">
        <is>
          <t>Week 13 ends on</t>
        </is>
      </c>
      <c r="C12" s="32">
        <f>W1+90</f>
        <v/>
      </c>
    </row>
    <row r="14" ht="30" customHeight="1">
      <c r="A14" s="15" t="inlineStr">
        <is>
          <t>Money-in categories (Forecast rows)</t>
        </is>
      </c>
      <c r="B14" s="15" t="inlineStr">
        <is>
          <t>Check</t>
        </is>
      </c>
      <c r="E14" s="15" t="inlineStr">
        <is>
          <t>Frequency</t>
        </is>
      </c>
      <c r="F14" s="15" t="inlineStr">
        <is>
          <t>Every N days</t>
        </is>
      </c>
      <c r="G14" s="15" t="inlineStr">
        <is>
          <t>Every N months</t>
        </is>
      </c>
    </row>
    <row r="15">
      <c r="A15" s="29" t="inlineStr">
        <is>
          <t>Client payments</t>
        </is>
      </c>
      <c r="B15" s="10">
        <f>IF(A15="","",IF(COUNTIF($A$15:$A$22,A15)&gt;1,"Duplicate","OK"))</f>
        <v/>
      </c>
      <c r="E15" s="20" t="inlineStr">
        <is>
          <t>Weekly</t>
        </is>
      </c>
      <c r="F15" s="20" t="n">
        <v>7</v>
      </c>
      <c r="G15" s="20" t="n">
        <v>0</v>
      </c>
      <c r="I15">
        <f>IF(A15="","",A15)</f>
        <v/>
      </c>
    </row>
    <row r="16">
      <c r="A16" s="29" t="inlineStr">
        <is>
          <t>Retainers</t>
        </is>
      </c>
      <c r="B16" s="10">
        <f>IF(A16="","",IF(COUNTIF($A$15:$A$22,A16)&gt;1,"Duplicate","OK"))</f>
        <v/>
      </c>
      <c r="E16" s="20" t="inlineStr">
        <is>
          <t>Every 2 weeks</t>
        </is>
      </c>
      <c r="F16" s="20" t="n">
        <v>14</v>
      </c>
      <c r="G16" s="20" t="n">
        <v>0</v>
      </c>
      <c r="I16">
        <f>IF(A16="","",A16)</f>
        <v/>
      </c>
    </row>
    <row r="17">
      <c r="A17" s="29" t="inlineStr">
        <is>
          <t>Shop sales</t>
        </is>
      </c>
      <c r="B17" s="10">
        <f>IF(A17="","",IF(COUNTIF($A$15:$A$22,A17)&gt;1,"Duplicate","OK"))</f>
        <v/>
      </c>
      <c r="E17" s="20" t="inlineStr">
        <is>
          <t>Every 4 weeks</t>
        </is>
      </c>
      <c r="F17" s="20" t="n">
        <v>28</v>
      </c>
      <c r="G17" s="20" t="n">
        <v>0</v>
      </c>
      <c r="I17">
        <f>IF(A17="","",A17)</f>
        <v/>
      </c>
    </row>
    <row r="18">
      <c r="A18" s="29" t="inlineStr">
        <is>
          <t>Other income</t>
        </is>
      </c>
      <c r="B18" s="10">
        <f>IF(A18="","",IF(COUNTIF($A$15:$A$22,A18)&gt;1,"Duplicate","OK"))</f>
        <v/>
      </c>
      <c r="E18" s="20" t="inlineStr">
        <is>
          <t>Monthly</t>
        </is>
      </c>
      <c r="F18" s="20" t="n">
        <v>0</v>
      </c>
      <c r="G18" s="20" t="n">
        <v>1</v>
      </c>
      <c r="I18">
        <f>IF(A18="","",A18)</f>
        <v/>
      </c>
    </row>
    <row r="19">
      <c r="A19" s="29" t="inlineStr">
        <is>
          <t>Owner / loan funding</t>
        </is>
      </c>
      <c r="B19" s="10">
        <f>IF(A19="","",IF(COUNTIF($A$15:$A$22,A19)&gt;1,"Duplicate","OK"))</f>
        <v/>
      </c>
      <c r="E19" s="20" t="inlineStr">
        <is>
          <t>Every 2 months</t>
        </is>
      </c>
      <c r="F19" s="20" t="n">
        <v>0</v>
      </c>
      <c r="G19" s="20" t="n">
        <v>2</v>
      </c>
      <c r="I19">
        <f>IF(A19="","",A19)</f>
        <v/>
      </c>
    </row>
    <row r="20">
      <c r="A20" s="29" t="n"/>
      <c r="B20" s="10">
        <f>IF(A20="","",IF(COUNTIF($A$15:$A$22,A20)&gt;1,"Duplicate","OK"))</f>
        <v/>
      </c>
      <c r="E20" s="20" t="inlineStr">
        <is>
          <t>Quarterly</t>
        </is>
      </c>
      <c r="F20" s="20" t="n">
        <v>0</v>
      </c>
      <c r="G20" s="20" t="n">
        <v>3</v>
      </c>
      <c r="I20">
        <f>IF(A20="","",A20)</f>
        <v/>
      </c>
    </row>
    <row r="21">
      <c r="A21" s="29" t="n"/>
      <c r="B21" s="10">
        <f>IF(A21="","",IF(COUNTIF($A$15:$A$22,A21)&gt;1,"Duplicate","OK"))</f>
        <v/>
      </c>
      <c r="E21" s="20" t="inlineStr">
        <is>
          <t>Twice a year</t>
        </is>
      </c>
      <c r="F21" s="20" t="n">
        <v>0</v>
      </c>
      <c r="G21" s="20" t="n">
        <v>6</v>
      </c>
      <c r="I21">
        <f>IF(A21="","",A21)</f>
        <v/>
      </c>
    </row>
    <row r="22">
      <c r="A22" s="29" t="n"/>
      <c r="B22" s="10">
        <f>IF(A22="","",IF(COUNTIF($A$15:$A$22,A22)&gt;1,"Duplicate","OK"))</f>
        <v/>
      </c>
      <c r="E22" s="20" t="inlineStr">
        <is>
          <t>Yearly</t>
        </is>
      </c>
      <c r="F22" s="20" t="n">
        <v>0</v>
      </c>
      <c r="G22" s="20" t="n">
        <v>12</v>
      </c>
      <c r="I22">
        <f>IF(A22="","",A22)</f>
        <v/>
      </c>
    </row>
    <row r="23">
      <c r="E23" s="20" t="inlineStr">
        <is>
          <t>Once</t>
        </is>
      </c>
      <c r="F23" s="20" t="n">
        <v>0</v>
      </c>
      <c r="G23" s="20" t="n">
        <v>0</v>
      </c>
      <c r="I23">
        <f>IF(A27="","",A27)</f>
        <v/>
      </c>
    </row>
    <row r="24">
      <c r="I24">
        <f>IF(A28="","",A28)</f>
        <v/>
      </c>
    </row>
    <row r="25">
      <c r="E25" s="2" t="inlineStr">
        <is>
          <t>Frequencies are fixed so the formulas stay correct.</t>
        </is>
      </c>
      <c r="I25">
        <f>IF(A29="","",A29)</f>
        <v/>
      </c>
    </row>
    <row r="26" ht="30" customHeight="1">
      <c r="A26" s="15" t="inlineStr">
        <is>
          <t>Money-out categories (Forecast rows)</t>
        </is>
      </c>
      <c r="B26" s="15" t="inlineStr">
        <is>
          <t>Check</t>
        </is>
      </c>
      <c r="I26">
        <f>IF(A30="","",A30)</f>
        <v/>
      </c>
    </row>
    <row r="27">
      <c r="A27" s="29" t="inlineStr">
        <is>
          <t>Payroll</t>
        </is>
      </c>
      <c r="B27" s="10">
        <f>IF(A27="","",IF(COUNTIF($A$27:$A$38,A27)&gt;1,"Duplicate","OK"))</f>
        <v/>
      </c>
      <c r="I27">
        <f>IF(A31="","",A31)</f>
        <v/>
      </c>
    </row>
    <row r="28">
      <c r="A28" s="29" t="inlineStr">
        <is>
          <t>Contractors</t>
        </is>
      </c>
      <c r="B28" s="10">
        <f>IF(A28="","",IF(COUNTIF($A$27:$A$38,A28)&gt;1,"Duplicate","OK"))</f>
        <v/>
      </c>
      <c r="I28">
        <f>IF(A32="","",A32)</f>
        <v/>
      </c>
    </row>
    <row r="29">
      <c r="A29" s="29" t="inlineStr">
        <is>
          <t>Rent &amp; utilities</t>
        </is>
      </c>
      <c r="B29" s="10">
        <f>IF(A29="","",IF(COUNTIF($A$27:$A$38,A29)&gt;1,"Duplicate","OK"))</f>
        <v/>
      </c>
      <c r="I29">
        <f>IF(A33="","",A33)</f>
        <v/>
      </c>
    </row>
    <row r="30">
      <c r="A30" s="29" t="inlineStr">
        <is>
          <t>Software</t>
        </is>
      </c>
      <c r="B30" s="10">
        <f>IF(A30="","",IF(COUNTIF($A$27:$A$38,A30)&gt;1,"Duplicate","OK"))</f>
        <v/>
      </c>
      <c r="I30">
        <f>IF(A34="","",A34)</f>
        <v/>
      </c>
    </row>
    <row r="31">
      <c r="A31" s="29" t="inlineStr">
        <is>
          <t>Taxes</t>
        </is>
      </c>
      <c r="B31" s="10">
        <f>IF(A31="","",IF(COUNTIF($A$27:$A$38,A31)&gt;1,"Duplicate","OK"))</f>
        <v/>
      </c>
      <c r="I31">
        <f>IF(A35="","",A35)</f>
        <v/>
      </c>
    </row>
    <row r="32">
      <c r="A32" s="29" t="inlineStr">
        <is>
          <t>Loan repayments</t>
        </is>
      </c>
      <c r="B32" s="10">
        <f>IF(A32="","",IF(COUNTIF($A$27:$A$38,A32)&gt;1,"Duplicate","OK"))</f>
        <v/>
      </c>
      <c r="I32">
        <f>IF(A36="","",A36)</f>
        <v/>
      </c>
    </row>
    <row r="33">
      <c r="A33" s="29" t="inlineStr">
        <is>
          <t>Insurance</t>
        </is>
      </c>
      <c r="B33" s="10">
        <f>IF(A33="","",IF(COUNTIF($A$27:$A$38,A33)&gt;1,"Duplicate","OK"))</f>
        <v/>
      </c>
      <c r="I33">
        <f>IF(A37="","",A37)</f>
        <v/>
      </c>
    </row>
    <row r="34">
      <c r="A34" s="29" t="inlineStr">
        <is>
          <t>Marketing</t>
        </is>
      </c>
      <c r="B34" s="10">
        <f>IF(A34="","",IF(COUNTIF($A$27:$A$38,A34)&gt;1,"Duplicate","OK"))</f>
        <v/>
      </c>
      <c r="I34">
        <f>IF(A38="","",A38)</f>
        <v/>
      </c>
    </row>
    <row r="35">
      <c r="A35" s="29" t="inlineStr">
        <is>
          <t>Equipment</t>
        </is>
      </c>
      <c r="B35" s="10">
        <f>IF(A35="","",IF(COUNTIF($A$27:$A$38,A35)&gt;1,"Duplicate","OK"))</f>
        <v/>
      </c>
    </row>
    <row r="36">
      <c r="A36" s="29" t="inlineStr">
        <is>
          <t>Owner draw</t>
        </is>
      </c>
      <c r="B36" s="10">
        <f>IF(A36="","",IF(COUNTIF($A$27:$A$38,A36)&gt;1,"Duplicate","OK"))</f>
        <v/>
      </c>
    </row>
    <row r="37">
      <c r="A37" s="29" t="inlineStr">
        <is>
          <t>Supplies</t>
        </is>
      </c>
      <c r="B37" s="10">
        <f>IF(A37="","",IF(COUNTIF($A$27:$A$38,A37)&gt;1,"Duplicate","OK"))</f>
        <v/>
      </c>
    </row>
    <row r="38">
      <c r="A38" s="29" t="n"/>
      <c r="B38" s="10">
        <f>IF(A38="","",IF(COUNTIF($A$27:$A$38,A38)&gt;1,"Duplicate","OK"))</f>
        <v/>
      </c>
    </row>
    <row r="40">
      <c r="A40" s="2" t="inlineStr">
        <is>
          <t>Tip: renaming a category here renames its Forecast row. Rows on other sheets that use a name not listed here are still counted, under 'Other / unlisted'.</t>
        </is>
      </c>
    </row>
  </sheetData>
  <sheetProtection selectLockedCells="0" selectUnlockedCells="0" sheet="1" objects="0" insertRows="1" insertHyperlinks="1" autoFilter="1" scenarios="0" formatColumns="0" deleteColumns="1" insertColumns="1" pivotTables="1" deleteRows="1" formatCells="1" formatRows="0" sort="1"/>
  <conditionalFormatting sqref="B15:B38">
    <cfRule type="expression" priority="1" dxfId="2">
      <formula>B15="Duplicate"</formula>
    </cfRule>
  </conditionalFormatting>
  <dataValidations count="4">
    <dataValidation sqref="B4" showDropDown="0" showInputMessage="0" showErrorMessage="1" allowBlank="1" errorTitle="Date" error="Type a date, e.g. 2026-10-19" type="date" operator="between">
      <formula1>36526</formula1>
      <formula2>73050</formula2>
    </dataValidation>
    <dataValidation sqref="B11" showDropDown="0" showInputMessage="0" showErrorMessage="0" allowBlank="1" type="list">
      <formula1>"Yes,No"</formula1>
    </dataValidation>
    <dataValidation sqref="B10" showDropDown="0" showInputMessage="0" showErrorMessage="1" allowBlank="1" error="Enter a percentage from 0% to 100%" type="decimal" operator="between">
      <formula1>0</formula1>
      <formula2>1</formula2>
    </dataValidation>
    <dataValidation sqref="B7:B9" showDropDown="0" showInputMessage="0" showErrorMessage="1" allowBlank="1" error="Whole days, -365 to 365" type="whole" operator="between">
      <formula1>-365</formula1>
      <formula2>365</formula2>
    </dataValidation>
  </dataValidations>
  <printOptions horizontalCentered="1"/>
  <pageMargins left="0.4" right="0.4"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AB6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8" customWidth="1" min="2" max="2"/>
    <col width="18" customWidth="1" min="3" max="3"/>
    <col width="12" customWidth="1" min="4" max="4"/>
    <col width="14" customWidth="1" min="5" max="5"/>
    <col width="13" customWidth="1" min="6" max="6"/>
    <col width="13" customWidth="1" min="7" max="7"/>
    <col width="30" customWidth="1" min="8" max="8"/>
    <col width="9" customWidth="1" min="9" max="9"/>
    <col width="13"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hidden="1" width="13" customWidth="1" min="24" max="24"/>
    <col hidden="1" width="13" customWidth="1" min="25" max="25"/>
    <col hidden="1" width="13" customWidth="1" min="26" max="26"/>
    <col hidden="1" width="13" customWidth="1" min="27" max="27"/>
    <col hidden="1" width="13" customWidth="1" min="28" max="28"/>
  </cols>
  <sheetData>
    <row r="1" ht="24" customHeight="1">
      <c r="A1" s="1" t="inlineStr">
        <is>
          <t>Recurring money in and out</t>
        </is>
      </c>
    </row>
    <row r="2">
      <c r="A2" s="2" t="inlineStr">
        <is>
          <t>One row per repeating item. The grey week columns show what lands in each week of the forecast.</t>
        </is>
      </c>
    </row>
    <row r="5">
      <c r="J5" s="33" t="inlineStr">
        <is>
          <t>Week starts →</t>
        </is>
      </c>
      <c r="K5" s="16">
        <f>W1+0</f>
        <v/>
      </c>
      <c r="L5" s="16">
        <f>W1+7</f>
        <v/>
      </c>
      <c r="M5" s="16">
        <f>W1+14</f>
        <v/>
      </c>
      <c r="N5" s="16">
        <f>W1+21</f>
        <v/>
      </c>
      <c r="O5" s="16">
        <f>W1+28</f>
        <v/>
      </c>
      <c r="P5" s="16">
        <f>W1+35</f>
        <v/>
      </c>
      <c r="Q5" s="16">
        <f>W1+42</f>
        <v/>
      </c>
      <c r="R5" s="16">
        <f>W1+49</f>
        <v/>
      </c>
      <c r="S5" s="16">
        <f>W1+56</f>
        <v/>
      </c>
      <c r="T5" s="16">
        <f>W1+63</f>
        <v/>
      </c>
      <c r="U5" s="16">
        <f>W1+70</f>
        <v/>
      </c>
      <c r="V5" s="16">
        <f>W1+77</f>
        <v/>
      </c>
      <c r="W5" s="16">
        <f>W1+84</f>
        <v/>
      </c>
    </row>
    <row r="6" ht="30" customHeight="1">
      <c r="A6" s="15" t="inlineStr">
        <is>
          <t>Item</t>
        </is>
      </c>
      <c r="B6" s="15" t="inlineStr">
        <is>
          <t>In / Out</t>
        </is>
      </c>
      <c r="C6" s="15" t="inlineStr">
        <is>
          <t>Category</t>
        </is>
      </c>
      <c r="D6" s="15" t="inlineStr">
        <is>
          <t>Amount</t>
        </is>
      </c>
      <c r="E6" s="15" t="inlineStr">
        <is>
          <t>Frequency</t>
        </is>
      </c>
      <c r="F6" s="15" t="inlineStr">
        <is>
          <t>First date</t>
        </is>
      </c>
      <c r="G6" s="15" t="inlineStr">
        <is>
          <t>End date (optional)</t>
        </is>
      </c>
      <c r="H6" s="15" t="inlineStr">
        <is>
          <t>Check</t>
        </is>
      </c>
      <c r="I6" s="15" t="inlineStr">
        <is>
          <t>Times in 13 wks</t>
        </is>
      </c>
      <c r="J6" s="15" t="inlineStr">
        <is>
          <t>13-week total</t>
        </is>
      </c>
      <c r="K6" s="15" t="inlineStr">
        <is>
          <t>Wk 1</t>
        </is>
      </c>
      <c r="L6" s="15" t="inlineStr">
        <is>
          <t>Wk 2</t>
        </is>
      </c>
      <c r="M6" s="15" t="inlineStr">
        <is>
          <t>Wk 3</t>
        </is>
      </c>
      <c r="N6" s="15" t="inlineStr">
        <is>
          <t>Wk 4</t>
        </is>
      </c>
      <c r="O6" s="15" t="inlineStr">
        <is>
          <t>Wk 5</t>
        </is>
      </c>
      <c r="P6" s="15" t="inlineStr">
        <is>
          <t>Wk 6</t>
        </is>
      </c>
      <c r="Q6" s="15" t="inlineStr">
        <is>
          <t>Wk 7</t>
        </is>
      </c>
      <c r="R6" s="15" t="inlineStr">
        <is>
          <t>Wk 8</t>
        </is>
      </c>
      <c r="S6" s="15" t="inlineStr">
        <is>
          <t>Wk 9</t>
        </is>
      </c>
      <c r="T6" s="15" t="inlineStr">
        <is>
          <t>Wk 10</t>
        </is>
      </c>
      <c r="U6" s="15" t="inlineStr">
        <is>
          <t>Wk 11</t>
        </is>
      </c>
      <c r="V6" s="15" t="inlineStr">
        <is>
          <t>Wk 12</t>
        </is>
      </c>
      <c r="W6" s="15" t="inlineStr">
        <is>
          <t>Wk 13</t>
        </is>
      </c>
      <c r="X6" t="inlineStr">
        <is>
          <t>valid</t>
        </is>
      </c>
      <c r="Y6" t="inlineStr">
        <is>
          <t>step days</t>
        </is>
      </c>
      <c r="Z6" t="inlineStr">
        <is>
          <t>step months</t>
        </is>
      </c>
      <c r="AA6" t="inlineStr">
        <is>
          <t>first</t>
        </is>
      </c>
      <c r="AB6" t="inlineStr">
        <is>
          <t>end</t>
        </is>
      </c>
    </row>
    <row r="7">
      <c r="A7" s="29" t="n"/>
      <c r="B7" s="29" t="n"/>
      <c r="C7" s="29" t="n"/>
      <c r="D7" s="34" t="n"/>
      <c r="E7" s="29" t="n"/>
      <c r="F7" s="24" t="n"/>
      <c r="G7" s="24" t="n"/>
      <c r="H7" s="10">
        <f>IF(X7="","",IF(X7=0,IF(AND(B7&lt;&gt;"In",B7&lt;&gt;"Out"),"Fix: choose In or Out",IF(OR(NOT(ISNUMBER(D7)),N(D7)&lt;=0),"Fix: amount must be a number above 0",IF(NOT(ISNUMBER(MATCH(E7,FreqName,0))),"Fix: choose a frequency",IF(NOT(ISNUMBER(F7)),"Fix: first date missing","Fix: end date must be a date on or after the first date")))),IF(AND(C7&lt;&gt;"",OR(AND(B7="In",ISNUMBER(MATCH(C7,InCats,0))),AND(B7="Out",ISNUMBER(MATCH(C7,OutCats,0))))),"OK","Category not on Settings (counted as Other)")))</f>
        <v/>
      </c>
      <c r="I7" s="35">
        <f>IF(X7&lt;&gt;1,"",ROUND(J7/D7,0))</f>
        <v/>
      </c>
      <c r="J7" s="36">
        <f>SUM(K7:W7)</f>
        <v/>
      </c>
      <c r="K7" s="21">
        <f>IF($X7&lt;&gt;1,0,$D7*IF($Y7&gt;0,MAX(0,INT((MIN(K$5+6,$AB7)-$AA7)/$Y7)-MAX(0,-INT(($AA7-K$5)/$Y7))+1),IF($Z7&gt;0,(MOD(((YEAR(K$5)-YEAR($AA7))*12+MONTH(K$5)-MONTH($AA7)),$Z7)=0)*(((YEAR(K$5)-YEAR($AA7))*12+MONTH(K$5)-MONTH($AA7))&gt;=0)*(EDATE($AA7,MAX(0,((YEAR(K$5)-YEAR($AA7))*12+MONTH(K$5)-MONTH($AA7))))&gt;=K$5)*(EDATE($AA7,MAX(0,((YEAR(K$5)-YEAR($AA7))*12+MONTH(K$5)-MONTH($AA7))))&lt;=MIN(K$5+6,$AB7))+(MOD((((YEAR(K$5)-YEAR($AA7))*12+MONTH(K$5)-MONTH($AA7))+1),$Z7)=0)*((((YEAR(K$5)-YEAR($AA7))*12+MONTH(K$5)-MONTH($AA7))+1)&gt;=0)*(EDATE($AA7,MAX(0,(((YEAR(K$5)-YEAR($AA7))*12+MONTH(K$5)-MONTH($AA7))+1)))&gt;=K$5)*(EDATE($AA7,MAX(0,(((YEAR(K$5)-YEAR($AA7))*12+MONTH(K$5)-MONTH($AA7))+1)))&lt;=MIN(K$5+6,$AB7)),($AA7&gt;=K$5)*($AA7&lt;=K$5+6))))</f>
        <v/>
      </c>
      <c r="L7" s="21">
        <f>IF($X7&lt;&gt;1,0,$D7*IF($Y7&gt;0,MAX(0,INT((MIN(L$5+6,$AB7)-$AA7)/$Y7)-MAX(0,-INT(($AA7-L$5)/$Y7))+1),IF($Z7&gt;0,(MOD(((YEAR(L$5)-YEAR($AA7))*12+MONTH(L$5)-MONTH($AA7)),$Z7)=0)*(((YEAR(L$5)-YEAR($AA7))*12+MONTH(L$5)-MONTH($AA7))&gt;=0)*(EDATE($AA7,MAX(0,((YEAR(L$5)-YEAR($AA7))*12+MONTH(L$5)-MONTH($AA7))))&gt;=L$5)*(EDATE($AA7,MAX(0,((YEAR(L$5)-YEAR($AA7))*12+MONTH(L$5)-MONTH($AA7))))&lt;=MIN(L$5+6,$AB7))+(MOD((((YEAR(L$5)-YEAR($AA7))*12+MONTH(L$5)-MONTH($AA7))+1),$Z7)=0)*((((YEAR(L$5)-YEAR($AA7))*12+MONTH(L$5)-MONTH($AA7))+1)&gt;=0)*(EDATE($AA7,MAX(0,(((YEAR(L$5)-YEAR($AA7))*12+MONTH(L$5)-MONTH($AA7))+1)))&gt;=L$5)*(EDATE($AA7,MAX(0,(((YEAR(L$5)-YEAR($AA7))*12+MONTH(L$5)-MONTH($AA7))+1)))&lt;=MIN(L$5+6,$AB7)),($AA7&gt;=L$5)*($AA7&lt;=L$5+6))))</f>
        <v/>
      </c>
      <c r="M7" s="21">
        <f>IF($X7&lt;&gt;1,0,$D7*IF($Y7&gt;0,MAX(0,INT((MIN(M$5+6,$AB7)-$AA7)/$Y7)-MAX(0,-INT(($AA7-M$5)/$Y7))+1),IF($Z7&gt;0,(MOD(((YEAR(M$5)-YEAR($AA7))*12+MONTH(M$5)-MONTH($AA7)),$Z7)=0)*(((YEAR(M$5)-YEAR($AA7))*12+MONTH(M$5)-MONTH($AA7))&gt;=0)*(EDATE($AA7,MAX(0,((YEAR(M$5)-YEAR($AA7))*12+MONTH(M$5)-MONTH($AA7))))&gt;=M$5)*(EDATE($AA7,MAX(0,((YEAR(M$5)-YEAR($AA7))*12+MONTH(M$5)-MONTH($AA7))))&lt;=MIN(M$5+6,$AB7))+(MOD((((YEAR(M$5)-YEAR($AA7))*12+MONTH(M$5)-MONTH($AA7))+1),$Z7)=0)*((((YEAR(M$5)-YEAR($AA7))*12+MONTH(M$5)-MONTH($AA7))+1)&gt;=0)*(EDATE($AA7,MAX(0,(((YEAR(M$5)-YEAR($AA7))*12+MONTH(M$5)-MONTH($AA7))+1)))&gt;=M$5)*(EDATE($AA7,MAX(0,(((YEAR(M$5)-YEAR($AA7))*12+MONTH(M$5)-MONTH($AA7))+1)))&lt;=MIN(M$5+6,$AB7)),($AA7&gt;=M$5)*($AA7&lt;=M$5+6))))</f>
        <v/>
      </c>
      <c r="N7" s="21">
        <f>IF($X7&lt;&gt;1,0,$D7*IF($Y7&gt;0,MAX(0,INT((MIN(N$5+6,$AB7)-$AA7)/$Y7)-MAX(0,-INT(($AA7-N$5)/$Y7))+1),IF($Z7&gt;0,(MOD(((YEAR(N$5)-YEAR($AA7))*12+MONTH(N$5)-MONTH($AA7)),$Z7)=0)*(((YEAR(N$5)-YEAR($AA7))*12+MONTH(N$5)-MONTH($AA7))&gt;=0)*(EDATE($AA7,MAX(0,((YEAR(N$5)-YEAR($AA7))*12+MONTH(N$5)-MONTH($AA7))))&gt;=N$5)*(EDATE($AA7,MAX(0,((YEAR(N$5)-YEAR($AA7))*12+MONTH(N$5)-MONTH($AA7))))&lt;=MIN(N$5+6,$AB7))+(MOD((((YEAR(N$5)-YEAR($AA7))*12+MONTH(N$5)-MONTH($AA7))+1),$Z7)=0)*((((YEAR(N$5)-YEAR($AA7))*12+MONTH(N$5)-MONTH($AA7))+1)&gt;=0)*(EDATE($AA7,MAX(0,(((YEAR(N$5)-YEAR($AA7))*12+MONTH(N$5)-MONTH($AA7))+1)))&gt;=N$5)*(EDATE($AA7,MAX(0,(((YEAR(N$5)-YEAR($AA7))*12+MONTH(N$5)-MONTH($AA7))+1)))&lt;=MIN(N$5+6,$AB7)),($AA7&gt;=N$5)*($AA7&lt;=N$5+6))))</f>
        <v/>
      </c>
      <c r="O7" s="21">
        <f>IF($X7&lt;&gt;1,0,$D7*IF($Y7&gt;0,MAX(0,INT((MIN(O$5+6,$AB7)-$AA7)/$Y7)-MAX(0,-INT(($AA7-O$5)/$Y7))+1),IF($Z7&gt;0,(MOD(((YEAR(O$5)-YEAR($AA7))*12+MONTH(O$5)-MONTH($AA7)),$Z7)=0)*(((YEAR(O$5)-YEAR($AA7))*12+MONTH(O$5)-MONTH($AA7))&gt;=0)*(EDATE($AA7,MAX(0,((YEAR(O$5)-YEAR($AA7))*12+MONTH(O$5)-MONTH($AA7))))&gt;=O$5)*(EDATE($AA7,MAX(0,((YEAR(O$5)-YEAR($AA7))*12+MONTH(O$5)-MONTH($AA7))))&lt;=MIN(O$5+6,$AB7))+(MOD((((YEAR(O$5)-YEAR($AA7))*12+MONTH(O$5)-MONTH($AA7))+1),$Z7)=0)*((((YEAR(O$5)-YEAR($AA7))*12+MONTH(O$5)-MONTH($AA7))+1)&gt;=0)*(EDATE($AA7,MAX(0,(((YEAR(O$5)-YEAR($AA7))*12+MONTH(O$5)-MONTH($AA7))+1)))&gt;=O$5)*(EDATE($AA7,MAX(0,(((YEAR(O$5)-YEAR($AA7))*12+MONTH(O$5)-MONTH($AA7))+1)))&lt;=MIN(O$5+6,$AB7)),($AA7&gt;=O$5)*($AA7&lt;=O$5+6))))</f>
        <v/>
      </c>
      <c r="P7" s="21">
        <f>IF($X7&lt;&gt;1,0,$D7*IF($Y7&gt;0,MAX(0,INT((MIN(P$5+6,$AB7)-$AA7)/$Y7)-MAX(0,-INT(($AA7-P$5)/$Y7))+1),IF($Z7&gt;0,(MOD(((YEAR(P$5)-YEAR($AA7))*12+MONTH(P$5)-MONTH($AA7)),$Z7)=0)*(((YEAR(P$5)-YEAR($AA7))*12+MONTH(P$5)-MONTH($AA7))&gt;=0)*(EDATE($AA7,MAX(0,((YEAR(P$5)-YEAR($AA7))*12+MONTH(P$5)-MONTH($AA7))))&gt;=P$5)*(EDATE($AA7,MAX(0,((YEAR(P$5)-YEAR($AA7))*12+MONTH(P$5)-MONTH($AA7))))&lt;=MIN(P$5+6,$AB7))+(MOD((((YEAR(P$5)-YEAR($AA7))*12+MONTH(P$5)-MONTH($AA7))+1),$Z7)=0)*((((YEAR(P$5)-YEAR($AA7))*12+MONTH(P$5)-MONTH($AA7))+1)&gt;=0)*(EDATE($AA7,MAX(0,(((YEAR(P$5)-YEAR($AA7))*12+MONTH(P$5)-MONTH($AA7))+1)))&gt;=P$5)*(EDATE($AA7,MAX(0,(((YEAR(P$5)-YEAR($AA7))*12+MONTH(P$5)-MONTH($AA7))+1)))&lt;=MIN(P$5+6,$AB7)),($AA7&gt;=P$5)*($AA7&lt;=P$5+6))))</f>
        <v/>
      </c>
      <c r="Q7" s="21">
        <f>IF($X7&lt;&gt;1,0,$D7*IF($Y7&gt;0,MAX(0,INT((MIN(Q$5+6,$AB7)-$AA7)/$Y7)-MAX(0,-INT(($AA7-Q$5)/$Y7))+1),IF($Z7&gt;0,(MOD(((YEAR(Q$5)-YEAR($AA7))*12+MONTH(Q$5)-MONTH($AA7)),$Z7)=0)*(((YEAR(Q$5)-YEAR($AA7))*12+MONTH(Q$5)-MONTH($AA7))&gt;=0)*(EDATE($AA7,MAX(0,((YEAR(Q$5)-YEAR($AA7))*12+MONTH(Q$5)-MONTH($AA7))))&gt;=Q$5)*(EDATE($AA7,MAX(0,((YEAR(Q$5)-YEAR($AA7))*12+MONTH(Q$5)-MONTH($AA7))))&lt;=MIN(Q$5+6,$AB7))+(MOD((((YEAR(Q$5)-YEAR($AA7))*12+MONTH(Q$5)-MONTH($AA7))+1),$Z7)=0)*((((YEAR(Q$5)-YEAR($AA7))*12+MONTH(Q$5)-MONTH($AA7))+1)&gt;=0)*(EDATE($AA7,MAX(0,(((YEAR(Q$5)-YEAR($AA7))*12+MONTH(Q$5)-MONTH($AA7))+1)))&gt;=Q$5)*(EDATE($AA7,MAX(0,(((YEAR(Q$5)-YEAR($AA7))*12+MONTH(Q$5)-MONTH($AA7))+1)))&lt;=MIN(Q$5+6,$AB7)),($AA7&gt;=Q$5)*($AA7&lt;=Q$5+6))))</f>
        <v/>
      </c>
      <c r="R7" s="21">
        <f>IF($X7&lt;&gt;1,0,$D7*IF($Y7&gt;0,MAX(0,INT((MIN(R$5+6,$AB7)-$AA7)/$Y7)-MAX(0,-INT(($AA7-R$5)/$Y7))+1),IF($Z7&gt;0,(MOD(((YEAR(R$5)-YEAR($AA7))*12+MONTH(R$5)-MONTH($AA7)),$Z7)=0)*(((YEAR(R$5)-YEAR($AA7))*12+MONTH(R$5)-MONTH($AA7))&gt;=0)*(EDATE($AA7,MAX(0,((YEAR(R$5)-YEAR($AA7))*12+MONTH(R$5)-MONTH($AA7))))&gt;=R$5)*(EDATE($AA7,MAX(0,((YEAR(R$5)-YEAR($AA7))*12+MONTH(R$5)-MONTH($AA7))))&lt;=MIN(R$5+6,$AB7))+(MOD((((YEAR(R$5)-YEAR($AA7))*12+MONTH(R$5)-MONTH($AA7))+1),$Z7)=0)*((((YEAR(R$5)-YEAR($AA7))*12+MONTH(R$5)-MONTH($AA7))+1)&gt;=0)*(EDATE($AA7,MAX(0,(((YEAR(R$5)-YEAR($AA7))*12+MONTH(R$5)-MONTH($AA7))+1)))&gt;=R$5)*(EDATE($AA7,MAX(0,(((YEAR(R$5)-YEAR($AA7))*12+MONTH(R$5)-MONTH($AA7))+1)))&lt;=MIN(R$5+6,$AB7)),($AA7&gt;=R$5)*($AA7&lt;=R$5+6))))</f>
        <v/>
      </c>
      <c r="S7" s="21">
        <f>IF($X7&lt;&gt;1,0,$D7*IF($Y7&gt;0,MAX(0,INT((MIN(S$5+6,$AB7)-$AA7)/$Y7)-MAX(0,-INT(($AA7-S$5)/$Y7))+1),IF($Z7&gt;0,(MOD(((YEAR(S$5)-YEAR($AA7))*12+MONTH(S$5)-MONTH($AA7)),$Z7)=0)*(((YEAR(S$5)-YEAR($AA7))*12+MONTH(S$5)-MONTH($AA7))&gt;=0)*(EDATE($AA7,MAX(0,((YEAR(S$5)-YEAR($AA7))*12+MONTH(S$5)-MONTH($AA7))))&gt;=S$5)*(EDATE($AA7,MAX(0,((YEAR(S$5)-YEAR($AA7))*12+MONTH(S$5)-MONTH($AA7))))&lt;=MIN(S$5+6,$AB7))+(MOD((((YEAR(S$5)-YEAR($AA7))*12+MONTH(S$5)-MONTH($AA7))+1),$Z7)=0)*((((YEAR(S$5)-YEAR($AA7))*12+MONTH(S$5)-MONTH($AA7))+1)&gt;=0)*(EDATE($AA7,MAX(0,(((YEAR(S$5)-YEAR($AA7))*12+MONTH(S$5)-MONTH($AA7))+1)))&gt;=S$5)*(EDATE($AA7,MAX(0,(((YEAR(S$5)-YEAR($AA7))*12+MONTH(S$5)-MONTH($AA7))+1)))&lt;=MIN(S$5+6,$AB7)),($AA7&gt;=S$5)*($AA7&lt;=S$5+6))))</f>
        <v/>
      </c>
      <c r="T7" s="21">
        <f>IF($X7&lt;&gt;1,0,$D7*IF($Y7&gt;0,MAX(0,INT((MIN(T$5+6,$AB7)-$AA7)/$Y7)-MAX(0,-INT(($AA7-T$5)/$Y7))+1),IF($Z7&gt;0,(MOD(((YEAR(T$5)-YEAR($AA7))*12+MONTH(T$5)-MONTH($AA7)),$Z7)=0)*(((YEAR(T$5)-YEAR($AA7))*12+MONTH(T$5)-MONTH($AA7))&gt;=0)*(EDATE($AA7,MAX(0,((YEAR(T$5)-YEAR($AA7))*12+MONTH(T$5)-MONTH($AA7))))&gt;=T$5)*(EDATE($AA7,MAX(0,((YEAR(T$5)-YEAR($AA7))*12+MONTH(T$5)-MONTH($AA7))))&lt;=MIN(T$5+6,$AB7))+(MOD((((YEAR(T$5)-YEAR($AA7))*12+MONTH(T$5)-MONTH($AA7))+1),$Z7)=0)*((((YEAR(T$5)-YEAR($AA7))*12+MONTH(T$5)-MONTH($AA7))+1)&gt;=0)*(EDATE($AA7,MAX(0,(((YEAR(T$5)-YEAR($AA7))*12+MONTH(T$5)-MONTH($AA7))+1)))&gt;=T$5)*(EDATE($AA7,MAX(0,(((YEAR(T$5)-YEAR($AA7))*12+MONTH(T$5)-MONTH($AA7))+1)))&lt;=MIN(T$5+6,$AB7)),($AA7&gt;=T$5)*($AA7&lt;=T$5+6))))</f>
        <v/>
      </c>
      <c r="U7" s="21">
        <f>IF($X7&lt;&gt;1,0,$D7*IF($Y7&gt;0,MAX(0,INT((MIN(U$5+6,$AB7)-$AA7)/$Y7)-MAX(0,-INT(($AA7-U$5)/$Y7))+1),IF($Z7&gt;0,(MOD(((YEAR(U$5)-YEAR($AA7))*12+MONTH(U$5)-MONTH($AA7)),$Z7)=0)*(((YEAR(U$5)-YEAR($AA7))*12+MONTH(U$5)-MONTH($AA7))&gt;=0)*(EDATE($AA7,MAX(0,((YEAR(U$5)-YEAR($AA7))*12+MONTH(U$5)-MONTH($AA7))))&gt;=U$5)*(EDATE($AA7,MAX(0,((YEAR(U$5)-YEAR($AA7))*12+MONTH(U$5)-MONTH($AA7))))&lt;=MIN(U$5+6,$AB7))+(MOD((((YEAR(U$5)-YEAR($AA7))*12+MONTH(U$5)-MONTH($AA7))+1),$Z7)=0)*((((YEAR(U$5)-YEAR($AA7))*12+MONTH(U$5)-MONTH($AA7))+1)&gt;=0)*(EDATE($AA7,MAX(0,(((YEAR(U$5)-YEAR($AA7))*12+MONTH(U$5)-MONTH($AA7))+1)))&gt;=U$5)*(EDATE($AA7,MAX(0,(((YEAR(U$5)-YEAR($AA7))*12+MONTH(U$5)-MONTH($AA7))+1)))&lt;=MIN(U$5+6,$AB7)),($AA7&gt;=U$5)*($AA7&lt;=U$5+6))))</f>
        <v/>
      </c>
      <c r="V7" s="21">
        <f>IF($X7&lt;&gt;1,0,$D7*IF($Y7&gt;0,MAX(0,INT((MIN(V$5+6,$AB7)-$AA7)/$Y7)-MAX(0,-INT(($AA7-V$5)/$Y7))+1),IF($Z7&gt;0,(MOD(((YEAR(V$5)-YEAR($AA7))*12+MONTH(V$5)-MONTH($AA7)),$Z7)=0)*(((YEAR(V$5)-YEAR($AA7))*12+MONTH(V$5)-MONTH($AA7))&gt;=0)*(EDATE($AA7,MAX(0,((YEAR(V$5)-YEAR($AA7))*12+MONTH(V$5)-MONTH($AA7))))&gt;=V$5)*(EDATE($AA7,MAX(0,((YEAR(V$5)-YEAR($AA7))*12+MONTH(V$5)-MONTH($AA7))))&lt;=MIN(V$5+6,$AB7))+(MOD((((YEAR(V$5)-YEAR($AA7))*12+MONTH(V$5)-MONTH($AA7))+1),$Z7)=0)*((((YEAR(V$5)-YEAR($AA7))*12+MONTH(V$5)-MONTH($AA7))+1)&gt;=0)*(EDATE($AA7,MAX(0,(((YEAR(V$5)-YEAR($AA7))*12+MONTH(V$5)-MONTH($AA7))+1)))&gt;=V$5)*(EDATE($AA7,MAX(0,(((YEAR(V$5)-YEAR($AA7))*12+MONTH(V$5)-MONTH($AA7))+1)))&lt;=MIN(V$5+6,$AB7)),($AA7&gt;=V$5)*($AA7&lt;=V$5+6))))</f>
        <v/>
      </c>
      <c r="W7" s="21">
        <f>IF($X7&lt;&gt;1,0,$D7*IF($Y7&gt;0,MAX(0,INT((MIN(W$5+6,$AB7)-$AA7)/$Y7)-MAX(0,-INT(($AA7-W$5)/$Y7))+1),IF($Z7&gt;0,(MOD(((YEAR(W$5)-YEAR($AA7))*12+MONTH(W$5)-MONTH($AA7)),$Z7)=0)*(((YEAR(W$5)-YEAR($AA7))*12+MONTH(W$5)-MONTH($AA7))&gt;=0)*(EDATE($AA7,MAX(0,((YEAR(W$5)-YEAR($AA7))*12+MONTH(W$5)-MONTH($AA7))))&gt;=W$5)*(EDATE($AA7,MAX(0,((YEAR(W$5)-YEAR($AA7))*12+MONTH(W$5)-MONTH($AA7))))&lt;=MIN(W$5+6,$AB7))+(MOD((((YEAR(W$5)-YEAR($AA7))*12+MONTH(W$5)-MONTH($AA7))+1),$Z7)=0)*((((YEAR(W$5)-YEAR($AA7))*12+MONTH(W$5)-MONTH($AA7))+1)&gt;=0)*(EDATE($AA7,MAX(0,(((YEAR(W$5)-YEAR($AA7))*12+MONTH(W$5)-MONTH($AA7))+1)))&gt;=W$5)*(EDATE($AA7,MAX(0,(((YEAR(W$5)-YEAR($AA7))*12+MONTH(W$5)-MONTH($AA7))+1)))&lt;=MIN(W$5+6,$AB7)),($AA7&gt;=W$5)*($AA7&lt;=W$5+6))))</f>
        <v/>
      </c>
      <c r="X7">
        <f>IF(COUNTA(A7:G7)=0,"",IF(AND(OR(B7="In",B7="Out"),ISNUMBER(D7),D7&gt;0,ISNUMBER(MATCH(E7,FreqName,0)),ISNUMBER(F7),OR(G7="",AND(ISNUMBER(G7),G7&gt;=F7))),1,0))</f>
        <v/>
      </c>
      <c r="Y7">
        <f>IF(X7&lt;&gt;1,0,INDEX(FreqDays,MATCH(E7,FreqName,0)))</f>
        <v/>
      </c>
      <c r="Z7">
        <f>IF(X7&lt;&gt;1,0,INDEX(FreqMonths,MATCH(E7,FreqName,0)))</f>
        <v/>
      </c>
      <c r="AA7">
        <f>IF(X7&lt;&gt;1,0,INT(F7))</f>
        <v/>
      </c>
      <c r="AB7">
        <f>IF(X7&lt;&gt;1,0,IF(ISNUMBER(G7),INT(G7),2958465))</f>
        <v/>
      </c>
    </row>
    <row r="8">
      <c r="A8" s="29" t="n"/>
      <c r="B8" s="29" t="n"/>
      <c r="C8" s="29" t="n"/>
      <c r="D8" s="34" t="n"/>
      <c r="E8" s="29" t="n"/>
      <c r="F8" s="24" t="n"/>
      <c r="G8" s="24" t="n"/>
      <c r="H8" s="10">
        <f>IF(X8="","",IF(X8=0,IF(AND(B8&lt;&gt;"In",B8&lt;&gt;"Out"),"Fix: choose In or Out",IF(OR(NOT(ISNUMBER(D8)),N(D8)&lt;=0),"Fix: amount must be a number above 0",IF(NOT(ISNUMBER(MATCH(E8,FreqName,0))),"Fix: choose a frequency",IF(NOT(ISNUMBER(F8)),"Fix: first date missing","Fix: end date must be a date on or after the first date")))),IF(AND(C8&lt;&gt;"",OR(AND(B8="In",ISNUMBER(MATCH(C8,InCats,0))),AND(B8="Out",ISNUMBER(MATCH(C8,OutCats,0))))),"OK","Category not on Settings (counted as Other)")))</f>
        <v/>
      </c>
      <c r="I8" s="35">
        <f>IF(X8&lt;&gt;1,"",ROUND(J8/D8,0))</f>
        <v/>
      </c>
      <c r="J8" s="36">
        <f>SUM(K8:W8)</f>
        <v/>
      </c>
      <c r="K8" s="21">
        <f>IF($X8&lt;&gt;1,0,$D8*IF($Y8&gt;0,MAX(0,INT((MIN(K$5+6,$AB8)-$AA8)/$Y8)-MAX(0,-INT(($AA8-K$5)/$Y8))+1),IF($Z8&gt;0,(MOD(((YEAR(K$5)-YEAR($AA8))*12+MONTH(K$5)-MONTH($AA8)),$Z8)=0)*(((YEAR(K$5)-YEAR($AA8))*12+MONTH(K$5)-MONTH($AA8))&gt;=0)*(EDATE($AA8,MAX(0,((YEAR(K$5)-YEAR($AA8))*12+MONTH(K$5)-MONTH($AA8))))&gt;=K$5)*(EDATE($AA8,MAX(0,((YEAR(K$5)-YEAR($AA8))*12+MONTH(K$5)-MONTH($AA8))))&lt;=MIN(K$5+6,$AB8))+(MOD((((YEAR(K$5)-YEAR($AA8))*12+MONTH(K$5)-MONTH($AA8))+1),$Z8)=0)*((((YEAR(K$5)-YEAR($AA8))*12+MONTH(K$5)-MONTH($AA8))+1)&gt;=0)*(EDATE($AA8,MAX(0,(((YEAR(K$5)-YEAR($AA8))*12+MONTH(K$5)-MONTH($AA8))+1)))&gt;=K$5)*(EDATE($AA8,MAX(0,(((YEAR(K$5)-YEAR($AA8))*12+MONTH(K$5)-MONTH($AA8))+1)))&lt;=MIN(K$5+6,$AB8)),($AA8&gt;=K$5)*($AA8&lt;=K$5+6))))</f>
        <v/>
      </c>
      <c r="L8" s="21">
        <f>IF($X8&lt;&gt;1,0,$D8*IF($Y8&gt;0,MAX(0,INT((MIN(L$5+6,$AB8)-$AA8)/$Y8)-MAX(0,-INT(($AA8-L$5)/$Y8))+1),IF($Z8&gt;0,(MOD(((YEAR(L$5)-YEAR($AA8))*12+MONTH(L$5)-MONTH($AA8)),$Z8)=0)*(((YEAR(L$5)-YEAR($AA8))*12+MONTH(L$5)-MONTH($AA8))&gt;=0)*(EDATE($AA8,MAX(0,((YEAR(L$5)-YEAR($AA8))*12+MONTH(L$5)-MONTH($AA8))))&gt;=L$5)*(EDATE($AA8,MAX(0,((YEAR(L$5)-YEAR($AA8))*12+MONTH(L$5)-MONTH($AA8))))&lt;=MIN(L$5+6,$AB8))+(MOD((((YEAR(L$5)-YEAR($AA8))*12+MONTH(L$5)-MONTH($AA8))+1),$Z8)=0)*((((YEAR(L$5)-YEAR($AA8))*12+MONTH(L$5)-MONTH($AA8))+1)&gt;=0)*(EDATE($AA8,MAX(0,(((YEAR(L$5)-YEAR($AA8))*12+MONTH(L$5)-MONTH($AA8))+1)))&gt;=L$5)*(EDATE($AA8,MAX(0,(((YEAR(L$5)-YEAR($AA8))*12+MONTH(L$5)-MONTH($AA8))+1)))&lt;=MIN(L$5+6,$AB8)),($AA8&gt;=L$5)*($AA8&lt;=L$5+6))))</f>
        <v/>
      </c>
      <c r="M8" s="21">
        <f>IF($X8&lt;&gt;1,0,$D8*IF($Y8&gt;0,MAX(0,INT((MIN(M$5+6,$AB8)-$AA8)/$Y8)-MAX(0,-INT(($AA8-M$5)/$Y8))+1),IF($Z8&gt;0,(MOD(((YEAR(M$5)-YEAR($AA8))*12+MONTH(M$5)-MONTH($AA8)),$Z8)=0)*(((YEAR(M$5)-YEAR($AA8))*12+MONTH(M$5)-MONTH($AA8))&gt;=0)*(EDATE($AA8,MAX(0,((YEAR(M$5)-YEAR($AA8))*12+MONTH(M$5)-MONTH($AA8))))&gt;=M$5)*(EDATE($AA8,MAX(0,((YEAR(M$5)-YEAR($AA8))*12+MONTH(M$5)-MONTH($AA8))))&lt;=MIN(M$5+6,$AB8))+(MOD((((YEAR(M$5)-YEAR($AA8))*12+MONTH(M$5)-MONTH($AA8))+1),$Z8)=0)*((((YEAR(M$5)-YEAR($AA8))*12+MONTH(M$5)-MONTH($AA8))+1)&gt;=0)*(EDATE($AA8,MAX(0,(((YEAR(M$5)-YEAR($AA8))*12+MONTH(M$5)-MONTH($AA8))+1)))&gt;=M$5)*(EDATE($AA8,MAX(0,(((YEAR(M$5)-YEAR($AA8))*12+MONTH(M$5)-MONTH($AA8))+1)))&lt;=MIN(M$5+6,$AB8)),($AA8&gt;=M$5)*($AA8&lt;=M$5+6))))</f>
        <v/>
      </c>
      <c r="N8" s="21">
        <f>IF($X8&lt;&gt;1,0,$D8*IF($Y8&gt;0,MAX(0,INT((MIN(N$5+6,$AB8)-$AA8)/$Y8)-MAX(0,-INT(($AA8-N$5)/$Y8))+1),IF($Z8&gt;0,(MOD(((YEAR(N$5)-YEAR($AA8))*12+MONTH(N$5)-MONTH($AA8)),$Z8)=0)*(((YEAR(N$5)-YEAR($AA8))*12+MONTH(N$5)-MONTH($AA8))&gt;=0)*(EDATE($AA8,MAX(0,((YEAR(N$5)-YEAR($AA8))*12+MONTH(N$5)-MONTH($AA8))))&gt;=N$5)*(EDATE($AA8,MAX(0,((YEAR(N$5)-YEAR($AA8))*12+MONTH(N$5)-MONTH($AA8))))&lt;=MIN(N$5+6,$AB8))+(MOD((((YEAR(N$5)-YEAR($AA8))*12+MONTH(N$5)-MONTH($AA8))+1),$Z8)=0)*((((YEAR(N$5)-YEAR($AA8))*12+MONTH(N$5)-MONTH($AA8))+1)&gt;=0)*(EDATE($AA8,MAX(0,(((YEAR(N$5)-YEAR($AA8))*12+MONTH(N$5)-MONTH($AA8))+1)))&gt;=N$5)*(EDATE($AA8,MAX(0,(((YEAR(N$5)-YEAR($AA8))*12+MONTH(N$5)-MONTH($AA8))+1)))&lt;=MIN(N$5+6,$AB8)),($AA8&gt;=N$5)*($AA8&lt;=N$5+6))))</f>
        <v/>
      </c>
      <c r="O8" s="21">
        <f>IF($X8&lt;&gt;1,0,$D8*IF($Y8&gt;0,MAX(0,INT((MIN(O$5+6,$AB8)-$AA8)/$Y8)-MAX(0,-INT(($AA8-O$5)/$Y8))+1),IF($Z8&gt;0,(MOD(((YEAR(O$5)-YEAR($AA8))*12+MONTH(O$5)-MONTH($AA8)),$Z8)=0)*(((YEAR(O$5)-YEAR($AA8))*12+MONTH(O$5)-MONTH($AA8))&gt;=0)*(EDATE($AA8,MAX(0,((YEAR(O$5)-YEAR($AA8))*12+MONTH(O$5)-MONTH($AA8))))&gt;=O$5)*(EDATE($AA8,MAX(0,((YEAR(O$5)-YEAR($AA8))*12+MONTH(O$5)-MONTH($AA8))))&lt;=MIN(O$5+6,$AB8))+(MOD((((YEAR(O$5)-YEAR($AA8))*12+MONTH(O$5)-MONTH($AA8))+1),$Z8)=0)*((((YEAR(O$5)-YEAR($AA8))*12+MONTH(O$5)-MONTH($AA8))+1)&gt;=0)*(EDATE($AA8,MAX(0,(((YEAR(O$5)-YEAR($AA8))*12+MONTH(O$5)-MONTH($AA8))+1)))&gt;=O$5)*(EDATE($AA8,MAX(0,(((YEAR(O$5)-YEAR($AA8))*12+MONTH(O$5)-MONTH($AA8))+1)))&lt;=MIN(O$5+6,$AB8)),($AA8&gt;=O$5)*($AA8&lt;=O$5+6))))</f>
        <v/>
      </c>
      <c r="P8" s="21">
        <f>IF($X8&lt;&gt;1,0,$D8*IF($Y8&gt;0,MAX(0,INT((MIN(P$5+6,$AB8)-$AA8)/$Y8)-MAX(0,-INT(($AA8-P$5)/$Y8))+1),IF($Z8&gt;0,(MOD(((YEAR(P$5)-YEAR($AA8))*12+MONTH(P$5)-MONTH($AA8)),$Z8)=0)*(((YEAR(P$5)-YEAR($AA8))*12+MONTH(P$5)-MONTH($AA8))&gt;=0)*(EDATE($AA8,MAX(0,((YEAR(P$5)-YEAR($AA8))*12+MONTH(P$5)-MONTH($AA8))))&gt;=P$5)*(EDATE($AA8,MAX(0,((YEAR(P$5)-YEAR($AA8))*12+MONTH(P$5)-MONTH($AA8))))&lt;=MIN(P$5+6,$AB8))+(MOD((((YEAR(P$5)-YEAR($AA8))*12+MONTH(P$5)-MONTH($AA8))+1),$Z8)=0)*((((YEAR(P$5)-YEAR($AA8))*12+MONTH(P$5)-MONTH($AA8))+1)&gt;=0)*(EDATE($AA8,MAX(0,(((YEAR(P$5)-YEAR($AA8))*12+MONTH(P$5)-MONTH($AA8))+1)))&gt;=P$5)*(EDATE($AA8,MAX(0,(((YEAR(P$5)-YEAR($AA8))*12+MONTH(P$5)-MONTH($AA8))+1)))&lt;=MIN(P$5+6,$AB8)),($AA8&gt;=P$5)*($AA8&lt;=P$5+6))))</f>
        <v/>
      </c>
      <c r="Q8" s="21">
        <f>IF($X8&lt;&gt;1,0,$D8*IF($Y8&gt;0,MAX(0,INT((MIN(Q$5+6,$AB8)-$AA8)/$Y8)-MAX(0,-INT(($AA8-Q$5)/$Y8))+1),IF($Z8&gt;0,(MOD(((YEAR(Q$5)-YEAR($AA8))*12+MONTH(Q$5)-MONTH($AA8)),$Z8)=0)*(((YEAR(Q$5)-YEAR($AA8))*12+MONTH(Q$5)-MONTH($AA8))&gt;=0)*(EDATE($AA8,MAX(0,((YEAR(Q$5)-YEAR($AA8))*12+MONTH(Q$5)-MONTH($AA8))))&gt;=Q$5)*(EDATE($AA8,MAX(0,((YEAR(Q$5)-YEAR($AA8))*12+MONTH(Q$5)-MONTH($AA8))))&lt;=MIN(Q$5+6,$AB8))+(MOD((((YEAR(Q$5)-YEAR($AA8))*12+MONTH(Q$5)-MONTH($AA8))+1),$Z8)=0)*((((YEAR(Q$5)-YEAR($AA8))*12+MONTH(Q$5)-MONTH($AA8))+1)&gt;=0)*(EDATE($AA8,MAX(0,(((YEAR(Q$5)-YEAR($AA8))*12+MONTH(Q$5)-MONTH($AA8))+1)))&gt;=Q$5)*(EDATE($AA8,MAX(0,(((YEAR(Q$5)-YEAR($AA8))*12+MONTH(Q$5)-MONTH($AA8))+1)))&lt;=MIN(Q$5+6,$AB8)),($AA8&gt;=Q$5)*($AA8&lt;=Q$5+6))))</f>
        <v/>
      </c>
      <c r="R8" s="21">
        <f>IF($X8&lt;&gt;1,0,$D8*IF($Y8&gt;0,MAX(0,INT((MIN(R$5+6,$AB8)-$AA8)/$Y8)-MAX(0,-INT(($AA8-R$5)/$Y8))+1),IF($Z8&gt;0,(MOD(((YEAR(R$5)-YEAR($AA8))*12+MONTH(R$5)-MONTH($AA8)),$Z8)=0)*(((YEAR(R$5)-YEAR($AA8))*12+MONTH(R$5)-MONTH($AA8))&gt;=0)*(EDATE($AA8,MAX(0,((YEAR(R$5)-YEAR($AA8))*12+MONTH(R$5)-MONTH($AA8))))&gt;=R$5)*(EDATE($AA8,MAX(0,((YEAR(R$5)-YEAR($AA8))*12+MONTH(R$5)-MONTH($AA8))))&lt;=MIN(R$5+6,$AB8))+(MOD((((YEAR(R$5)-YEAR($AA8))*12+MONTH(R$5)-MONTH($AA8))+1),$Z8)=0)*((((YEAR(R$5)-YEAR($AA8))*12+MONTH(R$5)-MONTH($AA8))+1)&gt;=0)*(EDATE($AA8,MAX(0,(((YEAR(R$5)-YEAR($AA8))*12+MONTH(R$5)-MONTH($AA8))+1)))&gt;=R$5)*(EDATE($AA8,MAX(0,(((YEAR(R$5)-YEAR($AA8))*12+MONTH(R$5)-MONTH($AA8))+1)))&lt;=MIN(R$5+6,$AB8)),($AA8&gt;=R$5)*($AA8&lt;=R$5+6))))</f>
        <v/>
      </c>
      <c r="S8" s="21">
        <f>IF($X8&lt;&gt;1,0,$D8*IF($Y8&gt;0,MAX(0,INT((MIN(S$5+6,$AB8)-$AA8)/$Y8)-MAX(0,-INT(($AA8-S$5)/$Y8))+1),IF($Z8&gt;0,(MOD(((YEAR(S$5)-YEAR($AA8))*12+MONTH(S$5)-MONTH($AA8)),$Z8)=0)*(((YEAR(S$5)-YEAR($AA8))*12+MONTH(S$5)-MONTH($AA8))&gt;=0)*(EDATE($AA8,MAX(0,((YEAR(S$5)-YEAR($AA8))*12+MONTH(S$5)-MONTH($AA8))))&gt;=S$5)*(EDATE($AA8,MAX(0,((YEAR(S$5)-YEAR($AA8))*12+MONTH(S$5)-MONTH($AA8))))&lt;=MIN(S$5+6,$AB8))+(MOD((((YEAR(S$5)-YEAR($AA8))*12+MONTH(S$5)-MONTH($AA8))+1),$Z8)=0)*((((YEAR(S$5)-YEAR($AA8))*12+MONTH(S$5)-MONTH($AA8))+1)&gt;=0)*(EDATE($AA8,MAX(0,(((YEAR(S$5)-YEAR($AA8))*12+MONTH(S$5)-MONTH($AA8))+1)))&gt;=S$5)*(EDATE($AA8,MAX(0,(((YEAR(S$5)-YEAR($AA8))*12+MONTH(S$5)-MONTH($AA8))+1)))&lt;=MIN(S$5+6,$AB8)),($AA8&gt;=S$5)*($AA8&lt;=S$5+6))))</f>
        <v/>
      </c>
      <c r="T8" s="21">
        <f>IF($X8&lt;&gt;1,0,$D8*IF($Y8&gt;0,MAX(0,INT((MIN(T$5+6,$AB8)-$AA8)/$Y8)-MAX(0,-INT(($AA8-T$5)/$Y8))+1),IF($Z8&gt;0,(MOD(((YEAR(T$5)-YEAR($AA8))*12+MONTH(T$5)-MONTH($AA8)),$Z8)=0)*(((YEAR(T$5)-YEAR($AA8))*12+MONTH(T$5)-MONTH($AA8))&gt;=0)*(EDATE($AA8,MAX(0,((YEAR(T$5)-YEAR($AA8))*12+MONTH(T$5)-MONTH($AA8))))&gt;=T$5)*(EDATE($AA8,MAX(0,((YEAR(T$5)-YEAR($AA8))*12+MONTH(T$5)-MONTH($AA8))))&lt;=MIN(T$5+6,$AB8))+(MOD((((YEAR(T$5)-YEAR($AA8))*12+MONTH(T$5)-MONTH($AA8))+1),$Z8)=0)*((((YEAR(T$5)-YEAR($AA8))*12+MONTH(T$5)-MONTH($AA8))+1)&gt;=0)*(EDATE($AA8,MAX(0,(((YEAR(T$5)-YEAR($AA8))*12+MONTH(T$5)-MONTH($AA8))+1)))&gt;=T$5)*(EDATE($AA8,MAX(0,(((YEAR(T$5)-YEAR($AA8))*12+MONTH(T$5)-MONTH($AA8))+1)))&lt;=MIN(T$5+6,$AB8)),($AA8&gt;=T$5)*($AA8&lt;=T$5+6))))</f>
        <v/>
      </c>
      <c r="U8" s="21">
        <f>IF($X8&lt;&gt;1,0,$D8*IF($Y8&gt;0,MAX(0,INT((MIN(U$5+6,$AB8)-$AA8)/$Y8)-MAX(0,-INT(($AA8-U$5)/$Y8))+1),IF($Z8&gt;0,(MOD(((YEAR(U$5)-YEAR($AA8))*12+MONTH(U$5)-MONTH($AA8)),$Z8)=0)*(((YEAR(U$5)-YEAR($AA8))*12+MONTH(U$5)-MONTH($AA8))&gt;=0)*(EDATE($AA8,MAX(0,((YEAR(U$5)-YEAR($AA8))*12+MONTH(U$5)-MONTH($AA8))))&gt;=U$5)*(EDATE($AA8,MAX(0,((YEAR(U$5)-YEAR($AA8))*12+MONTH(U$5)-MONTH($AA8))))&lt;=MIN(U$5+6,$AB8))+(MOD((((YEAR(U$5)-YEAR($AA8))*12+MONTH(U$5)-MONTH($AA8))+1),$Z8)=0)*((((YEAR(U$5)-YEAR($AA8))*12+MONTH(U$5)-MONTH($AA8))+1)&gt;=0)*(EDATE($AA8,MAX(0,(((YEAR(U$5)-YEAR($AA8))*12+MONTH(U$5)-MONTH($AA8))+1)))&gt;=U$5)*(EDATE($AA8,MAX(0,(((YEAR(U$5)-YEAR($AA8))*12+MONTH(U$5)-MONTH($AA8))+1)))&lt;=MIN(U$5+6,$AB8)),($AA8&gt;=U$5)*($AA8&lt;=U$5+6))))</f>
        <v/>
      </c>
      <c r="V8" s="21">
        <f>IF($X8&lt;&gt;1,0,$D8*IF($Y8&gt;0,MAX(0,INT((MIN(V$5+6,$AB8)-$AA8)/$Y8)-MAX(0,-INT(($AA8-V$5)/$Y8))+1),IF($Z8&gt;0,(MOD(((YEAR(V$5)-YEAR($AA8))*12+MONTH(V$5)-MONTH($AA8)),$Z8)=0)*(((YEAR(V$5)-YEAR($AA8))*12+MONTH(V$5)-MONTH($AA8))&gt;=0)*(EDATE($AA8,MAX(0,((YEAR(V$5)-YEAR($AA8))*12+MONTH(V$5)-MONTH($AA8))))&gt;=V$5)*(EDATE($AA8,MAX(0,((YEAR(V$5)-YEAR($AA8))*12+MONTH(V$5)-MONTH($AA8))))&lt;=MIN(V$5+6,$AB8))+(MOD((((YEAR(V$5)-YEAR($AA8))*12+MONTH(V$5)-MONTH($AA8))+1),$Z8)=0)*((((YEAR(V$5)-YEAR($AA8))*12+MONTH(V$5)-MONTH($AA8))+1)&gt;=0)*(EDATE($AA8,MAX(0,(((YEAR(V$5)-YEAR($AA8))*12+MONTH(V$5)-MONTH($AA8))+1)))&gt;=V$5)*(EDATE($AA8,MAX(0,(((YEAR(V$5)-YEAR($AA8))*12+MONTH(V$5)-MONTH($AA8))+1)))&lt;=MIN(V$5+6,$AB8)),($AA8&gt;=V$5)*($AA8&lt;=V$5+6))))</f>
        <v/>
      </c>
      <c r="W8" s="21">
        <f>IF($X8&lt;&gt;1,0,$D8*IF($Y8&gt;0,MAX(0,INT((MIN(W$5+6,$AB8)-$AA8)/$Y8)-MAX(0,-INT(($AA8-W$5)/$Y8))+1),IF($Z8&gt;0,(MOD(((YEAR(W$5)-YEAR($AA8))*12+MONTH(W$5)-MONTH($AA8)),$Z8)=0)*(((YEAR(W$5)-YEAR($AA8))*12+MONTH(W$5)-MONTH($AA8))&gt;=0)*(EDATE($AA8,MAX(0,((YEAR(W$5)-YEAR($AA8))*12+MONTH(W$5)-MONTH($AA8))))&gt;=W$5)*(EDATE($AA8,MAX(0,((YEAR(W$5)-YEAR($AA8))*12+MONTH(W$5)-MONTH($AA8))))&lt;=MIN(W$5+6,$AB8))+(MOD((((YEAR(W$5)-YEAR($AA8))*12+MONTH(W$5)-MONTH($AA8))+1),$Z8)=0)*((((YEAR(W$5)-YEAR($AA8))*12+MONTH(W$5)-MONTH($AA8))+1)&gt;=0)*(EDATE($AA8,MAX(0,(((YEAR(W$5)-YEAR($AA8))*12+MONTH(W$5)-MONTH($AA8))+1)))&gt;=W$5)*(EDATE($AA8,MAX(0,(((YEAR(W$5)-YEAR($AA8))*12+MONTH(W$5)-MONTH($AA8))+1)))&lt;=MIN(W$5+6,$AB8)),($AA8&gt;=W$5)*($AA8&lt;=W$5+6))))</f>
        <v/>
      </c>
      <c r="X8">
        <f>IF(COUNTA(A8:G8)=0,"",IF(AND(OR(B8="In",B8="Out"),ISNUMBER(D8),D8&gt;0,ISNUMBER(MATCH(E8,FreqName,0)),ISNUMBER(F8),OR(G8="",AND(ISNUMBER(G8),G8&gt;=F8))),1,0))</f>
        <v/>
      </c>
      <c r="Y8">
        <f>IF(X8&lt;&gt;1,0,INDEX(FreqDays,MATCH(E8,FreqName,0)))</f>
        <v/>
      </c>
      <c r="Z8">
        <f>IF(X8&lt;&gt;1,0,INDEX(FreqMonths,MATCH(E8,FreqName,0)))</f>
        <v/>
      </c>
      <c r="AA8">
        <f>IF(X8&lt;&gt;1,0,INT(F8))</f>
        <v/>
      </c>
      <c r="AB8">
        <f>IF(X8&lt;&gt;1,0,IF(ISNUMBER(G8),INT(G8),2958465))</f>
        <v/>
      </c>
    </row>
    <row r="9">
      <c r="A9" s="29" t="n"/>
      <c r="B9" s="29" t="n"/>
      <c r="C9" s="29" t="n"/>
      <c r="D9" s="34" t="n"/>
      <c r="E9" s="29" t="n"/>
      <c r="F9" s="24" t="n"/>
      <c r="G9" s="24" t="n"/>
      <c r="H9" s="10">
        <f>IF(X9="","",IF(X9=0,IF(AND(B9&lt;&gt;"In",B9&lt;&gt;"Out"),"Fix: choose In or Out",IF(OR(NOT(ISNUMBER(D9)),N(D9)&lt;=0),"Fix: amount must be a number above 0",IF(NOT(ISNUMBER(MATCH(E9,FreqName,0))),"Fix: choose a frequency",IF(NOT(ISNUMBER(F9)),"Fix: first date missing","Fix: end date must be a date on or after the first date")))),IF(AND(C9&lt;&gt;"",OR(AND(B9="In",ISNUMBER(MATCH(C9,InCats,0))),AND(B9="Out",ISNUMBER(MATCH(C9,OutCats,0))))),"OK","Category not on Settings (counted as Other)")))</f>
        <v/>
      </c>
      <c r="I9" s="35">
        <f>IF(X9&lt;&gt;1,"",ROUND(J9/D9,0))</f>
        <v/>
      </c>
      <c r="J9" s="36">
        <f>SUM(K9:W9)</f>
        <v/>
      </c>
      <c r="K9" s="21">
        <f>IF($X9&lt;&gt;1,0,$D9*IF($Y9&gt;0,MAX(0,INT((MIN(K$5+6,$AB9)-$AA9)/$Y9)-MAX(0,-INT(($AA9-K$5)/$Y9))+1),IF($Z9&gt;0,(MOD(((YEAR(K$5)-YEAR($AA9))*12+MONTH(K$5)-MONTH($AA9)),$Z9)=0)*(((YEAR(K$5)-YEAR($AA9))*12+MONTH(K$5)-MONTH($AA9))&gt;=0)*(EDATE($AA9,MAX(0,((YEAR(K$5)-YEAR($AA9))*12+MONTH(K$5)-MONTH($AA9))))&gt;=K$5)*(EDATE($AA9,MAX(0,((YEAR(K$5)-YEAR($AA9))*12+MONTH(K$5)-MONTH($AA9))))&lt;=MIN(K$5+6,$AB9))+(MOD((((YEAR(K$5)-YEAR($AA9))*12+MONTH(K$5)-MONTH($AA9))+1),$Z9)=0)*((((YEAR(K$5)-YEAR($AA9))*12+MONTH(K$5)-MONTH($AA9))+1)&gt;=0)*(EDATE($AA9,MAX(0,(((YEAR(K$5)-YEAR($AA9))*12+MONTH(K$5)-MONTH($AA9))+1)))&gt;=K$5)*(EDATE($AA9,MAX(0,(((YEAR(K$5)-YEAR($AA9))*12+MONTH(K$5)-MONTH($AA9))+1)))&lt;=MIN(K$5+6,$AB9)),($AA9&gt;=K$5)*($AA9&lt;=K$5+6))))</f>
        <v/>
      </c>
      <c r="L9" s="21">
        <f>IF($X9&lt;&gt;1,0,$D9*IF($Y9&gt;0,MAX(0,INT((MIN(L$5+6,$AB9)-$AA9)/$Y9)-MAX(0,-INT(($AA9-L$5)/$Y9))+1),IF($Z9&gt;0,(MOD(((YEAR(L$5)-YEAR($AA9))*12+MONTH(L$5)-MONTH($AA9)),$Z9)=0)*(((YEAR(L$5)-YEAR($AA9))*12+MONTH(L$5)-MONTH($AA9))&gt;=0)*(EDATE($AA9,MAX(0,((YEAR(L$5)-YEAR($AA9))*12+MONTH(L$5)-MONTH($AA9))))&gt;=L$5)*(EDATE($AA9,MAX(0,((YEAR(L$5)-YEAR($AA9))*12+MONTH(L$5)-MONTH($AA9))))&lt;=MIN(L$5+6,$AB9))+(MOD((((YEAR(L$5)-YEAR($AA9))*12+MONTH(L$5)-MONTH($AA9))+1),$Z9)=0)*((((YEAR(L$5)-YEAR($AA9))*12+MONTH(L$5)-MONTH($AA9))+1)&gt;=0)*(EDATE($AA9,MAX(0,(((YEAR(L$5)-YEAR($AA9))*12+MONTH(L$5)-MONTH($AA9))+1)))&gt;=L$5)*(EDATE($AA9,MAX(0,(((YEAR(L$5)-YEAR($AA9))*12+MONTH(L$5)-MONTH($AA9))+1)))&lt;=MIN(L$5+6,$AB9)),($AA9&gt;=L$5)*($AA9&lt;=L$5+6))))</f>
        <v/>
      </c>
      <c r="M9" s="21">
        <f>IF($X9&lt;&gt;1,0,$D9*IF($Y9&gt;0,MAX(0,INT((MIN(M$5+6,$AB9)-$AA9)/$Y9)-MAX(0,-INT(($AA9-M$5)/$Y9))+1),IF($Z9&gt;0,(MOD(((YEAR(M$5)-YEAR($AA9))*12+MONTH(M$5)-MONTH($AA9)),$Z9)=0)*(((YEAR(M$5)-YEAR($AA9))*12+MONTH(M$5)-MONTH($AA9))&gt;=0)*(EDATE($AA9,MAX(0,((YEAR(M$5)-YEAR($AA9))*12+MONTH(M$5)-MONTH($AA9))))&gt;=M$5)*(EDATE($AA9,MAX(0,((YEAR(M$5)-YEAR($AA9))*12+MONTH(M$5)-MONTH($AA9))))&lt;=MIN(M$5+6,$AB9))+(MOD((((YEAR(M$5)-YEAR($AA9))*12+MONTH(M$5)-MONTH($AA9))+1),$Z9)=0)*((((YEAR(M$5)-YEAR($AA9))*12+MONTH(M$5)-MONTH($AA9))+1)&gt;=0)*(EDATE($AA9,MAX(0,(((YEAR(M$5)-YEAR($AA9))*12+MONTH(M$5)-MONTH($AA9))+1)))&gt;=M$5)*(EDATE($AA9,MAX(0,(((YEAR(M$5)-YEAR($AA9))*12+MONTH(M$5)-MONTH($AA9))+1)))&lt;=MIN(M$5+6,$AB9)),($AA9&gt;=M$5)*($AA9&lt;=M$5+6))))</f>
        <v/>
      </c>
      <c r="N9" s="21">
        <f>IF($X9&lt;&gt;1,0,$D9*IF($Y9&gt;0,MAX(0,INT((MIN(N$5+6,$AB9)-$AA9)/$Y9)-MAX(0,-INT(($AA9-N$5)/$Y9))+1),IF($Z9&gt;0,(MOD(((YEAR(N$5)-YEAR($AA9))*12+MONTH(N$5)-MONTH($AA9)),$Z9)=0)*(((YEAR(N$5)-YEAR($AA9))*12+MONTH(N$5)-MONTH($AA9))&gt;=0)*(EDATE($AA9,MAX(0,((YEAR(N$5)-YEAR($AA9))*12+MONTH(N$5)-MONTH($AA9))))&gt;=N$5)*(EDATE($AA9,MAX(0,((YEAR(N$5)-YEAR($AA9))*12+MONTH(N$5)-MONTH($AA9))))&lt;=MIN(N$5+6,$AB9))+(MOD((((YEAR(N$5)-YEAR($AA9))*12+MONTH(N$5)-MONTH($AA9))+1),$Z9)=0)*((((YEAR(N$5)-YEAR($AA9))*12+MONTH(N$5)-MONTH($AA9))+1)&gt;=0)*(EDATE($AA9,MAX(0,(((YEAR(N$5)-YEAR($AA9))*12+MONTH(N$5)-MONTH($AA9))+1)))&gt;=N$5)*(EDATE($AA9,MAX(0,(((YEAR(N$5)-YEAR($AA9))*12+MONTH(N$5)-MONTH($AA9))+1)))&lt;=MIN(N$5+6,$AB9)),($AA9&gt;=N$5)*($AA9&lt;=N$5+6))))</f>
        <v/>
      </c>
      <c r="O9" s="21">
        <f>IF($X9&lt;&gt;1,0,$D9*IF($Y9&gt;0,MAX(0,INT((MIN(O$5+6,$AB9)-$AA9)/$Y9)-MAX(0,-INT(($AA9-O$5)/$Y9))+1),IF($Z9&gt;0,(MOD(((YEAR(O$5)-YEAR($AA9))*12+MONTH(O$5)-MONTH($AA9)),$Z9)=0)*(((YEAR(O$5)-YEAR($AA9))*12+MONTH(O$5)-MONTH($AA9))&gt;=0)*(EDATE($AA9,MAX(0,((YEAR(O$5)-YEAR($AA9))*12+MONTH(O$5)-MONTH($AA9))))&gt;=O$5)*(EDATE($AA9,MAX(0,((YEAR(O$5)-YEAR($AA9))*12+MONTH(O$5)-MONTH($AA9))))&lt;=MIN(O$5+6,$AB9))+(MOD((((YEAR(O$5)-YEAR($AA9))*12+MONTH(O$5)-MONTH($AA9))+1),$Z9)=0)*((((YEAR(O$5)-YEAR($AA9))*12+MONTH(O$5)-MONTH($AA9))+1)&gt;=0)*(EDATE($AA9,MAX(0,(((YEAR(O$5)-YEAR($AA9))*12+MONTH(O$5)-MONTH($AA9))+1)))&gt;=O$5)*(EDATE($AA9,MAX(0,(((YEAR(O$5)-YEAR($AA9))*12+MONTH(O$5)-MONTH($AA9))+1)))&lt;=MIN(O$5+6,$AB9)),($AA9&gt;=O$5)*($AA9&lt;=O$5+6))))</f>
        <v/>
      </c>
      <c r="P9" s="21">
        <f>IF($X9&lt;&gt;1,0,$D9*IF($Y9&gt;0,MAX(0,INT((MIN(P$5+6,$AB9)-$AA9)/$Y9)-MAX(0,-INT(($AA9-P$5)/$Y9))+1),IF($Z9&gt;0,(MOD(((YEAR(P$5)-YEAR($AA9))*12+MONTH(P$5)-MONTH($AA9)),$Z9)=0)*(((YEAR(P$5)-YEAR($AA9))*12+MONTH(P$5)-MONTH($AA9))&gt;=0)*(EDATE($AA9,MAX(0,((YEAR(P$5)-YEAR($AA9))*12+MONTH(P$5)-MONTH($AA9))))&gt;=P$5)*(EDATE($AA9,MAX(0,((YEAR(P$5)-YEAR($AA9))*12+MONTH(P$5)-MONTH($AA9))))&lt;=MIN(P$5+6,$AB9))+(MOD((((YEAR(P$5)-YEAR($AA9))*12+MONTH(P$5)-MONTH($AA9))+1),$Z9)=0)*((((YEAR(P$5)-YEAR($AA9))*12+MONTH(P$5)-MONTH($AA9))+1)&gt;=0)*(EDATE($AA9,MAX(0,(((YEAR(P$5)-YEAR($AA9))*12+MONTH(P$5)-MONTH($AA9))+1)))&gt;=P$5)*(EDATE($AA9,MAX(0,(((YEAR(P$5)-YEAR($AA9))*12+MONTH(P$5)-MONTH($AA9))+1)))&lt;=MIN(P$5+6,$AB9)),($AA9&gt;=P$5)*($AA9&lt;=P$5+6))))</f>
        <v/>
      </c>
      <c r="Q9" s="21">
        <f>IF($X9&lt;&gt;1,0,$D9*IF($Y9&gt;0,MAX(0,INT((MIN(Q$5+6,$AB9)-$AA9)/$Y9)-MAX(0,-INT(($AA9-Q$5)/$Y9))+1),IF($Z9&gt;0,(MOD(((YEAR(Q$5)-YEAR($AA9))*12+MONTH(Q$5)-MONTH($AA9)),$Z9)=0)*(((YEAR(Q$5)-YEAR($AA9))*12+MONTH(Q$5)-MONTH($AA9))&gt;=0)*(EDATE($AA9,MAX(0,((YEAR(Q$5)-YEAR($AA9))*12+MONTH(Q$5)-MONTH($AA9))))&gt;=Q$5)*(EDATE($AA9,MAX(0,((YEAR(Q$5)-YEAR($AA9))*12+MONTH(Q$5)-MONTH($AA9))))&lt;=MIN(Q$5+6,$AB9))+(MOD((((YEAR(Q$5)-YEAR($AA9))*12+MONTH(Q$5)-MONTH($AA9))+1),$Z9)=0)*((((YEAR(Q$5)-YEAR($AA9))*12+MONTH(Q$5)-MONTH($AA9))+1)&gt;=0)*(EDATE($AA9,MAX(0,(((YEAR(Q$5)-YEAR($AA9))*12+MONTH(Q$5)-MONTH($AA9))+1)))&gt;=Q$5)*(EDATE($AA9,MAX(0,(((YEAR(Q$5)-YEAR($AA9))*12+MONTH(Q$5)-MONTH($AA9))+1)))&lt;=MIN(Q$5+6,$AB9)),($AA9&gt;=Q$5)*($AA9&lt;=Q$5+6))))</f>
        <v/>
      </c>
      <c r="R9" s="21">
        <f>IF($X9&lt;&gt;1,0,$D9*IF($Y9&gt;0,MAX(0,INT((MIN(R$5+6,$AB9)-$AA9)/$Y9)-MAX(0,-INT(($AA9-R$5)/$Y9))+1),IF($Z9&gt;0,(MOD(((YEAR(R$5)-YEAR($AA9))*12+MONTH(R$5)-MONTH($AA9)),$Z9)=0)*(((YEAR(R$5)-YEAR($AA9))*12+MONTH(R$5)-MONTH($AA9))&gt;=0)*(EDATE($AA9,MAX(0,((YEAR(R$5)-YEAR($AA9))*12+MONTH(R$5)-MONTH($AA9))))&gt;=R$5)*(EDATE($AA9,MAX(0,((YEAR(R$5)-YEAR($AA9))*12+MONTH(R$5)-MONTH($AA9))))&lt;=MIN(R$5+6,$AB9))+(MOD((((YEAR(R$5)-YEAR($AA9))*12+MONTH(R$5)-MONTH($AA9))+1),$Z9)=0)*((((YEAR(R$5)-YEAR($AA9))*12+MONTH(R$5)-MONTH($AA9))+1)&gt;=0)*(EDATE($AA9,MAX(0,(((YEAR(R$5)-YEAR($AA9))*12+MONTH(R$5)-MONTH($AA9))+1)))&gt;=R$5)*(EDATE($AA9,MAX(0,(((YEAR(R$5)-YEAR($AA9))*12+MONTH(R$5)-MONTH($AA9))+1)))&lt;=MIN(R$5+6,$AB9)),($AA9&gt;=R$5)*($AA9&lt;=R$5+6))))</f>
        <v/>
      </c>
      <c r="S9" s="21">
        <f>IF($X9&lt;&gt;1,0,$D9*IF($Y9&gt;0,MAX(0,INT((MIN(S$5+6,$AB9)-$AA9)/$Y9)-MAX(0,-INT(($AA9-S$5)/$Y9))+1),IF($Z9&gt;0,(MOD(((YEAR(S$5)-YEAR($AA9))*12+MONTH(S$5)-MONTH($AA9)),$Z9)=0)*(((YEAR(S$5)-YEAR($AA9))*12+MONTH(S$5)-MONTH($AA9))&gt;=0)*(EDATE($AA9,MAX(0,((YEAR(S$5)-YEAR($AA9))*12+MONTH(S$5)-MONTH($AA9))))&gt;=S$5)*(EDATE($AA9,MAX(0,((YEAR(S$5)-YEAR($AA9))*12+MONTH(S$5)-MONTH($AA9))))&lt;=MIN(S$5+6,$AB9))+(MOD((((YEAR(S$5)-YEAR($AA9))*12+MONTH(S$5)-MONTH($AA9))+1),$Z9)=0)*((((YEAR(S$5)-YEAR($AA9))*12+MONTH(S$5)-MONTH($AA9))+1)&gt;=0)*(EDATE($AA9,MAX(0,(((YEAR(S$5)-YEAR($AA9))*12+MONTH(S$5)-MONTH($AA9))+1)))&gt;=S$5)*(EDATE($AA9,MAX(0,(((YEAR(S$5)-YEAR($AA9))*12+MONTH(S$5)-MONTH($AA9))+1)))&lt;=MIN(S$5+6,$AB9)),($AA9&gt;=S$5)*($AA9&lt;=S$5+6))))</f>
        <v/>
      </c>
      <c r="T9" s="21">
        <f>IF($X9&lt;&gt;1,0,$D9*IF($Y9&gt;0,MAX(0,INT((MIN(T$5+6,$AB9)-$AA9)/$Y9)-MAX(0,-INT(($AA9-T$5)/$Y9))+1),IF($Z9&gt;0,(MOD(((YEAR(T$5)-YEAR($AA9))*12+MONTH(T$5)-MONTH($AA9)),$Z9)=0)*(((YEAR(T$5)-YEAR($AA9))*12+MONTH(T$5)-MONTH($AA9))&gt;=0)*(EDATE($AA9,MAX(0,((YEAR(T$5)-YEAR($AA9))*12+MONTH(T$5)-MONTH($AA9))))&gt;=T$5)*(EDATE($AA9,MAX(0,((YEAR(T$5)-YEAR($AA9))*12+MONTH(T$5)-MONTH($AA9))))&lt;=MIN(T$5+6,$AB9))+(MOD((((YEAR(T$5)-YEAR($AA9))*12+MONTH(T$5)-MONTH($AA9))+1),$Z9)=0)*((((YEAR(T$5)-YEAR($AA9))*12+MONTH(T$5)-MONTH($AA9))+1)&gt;=0)*(EDATE($AA9,MAX(0,(((YEAR(T$5)-YEAR($AA9))*12+MONTH(T$5)-MONTH($AA9))+1)))&gt;=T$5)*(EDATE($AA9,MAX(0,(((YEAR(T$5)-YEAR($AA9))*12+MONTH(T$5)-MONTH($AA9))+1)))&lt;=MIN(T$5+6,$AB9)),($AA9&gt;=T$5)*($AA9&lt;=T$5+6))))</f>
        <v/>
      </c>
      <c r="U9" s="21">
        <f>IF($X9&lt;&gt;1,0,$D9*IF($Y9&gt;0,MAX(0,INT((MIN(U$5+6,$AB9)-$AA9)/$Y9)-MAX(0,-INT(($AA9-U$5)/$Y9))+1),IF($Z9&gt;0,(MOD(((YEAR(U$5)-YEAR($AA9))*12+MONTH(U$5)-MONTH($AA9)),$Z9)=0)*(((YEAR(U$5)-YEAR($AA9))*12+MONTH(U$5)-MONTH($AA9))&gt;=0)*(EDATE($AA9,MAX(0,((YEAR(U$5)-YEAR($AA9))*12+MONTH(U$5)-MONTH($AA9))))&gt;=U$5)*(EDATE($AA9,MAX(0,((YEAR(U$5)-YEAR($AA9))*12+MONTH(U$5)-MONTH($AA9))))&lt;=MIN(U$5+6,$AB9))+(MOD((((YEAR(U$5)-YEAR($AA9))*12+MONTH(U$5)-MONTH($AA9))+1),$Z9)=0)*((((YEAR(U$5)-YEAR($AA9))*12+MONTH(U$5)-MONTH($AA9))+1)&gt;=0)*(EDATE($AA9,MAX(0,(((YEAR(U$5)-YEAR($AA9))*12+MONTH(U$5)-MONTH($AA9))+1)))&gt;=U$5)*(EDATE($AA9,MAX(0,(((YEAR(U$5)-YEAR($AA9))*12+MONTH(U$5)-MONTH($AA9))+1)))&lt;=MIN(U$5+6,$AB9)),($AA9&gt;=U$5)*($AA9&lt;=U$5+6))))</f>
        <v/>
      </c>
      <c r="V9" s="21">
        <f>IF($X9&lt;&gt;1,0,$D9*IF($Y9&gt;0,MAX(0,INT((MIN(V$5+6,$AB9)-$AA9)/$Y9)-MAX(0,-INT(($AA9-V$5)/$Y9))+1),IF($Z9&gt;0,(MOD(((YEAR(V$5)-YEAR($AA9))*12+MONTH(V$5)-MONTH($AA9)),$Z9)=0)*(((YEAR(V$5)-YEAR($AA9))*12+MONTH(V$5)-MONTH($AA9))&gt;=0)*(EDATE($AA9,MAX(0,((YEAR(V$5)-YEAR($AA9))*12+MONTH(V$5)-MONTH($AA9))))&gt;=V$5)*(EDATE($AA9,MAX(0,((YEAR(V$5)-YEAR($AA9))*12+MONTH(V$5)-MONTH($AA9))))&lt;=MIN(V$5+6,$AB9))+(MOD((((YEAR(V$5)-YEAR($AA9))*12+MONTH(V$5)-MONTH($AA9))+1),$Z9)=0)*((((YEAR(V$5)-YEAR($AA9))*12+MONTH(V$5)-MONTH($AA9))+1)&gt;=0)*(EDATE($AA9,MAX(0,(((YEAR(V$5)-YEAR($AA9))*12+MONTH(V$5)-MONTH($AA9))+1)))&gt;=V$5)*(EDATE($AA9,MAX(0,(((YEAR(V$5)-YEAR($AA9))*12+MONTH(V$5)-MONTH($AA9))+1)))&lt;=MIN(V$5+6,$AB9)),($AA9&gt;=V$5)*($AA9&lt;=V$5+6))))</f>
        <v/>
      </c>
      <c r="W9" s="21">
        <f>IF($X9&lt;&gt;1,0,$D9*IF($Y9&gt;0,MAX(0,INT((MIN(W$5+6,$AB9)-$AA9)/$Y9)-MAX(0,-INT(($AA9-W$5)/$Y9))+1),IF($Z9&gt;0,(MOD(((YEAR(W$5)-YEAR($AA9))*12+MONTH(W$5)-MONTH($AA9)),$Z9)=0)*(((YEAR(W$5)-YEAR($AA9))*12+MONTH(W$5)-MONTH($AA9))&gt;=0)*(EDATE($AA9,MAX(0,((YEAR(W$5)-YEAR($AA9))*12+MONTH(W$5)-MONTH($AA9))))&gt;=W$5)*(EDATE($AA9,MAX(0,((YEAR(W$5)-YEAR($AA9))*12+MONTH(W$5)-MONTH($AA9))))&lt;=MIN(W$5+6,$AB9))+(MOD((((YEAR(W$5)-YEAR($AA9))*12+MONTH(W$5)-MONTH($AA9))+1),$Z9)=0)*((((YEAR(W$5)-YEAR($AA9))*12+MONTH(W$5)-MONTH($AA9))+1)&gt;=0)*(EDATE($AA9,MAX(0,(((YEAR(W$5)-YEAR($AA9))*12+MONTH(W$5)-MONTH($AA9))+1)))&gt;=W$5)*(EDATE($AA9,MAX(0,(((YEAR(W$5)-YEAR($AA9))*12+MONTH(W$5)-MONTH($AA9))+1)))&lt;=MIN(W$5+6,$AB9)),($AA9&gt;=W$5)*($AA9&lt;=W$5+6))))</f>
        <v/>
      </c>
      <c r="X9">
        <f>IF(COUNTA(A9:G9)=0,"",IF(AND(OR(B9="In",B9="Out"),ISNUMBER(D9),D9&gt;0,ISNUMBER(MATCH(E9,FreqName,0)),ISNUMBER(F9),OR(G9="",AND(ISNUMBER(G9),G9&gt;=F9))),1,0))</f>
        <v/>
      </c>
      <c r="Y9">
        <f>IF(X9&lt;&gt;1,0,INDEX(FreqDays,MATCH(E9,FreqName,0)))</f>
        <v/>
      </c>
      <c r="Z9">
        <f>IF(X9&lt;&gt;1,0,INDEX(FreqMonths,MATCH(E9,FreqName,0)))</f>
        <v/>
      </c>
      <c r="AA9">
        <f>IF(X9&lt;&gt;1,0,INT(F9))</f>
        <v/>
      </c>
      <c r="AB9">
        <f>IF(X9&lt;&gt;1,0,IF(ISNUMBER(G9),INT(G9),2958465))</f>
        <v/>
      </c>
    </row>
    <row r="10">
      <c r="A10" s="29" t="n"/>
      <c r="B10" s="29" t="n"/>
      <c r="C10" s="29" t="n"/>
      <c r="D10" s="34" t="n"/>
      <c r="E10" s="29" t="n"/>
      <c r="F10" s="24" t="n"/>
      <c r="G10" s="24" t="n"/>
      <c r="H10" s="10">
        <f>IF(X10="","",IF(X10=0,IF(AND(B10&lt;&gt;"In",B10&lt;&gt;"Out"),"Fix: choose In or Out",IF(OR(NOT(ISNUMBER(D10)),N(D10)&lt;=0),"Fix: amount must be a number above 0",IF(NOT(ISNUMBER(MATCH(E10,FreqName,0))),"Fix: choose a frequency",IF(NOT(ISNUMBER(F10)),"Fix: first date missing","Fix: end date must be a date on or after the first date")))),IF(AND(C10&lt;&gt;"",OR(AND(B10="In",ISNUMBER(MATCH(C10,InCats,0))),AND(B10="Out",ISNUMBER(MATCH(C10,OutCats,0))))),"OK","Category not on Settings (counted as Other)")))</f>
        <v/>
      </c>
      <c r="I10" s="35">
        <f>IF(X10&lt;&gt;1,"",ROUND(J10/D10,0))</f>
        <v/>
      </c>
      <c r="J10" s="36">
        <f>SUM(K10:W10)</f>
        <v/>
      </c>
      <c r="K10" s="21">
        <f>IF($X10&lt;&gt;1,0,$D10*IF($Y10&gt;0,MAX(0,INT((MIN(K$5+6,$AB10)-$AA10)/$Y10)-MAX(0,-INT(($AA10-K$5)/$Y10))+1),IF($Z10&gt;0,(MOD(((YEAR(K$5)-YEAR($AA10))*12+MONTH(K$5)-MONTH($AA10)),$Z10)=0)*(((YEAR(K$5)-YEAR($AA10))*12+MONTH(K$5)-MONTH($AA10))&gt;=0)*(EDATE($AA10,MAX(0,((YEAR(K$5)-YEAR($AA10))*12+MONTH(K$5)-MONTH($AA10))))&gt;=K$5)*(EDATE($AA10,MAX(0,((YEAR(K$5)-YEAR($AA10))*12+MONTH(K$5)-MONTH($AA10))))&lt;=MIN(K$5+6,$AB10))+(MOD((((YEAR(K$5)-YEAR($AA10))*12+MONTH(K$5)-MONTH($AA10))+1),$Z10)=0)*((((YEAR(K$5)-YEAR($AA10))*12+MONTH(K$5)-MONTH($AA10))+1)&gt;=0)*(EDATE($AA10,MAX(0,(((YEAR(K$5)-YEAR($AA10))*12+MONTH(K$5)-MONTH($AA10))+1)))&gt;=K$5)*(EDATE($AA10,MAX(0,(((YEAR(K$5)-YEAR($AA10))*12+MONTH(K$5)-MONTH($AA10))+1)))&lt;=MIN(K$5+6,$AB10)),($AA10&gt;=K$5)*($AA10&lt;=K$5+6))))</f>
        <v/>
      </c>
      <c r="L10" s="21">
        <f>IF($X10&lt;&gt;1,0,$D10*IF($Y10&gt;0,MAX(0,INT((MIN(L$5+6,$AB10)-$AA10)/$Y10)-MAX(0,-INT(($AA10-L$5)/$Y10))+1),IF($Z10&gt;0,(MOD(((YEAR(L$5)-YEAR($AA10))*12+MONTH(L$5)-MONTH($AA10)),$Z10)=0)*(((YEAR(L$5)-YEAR($AA10))*12+MONTH(L$5)-MONTH($AA10))&gt;=0)*(EDATE($AA10,MAX(0,((YEAR(L$5)-YEAR($AA10))*12+MONTH(L$5)-MONTH($AA10))))&gt;=L$5)*(EDATE($AA10,MAX(0,((YEAR(L$5)-YEAR($AA10))*12+MONTH(L$5)-MONTH($AA10))))&lt;=MIN(L$5+6,$AB10))+(MOD((((YEAR(L$5)-YEAR($AA10))*12+MONTH(L$5)-MONTH($AA10))+1),$Z10)=0)*((((YEAR(L$5)-YEAR($AA10))*12+MONTH(L$5)-MONTH($AA10))+1)&gt;=0)*(EDATE($AA10,MAX(0,(((YEAR(L$5)-YEAR($AA10))*12+MONTH(L$5)-MONTH($AA10))+1)))&gt;=L$5)*(EDATE($AA10,MAX(0,(((YEAR(L$5)-YEAR($AA10))*12+MONTH(L$5)-MONTH($AA10))+1)))&lt;=MIN(L$5+6,$AB10)),($AA10&gt;=L$5)*($AA10&lt;=L$5+6))))</f>
        <v/>
      </c>
      <c r="M10" s="21">
        <f>IF($X10&lt;&gt;1,0,$D10*IF($Y10&gt;0,MAX(0,INT((MIN(M$5+6,$AB10)-$AA10)/$Y10)-MAX(0,-INT(($AA10-M$5)/$Y10))+1),IF($Z10&gt;0,(MOD(((YEAR(M$5)-YEAR($AA10))*12+MONTH(M$5)-MONTH($AA10)),$Z10)=0)*(((YEAR(M$5)-YEAR($AA10))*12+MONTH(M$5)-MONTH($AA10))&gt;=0)*(EDATE($AA10,MAX(0,((YEAR(M$5)-YEAR($AA10))*12+MONTH(M$5)-MONTH($AA10))))&gt;=M$5)*(EDATE($AA10,MAX(0,((YEAR(M$5)-YEAR($AA10))*12+MONTH(M$5)-MONTH($AA10))))&lt;=MIN(M$5+6,$AB10))+(MOD((((YEAR(M$5)-YEAR($AA10))*12+MONTH(M$5)-MONTH($AA10))+1),$Z10)=0)*((((YEAR(M$5)-YEAR($AA10))*12+MONTH(M$5)-MONTH($AA10))+1)&gt;=0)*(EDATE($AA10,MAX(0,(((YEAR(M$5)-YEAR($AA10))*12+MONTH(M$5)-MONTH($AA10))+1)))&gt;=M$5)*(EDATE($AA10,MAX(0,(((YEAR(M$5)-YEAR($AA10))*12+MONTH(M$5)-MONTH($AA10))+1)))&lt;=MIN(M$5+6,$AB10)),($AA10&gt;=M$5)*($AA10&lt;=M$5+6))))</f>
        <v/>
      </c>
      <c r="N10" s="21">
        <f>IF($X10&lt;&gt;1,0,$D10*IF($Y10&gt;0,MAX(0,INT((MIN(N$5+6,$AB10)-$AA10)/$Y10)-MAX(0,-INT(($AA10-N$5)/$Y10))+1),IF($Z10&gt;0,(MOD(((YEAR(N$5)-YEAR($AA10))*12+MONTH(N$5)-MONTH($AA10)),$Z10)=0)*(((YEAR(N$5)-YEAR($AA10))*12+MONTH(N$5)-MONTH($AA10))&gt;=0)*(EDATE($AA10,MAX(0,((YEAR(N$5)-YEAR($AA10))*12+MONTH(N$5)-MONTH($AA10))))&gt;=N$5)*(EDATE($AA10,MAX(0,((YEAR(N$5)-YEAR($AA10))*12+MONTH(N$5)-MONTH($AA10))))&lt;=MIN(N$5+6,$AB10))+(MOD((((YEAR(N$5)-YEAR($AA10))*12+MONTH(N$5)-MONTH($AA10))+1),$Z10)=0)*((((YEAR(N$5)-YEAR($AA10))*12+MONTH(N$5)-MONTH($AA10))+1)&gt;=0)*(EDATE($AA10,MAX(0,(((YEAR(N$5)-YEAR($AA10))*12+MONTH(N$5)-MONTH($AA10))+1)))&gt;=N$5)*(EDATE($AA10,MAX(0,(((YEAR(N$5)-YEAR($AA10))*12+MONTH(N$5)-MONTH($AA10))+1)))&lt;=MIN(N$5+6,$AB10)),($AA10&gt;=N$5)*($AA10&lt;=N$5+6))))</f>
        <v/>
      </c>
      <c r="O10" s="21">
        <f>IF($X10&lt;&gt;1,0,$D10*IF($Y10&gt;0,MAX(0,INT((MIN(O$5+6,$AB10)-$AA10)/$Y10)-MAX(0,-INT(($AA10-O$5)/$Y10))+1),IF($Z10&gt;0,(MOD(((YEAR(O$5)-YEAR($AA10))*12+MONTH(O$5)-MONTH($AA10)),$Z10)=0)*(((YEAR(O$5)-YEAR($AA10))*12+MONTH(O$5)-MONTH($AA10))&gt;=0)*(EDATE($AA10,MAX(0,((YEAR(O$5)-YEAR($AA10))*12+MONTH(O$5)-MONTH($AA10))))&gt;=O$5)*(EDATE($AA10,MAX(0,((YEAR(O$5)-YEAR($AA10))*12+MONTH(O$5)-MONTH($AA10))))&lt;=MIN(O$5+6,$AB10))+(MOD((((YEAR(O$5)-YEAR($AA10))*12+MONTH(O$5)-MONTH($AA10))+1),$Z10)=0)*((((YEAR(O$5)-YEAR($AA10))*12+MONTH(O$5)-MONTH($AA10))+1)&gt;=0)*(EDATE($AA10,MAX(0,(((YEAR(O$5)-YEAR($AA10))*12+MONTH(O$5)-MONTH($AA10))+1)))&gt;=O$5)*(EDATE($AA10,MAX(0,(((YEAR(O$5)-YEAR($AA10))*12+MONTH(O$5)-MONTH($AA10))+1)))&lt;=MIN(O$5+6,$AB10)),($AA10&gt;=O$5)*($AA10&lt;=O$5+6))))</f>
        <v/>
      </c>
      <c r="P10" s="21">
        <f>IF($X10&lt;&gt;1,0,$D10*IF($Y10&gt;0,MAX(0,INT((MIN(P$5+6,$AB10)-$AA10)/$Y10)-MAX(0,-INT(($AA10-P$5)/$Y10))+1),IF($Z10&gt;0,(MOD(((YEAR(P$5)-YEAR($AA10))*12+MONTH(P$5)-MONTH($AA10)),$Z10)=0)*(((YEAR(P$5)-YEAR($AA10))*12+MONTH(P$5)-MONTH($AA10))&gt;=0)*(EDATE($AA10,MAX(0,((YEAR(P$5)-YEAR($AA10))*12+MONTH(P$5)-MONTH($AA10))))&gt;=P$5)*(EDATE($AA10,MAX(0,((YEAR(P$5)-YEAR($AA10))*12+MONTH(P$5)-MONTH($AA10))))&lt;=MIN(P$5+6,$AB10))+(MOD((((YEAR(P$5)-YEAR($AA10))*12+MONTH(P$5)-MONTH($AA10))+1),$Z10)=0)*((((YEAR(P$5)-YEAR($AA10))*12+MONTH(P$5)-MONTH($AA10))+1)&gt;=0)*(EDATE($AA10,MAX(0,(((YEAR(P$5)-YEAR($AA10))*12+MONTH(P$5)-MONTH($AA10))+1)))&gt;=P$5)*(EDATE($AA10,MAX(0,(((YEAR(P$5)-YEAR($AA10))*12+MONTH(P$5)-MONTH($AA10))+1)))&lt;=MIN(P$5+6,$AB10)),($AA10&gt;=P$5)*($AA10&lt;=P$5+6))))</f>
        <v/>
      </c>
      <c r="Q10" s="21">
        <f>IF($X10&lt;&gt;1,0,$D10*IF($Y10&gt;0,MAX(0,INT((MIN(Q$5+6,$AB10)-$AA10)/$Y10)-MAX(0,-INT(($AA10-Q$5)/$Y10))+1),IF($Z10&gt;0,(MOD(((YEAR(Q$5)-YEAR($AA10))*12+MONTH(Q$5)-MONTH($AA10)),$Z10)=0)*(((YEAR(Q$5)-YEAR($AA10))*12+MONTH(Q$5)-MONTH($AA10))&gt;=0)*(EDATE($AA10,MAX(0,((YEAR(Q$5)-YEAR($AA10))*12+MONTH(Q$5)-MONTH($AA10))))&gt;=Q$5)*(EDATE($AA10,MAX(0,((YEAR(Q$5)-YEAR($AA10))*12+MONTH(Q$5)-MONTH($AA10))))&lt;=MIN(Q$5+6,$AB10))+(MOD((((YEAR(Q$5)-YEAR($AA10))*12+MONTH(Q$5)-MONTH($AA10))+1),$Z10)=0)*((((YEAR(Q$5)-YEAR($AA10))*12+MONTH(Q$5)-MONTH($AA10))+1)&gt;=0)*(EDATE($AA10,MAX(0,(((YEAR(Q$5)-YEAR($AA10))*12+MONTH(Q$5)-MONTH($AA10))+1)))&gt;=Q$5)*(EDATE($AA10,MAX(0,(((YEAR(Q$5)-YEAR($AA10))*12+MONTH(Q$5)-MONTH($AA10))+1)))&lt;=MIN(Q$5+6,$AB10)),($AA10&gt;=Q$5)*($AA10&lt;=Q$5+6))))</f>
        <v/>
      </c>
      <c r="R10" s="21">
        <f>IF($X10&lt;&gt;1,0,$D10*IF($Y10&gt;0,MAX(0,INT((MIN(R$5+6,$AB10)-$AA10)/$Y10)-MAX(0,-INT(($AA10-R$5)/$Y10))+1),IF($Z10&gt;0,(MOD(((YEAR(R$5)-YEAR($AA10))*12+MONTH(R$5)-MONTH($AA10)),$Z10)=0)*(((YEAR(R$5)-YEAR($AA10))*12+MONTH(R$5)-MONTH($AA10))&gt;=0)*(EDATE($AA10,MAX(0,((YEAR(R$5)-YEAR($AA10))*12+MONTH(R$5)-MONTH($AA10))))&gt;=R$5)*(EDATE($AA10,MAX(0,((YEAR(R$5)-YEAR($AA10))*12+MONTH(R$5)-MONTH($AA10))))&lt;=MIN(R$5+6,$AB10))+(MOD((((YEAR(R$5)-YEAR($AA10))*12+MONTH(R$5)-MONTH($AA10))+1),$Z10)=0)*((((YEAR(R$5)-YEAR($AA10))*12+MONTH(R$5)-MONTH($AA10))+1)&gt;=0)*(EDATE($AA10,MAX(0,(((YEAR(R$5)-YEAR($AA10))*12+MONTH(R$5)-MONTH($AA10))+1)))&gt;=R$5)*(EDATE($AA10,MAX(0,(((YEAR(R$5)-YEAR($AA10))*12+MONTH(R$5)-MONTH($AA10))+1)))&lt;=MIN(R$5+6,$AB10)),($AA10&gt;=R$5)*($AA10&lt;=R$5+6))))</f>
        <v/>
      </c>
      <c r="S10" s="21">
        <f>IF($X10&lt;&gt;1,0,$D10*IF($Y10&gt;0,MAX(0,INT((MIN(S$5+6,$AB10)-$AA10)/$Y10)-MAX(0,-INT(($AA10-S$5)/$Y10))+1),IF($Z10&gt;0,(MOD(((YEAR(S$5)-YEAR($AA10))*12+MONTH(S$5)-MONTH($AA10)),$Z10)=0)*(((YEAR(S$5)-YEAR($AA10))*12+MONTH(S$5)-MONTH($AA10))&gt;=0)*(EDATE($AA10,MAX(0,((YEAR(S$5)-YEAR($AA10))*12+MONTH(S$5)-MONTH($AA10))))&gt;=S$5)*(EDATE($AA10,MAX(0,((YEAR(S$5)-YEAR($AA10))*12+MONTH(S$5)-MONTH($AA10))))&lt;=MIN(S$5+6,$AB10))+(MOD((((YEAR(S$5)-YEAR($AA10))*12+MONTH(S$5)-MONTH($AA10))+1),$Z10)=0)*((((YEAR(S$5)-YEAR($AA10))*12+MONTH(S$5)-MONTH($AA10))+1)&gt;=0)*(EDATE($AA10,MAX(0,(((YEAR(S$5)-YEAR($AA10))*12+MONTH(S$5)-MONTH($AA10))+1)))&gt;=S$5)*(EDATE($AA10,MAX(0,(((YEAR(S$5)-YEAR($AA10))*12+MONTH(S$5)-MONTH($AA10))+1)))&lt;=MIN(S$5+6,$AB10)),($AA10&gt;=S$5)*($AA10&lt;=S$5+6))))</f>
        <v/>
      </c>
      <c r="T10" s="21">
        <f>IF($X10&lt;&gt;1,0,$D10*IF($Y10&gt;0,MAX(0,INT((MIN(T$5+6,$AB10)-$AA10)/$Y10)-MAX(0,-INT(($AA10-T$5)/$Y10))+1),IF($Z10&gt;0,(MOD(((YEAR(T$5)-YEAR($AA10))*12+MONTH(T$5)-MONTH($AA10)),$Z10)=0)*(((YEAR(T$5)-YEAR($AA10))*12+MONTH(T$5)-MONTH($AA10))&gt;=0)*(EDATE($AA10,MAX(0,((YEAR(T$5)-YEAR($AA10))*12+MONTH(T$5)-MONTH($AA10))))&gt;=T$5)*(EDATE($AA10,MAX(0,((YEAR(T$5)-YEAR($AA10))*12+MONTH(T$5)-MONTH($AA10))))&lt;=MIN(T$5+6,$AB10))+(MOD((((YEAR(T$5)-YEAR($AA10))*12+MONTH(T$5)-MONTH($AA10))+1),$Z10)=0)*((((YEAR(T$5)-YEAR($AA10))*12+MONTH(T$5)-MONTH($AA10))+1)&gt;=0)*(EDATE($AA10,MAX(0,(((YEAR(T$5)-YEAR($AA10))*12+MONTH(T$5)-MONTH($AA10))+1)))&gt;=T$5)*(EDATE($AA10,MAX(0,(((YEAR(T$5)-YEAR($AA10))*12+MONTH(T$5)-MONTH($AA10))+1)))&lt;=MIN(T$5+6,$AB10)),($AA10&gt;=T$5)*($AA10&lt;=T$5+6))))</f>
        <v/>
      </c>
      <c r="U10" s="21">
        <f>IF($X10&lt;&gt;1,0,$D10*IF($Y10&gt;0,MAX(0,INT((MIN(U$5+6,$AB10)-$AA10)/$Y10)-MAX(0,-INT(($AA10-U$5)/$Y10))+1),IF($Z10&gt;0,(MOD(((YEAR(U$5)-YEAR($AA10))*12+MONTH(U$5)-MONTH($AA10)),$Z10)=0)*(((YEAR(U$5)-YEAR($AA10))*12+MONTH(U$5)-MONTH($AA10))&gt;=0)*(EDATE($AA10,MAX(0,((YEAR(U$5)-YEAR($AA10))*12+MONTH(U$5)-MONTH($AA10))))&gt;=U$5)*(EDATE($AA10,MAX(0,((YEAR(U$5)-YEAR($AA10))*12+MONTH(U$5)-MONTH($AA10))))&lt;=MIN(U$5+6,$AB10))+(MOD((((YEAR(U$5)-YEAR($AA10))*12+MONTH(U$5)-MONTH($AA10))+1),$Z10)=0)*((((YEAR(U$5)-YEAR($AA10))*12+MONTH(U$5)-MONTH($AA10))+1)&gt;=0)*(EDATE($AA10,MAX(0,(((YEAR(U$5)-YEAR($AA10))*12+MONTH(U$5)-MONTH($AA10))+1)))&gt;=U$5)*(EDATE($AA10,MAX(0,(((YEAR(U$5)-YEAR($AA10))*12+MONTH(U$5)-MONTH($AA10))+1)))&lt;=MIN(U$5+6,$AB10)),($AA10&gt;=U$5)*($AA10&lt;=U$5+6))))</f>
        <v/>
      </c>
      <c r="V10" s="21">
        <f>IF($X10&lt;&gt;1,0,$D10*IF($Y10&gt;0,MAX(0,INT((MIN(V$5+6,$AB10)-$AA10)/$Y10)-MAX(0,-INT(($AA10-V$5)/$Y10))+1),IF($Z10&gt;0,(MOD(((YEAR(V$5)-YEAR($AA10))*12+MONTH(V$5)-MONTH($AA10)),$Z10)=0)*(((YEAR(V$5)-YEAR($AA10))*12+MONTH(V$5)-MONTH($AA10))&gt;=0)*(EDATE($AA10,MAX(0,((YEAR(V$5)-YEAR($AA10))*12+MONTH(V$5)-MONTH($AA10))))&gt;=V$5)*(EDATE($AA10,MAX(0,((YEAR(V$5)-YEAR($AA10))*12+MONTH(V$5)-MONTH($AA10))))&lt;=MIN(V$5+6,$AB10))+(MOD((((YEAR(V$5)-YEAR($AA10))*12+MONTH(V$5)-MONTH($AA10))+1),$Z10)=0)*((((YEAR(V$5)-YEAR($AA10))*12+MONTH(V$5)-MONTH($AA10))+1)&gt;=0)*(EDATE($AA10,MAX(0,(((YEAR(V$5)-YEAR($AA10))*12+MONTH(V$5)-MONTH($AA10))+1)))&gt;=V$5)*(EDATE($AA10,MAX(0,(((YEAR(V$5)-YEAR($AA10))*12+MONTH(V$5)-MONTH($AA10))+1)))&lt;=MIN(V$5+6,$AB10)),($AA10&gt;=V$5)*($AA10&lt;=V$5+6))))</f>
        <v/>
      </c>
      <c r="W10" s="21">
        <f>IF($X10&lt;&gt;1,0,$D10*IF($Y10&gt;0,MAX(0,INT((MIN(W$5+6,$AB10)-$AA10)/$Y10)-MAX(0,-INT(($AA10-W$5)/$Y10))+1),IF($Z10&gt;0,(MOD(((YEAR(W$5)-YEAR($AA10))*12+MONTH(W$5)-MONTH($AA10)),$Z10)=0)*(((YEAR(W$5)-YEAR($AA10))*12+MONTH(W$5)-MONTH($AA10))&gt;=0)*(EDATE($AA10,MAX(0,((YEAR(W$5)-YEAR($AA10))*12+MONTH(W$5)-MONTH($AA10))))&gt;=W$5)*(EDATE($AA10,MAX(0,((YEAR(W$5)-YEAR($AA10))*12+MONTH(W$5)-MONTH($AA10))))&lt;=MIN(W$5+6,$AB10))+(MOD((((YEAR(W$5)-YEAR($AA10))*12+MONTH(W$5)-MONTH($AA10))+1),$Z10)=0)*((((YEAR(W$5)-YEAR($AA10))*12+MONTH(W$5)-MONTH($AA10))+1)&gt;=0)*(EDATE($AA10,MAX(0,(((YEAR(W$5)-YEAR($AA10))*12+MONTH(W$5)-MONTH($AA10))+1)))&gt;=W$5)*(EDATE($AA10,MAX(0,(((YEAR(W$5)-YEAR($AA10))*12+MONTH(W$5)-MONTH($AA10))+1)))&lt;=MIN(W$5+6,$AB10)),($AA10&gt;=W$5)*($AA10&lt;=W$5+6))))</f>
        <v/>
      </c>
      <c r="X10">
        <f>IF(COUNTA(A10:G10)=0,"",IF(AND(OR(B10="In",B10="Out"),ISNUMBER(D10),D10&gt;0,ISNUMBER(MATCH(E10,FreqName,0)),ISNUMBER(F10),OR(G10="",AND(ISNUMBER(G10),G10&gt;=F10))),1,0))</f>
        <v/>
      </c>
      <c r="Y10">
        <f>IF(X10&lt;&gt;1,0,INDEX(FreqDays,MATCH(E10,FreqName,0)))</f>
        <v/>
      </c>
      <c r="Z10">
        <f>IF(X10&lt;&gt;1,0,INDEX(FreqMonths,MATCH(E10,FreqName,0)))</f>
        <v/>
      </c>
      <c r="AA10">
        <f>IF(X10&lt;&gt;1,0,INT(F10))</f>
        <v/>
      </c>
      <c r="AB10">
        <f>IF(X10&lt;&gt;1,0,IF(ISNUMBER(G10),INT(G10),2958465))</f>
        <v/>
      </c>
    </row>
    <row r="11">
      <c r="A11" s="29" t="n"/>
      <c r="B11" s="29" t="n"/>
      <c r="C11" s="29" t="n"/>
      <c r="D11" s="34" t="n"/>
      <c r="E11" s="29" t="n"/>
      <c r="F11" s="24" t="n"/>
      <c r="G11" s="24" t="n"/>
      <c r="H11" s="10">
        <f>IF(X11="","",IF(X11=0,IF(AND(B11&lt;&gt;"In",B11&lt;&gt;"Out"),"Fix: choose In or Out",IF(OR(NOT(ISNUMBER(D11)),N(D11)&lt;=0),"Fix: amount must be a number above 0",IF(NOT(ISNUMBER(MATCH(E11,FreqName,0))),"Fix: choose a frequency",IF(NOT(ISNUMBER(F11)),"Fix: first date missing","Fix: end date must be a date on or after the first date")))),IF(AND(C11&lt;&gt;"",OR(AND(B11="In",ISNUMBER(MATCH(C11,InCats,0))),AND(B11="Out",ISNUMBER(MATCH(C11,OutCats,0))))),"OK","Category not on Settings (counted as Other)")))</f>
        <v/>
      </c>
      <c r="I11" s="35">
        <f>IF(X11&lt;&gt;1,"",ROUND(J11/D11,0))</f>
        <v/>
      </c>
      <c r="J11" s="36">
        <f>SUM(K11:W11)</f>
        <v/>
      </c>
      <c r="K11" s="21">
        <f>IF($X11&lt;&gt;1,0,$D11*IF($Y11&gt;0,MAX(0,INT((MIN(K$5+6,$AB11)-$AA11)/$Y11)-MAX(0,-INT(($AA11-K$5)/$Y11))+1),IF($Z11&gt;0,(MOD(((YEAR(K$5)-YEAR($AA11))*12+MONTH(K$5)-MONTH($AA11)),$Z11)=0)*(((YEAR(K$5)-YEAR($AA11))*12+MONTH(K$5)-MONTH($AA11))&gt;=0)*(EDATE($AA11,MAX(0,((YEAR(K$5)-YEAR($AA11))*12+MONTH(K$5)-MONTH($AA11))))&gt;=K$5)*(EDATE($AA11,MAX(0,((YEAR(K$5)-YEAR($AA11))*12+MONTH(K$5)-MONTH($AA11))))&lt;=MIN(K$5+6,$AB11))+(MOD((((YEAR(K$5)-YEAR($AA11))*12+MONTH(K$5)-MONTH($AA11))+1),$Z11)=0)*((((YEAR(K$5)-YEAR($AA11))*12+MONTH(K$5)-MONTH($AA11))+1)&gt;=0)*(EDATE($AA11,MAX(0,(((YEAR(K$5)-YEAR($AA11))*12+MONTH(K$5)-MONTH($AA11))+1)))&gt;=K$5)*(EDATE($AA11,MAX(0,(((YEAR(K$5)-YEAR($AA11))*12+MONTH(K$5)-MONTH($AA11))+1)))&lt;=MIN(K$5+6,$AB11)),($AA11&gt;=K$5)*($AA11&lt;=K$5+6))))</f>
        <v/>
      </c>
      <c r="L11" s="21">
        <f>IF($X11&lt;&gt;1,0,$D11*IF($Y11&gt;0,MAX(0,INT((MIN(L$5+6,$AB11)-$AA11)/$Y11)-MAX(0,-INT(($AA11-L$5)/$Y11))+1),IF($Z11&gt;0,(MOD(((YEAR(L$5)-YEAR($AA11))*12+MONTH(L$5)-MONTH($AA11)),$Z11)=0)*(((YEAR(L$5)-YEAR($AA11))*12+MONTH(L$5)-MONTH($AA11))&gt;=0)*(EDATE($AA11,MAX(0,((YEAR(L$5)-YEAR($AA11))*12+MONTH(L$5)-MONTH($AA11))))&gt;=L$5)*(EDATE($AA11,MAX(0,((YEAR(L$5)-YEAR($AA11))*12+MONTH(L$5)-MONTH($AA11))))&lt;=MIN(L$5+6,$AB11))+(MOD((((YEAR(L$5)-YEAR($AA11))*12+MONTH(L$5)-MONTH($AA11))+1),$Z11)=0)*((((YEAR(L$5)-YEAR($AA11))*12+MONTH(L$5)-MONTH($AA11))+1)&gt;=0)*(EDATE($AA11,MAX(0,(((YEAR(L$5)-YEAR($AA11))*12+MONTH(L$5)-MONTH($AA11))+1)))&gt;=L$5)*(EDATE($AA11,MAX(0,(((YEAR(L$5)-YEAR($AA11))*12+MONTH(L$5)-MONTH($AA11))+1)))&lt;=MIN(L$5+6,$AB11)),($AA11&gt;=L$5)*($AA11&lt;=L$5+6))))</f>
        <v/>
      </c>
      <c r="M11" s="21">
        <f>IF($X11&lt;&gt;1,0,$D11*IF($Y11&gt;0,MAX(0,INT((MIN(M$5+6,$AB11)-$AA11)/$Y11)-MAX(0,-INT(($AA11-M$5)/$Y11))+1),IF($Z11&gt;0,(MOD(((YEAR(M$5)-YEAR($AA11))*12+MONTH(M$5)-MONTH($AA11)),$Z11)=0)*(((YEAR(M$5)-YEAR($AA11))*12+MONTH(M$5)-MONTH($AA11))&gt;=0)*(EDATE($AA11,MAX(0,((YEAR(M$5)-YEAR($AA11))*12+MONTH(M$5)-MONTH($AA11))))&gt;=M$5)*(EDATE($AA11,MAX(0,((YEAR(M$5)-YEAR($AA11))*12+MONTH(M$5)-MONTH($AA11))))&lt;=MIN(M$5+6,$AB11))+(MOD((((YEAR(M$5)-YEAR($AA11))*12+MONTH(M$5)-MONTH($AA11))+1),$Z11)=0)*((((YEAR(M$5)-YEAR($AA11))*12+MONTH(M$5)-MONTH($AA11))+1)&gt;=0)*(EDATE($AA11,MAX(0,(((YEAR(M$5)-YEAR($AA11))*12+MONTH(M$5)-MONTH($AA11))+1)))&gt;=M$5)*(EDATE($AA11,MAX(0,(((YEAR(M$5)-YEAR($AA11))*12+MONTH(M$5)-MONTH($AA11))+1)))&lt;=MIN(M$5+6,$AB11)),($AA11&gt;=M$5)*($AA11&lt;=M$5+6))))</f>
        <v/>
      </c>
      <c r="N11" s="21">
        <f>IF($X11&lt;&gt;1,0,$D11*IF($Y11&gt;0,MAX(0,INT((MIN(N$5+6,$AB11)-$AA11)/$Y11)-MAX(0,-INT(($AA11-N$5)/$Y11))+1),IF($Z11&gt;0,(MOD(((YEAR(N$5)-YEAR($AA11))*12+MONTH(N$5)-MONTH($AA11)),$Z11)=0)*(((YEAR(N$5)-YEAR($AA11))*12+MONTH(N$5)-MONTH($AA11))&gt;=0)*(EDATE($AA11,MAX(0,((YEAR(N$5)-YEAR($AA11))*12+MONTH(N$5)-MONTH($AA11))))&gt;=N$5)*(EDATE($AA11,MAX(0,((YEAR(N$5)-YEAR($AA11))*12+MONTH(N$5)-MONTH($AA11))))&lt;=MIN(N$5+6,$AB11))+(MOD((((YEAR(N$5)-YEAR($AA11))*12+MONTH(N$5)-MONTH($AA11))+1),$Z11)=0)*((((YEAR(N$5)-YEAR($AA11))*12+MONTH(N$5)-MONTH($AA11))+1)&gt;=0)*(EDATE($AA11,MAX(0,(((YEAR(N$5)-YEAR($AA11))*12+MONTH(N$5)-MONTH($AA11))+1)))&gt;=N$5)*(EDATE($AA11,MAX(0,(((YEAR(N$5)-YEAR($AA11))*12+MONTH(N$5)-MONTH($AA11))+1)))&lt;=MIN(N$5+6,$AB11)),($AA11&gt;=N$5)*($AA11&lt;=N$5+6))))</f>
        <v/>
      </c>
      <c r="O11" s="21">
        <f>IF($X11&lt;&gt;1,0,$D11*IF($Y11&gt;0,MAX(0,INT((MIN(O$5+6,$AB11)-$AA11)/$Y11)-MAX(0,-INT(($AA11-O$5)/$Y11))+1),IF($Z11&gt;0,(MOD(((YEAR(O$5)-YEAR($AA11))*12+MONTH(O$5)-MONTH($AA11)),$Z11)=0)*(((YEAR(O$5)-YEAR($AA11))*12+MONTH(O$5)-MONTH($AA11))&gt;=0)*(EDATE($AA11,MAX(0,((YEAR(O$5)-YEAR($AA11))*12+MONTH(O$5)-MONTH($AA11))))&gt;=O$5)*(EDATE($AA11,MAX(0,((YEAR(O$5)-YEAR($AA11))*12+MONTH(O$5)-MONTH($AA11))))&lt;=MIN(O$5+6,$AB11))+(MOD((((YEAR(O$5)-YEAR($AA11))*12+MONTH(O$5)-MONTH($AA11))+1),$Z11)=0)*((((YEAR(O$5)-YEAR($AA11))*12+MONTH(O$5)-MONTH($AA11))+1)&gt;=0)*(EDATE($AA11,MAX(0,(((YEAR(O$5)-YEAR($AA11))*12+MONTH(O$5)-MONTH($AA11))+1)))&gt;=O$5)*(EDATE($AA11,MAX(0,(((YEAR(O$5)-YEAR($AA11))*12+MONTH(O$5)-MONTH($AA11))+1)))&lt;=MIN(O$5+6,$AB11)),($AA11&gt;=O$5)*($AA11&lt;=O$5+6))))</f>
        <v/>
      </c>
      <c r="P11" s="21">
        <f>IF($X11&lt;&gt;1,0,$D11*IF($Y11&gt;0,MAX(0,INT((MIN(P$5+6,$AB11)-$AA11)/$Y11)-MAX(0,-INT(($AA11-P$5)/$Y11))+1),IF($Z11&gt;0,(MOD(((YEAR(P$5)-YEAR($AA11))*12+MONTH(P$5)-MONTH($AA11)),$Z11)=0)*(((YEAR(P$5)-YEAR($AA11))*12+MONTH(P$5)-MONTH($AA11))&gt;=0)*(EDATE($AA11,MAX(0,((YEAR(P$5)-YEAR($AA11))*12+MONTH(P$5)-MONTH($AA11))))&gt;=P$5)*(EDATE($AA11,MAX(0,((YEAR(P$5)-YEAR($AA11))*12+MONTH(P$5)-MONTH($AA11))))&lt;=MIN(P$5+6,$AB11))+(MOD((((YEAR(P$5)-YEAR($AA11))*12+MONTH(P$5)-MONTH($AA11))+1),$Z11)=0)*((((YEAR(P$5)-YEAR($AA11))*12+MONTH(P$5)-MONTH($AA11))+1)&gt;=0)*(EDATE($AA11,MAX(0,(((YEAR(P$5)-YEAR($AA11))*12+MONTH(P$5)-MONTH($AA11))+1)))&gt;=P$5)*(EDATE($AA11,MAX(0,(((YEAR(P$5)-YEAR($AA11))*12+MONTH(P$5)-MONTH($AA11))+1)))&lt;=MIN(P$5+6,$AB11)),($AA11&gt;=P$5)*($AA11&lt;=P$5+6))))</f>
        <v/>
      </c>
      <c r="Q11" s="21">
        <f>IF($X11&lt;&gt;1,0,$D11*IF($Y11&gt;0,MAX(0,INT((MIN(Q$5+6,$AB11)-$AA11)/$Y11)-MAX(0,-INT(($AA11-Q$5)/$Y11))+1),IF($Z11&gt;0,(MOD(((YEAR(Q$5)-YEAR($AA11))*12+MONTH(Q$5)-MONTH($AA11)),$Z11)=0)*(((YEAR(Q$5)-YEAR($AA11))*12+MONTH(Q$5)-MONTH($AA11))&gt;=0)*(EDATE($AA11,MAX(0,((YEAR(Q$5)-YEAR($AA11))*12+MONTH(Q$5)-MONTH($AA11))))&gt;=Q$5)*(EDATE($AA11,MAX(0,((YEAR(Q$5)-YEAR($AA11))*12+MONTH(Q$5)-MONTH($AA11))))&lt;=MIN(Q$5+6,$AB11))+(MOD((((YEAR(Q$5)-YEAR($AA11))*12+MONTH(Q$5)-MONTH($AA11))+1),$Z11)=0)*((((YEAR(Q$5)-YEAR($AA11))*12+MONTH(Q$5)-MONTH($AA11))+1)&gt;=0)*(EDATE($AA11,MAX(0,(((YEAR(Q$5)-YEAR($AA11))*12+MONTH(Q$5)-MONTH($AA11))+1)))&gt;=Q$5)*(EDATE($AA11,MAX(0,(((YEAR(Q$5)-YEAR($AA11))*12+MONTH(Q$5)-MONTH($AA11))+1)))&lt;=MIN(Q$5+6,$AB11)),($AA11&gt;=Q$5)*($AA11&lt;=Q$5+6))))</f>
        <v/>
      </c>
      <c r="R11" s="21">
        <f>IF($X11&lt;&gt;1,0,$D11*IF($Y11&gt;0,MAX(0,INT((MIN(R$5+6,$AB11)-$AA11)/$Y11)-MAX(0,-INT(($AA11-R$5)/$Y11))+1),IF($Z11&gt;0,(MOD(((YEAR(R$5)-YEAR($AA11))*12+MONTH(R$5)-MONTH($AA11)),$Z11)=0)*(((YEAR(R$5)-YEAR($AA11))*12+MONTH(R$5)-MONTH($AA11))&gt;=0)*(EDATE($AA11,MAX(0,((YEAR(R$5)-YEAR($AA11))*12+MONTH(R$5)-MONTH($AA11))))&gt;=R$5)*(EDATE($AA11,MAX(0,((YEAR(R$5)-YEAR($AA11))*12+MONTH(R$5)-MONTH($AA11))))&lt;=MIN(R$5+6,$AB11))+(MOD((((YEAR(R$5)-YEAR($AA11))*12+MONTH(R$5)-MONTH($AA11))+1),$Z11)=0)*((((YEAR(R$5)-YEAR($AA11))*12+MONTH(R$5)-MONTH($AA11))+1)&gt;=0)*(EDATE($AA11,MAX(0,(((YEAR(R$5)-YEAR($AA11))*12+MONTH(R$5)-MONTH($AA11))+1)))&gt;=R$5)*(EDATE($AA11,MAX(0,(((YEAR(R$5)-YEAR($AA11))*12+MONTH(R$5)-MONTH($AA11))+1)))&lt;=MIN(R$5+6,$AB11)),($AA11&gt;=R$5)*($AA11&lt;=R$5+6))))</f>
        <v/>
      </c>
      <c r="S11" s="21">
        <f>IF($X11&lt;&gt;1,0,$D11*IF($Y11&gt;0,MAX(0,INT((MIN(S$5+6,$AB11)-$AA11)/$Y11)-MAX(0,-INT(($AA11-S$5)/$Y11))+1),IF($Z11&gt;0,(MOD(((YEAR(S$5)-YEAR($AA11))*12+MONTH(S$5)-MONTH($AA11)),$Z11)=0)*(((YEAR(S$5)-YEAR($AA11))*12+MONTH(S$5)-MONTH($AA11))&gt;=0)*(EDATE($AA11,MAX(0,((YEAR(S$5)-YEAR($AA11))*12+MONTH(S$5)-MONTH($AA11))))&gt;=S$5)*(EDATE($AA11,MAX(0,((YEAR(S$5)-YEAR($AA11))*12+MONTH(S$5)-MONTH($AA11))))&lt;=MIN(S$5+6,$AB11))+(MOD((((YEAR(S$5)-YEAR($AA11))*12+MONTH(S$5)-MONTH($AA11))+1),$Z11)=0)*((((YEAR(S$5)-YEAR($AA11))*12+MONTH(S$5)-MONTH($AA11))+1)&gt;=0)*(EDATE($AA11,MAX(0,(((YEAR(S$5)-YEAR($AA11))*12+MONTH(S$5)-MONTH($AA11))+1)))&gt;=S$5)*(EDATE($AA11,MAX(0,(((YEAR(S$5)-YEAR($AA11))*12+MONTH(S$5)-MONTH($AA11))+1)))&lt;=MIN(S$5+6,$AB11)),($AA11&gt;=S$5)*($AA11&lt;=S$5+6))))</f>
        <v/>
      </c>
      <c r="T11" s="21">
        <f>IF($X11&lt;&gt;1,0,$D11*IF($Y11&gt;0,MAX(0,INT((MIN(T$5+6,$AB11)-$AA11)/$Y11)-MAX(0,-INT(($AA11-T$5)/$Y11))+1),IF($Z11&gt;0,(MOD(((YEAR(T$5)-YEAR($AA11))*12+MONTH(T$5)-MONTH($AA11)),$Z11)=0)*(((YEAR(T$5)-YEAR($AA11))*12+MONTH(T$5)-MONTH($AA11))&gt;=0)*(EDATE($AA11,MAX(0,((YEAR(T$5)-YEAR($AA11))*12+MONTH(T$5)-MONTH($AA11))))&gt;=T$5)*(EDATE($AA11,MAX(0,((YEAR(T$5)-YEAR($AA11))*12+MONTH(T$5)-MONTH($AA11))))&lt;=MIN(T$5+6,$AB11))+(MOD((((YEAR(T$5)-YEAR($AA11))*12+MONTH(T$5)-MONTH($AA11))+1),$Z11)=0)*((((YEAR(T$5)-YEAR($AA11))*12+MONTH(T$5)-MONTH($AA11))+1)&gt;=0)*(EDATE($AA11,MAX(0,(((YEAR(T$5)-YEAR($AA11))*12+MONTH(T$5)-MONTH($AA11))+1)))&gt;=T$5)*(EDATE($AA11,MAX(0,(((YEAR(T$5)-YEAR($AA11))*12+MONTH(T$5)-MONTH($AA11))+1)))&lt;=MIN(T$5+6,$AB11)),($AA11&gt;=T$5)*($AA11&lt;=T$5+6))))</f>
        <v/>
      </c>
      <c r="U11" s="21">
        <f>IF($X11&lt;&gt;1,0,$D11*IF($Y11&gt;0,MAX(0,INT((MIN(U$5+6,$AB11)-$AA11)/$Y11)-MAX(0,-INT(($AA11-U$5)/$Y11))+1),IF($Z11&gt;0,(MOD(((YEAR(U$5)-YEAR($AA11))*12+MONTH(U$5)-MONTH($AA11)),$Z11)=0)*(((YEAR(U$5)-YEAR($AA11))*12+MONTH(U$5)-MONTH($AA11))&gt;=0)*(EDATE($AA11,MAX(0,((YEAR(U$5)-YEAR($AA11))*12+MONTH(U$5)-MONTH($AA11))))&gt;=U$5)*(EDATE($AA11,MAX(0,((YEAR(U$5)-YEAR($AA11))*12+MONTH(U$5)-MONTH($AA11))))&lt;=MIN(U$5+6,$AB11))+(MOD((((YEAR(U$5)-YEAR($AA11))*12+MONTH(U$5)-MONTH($AA11))+1),$Z11)=0)*((((YEAR(U$5)-YEAR($AA11))*12+MONTH(U$5)-MONTH($AA11))+1)&gt;=0)*(EDATE($AA11,MAX(0,(((YEAR(U$5)-YEAR($AA11))*12+MONTH(U$5)-MONTH($AA11))+1)))&gt;=U$5)*(EDATE($AA11,MAX(0,(((YEAR(U$5)-YEAR($AA11))*12+MONTH(U$5)-MONTH($AA11))+1)))&lt;=MIN(U$5+6,$AB11)),($AA11&gt;=U$5)*($AA11&lt;=U$5+6))))</f>
        <v/>
      </c>
      <c r="V11" s="21">
        <f>IF($X11&lt;&gt;1,0,$D11*IF($Y11&gt;0,MAX(0,INT((MIN(V$5+6,$AB11)-$AA11)/$Y11)-MAX(0,-INT(($AA11-V$5)/$Y11))+1),IF($Z11&gt;0,(MOD(((YEAR(V$5)-YEAR($AA11))*12+MONTH(V$5)-MONTH($AA11)),$Z11)=0)*(((YEAR(V$5)-YEAR($AA11))*12+MONTH(V$5)-MONTH($AA11))&gt;=0)*(EDATE($AA11,MAX(0,((YEAR(V$5)-YEAR($AA11))*12+MONTH(V$5)-MONTH($AA11))))&gt;=V$5)*(EDATE($AA11,MAX(0,((YEAR(V$5)-YEAR($AA11))*12+MONTH(V$5)-MONTH($AA11))))&lt;=MIN(V$5+6,$AB11))+(MOD((((YEAR(V$5)-YEAR($AA11))*12+MONTH(V$5)-MONTH($AA11))+1),$Z11)=0)*((((YEAR(V$5)-YEAR($AA11))*12+MONTH(V$5)-MONTH($AA11))+1)&gt;=0)*(EDATE($AA11,MAX(0,(((YEAR(V$5)-YEAR($AA11))*12+MONTH(V$5)-MONTH($AA11))+1)))&gt;=V$5)*(EDATE($AA11,MAX(0,(((YEAR(V$5)-YEAR($AA11))*12+MONTH(V$5)-MONTH($AA11))+1)))&lt;=MIN(V$5+6,$AB11)),($AA11&gt;=V$5)*($AA11&lt;=V$5+6))))</f>
        <v/>
      </c>
      <c r="W11" s="21">
        <f>IF($X11&lt;&gt;1,0,$D11*IF($Y11&gt;0,MAX(0,INT((MIN(W$5+6,$AB11)-$AA11)/$Y11)-MAX(0,-INT(($AA11-W$5)/$Y11))+1),IF($Z11&gt;0,(MOD(((YEAR(W$5)-YEAR($AA11))*12+MONTH(W$5)-MONTH($AA11)),$Z11)=0)*(((YEAR(W$5)-YEAR($AA11))*12+MONTH(W$5)-MONTH($AA11))&gt;=0)*(EDATE($AA11,MAX(0,((YEAR(W$5)-YEAR($AA11))*12+MONTH(W$5)-MONTH($AA11))))&gt;=W$5)*(EDATE($AA11,MAX(0,((YEAR(W$5)-YEAR($AA11))*12+MONTH(W$5)-MONTH($AA11))))&lt;=MIN(W$5+6,$AB11))+(MOD((((YEAR(W$5)-YEAR($AA11))*12+MONTH(W$5)-MONTH($AA11))+1),$Z11)=0)*((((YEAR(W$5)-YEAR($AA11))*12+MONTH(W$5)-MONTH($AA11))+1)&gt;=0)*(EDATE($AA11,MAX(0,(((YEAR(W$5)-YEAR($AA11))*12+MONTH(W$5)-MONTH($AA11))+1)))&gt;=W$5)*(EDATE($AA11,MAX(0,(((YEAR(W$5)-YEAR($AA11))*12+MONTH(W$5)-MONTH($AA11))+1)))&lt;=MIN(W$5+6,$AB11)),($AA11&gt;=W$5)*($AA11&lt;=W$5+6))))</f>
        <v/>
      </c>
      <c r="X11">
        <f>IF(COUNTA(A11:G11)=0,"",IF(AND(OR(B11="In",B11="Out"),ISNUMBER(D11),D11&gt;0,ISNUMBER(MATCH(E11,FreqName,0)),ISNUMBER(F11),OR(G11="",AND(ISNUMBER(G11),G11&gt;=F11))),1,0))</f>
        <v/>
      </c>
      <c r="Y11">
        <f>IF(X11&lt;&gt;1,0,INDEX(FreqDays,MATCH(E11,FreqName,0)))</f>
        <v/>
      </c>
      <c r="Z11">
        <f>IF(X11&lt;&gt;1,0,INDEX(FreqMonths,MATCH(E11,FreqName,0)))</f>
        <v/>
      </c>
      <c r="AA11">
        <f>IF(X11&lt;&gt;1,0,INT(F11))</f>
        <v/>
      </c>
      <c r="AB11">
        <f>IF(X11&lt;&gt;1,0,IF(ISNUMBER(G11),INT(G11),2958465))</f>
        <v/>
      </c>
    </row>
    <row r="12">
      <c r="A12" s="29" t="n"/>
      <c r="B12" s="29" t="n"/>
      <c r="C12" s="29" t="n"/>
      <c r="D12" s="34" t="n"/>
      <c r="E12" s="29" t="n"/>
      <c r="F12" s="24" t="n"/>
      <c r="G12" s="24" t="n"/>
      <c r="H12" s="10">
        <f>IF(X12="","",IF(X12=0,IF(AND(B12&lt;&gt;"In",B12&lt;&gt;"Out"),"Fix: choose In or Out",IF(OR(NOT(ISNUMBER(D12)),N(D12)&lt;=0),"Fix: amount must be a number above 0",IF(NOT(ISNUMBER(MATCH(E12,FreqName,0))),"Fix: choose a frequency",IF(NOT(ISNUMBER(F12)),"Fix: first date missing","Fix: end date must be a date on or after the first date")))),IF(AND(C12&lt;&gt;"",OR(AND(B12="In",ISNUMBER(MATCH(C12,InCats,0))),AND(B12="Out",ISNUMBER(MATCH(C12,OutCats,0))))),"OK","Category not on Settings (counted as Other)")))</f>
        <v/>
      </c>
      <c r="I12" s="35">
        <f>IF(X12&lt;&gt;1,"",ROUND(J12/D12,0))</f>
        <v/>
      </c>
      <c r="J12" s="36">
        <f>SUM(K12:W12)</f>
        <v/>
      </c>
      <c r="K12" s="21">
        <f>IF($X12&lt;&gt;1,0,$D12*IF($Y12&gt;0,MAX(0,INT((MIN(K$5+6,$AB12)-$AA12)/$Y12)-MAX(0,-INT(($AA12-K$5)/$Y12))+1),IF($Z12&gt;0,(MOD(((YEAR(K$5)-YEAR($AA12))*12+MONTH(K$5)-MONTH($AA12)),$Z12)=0)*(((YEAR(K$5)-YEAR($AA12))*12+MONTH(K$5)-MONTH($AA12))&gt;=0)*(EDATE($AA12,MAX(0,((YEAR(K$5)-YEAR($AA12))*12+MONTH(K$5)-MONTH($AA12))))&gt;=K$5)*(EDATE($AA12,MAX(0,((YEAR(K$5)-YEAR($AA12))*12+MONTH(K$5)-MONTH($AA12))))&lt;=MIN(K$5+6,$AB12))+(MOD((((YEAR(K$5)-YEAR($AA12))*12+MONTH(K$5)-MONTH($AA12))+1),$Z12)=0)*((((YEAR(K$5)-YEAR($AA12))*12+MONTH(K$5)-MONTH($AA12))+1)&gt;=0)*(EDATE($AA12,MAX(0,(((YEAR(K$5)-YEAR($AA12))*12+MONTH(K$5)-MONTH($AA12))+1)))&gt;=K$5)*(EDATE($AA12,MAX(0,(((YEAR(K$5)-YEAR($AA12))*12+MONTH(K$5)-MONTH($AA12))+1)))&lt;=MIN(K$5+6,$AB12)),($AA12&gt;=K$5)*($AA12&lt;=K$5+6))))</f>
        <v/>
      </c>
      <c r="L12" s="21">
        <f>IF($X12&lt;&gt;1,0,$D12*IF($Y12&gt;0,MAX(0,INT((MIN(L$5+6,$AB12)-$AA12)/$Y12)-MAX(0,-INT(($AA12-L$5)/$Y12))+1),IF($Z12&gt;0,(MOD(((YEAR(L$5)-YEAR($AA12))*12+MONTH(L$5)-MONTH($AA12)),$Z12)=0)*(((YEAR(L$5)-YEAR($AA12))*12+MONTH(L$5)-MONTH($AA12))&gt;=0)*(EDATE($AA12,MAX(0,((YEAR(L$5)-YEAR($AA12))*12+MONTH(L$5)-MONTH($AA12))))&gt;=L$5)*(EDATE($AA12,MAX(0,((YEAR(L$5)-YEAR($AA12))*12+MONTH(L$5)-MONTH($AA12))))&lt;=MIN(L$5+6,$AB12))+(MOD((((YEAR(L$5)-YEAR($AA12))*12+MONTH(L$5)-MONTH($AA12))+1),$Z12)=0)*((((YEAR(L$5)-YEAR($AA12))*12+MONTH(L$5)-MONTH($AA12))+1)&gt;=0)*(EDATE($AA12,MAX(0,(((YEAR(L$5)-YEAR($AA12))*12+MONTH(L$5)-MONTH($AA12))+1)))&gt;=L$5)*(EDATE($AA12,MAX(0,(((YEAR(L$5)-YEAR($AA12))*12+MONTH(L$5)-MONTH($AA12))+1)))&lt;=MIN(L$5+6,$AB12)),($AA12&gt;=L$5)*($AA12&lt;=L$5+6))))</f>
        <v/>
      </c>
      <c r="M12" s="21">
        <f>IF($X12&lt;&gt;1,0,$D12*IF($Y12&gt;0,MAX(0,INT((MIN(M$5+6,$AB12)-$AA12)/$Y12)-MAX(0,-INT(($AA12-M$5)/$Y12))+1),IF($Z12&gt;0,(MOD(((YEAR(M$5)-YEAR($AA12))*12+MONTH(M$5)-MONTH($AA12)),$Z12)=0)*(((YEAR(M$5)-YEAR($AA12))*12+MONTH(M$5)-MONTH($AA12))&gt;=0)*(EDATE($AA12,MAX(0,((YEAR(M$5)-YEAR($AA12))*12+MONTH(M$5)-MONTH($AA12))))&gt;=M$5)*(EDATE($AA12,MAX(0,((YEAR(M$5)-YEAR($AA12))*12+MONTH(M$5)-MONTH($AA12))))&lt;=MIN(M$5+6,$AB12))+(MOD((((YEAR(M$5)-YEAR($AA12))*12+MONTH(M$5)-MONTH($AA12))+1),$Z12)=0)*((((YEAR(M$5)-YEAR($AA12))*12+MONTH(M$5)-MONTH($AA12))+1)&gt;=0)*(EDATE($AA12,MAX(0,(((YEAR(M$5)-YEAR($AA12))*12+MONTH(M$5)-MONTH($AA12))+1)))&gt;=M$5)*(EDATE($AA12,MAX(0,(((YEAR(M$5)-YEAR($AA12))*12+MONTH(M$5)-MONTH($AA12))+1)))&lt;=MIN(M$5+6,$AB12)),($AA12&gt;=M$5)*($AA12&lt;=M$5+6))))</f>
        <v/>
      </c>
      <c r="N12" s="21">
        <f>IF($X12&lt;&gt;1,0,$D12*IF($Y12&gt;0,MAX(0,INT((MIN(N$5+6,$AB12)-$AA12)/$Y12)-MAX(0,-INT(($AA12-N$5)/$Y12))+1),IF($Z12&gt;0,(MOD(((YEAR(N$5)-YEAR($AA12))*12+MONTH(N$5)-MONTH($AA12)),$Z12)=0)*(((YEAR(N$5)-YEAR($AA12))*12+MONTH(N$5)-MONTH($AA12))&gt;=0)*(EDATE($AA12,MAX(0,((YEAR(N$5)-YEAR($AA12))*12+MONTH(N$5)-MONTH($AA12))))&gt;=N$5)*(EDATE($AA12,MAX(0,((YEAR(N$5)-YEAR($AA12))*12+MONTH(N$5)-MONTH($AA12))))&lt;=MIN(N$5+6,$AB12))+(MOD((((YEAR(N$5)-YEAR($AA12))*12+MONTH(N$5)-MONTH($AA12))+1),$Z12)=0)*((((YEAR(N$5)-YEAR($AA12))*12+MONTH(N$5)-MONTH($AA12))+1)&gt;=0)*(EDATE($AA12,MAX(0,(((YEAR(N$5)-YEAR($AA12))*12+MONTH(N$5)-MONTH($AA12))+1)))&gt;=N$5)*(EDATE($AA12,MAX(0,(((YEAR(N$5)-YEAR($AA12))*12+MONTH(N$5)-MONTH($AA12))+1)))&lt;=MIN(N$5+6,$AB12)),($AA12&gt;=N$5)*($AA12&lt;=N$5+6))))</f>
        <v/>
      </c>
      <c r="O12" s="21">
        <f>IF($X12&lt;&gt;1,0,$D12*IF($Y12&gt;0,MAX(0,INT((MIN(O$5+6,$AB12)-$AA12)/$Y12)-MAX(0,-INT(($AA12-O$5)/$Y12))+1),IF($Z12&gt;0,(MOD(((YEAR(O$5)-YEAR($AA12))*12+MONTH(O$5)-MONTH($AA12)),$Z12)=0)*(((YEAR(O$5)-YEAR($AA12))*12+MONTH(O$5)-MONTH($AA12))&gt;=0)*(EDATE($AA12,MAX(0,((YEAR(O$5)-YEAR($AA12))*12+MONTH(O$5)-MONTH($AA12))))&gt;=O$5)*(EDATE($AA12,MAX(0,((YEAR(O$5)-YEAR($AA12))*12+MONTH(O$5)-MONTH($AA12))))&lt;=MIN(O$5+6,$AB12))+(MOD((((YEAR(O$5)-YEAR($AA12))*12+MONTH(O$5)-MONTH($AA12))+1),$Z12)=0)*((((YEAR(O$5)-YEAR($AA12))*12+MONTH(O$5)-MONTH($AA12))+1)&gt;=0)*(EDATE($AA12,MAX(0,(((YEAR(O$5)-YEAR($AA12))*12+MONTH(O$5)-MONTH($AA12))+1)))&gt;=O$5)*(EDATE($AA12,MAX(0,(((YEAR(O$5)-YEAR($AA12))*12+MONTH(O$5)-MONTH($AA12))+1)))&lt;=MIN(O$5+6,$AB12)),($AA12&gt;=O$5)*($AA12&lt;=O$5+6))))</f>
        <v/>
      </c>
      <c r="P12" s="21">
        <f>IF($X12&lt;&gt;1,0,$D12*IF($Y12&gt;0,MAX(0,INT((MIN(P$5+6,$AB12)-$AA12)/$Y12)-MAX(0,-INT(($AA12-P$5)/$Y12))+1),IF($Z12&gt;0,(MOD(((YEAR(P$5)-YEAR($AA12))*12+MONTH(P$5)-MONTH($AA12)),$Z12)=0)*(((YEAR(P$5)-YEAR($AA12))*12+MONTH(P$5)-MONTH($AA12))&gt;=0)*(EDATE($AA12,MAX(0,((YEAR(P$5)-YEAR($AA12))*12+MONTH(P$5)-MONTH($AA12))))&gt;=P$5)*(EDATE($AA12,MAX(0,((YEAR(P$5)-YEAR($AA12))*12+MONTH(P$5)-MONTH($AA12))))&lt;=MIN(P$5+6,$AB12))+(MOD((((YEAR(P$5)-YEAR($AA12))*12+MONTH(P$5)-MONTH($AA12))+1),$Z12)=0)*((((YEAR(P$5)-YEAR($AA12))*12+MONTH(P$5)-MONTH($AA12))+1)&gt;=0)*(EDATE($AA12,MAX(0,(((YEAR(P$5)-YEAR($AA12))*12+MONTH(P$5)-MONTH($AA12))+1)))&gt;=P$5)*(EDATE($AA12,MAX(0,(((YEAR(P$5)-YEAR($AA12))*12+MONTH(P$5)-MONTH($AA12))+1)))&lt;=MIN(P$5+6,$AB12)),($AA12&gt;=P$5)*($AA12&lt;=P$5+6))))</f>
        <v/>
      </c>
      <c r="Q12" s="21">
        <f>IF($X12&lt;&gt;1,0,$D12*IF($Y12&gt;0,MAX(0,INT((MIN(Q$5+6,$AB12)-$AA12)/$Y12)-MAX(0,-INT(($AA12-Q$5)/$Y12))+1),IF($Z12&gt;0,(MOD(((YEAR(Q$5)-YEAR($AA12))*12+MONTH(Q$5)-MONTH($AA12)),$Z12)=0)*(((YEAR(Q$5)-YEAR($AA12))*12+MONTH(Q$5)-MONTH($AA12))&gt;=0)*(EDATE($AA12,MAX(0,((YEAR(Q$5)-YEAR($AA12))*12+MONTH(Q$5)-MONTH($AA12))))&gt;=Q$5)*(EDATE($AA12,MAX(0,((YEAR(Q$5)-YEAR($AA12))*12+MONTH(Q$5)-MONTH($AA12))))&lt;=MIN(Q$5+6,$AB12))+(MOD((((YEAR(Q$5)-YEAR($AA12))*12+MONTH(Q$5)-MONTH($AA12))+1),$Z12)=0)*((((YEAR(Q$5)-YEAR($AA12))*12+MONTH(Q$5)-MONTH($AA12))+1)&gt;=0)*(EDATE($AA12,MAX(0,(((YEAR(Q$5)-YEAR($AA12))*12+MONTH(Q$5)-MONTH($AA12))+1)))&gt;=Q$5)*(EDATE($AA12,MAX(0,(((YEAR(Q$5)-YEAR($AA12))*12+MONTH(Q$5)-MONTH($AA12))+1)))&lt;=MIN(Q$5+6,$AB12)),($AA12&gt;=Q$5)*($AA12&lt;=Q$5+6))))</f>
        <v/>
      </c>
      <c r="R12" s="21">
        <f>IF($X12&lt;&gt;1,0,$D12*IF($Y12&gt;0,MAX(0,INT((MIN(R$5+6,$AB12)-$AA12)/$Y12)-MAX(0,-INT(($AA12-R$5)/$Y12))+1),IF($Z12&gt;0,(MOD(((YEAR(R$5)-YEAR($AA12))*12+MONTH(R$5)-MONTH($AA12)),$Z12)=0)*(((YEAR(R$5)-YEAR($AA12))*12+MONTH(R$5)-MONTH($AA12))&gt;=0)*(EDATE($AA12,MAX(0,((YEAR(R$5)-YEAR($AA12))*12+MONTH(R$5)-MONTH($AA12))))&gt;=R$5)*(EDATE($AA12,MAX(0,((YEAR(R$5)-YEAR($AA12))*12+MONTH(R$5)-MONTH($AA12))))&lt;=MIN(R$5+6,$AB12))+(MOD((((YEAR(R$5)-YEAR($AA12))*12+MONTH(R$5)-MONTH($AA12))+1),$Z12)=0)*((((YEAR(R$5)-YEAR($AA12))*12+MONTH(R$5)-MONTH($AA12))+1)&gt;=0)*(EDATE($AA12,MAX(0,(((YEAR(R$5)-YEAR($AA12))*12+MONTH(R$5)-MONTH($AA12))+1)))&gt;=R$5)*(EDATE($AA12,MAX(0,(((YEAR(R$5)-YEAR($AA12))*12+MONTH(R$5)-MONTH($AA12))+1)))&lt;=MIN(R$5+6,$AB12)),($AA12&gt;=R$5)*($AA12&lt;=R$5+6))))</f>
        <v/>
      </c>
      <c r="S12" s="21">
        <f>IF($X12&lt;&gt;1,0,$D12*IF($Y12&gt;0,MAX(0,INT((MIN(S$5+6,$AB12)-$AA12)/$Y12)-MAX(0,-INT(($AA12-S$5)/$Y12))+1),IF($Z12&gt;0,(MOD(((YEAR(S$5)-YEAR($AA12))*12+MONTH(S$5)-MONTH($AA12)),$Z12)=0)*(((YEAR(S$5)-YEAR($AA12))*12+MONTH(S$5)-MONTH($AA12))&gt;=0)*(EDATE($AA12,MAX(0,((YEAR(S$5)-YEAR($AA12))*12+MONTH(S$5)-MONTH($AA12))))&gt;=S$5)*(EDATE($AA12,MAX(0,((YEAR(S$5)-YEAR($AA12))*12+MONTH(S$5)-MONTH($AA12))))&lt;=MIN(S$5+6,$AB12))+(MOD((((YEAR(S$5)-YEAR($AA12))*12+MONTH(S$5)-MONTH($AA12))+1),$Z12)=0)*((((YEAR(S$5)-YEAR($AA12))*12+MONTH(S$5)-MONTH($AA12))+1)&gt;=0)*(EDATE($AA12,MAX(0,(((YEAR(S$5)-YEAR($AA12))*12+MONTH(S$5)-MONTH($AA12))+1)))&gt;=S$5)*(EDATE($AA12,MAX(0,(((YEAR(S$5)-YEAR($AA12))*12+MONTH(S$5)-MONTH($AA12))+1)))&lt;=MIN(S$5+6,$AB12)),($AA12&gt;=S$5)*($AA12&lt;=S$5+6))))</f>
        <v/>
      </c>
      <c r="T12" s="21">
        <f>IF($X12&lt;&gt;1,0,$D12*IF($Y12&gt;0,MAX(0,INT((MIN(T$5+6,$AB12)-$AA12)/$Y12)-MAX(0,-INT(($AA12-T$5)/$Y12))+1),IF($Z12&gt;0,(MOD(((YEAR(T$5)-YEAR($AA12))*12+MONTH(T$5)-MONTH($AA12)),$Z12)=0)*(((YEAR(T$5)-YEAR($AA12))*12+MONTH(T$5)-MONTH($AA12))&gt;=0)*(EDATE($AA12,MAX(0,((YEAR(T$5)-YEAR($AA12))*12+MONTH(T$5)-MONTH($AA12))))&gt;=T$5)*(EDATE($AA12,MAX(0,((YEAR(T$5)-YEAR($AA12))*12+MONTH(T$5)-MONTH($AA12))))&lt;=MIN(T$5+6,$AB12))+(MOD((((YEAR(T$5)-YEAR($AA12))*12+MONTH(T$5)-MONTH($AA12))+1),$Z12)=0)*((((YEAR(T$5)-YEAR($AA12))*12+MONTH(T$5)-MONTH($AA12))+1)&gt;=0)*(EDATE($AA12,MAX(0,(((YEAR(T$5)-YEAR($AA12))*12+MONTH(T$5)-MONTH($AA12))+1)))&gt;=T$5)*(EDATE($AA12,MAX(0,(((YEAR(T$5)-YEAR($AA12))*12+MONTH(T$5)-MONTH($AA12))+1)))&lt;=MIN(T$5+6,$AB12)),($AA12&gt;=T$5)*($AA12&lt;=T$5+6))))</f>
        <v/>
      </c>
      <c r="U12" s="21">
        <f>IF($X12&lt;&gt;1,0,$D12*IF($Y12&gt;0,MAX(0,INT((MIN(U$5+6,$AB12)-$AA12)/$Y12)-MAX(0,-INT(($AA12-U$5)/$Y12))+1),IF($Z12&gt;0,(MOD(((YEAR(U$5)-YEAR($AA12))*12+MONTH(U$5)-MONTH($AA12)),$Z12)=0)*(((YEAR(U$5)-YEAR($AA12))*12+MONTH(U$5)-MONTH($AA12))&gt;=0)*(EDATE($AA12,MAX(0,((YEAR(U$5)-YEAR($AA12))*12+MONTH(U$5)-MONTH($AA12))))&gt;=U$5)*(EDATE($AA12,MAX(0,((YEAR(U$5)-YEAR($AA12))*12+MONTH(U$5)-MONTH($AA12))))&lt;=MIN(U$5+6,$AB12))+(MOD((((YEAR(U$5)-YEAR($AA12))*12+MONTH(U$5)-MONTH($AA12))+1),$Z12)=0)*((((YEAR(U$5)-YEAR($AA12))*12+MONTH(U$5)-MONTH($AA12))+1)&gt;=0)*(EDATE($AA12,MAX(0,(((YEAR(U$5)-YEAR($AA12))*12+MONTH(U$5)-MONTH($AA12))+1)))&gt;=U$5)*(EDATE($AA12,MAX(0,(((YEAR(U$5)-YEAR($AA12))*12+MONTH(U$5)-MONTH($AA12))+1)))&lt;=MIN(U$5+6,$AB12)),($AA12&gt;=U$5)*($AA12&lt;=U$5+6))))</f>
        <v/>
      </c>
      <c r="V12" s="21">
        <f>IF($X12&lt;&gt;1,0,$D12*IF($Y12&gt;0,MAX(0,INT((MIN(V$5+6,$AB12)-$AA12)/$Y12)-MAX(0,-INT(($AA12-V$5)/$Y12))+1),IF($Z12&gt;0,(MOD(((YEAR(V$5)-YEAR($AA12))*12+MONTH(V$5)-MONTH($AA12)),$Z12)=0)*(((YEAR(V$5)-YEAR($AA12))*12+MONTH(V$5)-MONTH($AA12))&gt;=0)*(EDATE($AA12,MAX(0,((YEAR(V$5)-YEAR($AA12))*12+MONTH(V$5)-MONTH($AA12))))&gt;=V$5)*(EDATE($AA12,MAX(0,((YEAR(V$5)-YEAR($AA12))*12+MONTH(V$5)-MONTH($AA12))))&lt;=MIN(V$5+6,$AB12))+(MOD((((YEAR(V$5)-YEAR($AA12))*12+MONTH(V$5)-MONTH($AA12))+1),$Z12)=0)*((((YEAR(V$5)-YEAR($AA12))*12+MONTH(V$5)-MONTH($AA12))+1)&gt;=0)*(EDATE($AA12,MAX(0,(((YEAR(V$5)-YEAR($AA12))*12+MONTH(V$5)-MONTH($AA12))+1)))&gt;=V$5)*(EDATE($AA12,MAX(0,(((YEAR(V$5)-YEAR($AA12))*12+MONTH(V$5)-MONTH($AA12))+1)))&lt;=MIN(V$5+6,$AB12)),($AA12&gt;=V$5)*($AA12&lt;=V$5+6))))</f>
        <v/>
      </c>
      <c r="W12" s="21">
        <f>IF($X12&lt;&gt;1,0,$D12*IF($Y12&gt;0,MAX(0,INT((MIN(W$5+6,$AB12)-$AA12)/$Y12)-MAX(0,-INT(($AA12-W$5)/$Y12))+1),IF($Z12&gt;0,(MOD(((YEAR(W$5)-YEAR($AA12))*12+MONTH(W$5)-MONTH($AA12)),$Z12)=0)*(((YEAR(W$5)-YEAR($AA12))*12+MONTH(W$5)-MONTH($AA12))&gt;=0)*(EDATE($AA12,MAX(0,((YEAR(W$5)-YEAR($AA12))*12+MONTH(W$5)-MONTH($AA12))))&gt;=W$5)*(EDATE($AA12,MAX(0,((YEAR(W$5)-YEAR($AA12))*12+MONTH(W$5)-MONTH($AA12))))&lt;=MIN(W$5+6,$AB12))+(MOD((((YEAR(W$5)-YEAR($AA12))*12+MONTH(W$5)-MONTH($AA12))+1),$Z12)=0)*((((YEAR(W$5)-YEAR($AA12))*12+MONTH(W$5)-MONTH($AA12))+1)&gt;=0)*(EDATE($AA12,MAX(0,(((YEAR(W$5)-YEAR($AA12))*12+MONTH(W$5)-MONTH($AA12))+1)))&gt;=W$5)*(EDATE($AA12,MAX(0,(((YEAR(W$5)-YEAR($AA12))*12+MONTH(W$5)-MONTH($AA12))+1)))&lt;=MIN(W$5+6,$AB12)),($AA12&gt;=W$5)*($AA12&lt;=W$5+6))))</f>
        <v/>
      </c>
      <c r="X12">
        <f>IF(COUNTA(A12:G12)=0,"",IF(AND(OR(B12="In",B12="Out"),ISNUMBER(D12),D12&gt;0,ISNUMBER(MATCH(E12,FreqName,0)),ISNUMBER(F12),OR(G12="",AND(ISNUMBER(G12),G12&gt;=F12))),1,0))</f>
        <v/>
      </c>
      <c r="Y12">
        <f>IF(X12&lt;&gt;1,0,INDEX(FreqDays,MATCH(E12,FreqName,0)))</f>
        <v/>
      </c>
      <c r="Z12">
        <f>IF(X12&lt;&gt;1,0,INDEX(FreqMonths,MATCH(E12,FreqName,0)))</f>
        <v/>
      </c>
      <c r="AA12">
        <f>IF(X12&lt;&gt;1,0,INT(F12))</f>
        <v/>
      </c>
      <c r="AB12">
        <f>IF(X12&lt;&gt;1,0,IF(ISNUMBER(G12),INT(G12),2958465))</f>
        <v/>
      </c>
    </row>
    <row r="13">
      <c r="A13" s="29" t="n"/>
      <c r="B13" s="29" t="n"/>
      <c r="C13" s="29" t="n"/>
      <c r="D13" s="34" t="n"/>
      <c r="E13" s="29" t="n"/>
      <c r="F13" s="24" t="n"/>
      <c r="G13" s="24" t="n"/>
      <c r="H13" s="10">
        <f>IF(X13="","",IF(X13=0,IF(AND(B13&lt;&gt;"In",B13&lt;&gt;"Out"),"Fix: choose In or Out",IF(OR(NOT(ISNUMBER(D13)),N(D13)&lt;=0),"Fix: amount must be a number above 0",IF(NOT(ISNUMBER(MATCH(E13,FreqName,0))),"Fix: choose a frequency",IF(NOT(ISNUMBER(F13)),"Fix: first date missing","Fix: end date must be a date on or after the first date")))),IF(AND(C13&lt;&gt;"",OR(AND(B13="In",ISNUMBER(MATCH(C13,InCats,0))),AND(B13="Out",ISNUMBER(MATCH(C13,OutCats,0))))),"OK","Category not on Settings (counted as Other)")))</f>
        <v/>
      </c>
      <c r="I13" s="35">
        <f>IF(X13&lt;&gt;1,"",ROUND(J13/D13,0))</f>
        <v/>
      </c>
      <c r="J13" s="36">
        <f>SUM(K13:W13)</f>
        <v/>
      </c>
      <c r="K13" s="21">
        <f>IF($X13&lt;&gt;1,0,$D13*IF($Y13&gt;0,MAX(0,INT((MIN(K$5+6,$AB13)-$AA13)/$Y13)-MAX(0,-INT(($AA13-K$5)/$Y13))+1),IF($Z13&gt;0,(MOD(((YEAR(K$5)-YEAR($AA13))*12+MONTH(K$5)-MONTH($AA13)),$Z13)=0)*(((YEAR(K$5)-YEAR($AA13))*12+MONTH(K$5)-MONTH($AA13))&gt;=0)*(EDATE($AA13,MAX(0,((YEAR(K$5)-YEAR($AA13))*12+MONTH(K$5)-MONTH($AA13))))&gt;=K$5)*(EDATE($AA13,MAX(0,((YEAR(K$5)-YEAR($AA13))*12+MONTH(K$5)-MONTH($AA13))))&lt;=MIN(K$5+6,$AB13))+(MOD((((YEAR(K$5)-YEAR($AA13))*12+MONTH(K$5)-MONTH($AA13))+1),$Z13)=0)*((((YEAR(K$5)-YEAR($AA13))*12+MONTH(K$5)-MONTH($AA13))+1)&gt;=0)*(EDATE($AA13,MAX(0,(((YEAR(K$5)-YEAR($AA13))*12+MONTH(K$5)-MONTH($AA13))+1)))&gt;=K$5)*(EDATE($AA13,MAX(0,(((YEAR(K$5)-YEAR($AA13))*12+MONTH(K$5)-MONTH($AA13))+1)))&lt;=MIN(K$5+6,$AB13)),($AA13&gt;=K$5)*($AA13&lt;=K$5+6))))</f>
        <v/>
      </c>
      <c r="L13" s="21">
        <f>IF($X13&lt;&gt;1,0,$D13*IF($Y13&gt;0,MAX(0,INT((MIN(L$5+6,$AB13)-$AA13)/$Y13)-MAX(0,-INT(($AA13-L$5)/$Y13))+1),IF($Z13&gt;0,(MOD(((YEAR(L$5)-YEAR($AA13))*12+MONTH(L$5)-MONTH($AA13)),$Z13)=0)*(((YEAR(L$5)-YEAR($AA13))*12+MONTH(L$5)-MONTH($AA13))&gt;=0)*(EDATE($AA13,MAX(0,((YEAR(L$5)-YEAR($AA13))*12+MONTH(L$5)-MONTH($AA13))))&gt;=L$5)*(EDATE($AA13,MAX(0,((YEAR(L$5)-YEAR($AA13))*12+MONTH(L$5)-MONTH($AA13))))&lt;=MIN(L$5+6,$AB13))+(MOD((((YEAR(L$5)-YEAR($AA13))*12+MONTH(L$5)-MONTH($AA13))+1),$Z13)=0)*((((YEAR(L$5)-YEAR($AA13))*12+MONTH(L$5)-MONTH($AA13))+1)&gt;=0)*(EDATE($AA13,MAX(0,(((YEAR(L$5)-YEAR($AA13))*12+MONTH(L$5)-MONTH($AA13))+1)))&gt;=L$5)*(EDATE($AA13,MAX(0,(((YEAR(L$5)-YEAR($AA13))*12+MONTH(L$5)-MONTH($AA13))+1)))&lt;=MIN(L$5+6,$AB13)),($AA13&gt;=L$5)*($AA13&lt;=L$5+6))))</f>
        <v/>
      </c>
      <c r="M13" s="21">
        <f>IF($X13&lt;&gt;1,0,$D13*IF($Y13&gt;0,MAX(0,INT((MIN(M$5+6,$AB13)-$AA13)/$Y13)-MAX(0,-INT(($AA13-M$5)/$Y13))+1),IF($Z13&gt;0,(MOD(((YEAR(M$5)-YEAR($AA13))*12+MONTH(M$5)-MONTH($AA13)),$Z13)=0)*(((YEAR(M$5)-YEAR($AA13))*12+MONTH(M$5)-MONTH($AA13))&gt;=0)*(EDATE($AA13,MAX(0,((YEAR(M$5)-YEAR($AA13))*12+MONTH(M$5)-MONTH($AA13))))&gt;=M$5)*(EDATE($AA13,MAX(0,((YEAR(M$5)-YEAR($AA13))*12+MONTH(M$5)-MONTH($AA13))))&lt;=MIN(M$5+6,$AB13))+(MOD((((YEAR(M$5)-YEAR($AA13))*12+MONTH(M$5)-MONTH($AA13))+1),$Z13)=0)*((((YEAR(M$5)-YEAR($AA13))*12+MONTH(M$5)-MONTH($AA13))+1)&gt;=0)*(EDATE($AA13,MAX(0,(((YEAR(M$5)-YEAR($AA13))*12+MONTH(M$5)-MONTH($AA13))+1)))&gt;=M$5)*(EDATE($AA13,MAX(0,(((YEAR(M$5)-YEAR($AA13))*12+MONTH(M$5)-MONTH($AA13))+1)))&lt;=MIN(M$5+6,$AB13)),($AA13&gt;=M$5)*($AA13&lt;=M$5+6))))</f>
        <v/>
      </c>
      <c r="N13" s="21">
        <f>IF($X13&lt;&gt;1,0,$D13*IF($Y13&gt;0,MAX(0,INT((MIN(N$5+6,$AB13)-$AA13)/$Y13)-MAX(0,-INT(($AA13-N$5)/$Y13))+1),IF($Z13&gt;0,(MOD(((YEAR(N$5)-YEAR($AA13))*12+MONTH(N$5)-MONTH($AA13)),$Z13)=0)*(((YEAR(N$5)-YEAR($AA13))*12+MONTH(N$5)-MONTH($AA13))&gt;=0)*(EDATE($AA13,MAX(0,((YEAR(N$5)-YEAR($AA13))*12+MONTH(N$5)-MONTH($AA13))))&gt;=N$5)*(EDATE($AA13,MAX(0,((YEAR(N$5)-YEAR($AA13))*12+MONTH(N$5)-MONTH($AA13))))&lt;=MIN(N$5+6,$AB13))+(MOD((((YEAR(N$5)-YEAR($AA13))*12+MONTH(N$5)-MONTH($AA13))+1),$Z13)=0)*((((YEAR(N$5)-YEAR($AA13))*12+MONTH(N$5)-MONTH($AA13))+1)&gt;=0)*(EDATE($AA13,MAX(0,(((YEAR(N$5)-YEAR($AA13))*12+MONTH(N$5)-MONTH($AA13))+1)))&gt;=N$5)*(EDATE($AA13,MAX(0,(((YEAR(N$5)-YEAR($AA13))*12+MONTH(N$5)-MONTH($AA13))+1)))&lt;=MIN(N$5+6,$AB13)),($AA13&gt;=N$5)*($AA13&lt;=N$5+6))))</f>
        <v/>
      </c>
      <c r="O13" s="21">
        <f>IF($X13&lt;&gt;1,0,$D13*IF($Y13&gt;0,MAX(0,INT((MIN(O$5+6,$AB13)-$AA13)/$Y13)-MAX(0,-INT(($AA13-O$5)/$Y13))+1),IF($Z13&gt;0,(MOD(((YEAR(O$5)-YEAR($AA13))*12+MONTH(O$5)-MONTH($AA13)),$Z13)=0)*(((YEAR(O$5)-YEAR($AA13))*12+MONTH(O$5)-MONTH($AA13))&gt;=0)*(EDATE($AA13,MAX(0,((YEAR(O$5)-YEAR($AA13))*12+MONTH(O$5)-MONTH($AA13))))&gt;=O$5)*(EDATE($AA13,MAX(0,((YEAR(O$5)-YEAR($AA13))*12+MONTH(O$5)-MONTH($AA13))))&lt;=MIN(O$5+6,$AB13))+(MOD((((YEAR(O$5)-YEAR($AA13))*12+MONTH(O$5)-MONTH($AA13))+1),$Z13)=0)*((((YEAR(O$5)-YEAR($AA13))*12+MONTH(O$5)-MONTH($AA13))+1)&gt;=0)*(EDATE($AA13,MAX(0,(((YEAR(O$5)-YEAR($AA13))*12+MONTH(O$5)-MONTH($AA13))+1)))&gt;=O$5)*(EDATE($AA13,MAX(0,(((YEAR(O$5)-YEAR($AA13))*12+MONTH(O$5)-MONTH($AA13))+1)))&lt;=MIN(O$5+6,$AB13)),($AA13&gt;=O$5)*($AA13&lt;=O$5+6))))</f>
        <v/>
      </c>
      <c r="P13" s="21">
        <f>IF($X13&lt;&gt;1,0,$D13*IF($Y13&gt;0,MAX(0,INT((MIN(P$5+6,$AB13)-$AA13)/$Y13)-MAX(0,-INT(($AA13-P$5)/$Y13))+1),IF($Z13&gt;0,(MOD(((YEAR(P$5)-YEAR($AA13))*12+MONTH(P$5)-MONTH($AA13)),$Z13)=0)*(((YEAR(P$5)-YEAR($AA13))*12+MONTH(P$5)-MONTH($AA13))&gt;=0)*(EDATE($AA13,MAX(0,((YEAR(P$5)-YEAR($AA13))*12+MONTH(P$5)-MONTH($AA13))))&gt;=P$5)*(EDATE($AA13,MAX(0,((YEAR(P$5)-YEAR($AA13))*12+MONTH(P$5)-MONTH($AA13))))&lt;=MIN(P$5+6,$AB13))+(MOD((((YEAR(P$5)-YEAR($AA13))*12+MONTH(P$5)-MONTH($AA13))+1),$Z13)=0)*((((YEAR(P$5)-YEAR($AA13))*12+MONTH(P$5)-MONTH($AA13))+1)&gt;=0)*(EDATE($AA13,MAX(0,(((YEAR(P$5)-YEAR($AA13))*12+MONTH(P$5)-MONTH($AA13))+1)))&gt;=P$5)*(EDATE($AA13,MAX(0,(((YEAR(P$5)-YEAR($AA13))*12+MONTH(P$5)-MONTH($AA13))+1)))&lt;=MIN(P$5+6,$AB13)),($AA13&gt;=P$5)*($AA13&lt;=P$5+6))))</f>
        <v/>
      </c>
      <c r="Q13" s="21">
        <f>IF($X13&lt;&gt;1,0,$D13*IF($Y13&gt;0,MAX(0,INT((MIN(Q$5+6,$AB13)-$AA13)/$Y13)-MAX(0,-INT(($AA13-Q$5)/$Y13))+1),IF($Z13&gt;0,(MOD(((YEAR(Q$5)-YEAR($AA13))*12+MONTH(Q$5)-MONTH($AA13)),$Z13)=0)*(((YEAR(Q$5)-YEAR($AA13))*12+MONTH(Q$5)-MONTH($AA13))&gt;=0)*(EDATE($AA13,MAX(0,((YEAR(Q$5)-YEAR($AA13))*12+MONTH(Q$5)-MONTH($AA13))))&gt;=Q$5)*(EDATE($AA13,MAX(0,((YEAR(Q$5)-YEAR($AA13))*12+MONTH(Q$5)-MONTH($AA13))))&lt;=MIN(Q$5+6,$AB13))+(MOD((((YEAR(Q$5)-YEAR($AA13))*12+MONTH(Q$5)-MONTH($AA13))+1),$Z13)=0)*((((YEAR(Q$5)-YEAR($AA13))*12+MONTH(Q$5)-MONTH($AA13))+1)&gt;=0)*(EDATE($AA13,MAX(0,(((YEAR(Q$5)-YEAR($AA13))*12+MONTH(Q$5)-MONTH($AA13))+1)))&gt;=Q$5)*(EDATE($AA13,MAX(0,(((YEAR(Q$5)-YEAR($AA13))*12+MONTH(Q$5)-MONTH($AA13))+1)))&lt;=MIN(Q$5+6,$AB13)),($AA13&gt;=Q$5)*($AA13&lt;=Q$5+6))))</f>
        <v/>
      </c>
      <c r="R13" s="21">
        <f>IF($X13&lt;&gt;1,0,$D13*IF($Y13&gt;0,MAX(0,INT((MIN(R$5+6,$AB13)-$AA13)/$Y13)-MAX(0,-INT(($AA13-R$5)/$Y13))+1),IF($Z13&gt;0,(MOD(((YEAR(R$5)-YEAR($AA13))*12+MONTH(R$5)-MONTH($AA13)),$Z13)=0)*(((YEAR(R$5)-YEAR($AA13))*12+MONTH(R$5)-MONTH($AA13))&gt;=0)*(EDATE($AA13,MAX(0,((YEAR(R$5)-YEAR($AA13))*12+MONTH(R$5)-MONTH($AA13))))&gt;=R$5)*(EDATE($AA13,MAX(0,((YEAR(R$5)-YEAR($AA13))*12+MONTH(R$5)-MONTH($AA13))))&lt;=MIN(R$5+6,$AB13))+(MOD((((YEAR(R$5)-YEAR($AA13))*12+MONTH(R$5)-MONTH($AA13))+1),$Z13)=0)*((((YEAR(R$5)-YEAR($AA13))*12+MONTH(R$5)-MONTH($AA13))+1)&gt;=0)*(EDATE($AA13,MAX(0,(((YEAR(R$5)-YEAR($AA13))*12+MONTH(R$5)-MONTH($AA13))+1)))&gt;=R$5)*(EDATE($AA13,MAX(0,(((YEAR(R$5)-YEAR($AA13))*12+MONTH(R$5)-MONTH($AA13))+1)))&lt;=MIN(R$5+6,$AB13)),($AA13&gt;=R$5)*($AA13&lt;=R$5+6))))</f>
        <v/>
      </c>
      <c r="S13" s="21">
        <f>IF($X13&lt;&gt;1,0,$D13*IF($Y13&gt;0,MAX(0,INT((MIN(S$5+6,$AB13)-$AA13)/$Y13)-MAX(0,-INT(($AA13-S$5)/$Y13))+1),IF($Z13&gt;0,(MOD(((YEAR(S$5)-YEAR($AA13))*12+MONTH(S$5)-MONTH($AA13)),$Z13)=0)*(((YEAR(S$5)-YEAR($AA13))*12+MONTH(S$5)-MONTH($AA13))&gt;=0)*(EDATE($AA13,MAX(0,((YEAR(S$5)-YEAR($AA13))*12+MONTH(S$5)-MONTH($AA13))))&gt;=S$5)*(EDATE($AA13,MAX(0,((YEAR(S$5)-YEAR($AA13))*12+MONTH(S$5)-MONTH($AA13))))&lt;=MIN(S$5+6,$AB13))+(MOD((((YEAR(S$5)-YEAR($AA13))*12+MONTH(S$5)-MONTH($AA13))+1),$Z13)=0)*((((YEAR(S$5)-YEAR($AA13))*12+MONTH(S$5)-MONTH($AA13))+1)&gt;=0)*(EDATE($AA13,MAX(0,(((YEAR(S$5)-YEAR($AA13))*12+MONTH(S$5)-MONTH($AA13))+1)))&gt;=S$5)*(EDATE($AA13,MAX(0,(((YEAR(S$5)-YEAR($AA13))*12+MONTH(S$5)-MONTH($AA13))+1)))&lt;=MIN(S$5+6,$AB13)),($AA13&gt;=S$5)*($AA13&lt;=S$5+6))))</f>
        <v/>
      </c>
      <c r="T13" s="21">
        <f>IF($X13&lt;&gt;1,0,$D13*IF($Y13&gt;0,MAX(0,INT((MIN(T$5+6,$AB13)-$AA13)/$Y13)-MAX(0,-INT(($AA13-T$5)/$Y13))+1),IF($Z13&gt;0,(MOD(((YEAR(T$5)-YEAR($AA13))*12+MONTH(T$5)-MONTH($AA13)),$Z13)=0)*(((YEAR(T$5)-YEAR($AA13))*12+MONTH(T$5)-MONTH($AA13))&gt;=0)*(EDATE($AA13,MAX(0,((YEAR(T$5)-YEAR($AA13))*12+MONTH(T$5)-MONTH($AA13))))&gt;=T$5)*(EDATE($AA13,MAX(0,((YEAR(T$5)-YEAR($AA13))*12+MONTH(T$5)-MONTH($AA13))))&lt;=MIN(T$5+6,$AB13))+(MOD((((YEAR(T$5)-YEAR($AA13))*12+MONTH(T$5)-MONTH($AA13))+1),$Z13)=0)*((((YEAR(T$5)-YEAR($AA13))*12+MONTH(T$5)-MONTH($AA13))+1)&gt;=0)*(EDATE($AA13,MAX(0,(((YEAR(T$5)-YEAR($AA13))*12+MONTH(T$5)-MONTH($AA13))+1)))&gt;=T$5)*(EDATE($AA13,MAX(0,(((YEAR(T$5)-YEAR($AA13))*12+MONTH(T$5)-MONTH($AA13))+1)))&lt;=MIN(T$5+6,$AB13)),($AA13&gt;=T$5)*($AA13&lt;=T$5+6))))</f>
        <v/>
      </c>
      <c r="U13" s="21">
        <f>IF($X13&lt;&gt;1,0,$D13*IF($Y13&gt;0,MAX(0,INT((MIN(U$5+6,$AB13)-$AA13)/$Y13)-MAX(0,-INT(($AA13-U$5)/$Y13))+1),IF($Z13&gt;0,(MOD(((YEAR(U$5)-YEAR($AA13))*12+MONTH(U$5)-MONTH($AA13)),$Z13)=0)*(((YEAR(U$5)-YEAR($AA13))*12+MONTH(U$5)-MONTH($AA13))&gt;=0)*(EDATE($AA13,MAX(0,((YEAR(U$5)-YEAR($AA13))*12+MONTH(U$5)-MONTH($AA13))))&gt;=U$5)*(EDATE($AA13,MAX(0,((YEAR(U$5)-YEAR($AA13))*12+MONTH(U$5)-MONTH($AA13))))&lt;=MIN(U$5+6,$AB13))+(MOD((((YEAR(U$5)-YEAR($AA13))*12+MONTH(U$5)-MONTH($AA13))+1),$Z13)=0)*((((YEAR(U$5)-YEAR($AA13))*12+MONTH(U$5)-MONTH($AA13))+1)&gt;=0)*(EDATE($AA13,MAX(0,(((YEAR(U$5)-YEAR($AA13))*12+MONTH(U$5)-MONTH($AA13))+1)))&gt;=U$5)*(EDATE($AA13,MAX(0,(((YEAR(U$5)-YEAR($AA13))*12+MONTH(U$5)-MONTH($AA13))+1)))&lt;=MIN(U$5+6,$AB13)),($AA13&gt;=U$5)*($AA13&lt;=U$5+6))))</f>
        <v/>
      </c>
      <c r="V13" s="21">
        <f>IF($X13&lt;&gt;1,0,$D13*IF($Y13&gt;0,MAX(0,INT((MIN(V$5+6,$AB13)-$AA13)/$Y13)-MAX(0,-INT(($AA13-V$5)/$Y13))+1),IF($Z13&gt;0,(MOD(((YEAR(V$5)-YEAR($AA13))*12+MONTH(V$5)-MONTH($AA13)),$Z13)=0)*(((YEAR(V$5)-YEAR($AA13))*12+MONTH(V$5)-MONTH($AA13))&gt;=0)*(EDATE($AA13,MAX(0,((YEAR(V$5)-YEAR($AA13))*12+MONTH(V$5)-MONTH($AA13))))&gt;=V$5)*(EDATE($AA13,MAX(0,((YEAR(V$5)-YEAR($AA13))*12+MONTH(V$5)-MONTH($AA13))))&lt;=MIN(V$5+6,$AB13))+(MOD((((YEAR(V$5)-YEAR($AA13))*12+MONTH(V$5)-MONTH($AA13))+1),$Z13)=0)*((((YEAR(V$5)-YEAR($AA13))*12+MONTH(V$5)-MONTH($AA13))+1)&gt;=0)*(EDATE($AA13,MAX(0,(((YEAR(V$5)-YEAR($AA13))*12+MONTH(V$5)-MONTH($AA13))+1)))&gt;=V$5)*(EDATE($AA13,MAX(0,(((YEAR(V$5)-YEAR($AA13))*12+MONTH(V$5)-MONTH($AA13))+1)))&lt;=MIN(V$5+6,$AB13)),($AA13&gt;=V$5)*($AA13&lt;=V$5+6))))</f>
        <v/>
      </c>
      <c r="W13" s="21">
        <f>IF($X13&lt;&gt;1,0,$D13*IF($Y13&gt;0,MAX(0,INT((MIN(W$5+6,$AB13)-$AA13)/$Y13)-MAX(0,-INT(($AA13-W$5)/$Y13))+1),IF($Z13&gt;0,(MOD(((YEAR(W$5)-YEAR($AA13))*12+MONTH(W$5)-MONTH($AA13)),$Z13)=0)*(((YEAR(W$5)-YEAR($AA13))*12+MONTH(W$5)-MONTH($AA13))&gt;=0)*(EDATE($AA13,MAX(0,((YEAR(W$5)-YEAR($AA13))*12+MONTH(W$5)-MONTH($AA13))))&gt;=W$5)*(EDATE($AA13,MAX(0,((YEAR(W$5)-YEAR($AA13))*12+MONTH(W$5)-MONTH($AA13))))&lt;=MIN(W$5+6,$AB13))+(MOD((((YEAR(W$5)-YEAR($AA13))*12+MONTH(W$5)-MONTH($AA13))+1),$Z13)=0)*((((YEAR(W$5)-YEAR($AA13))*12+MONTH(W$5)-MONTH($AA13))+1)&gt;=0)*(EDATE($AA13,MAX(0,(((YEAR(W$5)-YEAR($AA13))*12+MONTH(W$5)-MONTH($AA13))+1)))&gt;=W$5)*(EDATE($AA13,MAX(0,(((YEAR(W$5)-YEAR($AA13))*12+MONTH(W$5)-MONTH($AA13))+1)))&lt;=MIN(W$5+6,$AB13)),($AA13&gt;=W$5)*($AA13&lt;=W$5+6))))</f>
        <v/>
      </c>
      <c r="X13">
        <f>IF(COUNTA(A13:G13)=0,"",IF(AND(OR(B13="In",B13="Out"),ISNUMBER(D13),D13&gt;0,ISNUMBER(MATCH(E13,FreqName,0)),ISNUMBER(F13),OR(G13="",AND(ISNUMBER(G13),G13&gt;=F13))),1,0))</f>
        <v/>
      </c>
      <c r="Y13">
        <f>IF(X13&lt;&gt;1,0,INDEX(FreqDays,MATCH(E13,FreqName,0)))</f>
        <v/>
      </c>
      <c r="Z13">
        <f>IF(X13&lt;&gt;1,0,INDEX(FreqMonths,MATCH(E13,FreqName,0)))</f>
        <v/>
      </c>
      <c r="AA13">
        <f>IF(X13&lt;&gt;1,0,INT(F13))</f>
        <v/>
      </c>
      <c r="AB13">
        <f>IF(X13&lt;&gt;1,0,IF(ISNUMBER(G13),INT(G13),2958465))</f>
        <v/>
      </c>
    </row>
    <row r="14">
      <c r="A14" s="29" t="n"/>
      <c r="B14" s="29" t="n"/>
      <c r="C14" s="29" t="n"/>
      <c r="D14" s="34" t="n"/>
      <c r="E14" s="29" t="n"/>
      <c r="F14" s="24" t="n"/>
      <c r="G14" s="24" t="n"/>
      <c r="H14" s="10">
        <f>IF(X14="","",IF(X14=0,IF(AND(B14&lt;&gt;"In",B14&lt;&gt;"Out"),"Fix: choose In or Out",IF(OR(NOT(ISNUMBER(D14)),N(D14)&lt;=0),"Fix: amount must be a number above 0",IF(NOT(ISNUMBER(MATCH(E14,FreqName,0))),"Fix: choose a frequency",IF(NOT(ISNUMBER(F14)),"Fix: first date missing","Fix: end date must be a date on or after the first date")))),IF(AND(C14&lt;&gt;"",OR(AND(B14="In",ISNUMBER(MATCH(C14,InCats,0))),AND(B14="Out",ISNUMBER(MATCH(C14,OutCats,0))))),"OK","Category not on Settings (counted as Other)")))</f>
        <v/>
      </c>
      <c r="I14" s="35">
        <f>IF(X14&lt;&gt;1,"",ROUND(J14/D14,0))</f>
        <v/>
      </c>
      <c r="J14" s="36">
        <f>SUM(K14:W14)</f>
        <v/>
      </c>
      <c r="K14" s="21">
        <f>IF($X14&lt;&gt;1,0,$D14*IF($Y14&gt;0,MAX(0,INT((MIN(K$5+6,$AB14)-$AA14)/$Y14)-MAX(0,-INT(($AA14-K$5)/$Y14))+1),IF($Z14&gt;0,(MOD(((YEAR(K$5)-YEAR($AA14))*12+MONTH(K$5)-MONTH($AA14)),$Z14)=0)*(((YEAR(K$5)-YEAR($AA14))*12+MONTH(K$5)-MONTH($AA14))&gt;=0)*(EDATE($AA14,MAX(0,((YEAR(K$5)-YEAR($AA14))*12+MONTH(K$5)-MONTH($AA14))))&gt;=K$5)*(EDATE($AA14,MAX(0,((YEAR(K$5)-YEAR($AA14))*12+MONTH(K$5)-MONTH($AA14))))&lt;=MIN(K$5+6,$AB14))+(MOD((((YEAR(K$5)-YEAR($AA14))*12+MONTH(K$5)-MONTH($AA14))+1),$Z14)=0)*((((YEAR(K$5)-YEAR($AA14))*12+MONTH(K$5)-MONTH($AA14))+1)&gt;=0)*(EDATE($AA14,MAX(0,(((YEAR(K$5)-YEAR($AA14))*12+MONTH(K$5)-MONTH($AA14))+1)))&gt;=K$5)*(EDATE($AA14,MAX(0,(((YEAR(K$5)-YEAR($AA14))*12+MONTH(K$5)-MONTH($AA14))+1)))&lt;=MIN(K$5+6,$AB14)),($AA14&gt;=K$5)*($AA14&lt;=K$5+6))))</f>
        <v/>
      </c>
      <c r="L14" s="21">
        <f>IF($X14&lt;&gt;1,0,$D14*IF($Y14&gt;0,MAX(0,INT((MIN(L$5+6,$AB14)-$AA14)/$Y14)-MAX(0,-INT(($AA14-L$5)/$Y14))+1),IF($Z14&gt;0,(MOD(((YEAR(L$5)-YEAR($AA14))*12+MONTH(L$5)-MONTH($AA14)),$Z14)=0)*(((YEAR(L$5)-YEAR($AA14))*12+MONTH(L$5)-MONTH($AA14))&gt;=0)*(EDATE($AA14,MAX(0,((YEAR(L$5)-YEAR($AA14))*12+MONTH(L$5)-MONTH($AA14))))&gt;=L$5)*(EDATE($AA14,MAX(0,((YEAR(L$5)-YEAR($AA14))*12+MONTH(L$5)-MONTH($AA14))))&lt;=MIN(L$5+6,$AB14))+(MOD((((YEAR(L$5)-YEAR($AA14))*12+MONTH(L$5)-MONTH($AA14))+1),$Z14)=0)*((((YEAR(L$5)-YEAR($AA14))*12+MONTH(L$5)-MONTH($AA14))+1)&gt;=0)*(EDATE($AA14,MAX(0,(((YEAR(L$5)-YEAR($AA14))*12+MONTH(L$5)-MONTH($AA14))+1)))&gt;=L$5)*(EDATE($AA14,MAX(0,(((YEAR(L$5)-YEAR($AA14))*12+MONTH(L$5)-MONTH($AA14))+1)))&lt;=MIN(L$5+6,$AB14)),($AA14&gt;=L$5)*($AA14&lt;=L$5+6))))</f>
        <v/>
      </c>
      <c r="M14" s="21">
        <f>IF($X14&lt;&gt;1,0,$D14*IF($Y14&gt;0,MAX(0,INT((MIN(M$5+6,$AB14)-$AA14)/$Y14)-MAX(0,-INT(($AA14-M$5)/$Y14))+1),IF($Z14&gt;0,(MOD(((YEAR(M$5)-YEAR($AA14))*12+MONTH(M$5)-MONTH($AA14)),$Z14)=0)*(((YEAR(M$5)-YEAR($AA14))*12+MONTH(M$5)-MONTH($AA14))&gt;=0)*(EDATE($AA14,MAX(0,((YEAR(M$5)-YEAR($AA14))*12+MONTH(M$5)-MONTH($AA14))))&gt;=M$5)*(EDATE($AA14,MAX(0,((YEAR(M$5)-YEAR($AA14))*12+MONTH(M$5)-MONTH($AA14))))&lt;=MIN(M$5+6,$AB14))+(MOD((((YEAR(M$5)-YEAR($AA14))*12+MONTH(M$5)-MONTH($AA14))+1),$Z14)=0)*((((YEAR(M$5)-YEAR($AA14))*12+MONTH(M$5)-MONTH($AA14))+1)&gt;=0)*(EDATE($AA14,MAX(0,(((YEAR(M$5)-YEAR($AA14))*12+MONTH(M$5)-MONTH($AA14))+1)))&gt;=M$5)*(EDATE($AA14,MAX(0,(((YEAR(M$5)-YEAR($AA14))*12+MONTH(M$5)-MONTH($AA14))+1)))&lt;=MIN(M$5+6,$AB14)),($AA14&gt;=M$5)*($AA14&lt;=M$5+6))))</f>
        <v/>
      </c>
      <c r="N14" s="21">
        <f>IF($X14&lt;&gt;1,0,$D14*IF($Y14&gt;0,MAX(0,INT((MIN(N$5+6,$AB14)-$AA14)/$Y14)-MAX(0,-INT(($AA14-N$5)/$Y14))+1),IF($Z14&gt;0,(MOD(((YEAR(N$5)-YEAR($AA14))*12+MONTH(N$5)-MONTH($AA14)),$Z14)=0)*(((YEAR(N$5)-YEAR($AA14))*12+MONTH(N$5)-MONTH($AA14))&gt;=0)*(EDATE($AA14,MAX(0,((YEAR(N$5)-YEAR($AA14))*12+MONTH(N$5)-MONTH($AA14))))&gt;=N$5)*(EDATE($AA14,MAX(0,((YEAR(N$5)-YEAR($AA14))*12+MONTH(N$5)-MONTH($AA14))))&lt;=MIN(N$5+6,$AB14))+(MOD((((YEAR(N$5)-YEAR($AA14))*12+MONTH(N$5)-MONTH($AA14))+1),$Z14)=0)*((((YEAR(N$5)-YEAR($AA14))*12+MONTH(N$5)-MONTH($AA14))+1)&gt;=0)*(EDATE($AA14,MAX(0,(((YEAR(N$5)-YEAR($AA14))*12+MONTH(N$5)-MONTH($AA14))+1)))&gt;=N$5)*(EDATE($AA14,MAX(0,(((YEAR(N$5)-YEAR($AA14))*12+MONTH(N$5)-MONTH($AA14))+1)))&lt;=MIN(N$5+6,$AB14)),($AA14&gt;=N$5)*($AA14&lt;=N$5+6))))</f>
        <v/>
      </c>
      <c r="O14" s="21">
        <f>IF($X14&lt;&gt;1,0,$D14*IF($Y14&gt;0,MAX(0,INT((MIN(O$5+6,$AB14)-$AA14)/$Y14)-MAX(0,-INT(($AA14-O$5)/$Y14))+1),IF($Z14&gt;0,(MOD(((YEAR(O$5)-YEAR($AA14))*12+MONTH(O$5)-MONTH($AA14)),$Z14)=0)*(((YEAR(O$5)-YEAR($AA14))*12+MONTH(O$5)-MONTH($AA14))&gt;=0)*(EDATE($AA14,MAX(0,((YEAR(O$5)-YEAR($AA14))*12+MONTH(O$5)-MONTH($AA14))))&gt;=O$5)*(EDATE($AA14,MAX(0,((YEAR(O$5)-YEAR($AA14))*12+MONTH(O$5)-MONTH($AA14))))&lt;=MIN(O$5+6,$AB14))+(MOD((((YEAR(O$5)-YEAR($AA14))*12+MONTH(O$5)-MONTH($AA14))+1),$Z14)=0)*((((YEAR(O$5)-YEAR($AA14))*12+MONTH(O$5)-MONTH($AA14))+1)&gt;=0)*(EDATE($AA14,MAX(0,(((YEAR(O$5)-YEAR($AA14))*12+MONTH(O$5)-MONTH($AA14))+1)))&gt;=O$5)*(EDATE($AA14,MAX(0,(((YEAR(O$5)-YEAR($AA14))*12+MONTH(O$5)-MONTH($AA14))+1)))&lt;=MIN(O$5+6,$AB14)),($AA14&gt;=O$5)*($AA14&lt;=O$5+6))))</f>
        <v/>
      </c>
      <c r="P14" s="21">
        <f>IF($X14&lt;&gt;1,0,$D14*IF($Y14&gt;0,MAX(0,INT((MIN(P$5+6,$AB14)-$AA14)/$Y14)-MAX(0,-INT(($AA14-P$5)/$Y14))+1),IF($Z14&gt;0,(MOD(((YEAR(P$5)-YEAR($AA14))*12+MONTH(P$5)-MONTH($AA14)),$Z14)=0)*(((YEAR(P$5)-YEAR($AA14))*12+MONTH(P$5)-MONTH($AA14))&gt;=0)*(EDATE($AA14,MAX(0,((YEAR(P$5)-YEAR($AA14))*12+MONTH(P$5)-MONTH($AA14))))&gt;=P$5)*(EDATE($AA14,MAX(0,((YEAR(P$5)-YEAR($AA14))*12+MONTH(P$5)-MONTH($AA14))))&lt;=MIN(P$5+6,$AB14))+(MOD((((YEAR(P$5)-YEAR($AA14))*12+MONTH(P$5)-MONTH($AA14))+1),$Z14)=0)*((((YEAR(P$5)-YEAR($AA14))*12+MONTH(P$5)-MONTH($AA14))+1)&gt;=0)*(EDATE($AA14,MAX(0,(((YEAR(P$5)-YEAR($AA14))*12+MONTH(P$5)-MONTH($AA14))+1)))&gt;=P$5)*(EDATE($AA14,MAX(0,(((YEAR(P$5)-YEAR($AA14))*12+MONTH(P$5)-MONTH($AA14))+1)))&lt;=MIN(P$5+6,$AB14)),($AA14&gt;=P$5)*($AA14&lt;=P$5+6))))</f>
        <v/>
      </c>
      <c r="Q14" s="21">
        <f>IF($X14&lt;&gt;1,0,$D14*IF($Y14&gt;0,MAX(0,INT((MIN(Q$5+6,$AB14)-$AA14)/$Y14)-MAX(0,-INT(($AA14-Q$5)/$Y14))+1),IF($Z14&gt;0,(MOD(((YEAR(Q$5)-YEAR($AA14))*12+MONTH(Q$5)-MONTH($AA14)),$Z14)=0)*(((YEAR(Q$5)-YEAR($AA14))*12+MONTH(Q$5)-MONTH($AA14))&gt;=0)*(EDATE($AA14,MAX(0,((YEAR(Q$5)-YEAR($AA14))*12+MONTH(Q$5)-MONTH($AA14))))&gt;=Q$5)*(EDATE($AA14,MAX(0,((YEAR(Q$5)-YEAR($AA14))*12+MONTH(Q$5)-MONTH($AA14))))&lt;=MIN(Q$5+6,$AB14))+(MOD((((YEAR(Q$5)-YEAR($AA14))*12+MONTH(Q$5)-MONTH($AA14))+1),$Z14)=0)*((((YEAR(Q$5)-YEAR($AA14))*12+MONTH(Q$5)-MONTH($AA14))+1)&gt;=0)*(EDATE($AA14,MAX(0,(((YEAR(Q$5)-YEAR($AA14))*12+MONTH(Q$5)-MONTH($AA14))+1)))&gt;=Q$5)*(EDATE($AA14,MAX(0,(((YEAR(Q$5)-YEAR($AA14))*12+MONTH(Q$5)-MONTH($AA14))+1)))&lt;=MIN(Q$5+6,$AB14)),($AA14&gt;=Q$5)*($AA14&lt;=Q$5+6))))</f>
        <v/>
      </c>
      <c r="R14" s="21">
        <f>IF($X14&lt;&gt;1,0,$D14*IF($Y14&gt;0,MAX(0,INT((MIN(R$5+6,$AB14)-$AA14)/$Y14)-MAX(0,-INT(($AA14-R$5)/$Y14))+1),IF($Z14&gt;0,(MOD(((YEAR(R$5)-YEAR($AA14))*12+MONTH(R$5)-MONTH($AA14)),$Z14)=0)*(((YEAR(R$5)-YEAR($AA14))*12+MONTH(R$5)-MONTH($AA14))&gt;=0)*(EDATE($AA14,MAX(0,((YEAR(R$5)-YEAR($AA14))*12+MONTH(R$5)-MONTH($AA14))))&gt;=R$5)*(EDATE($AA14,MAX(0,((YEAR(R$5)-YEAR($AA14))*12+MONTH(R$5)-MONTH($AA14))))&lt;=MIN(R$5+6,$AB14))+(MOD((((YEAR(R$5)-YEAR($AA14))*12+MONTH(R$5)-MONTH($AA14))+1),$Z14)=0)*((((YEAR(R$5)-YEAR($AA14))*12+MONTH(R$5)-MONTH($AA14))+1)&gt;=0)*(EDATE($AA14,MAX(0,(((YEAR(R$5)-YEAR($AA14))*12+MONTH(R$5)-MONTH($AA14))+1)))&gt;=R$5)*(EDATE($AA14,MAX(0,(((YEAR(R$5)-YEAR($AA14))*12+MONTH(R$5)-MONTH($AA14))+1)))&lt;=MIN(R$5+6,$AB14)),($AA14&gt;=R$5)*($AA14&lt;=R$5+6))))</f>
        <v/>
      </c>
      <c r="S14" s="21">
        <f>IF($X14&lt;&gt;1,0,$D14*IF($Y14&gt;0,MAX(0,INT((MIN(S$5+6,$AB14)-$AA14)/$Y14)-MAX(0,-INT(($AA14-S$5)/$Y14))+1),IF($Z14&gt;0,(MOD(((YEAR(S$5)-YEAR($AA14))*12+MONTH(S$5)-MONTH($AA14)),$Z14)=0)*(((YEAR(S$5)-YEAR($AA14))*12+MONTH(S$5)-MONTH($AA14))&gt;=0)*(EDATE($AA14,MAX(0,((YEAR(S$5)-YEAR($AA14))*12+MONTH(S$5)-MONTH($AA14))))&gt;=S$5)*(EDATE($AA14,MAX(0,((YEAR(S$5)-YEAR($AA14))*12+MONTH(S$5)-MONTH($AA14))))&lt;=MIN(S$5+6,$AB14))+(MOD((((YEAR(S$5)-YEAR($AA14))*12+MONTH(S$5)-MONTH($AA14))+1),$Z14)=0)*((((YEAR(S$5)-YEAR($AA14))*12+MONTH(S$5)-MONTH($AA14))+1)&gt;=0)*(EDATE($AA14,MAX(0,(((YEAR(S$5)-YEAR($AA14))*12+MONTH(S$5)-MONTH($AA14))+1)))&gt;=S$5)*(EDATE($AA14,MAX(0,(((YEAR(S$5)-YEAR($AA14))*12+MONTH(S$5)-MONTH($AA14))+1)))&lt;=MIN(S$5+6,$AB14)),($AA14&gt;=S$5)*($AA14&lt;=S$5+6))))</f>
        <v/>
      </c>
      <c r="T14" s="21">
        <f>IF($X14&lt;&gt;1,0,$D14*IF($Y14&gt;0,MAX(0,INT((MIN(T$5+6,$AB14)-$AA14)/$Y14)-MAX(0,-INT(($AA14-T$5)/$Y14))+1),IF($Z14&gt;0,(MOD(((YEAR(T$5)-YEAR($AA14))*12+MONTH(T$5)-MONTH($AA14)),$Z14)=0)*(((YEAR(T$5)-YEAR($AA14))*12+MONTH(T$5)-MONTH($AA14))&gt;=0)*(EDATE($AA14,MAX(0,((YEAR(T$5)-YEAR($AA14))*12+MONTH(T$5)-MONTH($AA14))))&gt;=T$5)*(EDATE($AA14,MAX(0,((YEAR(T$5)-YEAR($AA14))*12+MONTH(T$5)-MONTH($AA14))))&lt;=MIN(T$5+6,$AB14))+(MOD((((YEAR(T$5)-YEAR($AA14))*12+MONTH(T$5)-MONTH($AA14))+1),$Z14)=0)*((((YEAR(T$5)-YEAR($AA14))*12+MONTH(T$5)-MONTH($AA14))+1)&gt;=0)*(EDATE($AA14,MAX(0,(((YEAR(T$5)-YEAR($AA14))*12+MONTH(T$5)-MONTH($AA14))+1)))&gt;=T$5)*(EDATE($AA14,MAX(0,(((YEAR(T$5)-YEAR($AA14))*12+MONTH(T$5)-MONTH($AA14))+1)))&lt;=MIN(T$5+6,$AB14)),($AA14&gt;=T$5)*($AA14&lt;=T$5+6))))</f>
        <v/>
      </c>
      <c r="U14" s="21">
        <f>IF($X14&lt;&gt;1,0,$D14*IF($Y14&gt;0,MAX(0,INT((MIN(U$5+6,$AB14)-$AA14)/$Y14)-MAX(0,-INT(($AA14-U$5)/$Y14))+1),IF($Z14&gt;0,(MOD(((YEAR(U$5)-YEAR($AA14))*12+MONTH(U$5)-MONTH($AA14)),$Z14)=0)*(((YEAR(U$5)-YEAR($AA14))*12+MONTH(U$5)-MONTH($AA14))&gt;=0)*(EDATE($AA14,MAX(0,((YEAR(U$5)-YEAR($AA14))*12+MONTH(U$5)-MONTH($AA14))))&gt;=U$5)*(EDATE($AA14,MAX(0,((YEAR(U$5)-YEAR($AA14))*12+MONTH(U$5)-MONTH($AA14))))&lt;=MIN(U$5+6,$AB14))+(MOD((((YEAR(U$5)-YEAR($AA14))*12+MONTH(U$5)-MONTH($AA14))+1),$Z14)=0)*((((YEAR(U$5)-YEAR($AA14))*12+MONTH(U$5)-MONTH($AA14))+1)&gt;=0)*(EDATE($AA14,MAX(0,(((YEAR(U$5)-YEAR($AA14))*12+MONTH(U$5)-MONTH($AA14))+1)))&gt;=U$5)*(EDATE($AA14,MAX(0,(((YEAR(U$5)-YEAR($AA14))*12+MONTH(U$5)-MONTH($AA14))+1)))&lt;=MIN(U$5+6,$AB14)),($AA14&gt;=U$5)*($AA14&lt;=U$5+6))))</f>
        <v/>
      </c>
      <c r="V14" s="21">
        <f>IF($X14&lt;&gt;1,0,$D14*IF($Y14&gt;0,MAX(0,INT((MIN(V$5+6,$AB14)-$AA14)/$Y14)-MAX(0,-INT(($AA14-V$5)/$Y14))+1),IF($Z14&gt;0,(MOD(((YEAR(V$5)-YEAR($AA14))*12+MONTH(V$5)-MONTH($AA14)),$Z14)=0)*(((YEAR(V$5)-YEAR($AA14))*12+MONTH(V$5)-MONTH($AA14))&gt;=0)*(EDATE($AA14,MAX(0,((YEAR(V$5)-YEAR($AA14))*12+MONTH(V$5)-MONTH($AA14))))&gt;=V$5)*(EDATE($AA14,MAX(0,((YEAR(V$5)-YEAR($AA14))*12+MONTH(V$5)-MONTH($AA14))))&lt;=MIN(V$5+6,$AB14))+(MOD((((YEAR(V$5)-YEAR($AA14))*12+MONTH(V$5)-MONTH($AA14))+1),$Z14)=0)*((((YEAR(V$5)-YEAR($AA14))*12+MONTH(V$5)-MONTH($AA14))+1)&gt;=0)*(EDATE($AA14,MAX(0,(((YEAR(V$5)-YEAR($AA14))*12+MONTH(V$5)-MONTH($AA14))+1)))&gt;=V$5)*(EDATE($AA14,MAX(0,(((YEAR(V$5)-YEAR($AA14))*12+MONTH(V$5)-MONTH($AA14))+1)))&lt;=MIN(V$5+6,$AB14)),($AA14&gt;=V$5)*($AA14&lt;=V$5+6))))</f>
        <v/>
      </c>
      <c r="W14" s="21">
        <f>IF($X14&lt;&gt;1,0,$D14*IF($Y14&gt;0,MAX(0,INT((MIN(W$5+6,$AB14)-$AA14)/$Y14)-MAX(0,-INT(($AA14-W$5)/$Y14))+1),IF($Z14&gt;0,(MOD(((YEAR(W$5)-YEAR($AA14))*12+MONTH(W$5)-MONTH($AA14)),$Z14)=0)*(((YEAR(W$5)-YEAR($AA14))*12+MONTH(W$5)-MONTH($AA14))&gt;=0)*(EDATE($AA14,MAX(0,((YEAR(W$5)-YEAR($AA14))*12+MONTH(W$5)-MONTH($AA14))))&gt;=W$5)*(EDATE($AA14,MAX(0,((YEAR(W$5)-YEAR($AA14))*12+MONTH(W$5)-MONTH($AA14))))&lt;=MIN(W$5+6,$AB14))+(MOD((((YEAR(W$5)-YEAR($AA14))*12+MONTH(W$5)-MONTH($AA14))+1),$Z14)=0)*((((YEAR(W$5)-YEAR($AA14))*12+MONTH(W$5)-MONTH($AA14))+1)&gt;=0)*(EDATE($AA14,MAX(0,(((YEAR(W$5)-YEAR($AA14))*12+MONTH(W$5)-MONTH($AA14))+1)))&gt;=W$5)*(EDATE($AA14,MAX(0,(((YEAR(W$5)-YEAR($AA14))*12+MONTH(W$5)-MONTH($AA14))+1)))&lt;=MIN(W$5+6,$AB14)),($AA14&gt;=W$5)*($AA14&lt;=W$5+6))))</f>
        <v/>
      </c>
      <c r="X14">
        <f>IF(COUNTA(A14:G14)=0,"",IF(AND(OR(B14="In",B14="Out"),ISNUMBER(D14),D14&gt;0,ISNUMBER(MATCH(E14,FreqName,0)),ISNUMBER(F14),OR(G14="",AND(ISNUMBER(G14),G14&gt;=F14))),1,0))</f>
        <v/>
      </c>
      <c r="Y14">
        <f>IF(X14&lt;&gt;1,0,INDEX(FreqDays,MATCH(E14,FreqName,0)))</f>
        <v/>
      </c>
      <c r="Z14">
        <f>IF(X14&lt;&gt;1,0,INDEX(FreqMonths,MATCH(E14,FreqName,0)))</f>
        <v/>
      </c>
      <c r="AA14">
        <f>IF(X14&lt;&gt;1,0,INT(F14))</f>
        <v/>
      </c>
      <c r="AB14">
        <f>IF(X14&lt;&gt;1,0,IF(ISNUMBER(G14),INT(G14),2958465))</f>
        <v/>
      </c>
    </row>
    <row r="15">
      <c r="A15" s="29" t="n"/>
      <c r="B15" s="29" t="n"/>
      <c r="C15" s="29" t="n"/>
      <c r="D15" s="34" t="n"/>
      <c r="E15" s="29" t="n"/>
      <c r="F15" s="24" t="n"/>
      <c r="G15" s="24" t="n"/>
      <c r="H15" s="10">
        <f>IF(X15="","",IF(X15=0,IF(AND(B15&lt;&gt;"In",B15&lt;&gt;"Out"),"Fix: choose In or Out",IF(OR(NOT(ISNUMBER(D15)),N(D15)&lt;=0),"Fix: amount must be a number above 0",IF(NOT(ISNUMBER(MATCH(E15,FreqName,0))),"Fix: choose a frequency",IF(NOT(ISNUMBER(F15)),"Fix: first date missing","Fix: end date must be a date on or after the first date")))),IF(AND(C15&lt;&gt;"",OR(AND(B15="In",ISNUMBER(MATCH(C15,InCats,0))),AND(B15="Out",ISNUMBER(MATCH(C15,OutCats,0))))),"OK","Category not on Settings (counted as Other)")))</f>
        <v/>
      </c>
      <c r="I15" s="35">
        <f>IF(X15&lt;&gt;1,"",ROUND(J15/D15,0))</f>
        <v/>
      </c>
      <c r="J15" s="36">
        <f>SUM(K15:W15)</f>
        <v/>
      </c>
      <c r="K15" s="21">
        <f>IF($X15&lt;&gt;1,0,$D15*IF($Y15&gt;0,MAX(0,INT((MIN(K$5+6,$AB15)-$AA15)/$Y15)-MAX(0,-INT(($AA15-K$5)/$Y15))+1),IF($Z15&gt;0,(MOD(((YEAR(K$5)-YEAR($AA15))*12+MONTH(K$5)-MONTH($AA15)),$Z15)=0)*(((YEAR(K$5)-YEAR($AA15))*12+MONTH(K$5)-MONTH($AA15))&gt;=0)*(EDATE($AA15,MAX(0,((YEAR(K$5)-YEAR($AA15))*12+MONTH(K$5)-MONTH($AA15))))&gt;=K$5)*(EDATE($AA15,MAX(0,((YEAR(K$5)-YEAR($AA15))*12+MONTH(K$5)-MONTH($AA15))))&lt;=MIN(K$5+6,$AB15))+(MOD((((YEAR(K$5)-YEAR($AA15))*12+MONTH(K$5)-MONTH($AA15))+1),$Z15)=0)*((((YEAR(K$5)-YEAR($AA15))*12+MONTH(K$5)-MONTH($AA15))+1)&gt;=0)*(EDATE($AA15,MAX(0,(((YEAR(K$5)-YEAR($AA15))*12+MONTH(K$5)-MONTH($AA15))+1)))&gt;=K$5)*(EDATE($AA15,MAX(0,(((YEAR(K$5)-YEAR($AA15))*12+MONTH(K$5)-MONTH($AA15))+1)))&lt;=MIN(K$5+6,$AB15)),($AA15&gt;=K$5)*($AA15&lt;=K$5+6))))</f>
        <v/>
      </c>
      <c r="L15" s="21">
        <f>IF($X15&lt;&gt;1,0,$D15*IF($Y15&gt;0,MAX(0,INT((MIN(L$5+6,$AB15)-$AA15)/$Y15)-MAX(0,-INT(($AA15-L$5)/$Y15))+1),IF($Z15&gt;0,(MOD(((YEAR(L$5)-YEAR($AA15))*12+MONTH(L$5)-MONTH($AA15)),$Z15)=0)*(((YEAR(L$5)-YEAR($AA15))*12+MONTH(L$5)-MONTH($AA15))&gt;=0)*(EDATE($AA15,MAX(0,((YEAR(L$5)-YEAR($AA15))*12+MONTH(L$5)-MONTH($AA15))))&gt;=L$5)*(EDATE($AA15,MAX(0,((YEAR(L$5)-YEAR($AA15))*12+MONTH(L$5)-MONTH($AA15))))&lt;=MIN(L$5+6,$AB15))+(MOD((((YEAR(L$5)-YEAR($AA15))*12+MONTH(L$5)-MONTH($AA15))+1),$Z15)=0)*((((YEAR(L$5)-YEAR($AA15))*12+MONTH(L$5)-MONTH($AA15))+1)&gt;=0)*(EDATE($AA15,MAX(0,(((YEAR(L$5)-YEAR($AA15))*12+MONTH(L$5)-MONTH($AA15))+1)))&gt;=L$5)*(EDATE($AA15,MAX(0,(((YEAR(L$5)-YEAR($AA15))*12+MONTH(L$5)-MONTH($AA15))+1)))&lt;=MIN(L$5+6,$AB15)),($AA15&gt;=L$5)*($AA15&lt;=L$5+6))))</f>
        <v/>
      </c>
      <c r="M15" s="21">
        <f>IF($X15&lt;&gt;1,0,$D15*IF($Y15&gt;0,MAX(0,INT((MIN(M$5+6,$AB15)-$AA15)/$Y15)-MAX(0,-INT(($AA15-M$5)/$Y15))+1),IF($Z15&gt;0,(MOD(((YEAR(M$5)-YEAR($AA15))*12+MONTH(M$5)-MONTH($AA15)),$Z15)=0)*(((YEAR(M$5)-YEAR($AA15))*12+MONTH(M$5)-MONTH($AA15))&gt;=0)*(EDATE($AA15,MAX(0,((YEAR(M$5)-YEAR($AA15))*12+MONTH(M$5)-MONTH($AA15))))&gt;=M$5)*(EDATE($AA15,MAX(0,((YEAR(M$5)-YEAR($AA15))*12+MONTH(M$5)-MONTH($AA15))))&lt;=MIN(M$5+6,$AB15))+(MOD((((YEAR(M$5)-YEAR($AA15))*12+MONTH(M$5)-MONTH($AA15))+1),$Z15)=0)*((((YEAR(M$5)-YEAR($AA15))*12+MONTH(M$5)-MONTH($AA15))+1)&gt;=0)*(EDATE($AA15,MAX(0,(((YEAR(M$5)-YEAR($AA15))*12+MONTH(M$5)-MONTH($AA15))+1)))&gt;=M$5)*(EDATE($AA15,MAX(0,(((YEAR(M$5)-YEAR($AA15))*12+MONTH(M$5)-MONTH($AA15))+1)))&lt;=MIN(M$5+6,$AB15)),($AA15&gt;=M$5)*($AA15&lt;=M$5+6))))</f>
        <v/>
      </c>
      <c r="N15" s="21">
        <f>IF($X15&lt;&gt;1,0,$D15*IF($Y15&gt;0,MAX(0,INT((MIN(N$5+6,$AB15)-$AA15)/$Y15)-MAX(0,-INT(($AA15-N$5)/$Y15))+1),IF($Z15&gt;0,(MOD(((YEAR(N$5)-YEAR($AA15))*12+MONTH(N$5)-MONTH($AA15)),$Z15)=0)*(((YEAR(N$5)-YEAR($AA15))*12+MONTH(N$5)-MONTH($AA15))&gt;=0)*(EDATE($AA15,MAX(0,((YEAR(N$5)-YEAR($AA15))*12+MONTH(N$5)-MONTH($AA15))))&gt;=N$5)*(EDATE($AA15,MAX(0,((YEAR(N$5)-YEAR($AA15))*12+MONTH(N$5)-MONTH($AA15))))&lt;=MIN(N$5+6,$AB15))+(MOD((((YEAR(N$5)-YEAR($AA15))*12+MONTH(N$5)-MONTH($AA15))+1),$Z15)=0)*((((YEAR(N$5)-YEAR($AA15))*12+MONTH(N$5)-MONTH($AA15))+1)&gt;=0)*(EDATE($AA15,MAX(0,(((YEAR(N$5)-YEAR($AA15))*12+MONTH(N$5)-MONTH($AA15))+1)))&gt;=N$5)*(EDATE($AA15,MAX(0,(((YEAR(N$5)-YEAR($AA15))*12+MONTH(N$5)-MONTH($AA15))+1)))&lt;=MIN(N$5+6,$AB15)),($AA15&gt;=N$5)*($AA15&lt;=N$5+6))))</f>
        <v/>
      </c>
      <c r="O15" s="21">
        <f>IF($X15&lt;&gt;1,0,$D15*IF($Y15&gt;0,MAX(0,INT((MIN(O$5+6,$AB15)-$AA15)/$Y15)-MAX(0,-INT(($AA15-O$5)/$Y15))+1),IF($Z15&gt;0,(MOD(((YEAR(O$5)-YEAR($AA15))*12+MONTH(O$5)-MONTH($AA15)),$Z15)=0)*(((YEAR(O$5)-YEAR($AA15))*12+MONTH(O$5)-MONTH($AA15))&gt;=0)*(EDATE($AA15,MAX(0,((YEAR(O$5)-YEAR($AA15))*12+MONTH(O$5)-MONTH($AA15))))&gt;=O$5)*(EDATE($AA15,MAX(0,((YEAR(O$5)-YEAR($AA15))*12+MONTH(O$5)-MONTH($AA15))))&lt;=MIN(O$5+6,$AB15))+(MOD((((YEAR(O$5)-YEAR($AA15))*12+MONTH(O$5)-MONTH($AA15))+1),$Z15)=0)*((((YEAR(O$5)-YEAR($AA15))*12+MONTH(O$5)-MONTH($AA15))+1)&gt;=0)*(EDATE($AA15,MAX(0,(((YEAR(O$5)-YEAR($AA15))*12+MONTH(O$5)-MONTH($AA15))+1)))&gt;=O$5)*(EDATE($AA15,MAX(0,(((YEAR(O$5)-YEAR($AA15))*12+MONTH(O$5)-MONTH($AA15))+1)))&lt;=MIN(O$5+6,$AB15)),($AA15&gt;=O$5)*($AA15&lt;=O$5+6))))</f>
        <v/>
      </c>
      <c r="P15" s="21">
        <f>IF($X15&lt;&gt;1,0,$D15*IF($Y15&gt;0,MAX(0,INT((MIN(P$5+6,$AB15)-$AA15)/$Y15)-MAX(0,-INT(($AA15-P$5)/$Y15))+1),IF($Z15&gt;0,(MOD(((YEAR(P$5)-YEAR($AA15))*12+MONTH(P$5)-MONTH($AA15)),$Z15)=0)*(((YEAR(P$5)-YEAR($AA15))*12+MONTH(P$5)-MONTH($AA15))&gt;=0)*(EDATE($AA15,MAX(0,((YEAR(P$5)-YEAR($AA15))*12+MONTH(P$5)-MONTH($AA15))))&gt;=P$5)*(EDATE($AA15,MAX(0,((YEAR(P$5)-YEAR($AA15))*12+MONTH(P$5)-MONTH($AA15))))&lt;=MIN(P$5+6,$AB15))+(MOD((((YEAR(P$5)-YEAR($AA15))*12+MONTH(P$5)-MONTH($AA15))+1),$Z15)=0)*((((YEAR(P$5)-YEAR($AA15))*12+MONTH(P$5)-MONTH($AA15))+1)&gt;=0)*(EDATE($AA15,MAX(0,(((YEAR(P$5)-YEAR($AA15))*12+MONTH(P$5)-MONTH($AA15))+1)))&gt;=P$5)*(EDATE($AA15,MAX(0,(((YEAR(P$5)-YEAR($AA15))*12+MONTH(P$5)-MONTH($AA15))+1)))&lt;=MIN(P$5+6,$AB15)),($AA15&gt;=P$5)*($AA15&lt;=P$5+6))))</f>
        <v/>
      </c>
      <c r="Q15" s="21">
        <f>IF($X15&lt;&gt;1,0,$D15*IF($Y15&gt;0,MAX(0,INT((MIN(Q$5+6,$AB15)-$AA15)/$Y15)-MAX(0,-INT(($AA15-Q$5)/$Y15))+1),IF($Z15&gt;0,(MOD(((YEAR(Q$5)-YEAR($AA15))*12+MONTH(Q$5)-MONTH($AA15)),$Z15)=0)*(((YEAR(Q$5)-YEAR($AA15))*12+MONTH(Q$5)-MONTH($AA15))&gt;=0)*(EDATE($AA15,MAX(0,((YEAR(Q$5)-YEAR($AA15))*12+MONTH(Q$5)-MONTH($AA15))))&gt;=Q$5)*(EDATE($AA15,MAX(0,((YEAR(Q$5)-YEAR($AA15))*12+MONTH(Q$5)-MONTH($AA15))))&lt;=MIN(Q$5+6,$AB15))+(MOD((((YEAR(Q$5)-YEAR($AA15))*12+MONTH(Q$5)-MONTH($AA15))+1),$Z15)=0)*((((YEAR(Q$5)-YEAR($AA15))*12+MONTH(Q$5)-MONTH($AA15))+1)&gt;=0)*(EDATE($AA15,MAX(0,(((YEAR(Q$5)-YEAR($AA15))*12+MONTH(Q$5)-MONTH($AA15))+1)))&gt;=Q$5)*(EDATE($AA15,MAX(0,(((YEAR(Q$5)-YEAR($AA15))*12+MONTH(Q$5)-MONTH($AA15))+1)))&lt;=MIN(Q$5+6,$AB15)),($AA15&gt;=Q$5)*($AA15&lt;=Q$5+6))))</f>
        <v/>
      </c>
      <c r="R15" s="21">
        <f>IF($X15&lt;&gt;1,0,$D15*IF($Y15&gt;0,MAX(0,INT((MIN(R$5+6,$AB15)-$AA15)/$Y15)-MAX(0,-INT(($AA15-R$5)/$Y15))+1),IF($Z15&gt;0,(MOD(((YEAR(R$5)-YEAR($AA15))*12+MONTH(R$5)-MONTH($AA15)),$Z15)=0)*(((YEAR(R$5)-YEAR($AA15))*12+MONTH(R$5)-MONTH($AA15))&gt;=0)*(EDATE($AA15,MAX(0,((YEAR(R$5)-YEAR($AA15))*12+MONTH(R$5)-MONTH($AA15))))&gt;=R$5)*(EDATE($AA15,MAX(0,((YEAR(R$5)-YEAR($AA15))*12+MONTH(R$5)-MONTH($AA15))))&lt;=MIN(R$5+6,$AB15))+(MOD((((YEAR(R$5)-YEAR($AA15))*12+MONTH(R$5)-MONTH($AA15))+1),$Z15)=0)*((((YEAR(R$5)-YEAR($AA15))*12+MONTH(R$5)-MONTH($AA15))+1)&gt;=0)*(EDATE($AA15,MAX(0,(((YEAR(R$5)-YEAR($AA15))*12+MONTH(R$5)-MONTH($AA15))+1)))&gt;=R$5)*(EDATE($AA15,MAX(0,(((YEAR(R$5)-YEAR($AA15))*12+MONTH(R$5)-MONTH($AA15))+1)))&lt;=MIN(R$5+6,$AB15)),($AA15&gt;=R$5)*($AA15&lt;=R$5+6))))</f>
        <v/>
      </c>
      <c r="S15" s="21">
        <f>IF($X15&lt;&gt;1,0,$D15*IF($Y15&gt;0,MAX(0,INT((MIN(S$5+6,$AB15)-$AA15)/$Y15)-MAX(0,-INT(($AA15-S$5)/$Y15))+1),IF($Z15&gt;0,(MOD(((YEAR(S$5)-YEAR($AA15))*12+MONTH(S$5)-MONTH($AA15)),$Z15)=0)*(((YEAR(S$5)-YEAR($AA15))*12+MONTH(S$5)-MONTH($AA15))&gt;=0)*(EDATE($AA15,MAX(0,((YEAR(S$5)-YEAR($AA15))*12+MONTH(S$5)-MONTH($AA15))))&gt;=S$5)*(EDATE($AA15,MAX(0,((YEAR(S$5)-YEAR($AA15))*12+MONTH(S$5)-MONTH($AA15))))&lt;=MIN(S$5+6,$AB15))+(MOD((((YEAR(S$5)-YEAR($AA15))*12+MONTH(S$5)-MONTH($AA15))+1),$Z15)=0)*((((YEAR(S$5)-YEAR($AA15))*12+MONTH(S$5)-MONTH($AA15))+1)&gt;=0)*(EDATE($AA15,MAX(0,(((YEAR(S$5)-YEAR($AA15))*12+MONTH(S$5)-MONTH($AA15))+1)))&gt;=S$5)*(EDATE($AA15,MAX(0,(((YEAR(S$5)-YEAR($AA15))*12+MONTH(S$5)-MONTH($AA15))+1)))&lt;=MIN(S$5+6,$AB15)),($AA15&gt;=S$5)*($AA15&lt;=S$5+6))))</f>
        <v/>
      </c>
      <c r="T15" s="21">
        <f>IF($X15&lt;&gt;1,0,$D15*IF($Y15&gt;0,MAX(0,INT((MIN(T$5+6,$AB15)-$AA15)/$Y15)-MAX(0,-INT(($AA15-T$5)/$Y15))+1),IF($Z15&gt;0,(MOD(((YEAR(T$5)-YEAR($AA15))*12+MONTH(T$5)-MONTH($AA15)),$Z15)=0)*(((YEAR(T$5)-YEAR($AA15))*12+MONTH(T$5)-MONTH($AA15))&gt;=0)*(EDATE($AA15,MAX(0,((YEAR(T$5)-YEAR($AA15))*12+MONTH(T$5)-MONTH($AA15))))&gt;=T$5)*(EDATE($AA15,MAX(0,((YEAR(T$5)-YEAR($AA15))*12+MONTH(T$5)-MONTH($AA15))))&lt;=MIN(T$5+6,$AB15))+(MOD((((YEAR(T$5)-YEAR($AA15))*12+MONTH(T$5)-MONTH($AA15))+1),$Z15)=0)*((((YEAR(T$5)-YEAR($AA15))*12+MONTH(T$5)-MONTH($AA15))+1)&gt;=0)*(EDATE($AA15,MAX(0,(((YEAR(T$5)-YEAR($AA15))*12+MONTH(T$5)-MONTH($AA15))+1)))&gt;=T$5)*(EDATE($AA15,MAX(0,(((YEAR(T$5)-YEAR($AA15))*12+MONTH(T$5)-MONTH($AA15))+1)))&lt;=MIN(T$5+6,$AB15)),($AA15&gt;=T$5)*($AA15&lt;=T$5+6))))</f>
        <v/>
      </c>
      <c r="U15" s="21">
        <f>IF($X15&lt;&gt;1,0,$D15*IF($Y15&gt;0,MAX(0,INT((MIN(U$5+6,$AB15)-$AA15)/$Y15)-MAX(0,-INT(($AA15-U$5)/$Y15))+1),IF($Z15&gt;0,(MOD(((YEAR(U$5)-YEAR($AA15))*12+MONTH(U$5)-MONTH($AA15)),$Z15)=0)*(((YEAR(U$5)-YEAR($AA15))*12+MONTH(U$5)-MONTH($AA15))&gt;=0)*(EDATE($AA15,MAX(0,((YEAR(U$5)-YEAR($AA15))*12+MONTH(U$5)-MONTH($AA15))))&gt;=U$5)*(EDATE($AA15,MAX(0,((YEAR(U$5)-YEAR($AA15))*12+MONTH(U$5)-MONTH($AA15))))&lt;=MIN(U$5+6,$AB15))+(MOD((((YEAR(U$5)-YEAR($AA15))*12+MONTH(U$5)-MONTH($AA15))+1),$Z15)=0)*((((YEAR(U$5)-YEAR($AA15))*12+MONTH(U$5)-MONTH($AA15))+1)&gt;=0)*(EDATE($AA15,MAX(0,(((YEAR(U$5)-YEAR($AA15))*12+MONTH(U$5)-MONTH($AA15))+1)))&gt;=U$5)*(EDATE($AA15,MAX(0,(((YEAR(U$5)-YEAR($AA15))*12+MONTH(U$5)-MONTH($AA15))+1)))&lt;=MIN(U$5+6,$AB15)),($AA15&gt;=U$5)*($AA15&lt;=U$5+6))))</f>
        <v/>
      </c>
      <c r="V15" s="21">
        <f>IF($X15&lt;&gt;1,0,$D15*IF($Y15&gt;0,MAX(0,INT((MIN(V$5+6,$AB15)-$AA15)/$Y15)-MAX(0,-INT(($AA15-V$5)/$Y15))+1),IF($Z15&gt;0,(MOD(((YEAR(V$5)-YEAR($AA15))*12+MONTH(V$5)-MONTH($AA15)),$Z15)=0)*(((YEAR(V$5)-YEAR($AA15))*12+MONTH(V$5)-MONTH($AA15))&gt;=0)*(EDATE($AA15,MAX(0,((YEAR(V$5)-YEAR($AA15))*12+MONTH(V$5)-MONTH($AA15))))&gt;=V$5)*(EDATE($AA15,MAX(0,((YEAR(V$5)-YEAR($AA15))*12+MONTH(V$5)-MONTH($AA15))))&lt;=MIN(V$5+6,$AB15))+(MOD((((YEAR(V$5)-YEAR($AA15))*12+MONTH(V$5)-MONTH($AA15))+1),$Z15)=0)*((((YEAR(V$5)-YEAR($AA15))*12+MONTH(V$5)-MONTH($AA15))+1)&gt;=0)*(EDATE($AA15,MAX(0,(((YEAR(V$5)-YEAR($AA15))*12+MONTH(V$5)-MONTH($AA15))+1)))&gt;=V$5)*(EDATE($AA15,MAX(0,(((YEAR(V$5)-YEAR($AA15))*12+MONTH(V$5)-MONTH($AA15))+1)))&lt;=MIN(V$5+6,$AB15)),($AA15&gt;=V$5)*($AA15&lt;=V$5+6))))</f>
        <v/>
      </c>
      <c r="W15" s="21">
        <f>IF($X15&lt;&gt;1,0,$D15*IF($Y15&gt;0,MAX(0,INT((MIN(W$5+6,$AB15)-$AA15)/$Y15)-MAX(0,-INT(($AA15-W$5)/$Y15))+1),IF($Z15&gt;0,(MOD(((YEAR(W$5)-YEAR($AA15))*12+MONTH(W$5)-MONTH($AA15)),$Z15)=0)*(((YEAR(W$5)-YEAR($AA15))*12+MONTH(W$5)-MONTH($AA15))&gt;=0)*(EDATE($AA15,MAX(0,((YEAR(W$5)-YEAR($AA15))*12+MONTH(W$5)-MONTH($AA15))))&gt;=W$5)*(EDATE($AA15,MAX(0,((YEAR(W$5)-YEAR($AA15))*12+MONTH(W$5)-MONTH($AA15))))&lt;=MIN(W$5+6,$AB15))+(MOD((((YEAR(W$5)-YEAR($AA15))*12+MONTH(W$5)-MONTH($AA15))+1),$Z15)=0)*((((YEAR(W$5)-YEAR($AA15))*12+MONTH(W$5)-MONTH($AA15))+1)&gt;=0)*(EDATE($AA15,MAX(0,(((YEAR(W$5)-YEAR($AA15))*12+MONTH(W$5)-MONTH($AA15))+1)))&gt;=W$5)*(EDATE($AA15,MAX(0,(((YEAR(W$5)-YEAR($AA15))*12+MONTH(W$5)-MONTH($AA15))+1)))&lt;=MIN(W$5+6,$AB15)),($AA15&gt;=W$5)*($AA15&lt;=W$5+6))))</f>
        <v/>
      </c>
      <c r="X15">
        <f>IF(COUNTA(A15:G15)=0,"",IF(AND(OR(B15="In",B15="Out"),ISNUMBER(D15),D15&gt;0,ISNUMBER(MATCH(E15,FreqName,0)),ISNUMBER(F15),OR(G15="",AND(ISNUMBER(G15),G15&gt;=F15))),1,0))</f>
        <v/>
      </c>
      <c r="Y15">
        <f>IF(X15&lt;&gt;1,0,INDEX(FreqDays,MATCH(E15,FreqName,0)))</f>
        <v/>
      </c>
      <c r="Z15">
        <f>IF(X15&lt;&gt;1,0,INDEX(FreqMonths,MATCH(E15,FreqName,0)))</f>
        <v/>
      </c>
      <c r="AA15">
        <f>IF(X15&lt;&gt;1,0,INT(F15))</f>
        <v/>
      </c>
      <c r="AB15">
        <f>IF(X15&lt;&gt;1,0,IF(ISNUMBER(G15),INT(G15),2958465))</f>
        <v/>
      </c>
    </row>
    <row r="16">
      <c r="A16" s="29" t="n"/>
      <c r="B16" s="29" t="n"/>
      <c r="C16" s="29" t="n"/>
      <c r="D16" s="34" t="n"/>
      <c r="E16" s="29" t="n"/>
      <c r="F16" s="24" t="n"/>
      <c r="G16" s="24" t="n"/>
      <c r="H16" s="10">
        <f>IF(X16="","",IF(X16=0,IF(AND(B16&lt;&gt;"In",B16&lt;&gt;"Out"),"Fix: choose In or Out",IF(OR(NOT(ISNUMBER(D16)),N(D16)&lt;=0),"Fix: amount must be a number above 0",IF(NOT(ISNUMBER(MATCH(E16,FreqName,0))),"Fix: choose a frequency",IF(NOT(ISNUMBER(F16)),"Fix: first date missing","Fix: end date must be a date on or after the first date")))),IF(AND(C16&lt;&gt;"",OR(AND(B16="In",ISNUMBER(MATCH(C16,InCats,0))),AND(B16="Out",ISNUMBER(MATCH(C16,OutCats,0))))),"OK","Category not on Settings (counted as Other)")))</f>
        <v/>
      </c>
      <c r="I16" s="35">
        <f>IF(X16&lt;&gt;1,"",ROUND(J16/D16,0))</f>
        <v/>
      </c>
      <c r="J16" s="36">
        <f>SUM(K16:W16)</f>
        <v/>
      </c>
      <c r="K16" s="21">
        <f>IF($X16&lt;&gt;1,0,$D16*IF($Y16&gt;0,MAX(0,INT((MIN(K$5+6,$AB16)-$AA16)/$Y16)-MAX(0,-INT(($AA16-K$5)/$Y16))+1),IF($Z16&gt;0,(MOD(((YEAR(K$5)-YEAR($AA16))*12+MONTH(K$5)-MONTH($AA16)),$Z16)=0)*(((YEAR(K$5)-YEAR($AA16))*12+MONTH(K$5)-MONTH($AA16))&gt;=0)*(EDATE($AA16,MAX(0,((YEAR(K$5)-YEAR($AA16))*12+MONTH(K$5)-MONTH($AA16))))&gt;=K$5)*(EDATE($AA16,MAX(0,((YEAR(K$5)-YEAR($AA16))*12+MONTH(K$5)-MONTH($AA16))))&lt;=MIN(K$5+6,$AB16))+(MOD((((YEAR(K$5)-YEAR($AA16))*12+MONTH(K$5)-MONTH($AA16))+1),$Z16)=0)*((((YEAR(K$5)-YEAR($AA16))*12+MONTH(K$5)-MONTH($AA16))+1)&gt;=0)*(EDATE($AA16,MAX(0,(((YEAR(K$5)-YEAR($AA16))*12+MONTH(K$5)-MONTH($AA16))+1)))&gt;=K$5)*(EDATE($AA16,MAX(0,(((YEAR(K$5)-YEAR($AA16))*12+MONTH(K$5)-MONTH($AA16))+1)))&lt;=MIN(K$5+6,$AB16)),($AA16&gt;=K$5)*($AA16&lt;=K$5+6))))</f>
        <v/>
      </c>
      <c r="L16" s="21">
        <f>IF($X16&lt;&gt;1,0,$D16*IF($Y16&gt;0,MAX(0,INT((MIN(L$5+6,$AB16)-$AA16)/$Y16)-MAX(0,-INT(($AA16-L$5)/$Y16))+1),IF($Z16&gt;0,(MOD(((YEAR(L$5)-YEAR($AA16))*12+MONTH(L$5)-MONTH($AA16)),$Z16)=0)*(((YEAR(L$5)-YEAR($AA16))*12+MONTH(L$5)-MONTH($AA16))&gt;=0)*(EDATE($AA16,MAX(0,((YEAR(L$5)-YEAR($AA16))*12+MONTH(L$5)-MONTH($AA16))))&gt;=L$5)*(EDATE($AA16,MAX(0,((YEAR(L$5)-YEAR($AA16))*12+MONTH(L$5)-MONTH($AA16))))&lt;=MIN(L$5+6,$AB16))+(MOD((((YEAR(L$5)-YEAR($AA16))*12+MONTH(L$5)-MONTH($AA16))+1),$Z16)=0)*((((YEAR(L$5)-YEAR($AA16))*12+MONTH(L$5)-MONTH($AA16))+1)&gt;=0)*(EDATE($AA16,MAX(0,(((YEAR(L$5)-YEAR($AA16))*12+MONTH(L$5)-MONTH($AA16))+1)))&gt;=L$5)*(EDATE($AA16,MAX(0,(((YEAR(L$5)-YEAR($AA16))*12+MONTH(L$5)-MONTH($AA16))+1)))&lt;=MIN(L$5+6,$AB16)),($AA16&gt;=L$5)*($AA16&lt;=L$5+6))))</f>
        <v/>
      </c>
      <c r="M16" s="21">
        <f>IF($X16&lt;&gt;1,0,$D16*IF($Y16&gt;0,MAX(0,INT((MIN(M$5+6,$AB16)-$AA16)/$Y16)-MAX(0,-INT(($AA16-M$5)/$Y16))+1),IF($Z16&gt;0,(MOD(((YEAR(M$5)-YEAR($AA16))*12+MONTH(M$5)-MONTH($AA16)),$Z16)=0)*(((YEAR(M$5)-YEAR($AA16))*12+MONTH(M$5)-MONTH($AA16))&gt;=0)*(EDATE($AA16,MAX(0,((YEAR(M$5)-YEAR($AA16))*12+MONTH(M$5)-MONTH($AA16))))&gt;=M$5)*(EDATE($AA16,MAX(0,((YEAR(M$5)-YEAR($AA16))*12+MONTH(M$5)-MONTH($AA16))))&lt;=MIN(M$5+6,$AB16))+(MOD((((YEAR(M$5)-YEAR($AA16))*12+MONTH(M$5)-MONTH($AA16))+1),$Z16)=0)*((((YEAR(M$5)-YEAR($AA16))*12+MONTH(M$5)-MONTH($AA16))+1)&gt;=0)*(EDATE($AA16,MAX(0,(((YEAR(M$5)-YEAR($AA16))*12+MONTH(M$5)-MONTH($AA16))+1)))&gt;=M$5)*(EDATE($AA16,MAX(0,(((YEAR(M$5)-YEAR($AA16))*12+MONTH(M$5)-MONTH($AA16))+1)))&lt;=MIN(M$5+6,$AB16)),($AA16&gt;=M$5)*($AA16&lt;=M$5+6))))</f>
        <v/>
      </c>
      <c r="N16" s="21">
        <f>IF($X16&lt;&gt;1,0,$D16*IF($Y16&gt;0,MAX(0,INT((MIN(N$5+6,$AB16)-$AA16)/$Y16)-MAX(0,-INT(($AA16-N$5)/$Y16))+1),IF($Z16&gt;0,(MOD(((YEAR(N$5)-YEAR($AA16))*12+MONTH(N$5)-MONTH($AA16)),$Z16)=0)*(((YEAR(N$5)-YEAR($AA16))*12+MONTH(N$5)-MONTH($AA16))&gt;=0)*(EDATE($AA16,MAX(0,((YEAR(N$5)-YEAR($AA16))*12+MONTH(N$5)-MONTH($AA16))))&gt;=N$5)*(EDATE($AA16,MAX(0,((YEAR(N$5)-YEAR($AA16))*12+MONTH(N$5)-MONTH($AA16))))&lt;=MIN(N$5+6,$AB16))+(MOD((((YEAR(N$5)-YEAR($AA16))*12+MONTH(N$5)-MONTH($AA16))+1),$Z16)=0)*((((YEAR(N$5)-YEAR($AA16))*12+MONTH(N$5)-MONTH($AA16))+1)&gt;=0)*(EDATE($AA16,MAX(0,(((YEAR(N$5)-YEAR($AA16))*12+MONTH(N$5)-MONTH($AA16))+1)))&gt;=N$5)*(EDATE($AA16,MAX(0,(((YEAR(N$5)-YEAR($AA16))*12+MONTH(N$5)-MONTH($AA16))+1)))&lt;=MIN(N$5+6,$AB16)),($AA16&gt;=N$5)*($AA16&lt;=N$5+6))))</f>
        <v/>
      </c>
      <c r="O16" s="21">
        <f>IF($X16&lt;&gt;1,0,$D16*IF($Y16&gt;0,MAX(0,INT((MIN(O$5+6,$AB16)-$AA16)/$Y16)-MAX(0,-INT(($AA16-O$5)/$Y16))+1),IF($Z16&gt;0,(MOD(((YEAR(O$5)-YEAR($AA16))*12+MONTH(O$5)-MONTH($AA16)),$Z16)=0)*(((YEAR(O$5)-YEAR($AA16))*12+MONTH(O$5)-MONTH($AA16))&gt;=0)*(EDATE($AA16,MAX(0,((YEAR(O$5)-YEAR($AA16))*12+MONTH(O$5)-MONTH($AA16))))&gt;=O$5)*(EDATE($AA16,MAX(0,((YEAR(O$5)-YEAR($AA16))*12+MONTH(O$5)-MONTH($AA16))))&lt;=MIN(O$5+6,$AB16))+(MOD((((YEAR(O$5)-YEAR($AA16))*12+MONTH(O$5)-MONTH($AA16))+1),$Z16)=0)*((((YEAR(O$5)-YEAR($AA16))*12+MONTH(O$5)-MONTH($AA16))+1)&gt;=0)*(EDATE($AA16,MAX(0,(((YEAR(O$5)-YEAR($AA16))*12+MONTH(O$5)-MONTH($AA16))+1)))&gt;=O$5)*(EDATE($AA16,MAX(0,(((YEAR(O$5)-YEAR($AA16))*12+MONTH(O$5)-MONTH($AA16))+1)))&lt;=MIN(O$5+6,$AB16)),($AA16&gt;=O$5)*($AA16&lt;=O$5+6))))</f>
        <v/>
      </c>
      <c r="P16" s="21">
        <f>IF($X16&lt;&gt;1,0,$D16*IF($Y16&gt;0,MAX(0,INT((MIN(P$5+6,$AB16)-$AA16)/$Y16)-MAX(0,-INT(($AA16-P$5)/$Y16))+1),IF($Z16&gt;0,(MOD(((YEAR(P$5)-YEAR($AA16))*12+MONTH(P$5)-MONTH($AA16)),$Z16)=0)*(((YEAR(P$5)-YEAR($AA16))*12+MONTH(P$5)-MONTH($AA16))&gt;=0)*(EDATE($AA16,MAX(0,((YEAR(P$5)-YEAR($AA16))*12+MONTH(P$5)-MONTH($AA16))))&gt;=P$5)*(EDATE($AA16,MAX(0,((YEAR(P$5)-YEAR($AA16))*12+MONTH(P$5)-MONTH($AA16))))&lt;=MIN(P$5+6,$AB16))+(MOD((((YEAR(P$5)-YEAR($AA16))*12+MONTH(P$5)-MONTH($AA16))+1),$Z16)=0)*((((YEAR(P$5)-YEAR($AA16))*12+MONTH(P$5)-MONTH($AA16))+1)&gt;=0)*(EDATE($AA16,MAX(0,(((YEAR(P$5)-YEAR($AA16))*12+MONTH(P$5)-MONTH($AA16))+1)))&gt;=P$5)*(EDATE($AA16,MAX(0,(((YEAR(P$5)-YEAR($AA16))*12+MONTH(P$5)-MONTH($AA16))+1)))&lt;=MIN(P$5+6,$AB16)),($AA16&gt;=P$5)*($AA16&lt;=P$5+6))))</f>
        <v/>
      </c>
      <c r="Q16" s="21">
        <f>IF($X16&lt;&gt;1,0,$D16*IF($Y16&gt;0,MAX(0,INT((MIN(Q$5+6,$AB16)-$AA16)/$Y16)-MAX(0,-INT(($AA16-Q$5)/$Y16))+1),IF($Z16&gt;0,(MOD(((YEAR(Q$5)-YEAR($AA16))*12+MONTH(Q$5)-MONTH($AA16)),$Z16)=0)*(((YEAR(Q$5)-YEAR($AA16))*12+MONTH(Q$5)-MONTH($AA16))&gt;=0)*(EDATE($AA16,MAX(0,((YEAR(Q$5)-YEAR($AA16))*12+MONTH(Q$5)-MONTH($AA16))))&gt;=Q$5)*(EDATE($AA16,MAX(0,((YEAR(Q$5)-YEAR($AA16))*12+MONTH(Q$5)-MONTH($AA16))))&lt;=MIN(Q$5+6,$AB16))+(MOD((((YEAR(Q$5)-YEAR($AA16))*12+MONTH(Q$5)-MONTH($AA16))+1),$Z16)=0)*((((YEAR(Q$5)-YEAR($AA16))*12+MONTH(Q$5)-MONTH($AA16))+1)&gt;=0)*(EDATE($AA16,MAX(0,(((YEAR(Q$5)-YEAR($AA16))*12+MONTH(Q$5)-MONTH($AA16))+1)))&gt;=Q$5)*(EDATE($AA16,MAX(0,(((YEAR(Q$5)-YEAR($AA16))*12+MONTH(Q$5)-MONTH($AA16))+1)))&lt;=MIN(Q$5+6,$AB16)),($AA16&gt;=Q$5)*($AA16&lt;=Q$5+6))))</f>
        <v/>
      </c>
      <c r="R16" s="21">
        <f>IF($X16&lt;&gt;1,0,$D16*IF($Y16&gt;0,MAX(0,INT((MIN(R$5+6,$AB16)-$AA16)/$Y16)-MAX(0,-INT(($AA16-R$5)/$Y16))+1),IF($Z16&gt;0,(MOD(((YEAR(R$5)-YEAR($AA16))*12+MONTH(R$5)-MONTH($AA16)),$Z16)=0)*(((YEAR(R$5)-YEAR($AA16))*12+MONTH(R$5)-MONTH($AA16))&gt;=0)*(EDATE($AA16,MAX(0,((YEAR(R$5)-YEAR($AA16))*12+MONTH(R$5)-MONTH($AA16))))&gt;=R$5)*(EDATE($AA16,MAX(0,((YEAR(R$5)-YEAR($AA16))*12+MONTH(R$5)-MONTH($AA16))))&lt;=MIN(R$5+6,$AB16))+(MOD((((YEAR(R$5)-YEAR($AA16))*12+MONTH(R$5)-MONTH($AA16))+1),$Z16)=0)*((((YEAR(R$5)-YEAR($AA16))*12+MONTH(R$5)-MONTH($AA16))+1)&gt;=0)*(EDATE($AA16,MAX(0,(((YEAR(R$5)-YEAR($AA16))*12+MONTH(R$5)-MONTH($AA16))+1)))&gt;=R$5)*(EDATE($AA16,MAX(0,(((YEAR(R$5)-YEAR($AA16))*12+MONTH(R$5)-MONTH($AA16))+1)))&lt;=MIN(R$5+6,$AB16)),($AA16&gt;=R$5)*($AA16&lt;=R$5+6))))</f>
        <v/>
      </c>
      <c r="S16" s="21">
        <f>IF($X16&lt;&gt;1,0,$D16*IF($Y16&gt;0,MAX(0,INT((MIN(S$5+6,$AB16)-$AA16)/$Y16)-MAX(0,-INT(($AA16-S$5)/$Y16))+1),IF($Z16&gt;0,(MOD(((YEAR(S$5)-YEAR($AA16))*12+MONTH(S$5)-MONTH($AA16)),$Z16)=0)*(((YEAR(S$5)-YEAR($AA16))*12+MONTH(S$5)-MONTH($AA16))&gt;=0)*(EDATE($AA16,MAX(0,((YEAR(S$5)-YEAR($AA16))*12+MONTH(S$5)-MONTH($AA16))))&gt;=S$5)*(EDATE($AA16,MAX(0,((YEAR(S$5)-YEAR($AA16))*12+MONTH(S$5)-MONTH($AA16))))&lt;=MIN(S$5+6,$AB16))+(MOD((((YEAR(S$5)-YEAR($AA16))*12+MONTH(S$5)-MONTH($AA16))+1),$Z16)=0)*((((YEAR(S$5)-YEAR($AA16))*12+MONTH(S$5)-MONTH($AA16))+1)&gt;=0)*(EDATE($AA16,MAX(0,(((YEAR(S$5)-YEAR($AA16))*12+MONTH(S$5)-MONTH($AA16))+1)))&gt;=S$5)*(EDATE($AA16,MAX(0,(((YEAR(S$5)-YEAR($AA16))*12+MONTH(S$5)-MONTH($AA16))+1)))&lt;=MIN(S$5+6,$AB16)),($AA16&gt;=S$5)*($AA16&lt;=S$5+6))))</f>
        <v/>
      </c>
      <c r="T16" s="21">
        <f>IF($X16&lt;&gt;1,0,$D16*IF($Y16&gt;0,MAX(0,INT((MIN(T$5+6,$AB16)-$AA16)/$Y16)-MAX(0,-INT(($AA16-T$5)/$Y16))+1),IF($Z16&gt;0,(MOD(((YEAR(T$5)-YEAR($AA16))*12+MONTH(T$5)-MONTH($AA16)),$Z16)=0)*(((YEAR(T$5)-YEAR($AA16))*12+MONTH(T$5)-MONTH($AA16))&gt;=0)*(EDATE($AA16,MAX(0,((YEAR(T$5)-YEAR($AA16))*12+MONTH(T$5)-MONTH($AA16))))&gt;=T$5)*(EDATE($AA16,MAX(0,((YEAR(T$5)-YEAR($AA16))*12+MONTH(T$5)-MONTH($AA16))))&lt;=MIN(T$5+6,$AB16))+(MOD((((YEAR(T$5)-YEAR($AA16))*12+MONTH(T$5)-MONTH($AA16))+1),$Z16)=0)*((((YEAR(T$5)-YEAR($AA16))*12+MONTH(T$5)-MONTH($AA16))+1)&gt;=0)*(EDATE($AA16,MAX(0,(((YEAR(T$5)-YEAR($AA16))*12+MONTH(T$5)-MONTH($AA16))+1)))&gt;=T$5)*(EDATE($AA16,MAX(0,(((YEAR(T$5)-YEAR($AA16))*12+MONTH(T$5)-MONTH($AA16))+1)))&lt;=MIN(T$5+6,$AB16)),($AA16&gt;=T$5)*($AA16&lt;=T$5+6))))</f>
        <v/>
      </c>
      <c r="U16" s="21">
        <f>IF($X16&lt;&gt;1,0,$D16*IF($Y16&gt;0,MAX(0,INT((MIN(U$5+6,$AB16)-$AA16)/$Y16)-MAX(0,-INT(($AA16-U$5)/$Y16))+1),IF($Z16&gt;0,(MOD(((YEAR(U$5)-YEAR($AA16))*12+MONTH(U$5)-MONTH($AA16)),$Z16)=0)*(((YEAR(U$5)-YEAR($AA16))*12+MONTH(U$5)-MONTH($AA16))&gt;=0)*(EDATE($AA16,MAX(0,((YEAR(U$5)-YEAR($AA16))*12+MONTH(U$5)-MONTH($AA16))))&gt;=U$5)*(EDATE($AA16,MAX(0,((YEAR(U$5)-YEAR($AA16))*12+MONTH(U$5)-MONTH($AA16))))&lt;=MIN(U$5+6,$AB16))+(MOD((((YEAR(U$5)-YEAR($AA16))*12+MONTH(U$5)-MONTH($AA16))+1),$Z16)=0)*((((YEAR(U$5)-YEAR($AA16))*12+MONTH(U$5)-MONTH($AA16))+1)&gt;=0)*(EDATE($AA16,MAX(0,(((YEAR(U$5)-YEAR($AA16))*12+MONTH(U$5)-MONTH($AA16))+1)))&gt;=U$5)*(EDATE($AA16,MAX(0,(((YEAR(U$5)-YEAR($AA16))*12+MONTH(U$5)-MONTH($AA16))+1)))&lt;=MIN(U$5+6,$AB16)),($AA16&gt;=U$5)*($AA16&lt;=U$5+6))))</f>
        <v/>
      </c>
      <c r="V16" s="21">
        <f>IF($X16&lt;&gt;1,0,$D16*IF($Y16&gt;0,MAX(0,INT((MIN(V$5+6,$AB16)-$AA16)/$Y16)-MAX(0,-INT(($AA16-V$5)/$Y16))+1),IF($Z16&gt;0,(MOD(((YEAR(V$5)-YEAR($AA16))*12+MONTH(V$5)-MONTH($AA16)),$Z16)=0)*(((YEAR(V$5)-YEAR($AA16))*12+MONTH(V$5)-MONTH($AA16))&gt;=0)*(EDATE($AA16,MAX(0,((YEAR(V$5)-YEAR($AA16))*12+MONTH(V$5)-MONTH($AA16))))&gt;=V$5)*(EDATE($AA16,MAX(0,((YEAR(V$5)-YEAR($AA16))*12+MONTH(V$5)-MONTH($AA16))))&lt;=MIN(V$5+6,$AB16))+(MOD((((YEAR(V$5)-YEAR($AA16))*12+MONTH(V$5)-MONTH($AA16))+1),$Z16)=0)*((((YEAR(V$5)-YEAR($AA16))*12+MONTH(V$5)-MONTH($AA16))+1)&gt;=0)*(EDATE($AA16,MAX(0,(((YEAR(V$5)-YEAR($AA16))*12+MONTH(V$5)-MONTH($AA16))+1)))&gt;=V$5)*(EDATE($AA16,MAX(0,(((YEAR(V$5)-YEAR($AA16))*12+MONTH(V$5)-MONTH($AA16))+1)))&lt;=MIN(V$5+6,$AB16)),($AA16&gt;=V$5)*($AA16&lt;=V$5+6))))</f>
        <v/>
      </c>
      <c r="W16" s="21">
        <f>IF($X16&lt;&gt;1,0,$D16*IF($Y16&gt;0,MAX(0,INT((MIN(W$5+6,$AB16)-$AA16)/$Y16)-MAX(0,-INT(($AA16-W$5)/$Y16))+1),IF($Z16&gt;0,(MOD(((YEAR(W$5)-YEAR($AA16))*12+MONTH(W$5)-MONTH($AA16)),$Z16)=0)*(((YEAR(W$5)-YEAR($AA16))*12+MONTH(W$5)-MONTH($AA16))&gt;=0)*(EDATE($AA16,MAX(0,((YEAR(W$5)-YEAR($AA16))*12+MONTH(W$5)-MONTH($AA16))))&gt;=W$5)*(EDATE($AA16,MAX(0,((YEAR(W$5)-YEAR($AA16))*12+MONTH(W$5)-MONTH($AA16))))&lt;=MIN(W$5+6,$AB16))+(MOD((((YEAR(W$5)-YEAR($AA16))*12+MONTH(W$5)-MONTH($AA16))+1),$Z16)=0)*((((YEAR(W$5)-YEAR($AA16))*12+MONTH(W$5)-MONTH($AA16))+1)&gt;=0)*(EDATE($AA16,MAX(0,(((YEAR(W$5)-YEAR($AA16))*12+MONTH(W$5)-MONTH($AA16))+1)))&gt;=W$5)*(EDATE($AA16,MAX(0,(((YEAR(W$5)-YEAR($AA16))*12+MONTH(W$5)-MONTH($AA16))+1)))&lt;=MIN(W$5+6,$AB16)),($AA16&gt;=W$5)*($AA16&lt;=W$5+6))))</f>
        <v/>
      </c>
      <c r="X16">
        <f>IF(COUNTA(A16:G16)=0,"",IF(AND(OR(B16="In",B16="Out"),ISNUMBER(D16),D16&gt;0,ISNUMBER(MATCH(E16,FreqName,0)),ISNUMBER(F16),OR(G16="",AND(ISNUMBER(G16),G16&gt;=F16))),1,0))</f>
        <v/>
      </c>
      <c r="Y16">
        <f>IF(X16&lt;&gt;1,0,INDEX(FreqDays,MATCH(E16,FreqName,0)))</f>
        <v/>
      </c>
      <c r="Z16">
        <f>IF(X16&lt;&gt;1,0,INDEX(FreqMonths,MATCH(E16,FreqName,0)))</f>
        <v/>
      </c>
      <c r="AA16">
        <f>IF(X16&lt;&gt;1,0,INT(F16))</f>
        <v/>
      </c>
      <c r="AB16">
        <f>IF(X16&lt;&gt;1,0,IF(ISNUMBER(G16),INT(G16),2958465))</f>
        <v/>
      </c>
    </row>
    <row r="17">
      <c r="A17" s="29" t="n"/>
      <c r="B17" s="29" t="n"/>
      <c r="C17" s="29" t="n"/>
      <c r="D17" s="34" t="n"/>
      <c r="E17" s="29" t="n"/>
      <c r="F17" s="24" t="n"/>
      <c r="G17" s="24" t="n"/>
      <c r="H17" s="10">
        <f>IF(X17="","",IF(X17=0,IF(AND(B17&lt;&gt;"In",B17&lt;&gt;"Out"),"Fix: choose In or Out",IF(OR(NOT(ISNUMBER(D17)),N(D17)&lt;=0),"Fix: amount must be a number above 0",IF(NOT(ISNUMBER(MATCH(E17,FreqName,0))),"Fix: choose a frequency",IF(NOT(ISNUMBER(F17)),"Fix: first date missing","Fix: end date must be a date on or after the first date")))),IF(AND(C17&lt;&gt;"",OR(AND(B17="In",ISNUMBER(MATCH(C17,InCats,0))),AND(B17="Out",ISNUMBER(MATCH(C17,OutCats,0))))),"OK","Category not on Settings (counted as Other)")))</f>
        <v/>
      </c>
      <c r="I17" s="35">
        <f>IF(X17&lt;&gt;1,"",ROUND(J17/D17,0))</f>
        <v/>
      </c>
      <c r="J17" s="36">
        <f>SUM(K17:W17)</f>
        <v/>
      </c>
      <c r="K17" s="21">
        <f>IF($X17&lt;&gt;1,0,$D17*IF($Y17&gt;0,MAX(0,INT((MIN(K$5+6,$AB17)-$AA17)/$Y17)-MAX(0,-INT(($AA17-K$5)/$Y17))+1),IF($Z17&gt;0,(MOD(((YEAR(K$5)-YEAR($AA17))*12+MONTH(K$5)-MONTH($AA17)),$Z17)=0)*(((YEAR(K$5)-YEAR($AA17))*12+MONTH(K$5)-MONTH($AA17))&gt;=0)*(EDATE($AA17,MAX(0,((YEAR(K$5)-YEAR($AA17))*12+MONTH(K$5)-MONTH($AA17))))&gt;=K$5)*(EDATE($AA17,MAX(0,((YEAR(K$5)-YEAR($AA17))*12+MONTH(K$5)-MONTH($AA17))))&lt;=MIN(K$5+6,$AB17))+(MOD((((YEAR(K$5)-YEAR($AA17))*12+MONTH(K$5)-MONTH($AA17))+1),$Z17)=0)*((((YEAR(K$5)-YEAR($AA17))*12+MONTH(K$5)-MONTH($AA17))+1)&gt;=0)*(EDATE($AA17,MAX(0,(((YEAR(K$5)-YEAR($AA17))*12+MONTH(K$5)-MONTH($AA17))+1)))&gt;=K$5)*(EDATE($AA17,MAX(0,(((YEAR(K$5)-YEAR($AA17))*12+MONTH(K$5)-MONTH($AA17))+1)))&lt;=MIN(K$5+6,$AB17)),($AA17&gt;=K$5)*($AA17&lt;=K$5+6))))</f>
        <v/>
      </c>
      <c r="L17" s="21">
        <f>IF($X17&lt;&gt;1,0,$D17*IF($Y17&gt;0,MAX(0,INT((MIN(L$5+6,$AB17)-$AA17)/$Y17)-MAX(0,-INT(($AA17-L$5)/$Y17))+1),IF($Z17&gt;0,(MOD(((YEAR(L$5)-YEAR($AA17))*12+MONTH(L$5)-MONTH($AA17)),$Z17)=0)*(((YEAR(L$5)-YEAR($AA17))*12+MONTH(L$5)-MONTH($AA17))&gt;=0)*(EDATE($AA17,MAX(0,((YEAR(L$5)-YEAR($AA17))*12+MONTH(L$5)-MONTH($AA17))))&gt;=L$5)*(EDATE($AA17,MAX(0,((YEAR(L$5)-YEAR($AA17))*12+MONTH(L$5)-MONTH($AA17))))&lt;=MIN(L$5+6,$AB17))+(MOD((((YEAR(L$5)-YEAR($AA17))*12+MONTH(L$5)-MONTH($AA17))+1),$Z17)=0)*((((YEAR(L$5)-YEAR($AA17))*12+MONTH(L$5)-MONTH($AA17))+1)&gt;=0)*(EDATE($AA17,MAX(0,(((YEAR(L$5)-YEAR($AA17))*12+MONTH(L$5)-MONTH($AA17))+1)))&gt;=L$5)*(EDATE($AA17,MAX(0,(((YEAR(L$5)-YEAR($AA17))*12+MONTH(L$5)-MONTH($AA17))+1)))&lt;=MIN(L$5+6,$AB17)),($AA17&gt;=L$5)*($AA17&lt;=L$5+6))))</f>
        <v/>
      </c>
      <c r="M17" s="21">
        <f>IF($X17&lt;&gt;1,0,$D17*IF($Y17&gt;0,MAX(0,INT((MIN(M$5+6,$AB17)-$AA17)/$Y17)-MAX(0,-INT(($AA17-M$5)/$Y17))+1),IF($Z17&gt;0,(MOD(((YEAR(M$5)-YEAR($AA17))*12+MONTH(M$5)-MONTH($AA17)),$Z17)=0)*(((YEAR(M$5)-YEAR($AA17))*12+MONTH(M$5)-MONTH($AA17))&gt;=0)*(EDATE($AA17,MAX(0,((YEAR(M$5)-YEAR($AA17))*12+MONTH(M$5)-MONTH($AA17))))&gt;=M$5)*(EDATE($AA17,MAX(0,((YEAR(M$5)-YEAR($AA17))*12+MONTH(M$5)-MONTH($AA17))))&lt;=MIN(M$5+6,$AB17))+(MOD((((YEAR(M$5)-YEAR($AA17))*12+MONTH(M$5)-MONTH($AA17))+1),$Z17)=0)*((((YEAR(M$5)-YEAR($AA17))*12+MONTH(M$5)-MONTH($AA17))+1)&gt;=0)*(EDATE($AA17,MAX(0,(((YEAR(M$5)-YEAR($AA17))*12+MONTH(M$5)-MONTH($AA17))+1)))&gt;=M$5)*(EDATE($AA17,MAX(0,(((YEAR(M$5)-YEAR($AA17))*12+MONTH(M$5)-MONTH($AA17))+1)))&lt;=MIN(M$5+6,$AB17)),($AA17&gt;=M$5)*($AA17&lt;=M$5+6))))</f>
        <v/>
      </c>
      <c r="N17" s="21">
        <f>IF($X17&lt;&gt;1,0,$D17*IF($Y17&gt;0,MAX(0,INT((MIN(N$5+6,$AB17)-$AA17)/$Y17)-MAX(0,-INT(($AA17-N$5)/$Y17))+1),IF($Z17&gt;0,(MOD(((YEAR(N$5)-YEAR($AA17))*12+MONTH(N$5)-MONTH($AA17)),$Z17)=0)*(((YEAR(N$5)-YEAR($AA17))*12+MONTH(N$5)-MONTH($AA17))&gt;=0)*(EDATE($AA17,MAX(0,((YEAR(N$5)-YEAR($AA17))*12+MONTH(N$5)-MONTH($AA17))))&gt;=N$5)*(EDATE($AA17,MAX(0,((YEAR(N$5)-YEAR($AA17))*12+MONTH(N$5)-MONTH($AA17))))&lt;=MIN(N$5+6,$AB17))+(MOD((((YEAR(N$5)-YEAR($AA17))*12+MONTH(N$5)-MONTH($AA17))+1),$Z17)=0)*((((YEAR(N$5)-YEAR($AA17))*12+MONTH(N$5)-MONTH($AA17))+1)&gt;=0)*(EDATE($AA17,MAX(0,(((YEAR(N$5)-YEAR($AA17))*12+MONTH(N$5)-MONTH($AA17))+1)))&gt;=N$5)*(EDATE($AA17,MAX(0,(((YEAR(N$5)-YEAR($AA17))*12+MONTH(N$5)-MONTH($AA17))+1)))&lt;=MIN(N$5+6,$AB17)),($AA17&gt;=N$5)*($AA17&lt;=N$5+6))))</f>
        <v/>
      </c>
      <c r="O17" s="21">
        <f>IF($X17&lt;&gt;1,0,$D17*IF($Y17&gt;0,MAX(0,INT((MIN(O$5+6,$AB17)-$AA17)/$Y17)-MAX(0,-INT(($AA17-O$5)/$Y17))+1),IF($Z17&gt;0,(MOD(((YEAR(O$5)-YEAR($AA17))*12+MONTH(O$5)-MONTH($AA17)),$Z17)=0)*(((YEAR(O$5)-YEAR($AA17))*12+MONTH(O$5)-MONTH($AA17))&gt;=0)*(EDATE($AA17,MAX(0,((YEAR(O$5)-YEAR($AA17))*12+MONTH(O$5)-MONTH($AA17))))&gt;=O$5)*(EDATE($AA17,MAX(0,((YEAR(O$5)-YEAR($AA17))*12+MONTH(O$5)-MONTH($AA17))))&lt;=MIN(O$5+6,$AB17))+(MOD((((YEAR(O$5)-YEAR($AA17))*12+MONTH(O$5)-MONTH($AA17))+1),$Z17)=0)*((((YEAR(O$5)-YEAR($AA17))*12+MONTH(O$5)-MONTH($AA17))+1)&gt;=0)*(EDATE($AA17,MAX(0,(((YEAR(O$5)-YEAR($AA17))*12+MONTH(O$5)-MONTH($AA17))+1)))&gt;=O$5)*(EDATE($AA17,MAX(0,(((YEAR(O$5)-YEAR($AA17))*12+MONTH(O$5)-MONTH($AA17))+1)))&lt;=MIN(O$5+6,$AB17)),($AA17&gt;=O$5)*($AA17&lt;=O$5+6))))</f>
        <v/>
      </c>
      <c r="P17" s="21">
        <f>IF($X17&lt;&gt;1,0,$D17*IF($Y17&gt;0,MAX(0,INT((MIN(P$5+6,$AB17)-$AA17)/$Y17)-MAX(0,-INT(($AA17-P$5)/$Y17))+1),IF($Z17&gt;0,(MOD(((YEAR(P$5)-YEAR($AA17))*12+MONTH(P$5)-MONTH($AA17)),$Z17)=0)*(((YEAR(P$5)-YEAR($AA17))*12+MONTH(P$5)-MONTH($AA17))&gt;=0)*(EDATE($AA17,MAX(0,((YEAR(P$5)-YEAR($AA17))*12+MONTH(P$5)-MONTH($AA17))))&gt;=P$5)*(EDATE($AA17,MAX(0,((YEAR(P$5)-YEAR($AA17))*12+MONTH(P$5)-MONTH($AA17))))&lt;=MIN(P$5+6,$AB17))+(MOD((((YEAR(P$5)-YEAR($AA17))*12+MONTH(P$5)-MONTH($AA17))+1),$Z17)=0)*((((YEAR(P$5)-YEAR($AA17))*12+MONTH(P$5)-MONTH($AA17))+1)&gt;=0)*(EDATE($AA17,MAX(0,(((YEAR(P$5)-YEAR($AA17))*12+MONTH(P$5)-MONTH($AA17))+1)))&gt;=P$5)*(EDATE($AA17,MAX(0,(((YEAR(P$5)-YEAR($AA17))*12+MONTH(P$5)-MONTH($AA17))+1)))&lt;=MIN(P$5+6,$AB17)),($AA17&gt;=P$5)*($AA17&lt;=P$5+6))))</f>
        <v/>
      </c>
      <c r="Q17" s="21">
        <f>IF($X17&lt;&gt;1,0,$D17*IF($Y17&gt;0,MAX(0,INT((MIN(Q$5+6,$AB17)-$AA17)/$Y17)-MAX(0,-INT(($AA17-Q$5)/$Y17))+1),IF($Z17&gt;0,(MOD(((YEAR(Q$5)-YEAR($AA17))*12+MONTH(Q$5)-MONTH($AA17)),$Z17)=0)*(((YEAR(Q$5)-YEAR($AA17))*12+MONTH(Q$5)-MONTH($AA17))&gt;=0)*(EDATE($AA17,MAX(0,((YEAR(Q$5)-YEAR($AA17))*12+MONTH(Q$5)-MONTH($AA17))))&gt;=Q$5)*(EDATE($AA17,MAX(0,((YEAR(Q$5)-YEAR($AA17))*12+MONTH(Q$5)-MONTH($AA17))))&lt;=MIN(Q$5+6,$AB17))+(MOD((((YEAR(Q$5)-YEAR($AA17))*12+MONTH(Q$5)-MONTH($AA17))+1),$Z17)=0)*((((YEAR(Q$5)-YEAR($AA17))*12+MONTH(Q$5)-MONTH($AA17))+1)&gt;=0)*(EDATE($AA17,MAX(0,(((YEAR(Q$5)-YEAR($AA17))*12+MONTH(Q$5)-MONTH($AA17))+1)))&gt;=Q$5)*(EDATE($AA17,MAX(0,(((YEAR(Q$5)-YEAR($AA17))*12+MONTH(Q$5)-MONTH($AA17))+1)))&lt;=MIN(Q$5+6,$AB17)),($AA17&gt;=Q$5)*($AA17&lt;=Q$5+6))))</f>
        <v/>
      </c>
      <c r="R17" s="21">
        <f>IF($X17&lt;&gt;1,0,$D17*IF($Y17&gt;0,MAX(0,INT((MIN(R$5+6,$AB17)-$AA17)/$Y17)-MAX(0,-INT(($AA17-R$5)/$Y17))+1),IF($Z17&gt;0,(MOD(((YEAR(R$5)-YEAR($AA17))*12+MONTH(R$5)-MONTH($AA17)),$Z17)=0)*(((YEAR(R$5)-YEAR($AA17))*12+MONTH(R$5)-MONTH($AA17))&gt;=0)*(EDATE($AA17,MAX(0,((YEAR(R$5)-YEAR($AA17))*12+MONTH(R$5)-MONTH($AA17))))&gt;=R$5)*(EDATE($AA17,MAX(0,((YEAR(R$5)-YEAR($AA17))*12+MONTH(R$5)-MONTH($AA17))))&lt;=MIN(R$5+6,$AB17))+(MOD((((YEAR(R$5)-YEAR($AA17))*12+MONTH(R$5)-MONTH($AA17))+1),$Z17)=0)*((((YEAR(R$5)-YEAR($AA17))*12+MONTH(R$5)-MONTH($AA17))+1)&gt;=0)*(EDATE($AA17,MAX(0,(((YEAR(R$5)-YEAR($AA17))*12+MONTH(R$5)-MONTH($AA17))+1)))&gt;=R$5)*(EDATE($AA17,MAX(0,(((YEAR(R$5)-YEAR($AA17))*12+MONTH(R$5)-MONTH($AA17))+1)))&lt;=MIN(R$5+6,$AB17)),($AA17&gt;=R$5)*($AA17&lt;=R$5+6))))</f>
        <v/>
      </c>
      <c r="S17" s="21">
        <f>IF($X17&lt;&gt;1,0,$D17*IF($Y17&gt;0,MAX(0,INT((MIN(S$5+6,$AB17)-$AA17)/$Y17)-MAX(0,-INT(($AA17-S$5)/$Y17))+1),IF($Z17&gt;0,(MOD(((YEAR(S$5)-YEAR($AA17))*12+MONTH(S$5)-MONTH($AA17)),$Z17)=0)*(((YEAR(S$5)-YEAR($AA17))*12+MONTH(S$5)-MONTH($AA17))&gt;=0)*(EDATE($AA17,MAX(0,((YEAR(S$5)-YEAR($AA17))*12+MONTH(S$5)-MONTH($AA17))))&gt;=S$5)*(EDATE($AA17,MAX(0,((YEAR(S$5)-YEAR($AA17))*12+MONTH(S$5)-MONTH($AA17))))&lt;=MIN(S$5+6,$AB17))+(MOD((((YEAR(S$5)-YEAR($AA17))*12+MONTH(S$5)-MONTH($AA17))+1),$Z17)=0)*((((YEAR(S$5)-YEAR($AA17))*12+MONTH(S$5)-MONTH($AA17))+1)&gt;=0)*(EDATE($AA17,MAX(0,(((YEAR(S$5)-YEAR($AA17))*12+MONTH(S$5)-MONTH($AA17))+1)))&gt;=S$5)*(EDATE($AA17,MAX(0,(((YEAR(S$5)-YEAR($AA17))*12+MONTH(S$5)-MONTH($AA17))+1)))&lt;=MIN(S$5+6,$AB17)),($AA17&gt;=S$5)*($AA17&lt;=S$5+6))))</f>
        <v/>
      </c>
      <c r="T17" s="21">
        <f>IF($X17&lt;&gt;1,0,$D17*IF($Y17&gt;0,MAX(0,INT((MIN(T$5+6,$AB17)-$AA17)/$Y17)-MAX(0,-INT(($AA17-T$5)/$Y17))+1),IF($Z17&gt;0,(MOD(((YEAR(T$5)-YEAR($AA17))*12+MONTH(T$5)-MONTH($AA17)),$Z17)=0)*(((YEAR(T$5)-YEAR($AA17))*12+MONTH(T$5)-MONTH($AA17))&gt;=0)*(EDATE($AA17,MAX(0,((YEAR(T$5)-YEAR($AA17))*12+MONTH(T$5)-MONTH($AA17))))&gt;=T$5)*(EDATE($AA17,MAX(0,((YEAR(T$5)-YEAR($AA17))*12+MONTH(T$5)-MONTH($AA17))))&lt;=MIN(T$5+6,$AB17))+(MOD((((YEAR(T$5)-YEAR($AA17))*12+MONTH(T$5)-MONTH($AA17))+1),$Z17)=0)*((((YEAR(T$5)-YEAR($AA17))*12+MONTH(T$5)-MONTH($AA17))+1)&gt;=0)*(EDATE($AA17,MAX(0,(((YEAR(T$5)-YEAR($AA17))*12+MONTH(T$5)-MONTH($AA17))+1)))&gt;=T$5)*(EDATE($AA17,MAX(0,(((YEAR(T$5)-YEAR($AA17))*12+MONTH(T$5)-MONTH($AA17))+1)))&lt;=MIN(T$5+6,$AB17)),($AA17&gt;=T$5)*($AA17&lt;=T$5+6))))</f>
        <v/>
      </c>
      <c r="U17" s="21">
        <f>IF($X17&lt;&gt;1,0,$D17*IF($Y17&gt;0,MAX(0,INT((MIN(U$5+6,$AB17)-$AA17)/$Y17)-MAX(0,-INT(($AA17-U$5)/$Y17))+1),IF($Z17&gt;0,(MOD(((YEAR(U$5)-YEAR($AA17))*12+MONTH(U$5)-MONTH($AA17)),$Z17)=0)*(((YEAR(U$5)-YEAR($AA17))*12+MONTH(U$5)-MONTH($AA17))&gt;=0)*(EDATE($AA17,MAX(0,((YEAR(U$5)-YEAR($AA17))*12+MONTH(U$5)-MONTH($AA17))))&gt;=U$5)*(EDATE($AA17,MAX(0,((YEAR(U$5)-YEAR($AA17))*12+MONTH(U$5)-MONTH($AA17))))&lt;=MIN(U$5+6,$AB17))+(MOD((((YEAR(U$5)-YEAR($AA17))*12+MONTH(U$5)-MONTH($AA17))+1),$Z17)=0)*((((YEAR(U$5)-YEAR($AA17))*12+MONTH(U$5)-MONTH($AA17))+1)&gt;=0)*(EDATE($AA17,MAX(0,(((YEAR(U$5)-YEAR($AA17))*12+MONTH(U$5)-MONTH($AA17))+1)))&gt;=U$5)*(EDATE($AA17,MAX(0,(((YEAR(U$5)-YEAR($AA17))*12+MONTH(U$5)-MONTH($AA17))+1)))&lt;=MIN(U$5+6,$AB17)),($AA17&gt;=U$5)*($AA17&lt;=U$5+6))))</f>
        <v/>
      </c>
      <c r="V17" s="21">
        <f>IF($X17&lt;&gt;1,0,$D17*IF($Y17&gt;0,MAX(0,INT((MIN(V$5+6,$AB17)-$AA17)/$Y17)-MAX(0,-INT(($AA17-V$5)/$Y17))+1),IF($Z17&gt;0,(MOD(((YEAR(V$5)-YEAR($AA17))*12+MONTH(V$5)-MONTH($AA17)),$Z17)=0)*(((YEAR(V$5)-YEAR($AA17))*12+MONTH(V$5)-MONTH($AA17))&gt;=0)*(EDATE($AA17,MAX(0,((YEAR(V$5)-YEAR($AA17))*12+MONTH(V$5)-MONTH($AA17))))&gt;=V$5)*(EDATE($AA17,MAX(0,((YEAR(V$5)-YEAR($AA17))*12+MONTH(V$5)-MONTH($AA17))))&lt;=MIN(V$5+6,$AB17))+(MOD((((YEAR(V$5)-YEAR($AA17))*12+MONTH(V$5)-MONTH($AA17))+1),$Z17)=0)*((((YEAR(V$5)-YEAR($AA17))*12+MONTH(V$5)-MONTH($AA17))+1)&gt;=0)*(EDATE($AA17,MAX(0,(((YEAR(V$5)-YEAR($AA17))*12+MONTH(V$5)-MONTH($AA17))+1)))&gt;=V$5)*(EDATE($AA17,MAX(0,(((YEAR(V$5)-YEAR($AA17))*12+MONTH(V$5)-MONTH($AA17))+1)))&lt;=MIN(V$5+6,$AB17)),($AA17&gt;=V$5)*($AA17&lt;=V$5+6))))</f>
        <v/>
      </c>
      <c r="W17" s="21">
        <f>IF($X17&lt;&gt;1,0,$D17*IF($Y17&gt;0,MAX(0,INT((MIN(W$5+6,$AB17)-$AA17)/$Y17)-MAX(0,-INT(($AA17-W$5)/$Y17))+1),IF($Z17&gt;0,(MOD(((YEAR(W$5)-YEAR($AA17))*12+MONTH(W$5)-MONTH($AA17)),$Z17)=0)*(((YEAR(W$5)-YEAR($AA17))*12+MONTH(W$5)-MONTH($AA17))&gt;=0)*(EDATE($AA17,MAX(0,((YEAR(W$5)-YEAR($AA17))*12+MONTH(W$5)-MONTH($AA17))))&gt;=W$5)*(EDATE($AA17,MAX(0,((YEAR(W$5)-YEAR($AA17))*12+MONTH(W$5)-MONTH($AA17))))&lt;=MIN(W$5+6,$AB17))+(MOD((((YEAR(W$5)-YEAR($AA17))*12+MONTH(W$5)-MONTH($AA17))+1),$Z17)=0)*((((YEAR(W$5)-YEAR($AA17))*12+MONTH(W$5)-MONTH($AA17))+1)&gt;=0)*(EDATE($AA17,MAX(0,(((YEAR(W$5)-YEAR($AA17))*12+MONTH(W$5)-MONTH($AA17))+1)))&gt;=W$5)*(EDATE($AA17,MAX(0,(((YEAR(W$5)-YEAR($AA17))*12+MONTH(W$5)-MONTH($AA17))+1)))&lt;=MIN(W$5+6,$AB17)),($AA17&gt;=W$5)*($AA17&lt;=W$5+6))))</f>
        <v/>
      </c>
      <c r="X17">
        <f>IF(COUNTA(A17:G17)=0,"",IF(AND(OR(B17="In",B17="Out"),ISNUMBER(D17),D17&gt;0,ISNUMBER(MATCH(E17,FreqName,0)),ISNUMBER(F17),OR(G17="",AND(ISNUMBER(G17),G17&gt;=F17))),1,0))</f>
        <v/>
      </c>
      <c r="Y17">
        <f>IF(X17&lt;&gt;1,0,INDEX(FreqDays,MATCH(E17,FreqName,0)))</f>
        <v/>
      </c>
      <c r="Z17">
        <f>IF(X17&lt;&gt;1,0,INDEX(FreqMonths,MATCH(E17,FreqName,0)))</f>
        <v/>
      </c>
      <c r="AA17">
        <f>IF(X17&lt;&gt;1,0,INT(F17))</f>
        <v/>
      </c>
      <c r="AB17">
        <f>IF(X17&lt;&gt;1,0,IF(ISNUMBER(G17),INT(G17),2958465))</f>
        <v/>
      </c>
    </row>
    <row r="18">
      <c r="A18" s="29" t="n"/>
      <c r="B18" s="29" t="n"/>
      <c r="C18" s="29" t="n"/>
      <c r="D18" s="34" t="n"/>
      <c r="E18" s="29" t="n"/>
      <c r="F18" s="24" t="n"/>
      <c r="G18" s="24" t="n"/>
      <c r="H18" s="10">
        <f>IF(X18="","",IF(X18=0,IF(AND(B18&lt;&gt;"In",B18&lt;&gt;"Out"),"Fix: choose In or Out",IF(OR(NOT(ISNUMBER(D18)),N(D18)&lt;=0),"Fix: amount must be a number above 0",IF(NOT(ISNUMBER(MATCH(E18,FreqName,0))),"Fix: choose a frequency",IF(NOT(ISNUMBER(F18)),"Fix: first date missing","Fix: end date must be a date on or after the first date")))),IF(AND(C18&lt;&gt;"",OR(AND(B18="In",ISNUMBER(MATCH(C18,InCats,0))),AND(B18="Out",ISNUMBER(MATCH(C18,OutCats,0))))),"OK","Category not on Settings (counted as Other)")))</f>
        <v/>
      </c>
      <c r="I18" s="35">
        <f>IF(X18&lt;&gt;1,"",ROUND(J18/D18,0))</f>
        <v/>
      </c>
      <c r="J18" s="36">
        <f>SUM(K18:W18)</f>
        <v/>
      </c>
      <c r="K18" s="21">
        <f>IF($X18&lt;&gt;1,0,$D18*IF($Y18&gt;0,MAX(0,INT((MIN(K$5+6,$AB18)-$AA18)/$Y18)-MAX(0,-INT(($AA18-K$5)/$Y18))+1),IF($Z18&gt;0,(MOD(((YEAR(K$5)-YEAR($AA18))*12+MONTH(K$5)-MONTH($AA18)),$Z18)=0)*(((YEAR(K$5)-YEAR($AA18))*12+MONTH(K$5)-MONTH($AA18))&gt;=0)*(EDATE($AA18,MAX(0,((YEAR(K$5)-YEAR($AA18))*12+MONTH(K$5)-MONTH($AA18))))&gt;=K$5)*(EDATE($AA18,MAX(0,((YEAR(K$5)-YEAR($AA18))*12+MONTH(K$5)-MONTH($AA18))))&lt;=MIN(K$5+6,$AB18))+(MOD((((YEAR(K$5)-YEAR($AA18))*12+MONTH(K$5)-MONTH($AA18))+1),$Z18)=0)*((((YEAR(K$5)-YEAR($AA18))*12+MONTH(K$5)-MONTH($AA18))+1)&gt;=0)*(EDATE($AA18,MAX(0,(((YEAR(K$5)-YEAR($AA18))*12+MONTH(K$5)-MONTH($AA18))+1)))&gt;=K$5)*(EDATE($AA18,MAX(0,(((YEAR(K$5)-YEAR($AA18))*12+MONTH(K$5)-MONTH($AA18))+1)))&lt;=MIN(K$5+6,$AB18)),($AA18&gt;=K$5)*($AA18&lt;=K$5+6))))</f>
        <v/>
      </c>
      <c r="L18" s="21">
        <f>IF($X18&lt;&gt;1,0,$D18*IF($Y18&gt;0,MAX(0,INT((MIN(L$5+6,$AB18)-$AA18)/$Y18)-MAX(0,-INT(($AA18-L$5)/$Y18))+1),IF($Z18&gt;0,(MOD(((YEAR(L$5)-YEAR($AA18))*12+MONTH(L$5)-MONTH($AA18)),$Z18)=0)*(((YEAR(L$5)-YEAR($AA18))*12+MONTH(L$5)-MONTH($AA18))&gt;=0)*(EDATE($AA18,MAX(0,((YEAR(L$5)-YEAR($AA18))*12+MONTH(L$5)-MONTH($AA18))))&gt;=L$5)*(EDATE($AA18,MAX(0,((YEAR(L$5)-YEAR($AA18))*12+MONTH(L$5)-MONTH($AA18))))&lt;=MIN(L$5+6,$AB18))+(MOD((((YEAR(L$5)-YEAR($AA18))*12+MONTH(L$5)-MONTH($AA18))+1),$Z18)=0)*((((YEAR(L$5)-YEAR($AA18))*12+MONTH(L$5)-MONTH($AA18))+1)&gt;=0)*(EDATE($AA18,MAX(0,(((YEAR(L$5)-YEAR($AA18))*12+MONTH(L$5)-MONTH($AA18))+1)))&gt;=L$5)*(EDATE($AA18,MAX(0,(((YEAR(L$5)-YEAR($AA18))*12+MONTH(L$5)-MONTH($AA18))+1)))&lt;=MIN(L$5+6,$AB18)),($AA18&gt;=L$5)*($AA18&lt;=L$5+6))))</f>
        <v/>
      </c>
      <c r="M18" s="21">
        <f>IF($X18&lt;&gt;1,0,$D18*IF($Y18&gt;0,MAX(0,INT((MIN(M$5+6,$AB18)-$AA18)/$Y18)-MAX(0,-INT(($AA18-M$5)/$Y18))+1),IF($Z18&gt;0,(MOD(((YEAR(M$5)-YEAR($AA18))*12+MONTH(M$5)-MONTH($AA18)),$Z18)=0)*(((YEAR(M$5)-YEAR($AA18))*12+MONTH(M$5)-MONTH($AA18))&gt;=0)*(EDATE($AA18,MAX(0,((YEAR(M$5)-YEAR($AA18))*12+MONTH(M$5)-MONTH($AA18))))&gt;=M$5)*(EDATE($AA18,MAX(0,((YEAR(M$5)-YEAR($AA18))*12+MONTH(M$5)-MONTH($AA18))))&lt;=MIN(M$5+6,$AB18))+(MOD((((YEAR(M$5)-YEAR($AA18))*12+MONTH(M$5)-MONTH($AA18))+1),$Z18)=0)*((((YEAR(M$5)-YEAR($AA18))*12+MONTH(M$5)-MONTH($AA18))+1)&gt;=0)*(EDATE($AA18,MAX(0,(((YEAR(M$5)-YEAR($AA18))*12+MONTH(M$5)-MONTH($AA18))+1)))&gt;=M$5)*(EDATE($AA18,MAX(0,(((YEAR(M$5)-YEAR($AA18))*12+MONTH(M$5)-MONTH($AA18))+1)))&lt;=MIN(M$5+6,$AB18)),($AA18&gt;=M$5)*($AA18&lt;=M$5+6))))</f>
        <v/>
      </c>
      <c r="N18" s="21">
        <f>IF($X18&lt;&gt;1,0,$D18*IF($Y18&gt;0,MAX(0,INT((MIN(N$5+6,$AB18)-$AA18)/$Y18)-MAX(0,-INT(($AA18-N$5)/$Y18))+1),IF($Z18&gt;0,(MOD(((YEAR(N$5)-YEAR($AA18))*12+MONTH(N$5)-MONTH($AA18)),$Z18)=0)*(((YEAR(N$5)-YEAR($AA18))*12+MONTH(N$5)-MONTH($AA18))&gt;=0)*(EDATE($AA18,MAX(0,((YEAR(N$5)-YEAR($AA18))*12+MONTH(N$5)-MONTH($AA18))))&gt;=N$5)*(EDATE($AA18,MAX(0,((YEAR(N$5)-YEAR($AA18))*12+MONTH(N$5)-MONTH($AA18))))&lt;=MIN(N$5+6,$AB18))+(MOD((((YEAR(N$5)-YEAR($AA18))*12+MONTH(N$5)-MONTH($AA18))+1),$Z18)=0)*((((YEAR(N$5)-YEAR($AA18))*12+MONTH(N$5)-MONTH($AA18))+1)&gt;=0)*(EDATE($AA18,MAX(0,(((YEAR(N$5)-YEAR($AA18))*12+MONTH(N$5)-MONTH($AA18))+1)))&gt;=N$5)*(EDATE($AA18,MAX(0,(((YEAR(N$5)-YEAR($AA18))*12+MONTH(N$5)-MONTH($AA18))+1)))&lt;=MIN(N$5+6,$AB18)),($AA18&gt;=N$5)*($AA18&lt;=N$5+6))))</f>
        <v/>
      </c>
      <c r="O18" s="21">
        <f>IF($X18&lt;&gt;1,0,$D18*IF($Y18&gt;0,MAX(0,INT((MIN(O$5+6,$AB18)-$AA18)/$Y18)-MAX(0,-INT(($AA18-O$5)/$Y18))+1),IF($Z18&gt;0,(MOD(((YEAR(O$5)-YEAR($AA18))*12+MONTH(O$5)-MONTH($AA18)),$Z18)=0)*(((YEAR(O$5)-YEAR($AA18))*12+MONTH(O$5)-MONTH($AA18))&gt;=0)*(EDATE($AA18,MAX(0,((YEAR(O$5)-YEAR($AA18))*12+MONTH(O$5)-MONTH($AA18))))&gt;=O$5)*(EDATE($AA18,MAX(0,((YEAR(O$5)-YEAR($AA18))*12+MONTH(O$5)-MONTH($AA18))))&lt;=MIN(O$5+6,$AB18))+(MOD((((YEAR(O$5)-YEAR($AA18))*12+MONTH(O$5)-MONTH($AA18))+1),$Z18)=0)*((((YEAR(O$5)-YEAR($AA18))*12+MONTH(O$5)-MONTH($AA18))+1)&gt;=0)*(EDATE($AA18,MAX(0,(((YEAR(O$5)-YEAR($AA18))*12+MONTH(O$5)-MONTH($AA18))+1)))&gt;=O$5)*(EDATE($AA18,MAX(0,(((YEAR(O$5)-YEAR($AA18))*12+MONTH(O$5)-MONTH($AA18))+1)))&lt;=MIN(O$5+6,$AB18)),($AA18&gt;=O$5)*($AA18&lt;=O$5+6))))</f>
        <v/>
      </c>
      <c r="P18" s="21">
        <f>IF($X18&lt;&gt;1,0,$D18*IF($Y18&gt;0,MAX(0,INT((MIN(P$5+6,$AB18)-$AA18)/$Y18)-MAX(0,-INT(($AA18-P$5)/$Y18))+1),IF($Z18&gt;0,(MOD(((YEAR(P$5)-YEAR($AA18))*12+MONTH(P$5)-MONTH($AA18)),$Z18)=0)*(((YEAR(P$5)-YEAR($AA18))*12+MONTH(P$5)-MONTH($AA18))&gt;=0)*(EDATE($AA18,MAX(0,((YEAR(P$5)-YEAR($AA18))*12+MONTH(P$5)-MONTH($AA18))))&gt;=P$5)*(EDATE($AA18,MAX(0,((YEAR(P$5)-YEAR($AA18))*12+MONTH(P$5)-MONTH($AA18))))&lt;=MIN(P$5+6,$AB18))+(MOD((((YEAR(P$5)-YEAR($AA18))*12+MONTH(P$5)-MONTH($AA18))+1),$Z18)=0)*((((YEAR(P$5)-YEAR($AA18))*12+MONTH(P$5)-MONTH($AA18))+1)&gt;=0)*(EDATE($AA18,MAX(0,(((YEAR(P$5)-YEAR($AA18))*12+MONTH(P$5)-MONTH($AA18))+1)))&gt;=P$5)*(EDATE($AA18,MAX(0,(((YEAR(P$5)-YEAR($AA18))*12+MONTH(P$5)-MONTH($AA18))+1)))&lt;=MIN(P$5+6,$AB18)),($AA18&gt;=P$5)*($AA18&lt;=P$5+6))))</f>
        <v/>
      </c>
      <c r="Q18" s="21">
        <f>IF($X18&lt;&gt;1,0,$D18*IF($Y18&gt;0,MAX(0,INT((MIN(Q$5+6,$AB18)-$AA18)/$Y18)-MAX(0,-INT(($AA18-Q$5)/$Y18))+1),IF($Z18&gt;0,(MOD(((YEAR(Q$5)-YEAR($AA18))*12+MONTH(Q$5)-MONTH($AA18)),$Z18)=0)*(((YEAR(Q$5)-YEAR($AA18))*12+MONTH(Q$5)-MONTH($AA18))&gt;=0)*(EDATE($AA18,MAX(0,((YEAR(Q$5)-YEAR($AA18))*12+MONTH(Q$5)-MONTH($AA18))))&gt;=Q$5)*(EDATE($AA18,MAX(0,((YEAR(Q$5)-YEAR($AA18))*12+MONTH(Q$5)-MONTH($AA18))))&lt;=MIN(Q$5+6,$AB18))+(MOD((((YEAR(Q$5)-YEAR($AA18))*12+MONTH(Q$5)-MONTH($AA18))+1),$Z18)=0)*((((YEAR(Q$5)-YEAR($AA18))*12+MONTH(Q$5)-MONTH($AA18))+1)&gt;=0)*(EDATE($AA18,MAX(0,(((YEAR(Q$5)-YEAR($AA18))*12+MONTH(Q$5)-MONTH($AA18))+1)))&gt;=Q$5)*(EDATE($AA18,MAX(0,(((YEAR(Q$5)-YEAR($AA18))*12+MONTH(Q$5)-MONTH($AA18))+1)))&lt;=MIN(Q$5+6,$AB18)),($AA18&gt;=Q$5)*($AA18&lt;=Q$5+6))))</f>
        <v/>
      </c>
      <c r="R18" s="21">
        <f>IF($X18&lt;&gt;1,0,$D18*IF($Y18&gt;0,MAX(0,INT((MIN(R$5+6,$AB18)-$AA18)/$Y18)-MAX(0,-INT(($AA18-R$5)/$Y18))+1),IF($Z18&gt;0,(MOD(((YEAR(R$5)-YEAR($AA18))*12+MONTH(R$5)-MONTH($AA18)),$Z18)=0)*(((YEAR(R$5)-YEAR($AA18))*12+MONTH(R$5)-MONTH($AA18))&gt;=0)*(EDATE($AA18,MAX(0,((YEAR(R$5)-YEAR($AA18))*12+MONTH(R$5)-MONTH($AA18))))&gt;=R$5)*(EDATE($AA18,MAX(0,((YEAR(R$5)-YEAR($AA18))*12+MONTH(R$5)-MONTH($AA18))))&lt;=MIN(R$5+6,$AB18))+(MOD((((YEAR(R$5)-YEAR($AA18))*12+MONTH(R$5)-MONTH($AA18))+1),$Z18)=0)*((((YEAR(R$5)-YEAR($AA18))*12+MONTH(R$5)-MONTH($AA18))+1)&gt;=0)*(EDATE($AA18,MAX(0,(((YEAR(R$5)-YEAR($AA18))*12+MONTH(R$5)-MONTH($AA18))+1)))&gt;=R$5)*(EDATE($AA18,MAX(0,(((YEAR(R$5)-YEAR($AA18))*12+MONTH(R$5)-MONTH($AA18))+1)))&lt;=MIN(R$5+6,$AB18)),($AA18&gt;=R$5)*($AA18&lt;=R$5+6))))</f>
        <v/>
      </c>
      <c r="S18" s="21">
        <f>IF($X18&lt;&gt;1,0,$D18*IF($Y18&gt;0,MAX(0,INT((MIN(S$5+6,$AB18)-$AA18)/$Y18)-MAX(0,-INT(($AA18-S$5)/$Y18))+1),IF($Z18&gt;0,(MOD(((YEAR(S$5)-YEAR($AA18))*12+MONTH(S$5)-MONTH($AA18)),$Z18)=0)*(((YEAR(S$5)-YEAR($AA18))*12+MONTH(S$5)-MONTH($AA18))&gt;=0)*(EDATE($AA18,MAX(0,((YEAR(S$5)-YEAR($AA18))*12+MONTH(S$5)-MONTH($AA18))))&gt;=S$5)*(EDATE($AA18,MAX(0,((YEAR(S$5)-YEAR($AA18))*12+MONTH(S$5)-MONTH($AA18))))&lt;=MIN(S$5+6,$AB18))+(MOD((((YEAR(S$5)-YEAR($AA18))*12+MONTH(S$5)-MONTH($AA18))+1),$Z18)=0)*((((YEAR(S$5)-YEAR($AA18))*12+MONTH(S$5)-MONTH($AA18))+1)&gt;=0)*(EDATE($AA18,MAX(0,(((YEAR(S$5)-YEAR($AA18))*12+MONTH(S$5)-MONTH($AA18))+1)))&gt;=S$5)*(EDATE($AA18,MAX(0,(((YEAR(S$5)-YEAR($AA18))*12+MONTH(S$5)-MONTH($AA18))+1)))&lt;=MIN(S$5+6,$AB18)),($AA18&gt;=S$5)*($AA18&lt;=S$5+6))))</f>
        <v/>
      </c>
      <c r="T18" s="21">
        <f>IF($X18&lt;&gt;1,0,$D18*IF($Y18&gt;0,MAX(0,INT((MIN(T$5+6,$AB18)-$AA18)/$Y18)-MAX(0,-INT(($AA18-T$5)/$Y18))+1),IF($Z18&gt;0,(MOD(((YEAR(T$5)-YEAR($AA18))*12+MONTH(T$5)-MONTH($AA18)),$Z18)=0)*(((YEAR(T$5)-YEAR($AA18))*12+MONTH(T$5)-MONTH($AA18))&gt;=0)*(EDATE($AA18,MAX(0,((YEAR(T$5)-YEAR($AA18))*12+MONTH(T$5)-MONTH($AA18))))&gt;=T$5)*(EDATE($AA18,MAX(0,((YEAR(T$5)-YEAR($AA18))*12+MONTH(T$5)-MONTH($AA18))))&lt;=MIN(T$5+6,$AB18))+(MOD((((YEAR(T$5)-YEAR($AA18))*12+MONTH(T$5)-MONTH($AA18))+1),$Z18)=0)*((((YEAR(T$5)-YEAR($AA18))*12+MONTH(T$5)-MONTH($AA18))+1)&gt;=0)*(EDATE($AA18,MAX(0,(((YEAR(T$5)-YEAR($AA18))*12+MONTH(T$5)-MONTH($AA18))+1)))&gt;=T$5)*(EDATE($AA18,MAX(0,(((YEAR(T$5)-YEAR($AA18))*12+MONTH(T$5)-MONTH($AA18))+1)))&lt;=MIN(T$5+6,$AB18)),($AA18&gt;=T$5)*($AA18&lt;=T$5+6))))</f>
        <v/>
      </c>
      <c r="U18" s="21">
        <f>IF($X18&lt;&gt;1,0,$D18*IF($Y18&gt;0,MAX(0,INT((MIN(U$5+6,$AB18)-$AA18)/$Y18)-MAX(0,-INT(($AA18-U$5)/$Y18))+1),IF($Z18&gt;0,(MOD(((YEAR(U$5)-YEAR($AA18))*12+MONTH(U$5)-MONTH($AA18)),$Z18)=0)*(((YEAR(U$5)-YEAR($AA18))*12+MONTH(U$5)-MONTH($AA18))&gt;=0)*(EDATE($AA18,MAX(0,((YEAR(U$5)-YEAR($AA18))*12+MONTH(U$5)-MONTH($AA18))))&gt;=U$5)*(EDATE($AA18,MAX(0,((YEAR(U$5)-YEAR($AA18))*12+MONTH(U$5)-MONTH($AA18))))&lt;=MIN(U$5+6,$AB18))+(MOD((((YEAR(U$5)-YEAR($AA18))*12+MONTH(U$5)-MONTH($AA18))+1),$Z18)=0)*((((YEAR(U$5)-YEAR($AA18))*12+MONTH(U$5)-MONTH($AA18))+1)&gt;=0)*(EDATE($AA18,MAX(0,(((YEAR(U$5)-YEAR($AA18))*12+MONTH(U$5)-MONTH($AA18))+1)))&gt;=U$5)*(EDATE($AA18,MAX(0,(((YEAR(U$5)-YEAR($AA18))*12+MONTH(U$5)-MONTH($AA18))+1)))&lt;=MIN(U$5+6,$AB18)),($AA18&gt;=U$5)*($AA18&lt;=U$5+6))))</f>
        <v/>
      </c>
      <c r="V18" s="21">
        <f>IF($X18&lt;&gt;1,0,$D18*IF($Y18&gt;0,MAX(0,INT((MIN(V$5+6,$AB18)-$AA18)/$Y18)-MAX(0,-INT(($AA18-V$5)/$Y18))+1),IF($Z18&gt;0,(MOD(((YEAR(V$5)-YEAR($AA18))*12+MONTH(V$5)-MONTH($AA18)),$Z18)=0)*(((YEAR(V$5)-YEAR($AA18))*12+MONTH(V$5)-MONTH($AA18))&gt;=0)*(EDATE($AA18,MAX(0,((YEAR(V$5)-YEAR($AA18))*12+MONTH(V$5)-MONTH($AA18))))&gt;=V$5)*(EDATE($AA18,MAX(0,((YEAR(V$5)-YEAR($AA18))*12+MONTH(V$5)-MONTH($AA18))))&lt;=MIN(V$5+6,$AB18))+(MOD((((YEAR(V$5)-YEAR($AA18))*12+MONTH(V$5)-MONTH($AA18))+1),$Z18)=0)*((((YEAR(V$5)-YEAR($AA18))*12+MONTH(V$5)-MONTH($AA18))+1)&gt;=0)*(EDATE($AA18,MAX(0,(((YEAR(V$5)-YEAR($AA18))*12+MONTH(V$5)-MONTH($AA18))+1)))&gt;=V$5)*(EDATE($AA18,MAX(0,(((YEAR(V$5)-YEAR($AA18))*12+MONTH(V$5)-MONTH($AA18))+1)))&lt;=MIN(V$5+6,$AB18)),($AA18&gt;=V$5)*($AA18&lt;=V$5+6))))</f>
        <v/>
      </c>
      <c r="W18" s="21">
        <f>IF($X18&lt;&gt;1,0,$D18*IF($Y18&gt;0,MAX(0,INT((MIN(W$5+6,$AB18)-$AA18)/$Y18)-MAX(0,-INT(($AA18-W$5)/$Y18))+1),IF($Z18&gt;0,(MOD(((YEAR(W$5)-YEAR($AA18))*12+MONTH(W$5)-MONTH($AA18)),$Z18)=0)*(((YEAR(W$5)-YEAR($AA18))*12+MONTH(W$5)-MONTH($AA18))&gt;=0)*(EDATE($AA18,MAX(0,((YEAR(W$5)-YEAR($AA18))*12+MONTH(W$5)-MONTH($AA18))))&gt;=W$5)*(EDATE($AA18,MAX(0,((YEAR(W$5)-YEAR($AA18))*12+MONTH(W$5)-MONTH($AA18))))&lt;=MIN(W$5+6,$AB18))+(MOD((((YEAR(W$5)-YEAR($AA18))*12+MONTH(W$5)-MONTH($AA18))+1),$Z18)=0)*((((YEAR(W$5)-YEAR($AA18))*12+MONTH(W$5)-MONTH($AA18))+1)&gt;=0)*(EDATE($AA18,MAX(0,(((YEAR(W$5)-YEAR($AA18))*12+MONTH(W$5)-MONTH($AA18))+1)))&gt;=W$5)*(EDATE($AA18,MAX(0,(((YEAR(W$5)-YEAR($AA18))*12+MONTH(W$5)-MONTH($AA18))+1)))&lt;=MIN(W$5+6,$AB18)),($AA18&gt;=W$5)*($AA18&lt;=W$5+6))))</f>
        <v/>
      </c>
      <c r="X18">
        <f>IF(COUNTA(A18:G18)=0,"",IF(AND(OR(B18="In",B18="Out"),ISNUMBER(D18),D18&gt;0,ISNUMBER(MATCH(E18,FreqName,0)),ISNUMBER(F18),OR(G18="",AND(ISNUMBER(G18),G18&gt;=F18))),1,0))</f>
        <v/>
      </c>
      <c r="Y18">
        <f>IF(X18&lt;&gt;1,0,INDEX(FreqDays,MATCH(E18,FreqName,0)))</f>
        <v/>
      </c>
      <c r="Z18">
        <f>IF(X18&lt;&gt;1,0,INDEX(FreqMonths,MATCH(E18,FreqName,0)))</f>
        <v/>
      </c>
      <c r="AA18">
        <f>IF(X18&lt;&gt;1,0,INT(F18))</f>
        <v/>
      </c>
      <c r="AB18">
        <f>IF(X18&lt;&gt;1,0,IF(ISNUMBER(G18),INT(G18),2958465))</f>
        <v/>
      </c>
    </row>
    <row r="19">
      <c r="A19" s="29" t="n"/>
      <c r="B19" s="29" t="n"/>
      <c r="C19" s="29" t="n"/>
      <c r="D19" s="34" t="n"/>
      <c r="E19" s="29" t="n"/>
      <c r="F19" s="24" t="n"/>
      <c r="G19" s="24" t="n"/>
      <c r="H19" s="10">
        <f>IF(X19="","",IF(X19=0,IF(AND(B19&lt;&gt;"In",B19&lt;&gt;"Out"),"Fix: choose In or Out",IF(OR(NOT(ISNUMBER(D19)),N(D19)&lt;=0),"Fix: amount must be a number above 0",IF(NOT(ISNUMBER(MATCH(E19,FreqName,0))),"Fix: choose a frequency",IF(NOT(ISNUMBER(F19)),"Fix: first date missing","Fix: end date must be a date on or after the first date")))),IF(AND(C19&lt;&gt;"",OR(AND(B19="In",ISNUMBER(MATCH(C19,InCats,0))),AND(B19="Out",ISNUMBER(MATCH(C19,OutCats,0))))),"OK","Category not on Settings (counted as Other)")))</f>
        <v/>
      </c>
      <c r="I19" s="35">
        <f>IF(X19&lt;&gt;1,"",ROUND(J19/D19,0))</f>
        <v/>
      </c>
      <c r="J19" s="36">
        <f>SUM(K19:W19)</f>
        <v/>
      </c>
      <c r="K19" s="21">
        <f>IF($X19&lt;&gt;1,0,$D19*IF($Y19&gt;0,MAX(0,INT((MIN(K$5+6,$AB19)-$AA19)/$Y19)-MAX(0,-INT(($AA19-K$5)/$Y19))+1),IF($Z19&gt;0,(MOD(((YEAR(K$5)-YEAR($AA19))*12+MONTH(K$5)-MONTH($AA19)),$Z19)=0)*(((YEAR(K$5)-YEAR($AA19))*12+MONTH(K$5)-MONTH($AA19))&gt;=0)*(EDATE($AA19,MAX(0,((YEAR(K$5)-YEAR($AA19))*12+MONTH(K$5)-MONTH($AA19))))&gt;=K$5)*(EDATE($AA19,MAX(0,((YEAR(K$5)-YEAR($AA19))*12+MONTH(K$5)-MONTH($AA19))))&lt;=MIN(K$5+6,$AB19))+(MOD((((YEAR(K$5)-YEAR($AA19))*12+MONTH(K$5)-MONTH($AA19))+1),$Z19)=0)*((((YEAR(K$5)-YEAR($AA19))*12+MONTH(K$5)-MONTH($AA19))+1)&gt;=0)*(EDATE($AA19,MAX(0,(((YEAR(K$5)-YEAR($AA19))*12+MONTH(K$5)-MONTH($AA19))+1)))&gt;=K$5)*(EDATE($AA19,MAX(0,(((YEAR(K$5)-YEAR($AA19))*12+MONTH(K$5)-MONTH($AA19))+1)))&lt;=MIN(K$5+6,$AB19)),($AA19&gt;=K$5)*($AA19&lt;=K$5+6))))</f>
        <v/>
      </c>
      <c r="L19" s="21">
        <f>IF($X19&lt;&gt;1,0,$D19*IF($Y19&gt;0,MAX(0,INT((MIN(L$5+6,$AB19)-$AA19)/$Y19)-MAX(0,-INT(($AA19-L$5)/$Y19))+1),IF($Z19&gt;0,(MOD(((YEAR(L$5)-YEAR($AA19))*12+MONTH(L$5)-MONTH($AA19)),$Z19)=0)*(((YEAR(L$5)-YEAR($AA19))*12+MONTH(L$5)-MONTH($AA19))&gt;=0)*(EDATE($AA19,MAX(0,((YEAR(L$5)-YEAR($AA19))*12+MONTH(L$5)-MONTH($AA19))))&gt;=L$5)*(EDATE($AA19,MAX(0,((YEAR(L$5)-YEAR($AA19))*12+MONTH(L$5)-MONTH($AA19))))&lt;=MIN(L$5+6,$AB19))+(MOD((((YEAR(L$5)-YEAR($AA19))*12+MONTH(L$5)-MONTH($AA19))+1),$Z19)=0)*((((YEAR(L$5)-YEAR($AA19))*12+MONTH(L$5)-MONTH($AA19))+1)&gt;=0)*(EDATE($AA19,MAX(0,(((YEAR(L$5)-YEAR($AA19))*12+MONTH(L$5)-MONTH($AA19))+1)))&gt;=L$5)*(EDATE($AA19,MAX(0,(((YEAR(L$5)-YEAR($AA19))*12+MONTH(L$5)-MONTH($AA19))+1)))&lt;=MIN(L$5+6,$AB19)),($AA19&gt;=L$5)*($AA19&lt;=L$5+6))))</f>
        <v/>
      </c>
      <c r="M19" s="21">
        <f>IF($X19&lt;&gt;1,0,$D19*IF($Y19&gt;0,MAX(0,INT((MIN(M$5+6,$AB19)-$AA19)/$Y19)-MAX(0,-INT(($AA19-M$5)/$Y19))+1),IF($Z19&gt;0,(MOD(((YEAR(M$5)-YEAR($AA19))*12+MONTH(M$5)-MONTH($AA19)),$Z19)=0)*(((YEAR(M$5)-YEAR($AA19))*12+MONTH(M$5)-MONTH($AA19))&gt;=0)*(EDATE($AA19,MAX(0,((YEAR(M$5)-YEAR($AA19))*12+MONTH(M$5)-MONTH($AA19))))&gt;=M$5)*(EDATE($AA19,MAX(0,((YEAR(M$5)-YEAR($AA19))*12+MONTH(M$5)-MONTH($AA19))))&lt;=MIN(M$5+6,$AB19))+(MOD((((YEAR(M$5)-YEAR($AA19))*12+MONTH(M$5)-MONTH($AA19))+1),$Z19)=0)*((((YEAR(M$5)-YEAR($AA19))*12+MONTH(M$5)-MONTH($AA19))+1)&gt;=0)*(EDATE($AA19,MAX(0,(((YEAR(M$5)-YEAR($AA19))*12+MONTH(M$5)-MONTH($AA19))+1)))&gt;=M$5)*(EDATE($AA19,MAX(0,(((YEAR(M$5)-YEAR($AA19))*12+MONTH(M$5)-MONTH($AA19))+1)))&lt;=MIN(M$5+6,$AB19)),($AA19&gt;=M$5)*($AA19&lt;=M$5+6))))</f>
        <v/>
      </c>
      <c r="N19" s="21">
        <f>IF($X19&lt;&gt;1,0,$D19*IF($Y19&gt;0,MAX(0,INT((MIN(N$5+6,$AB19)-$AA19)/$Y19)-MAX(0,-INT(($AA19-N$5)/$Y19))+1),IF($Z19&gt;0,(MOD(((YEAR(N$5)-YEAR($AA19))*12+MONTH(N$5)-MONTH($AA19)),$Z19)=0)*(((YEAR(N$5)-YEAR($AA19))*12+MONTH(N$5)-MONTH($AA19))&gt;=0)*(EDATE($AA19,MAX(0,((YEAR(N$5)-YEAR($AA19))*12+MONTH(N$5)-MONTH($AA19))))&gt;=N$5)*(EDATE($AA19,MAX(0,((YEAR(N$5)-YEAR($AA19))*12+MONTH(N$5)-MONTH($AA19))))&lt;=MIN(N$5+6,$AB19))+(MOD((((YEAR(N$5)-YEAR($AA19))*12+MONTH(N$5)-MONTH($AA19))+1),$Z19)=0)*((((YEAR(N$5)-YEAR($AA19))*12+MONTH(N$5)-MONTH($AA19))+1)&gt;=0)*(EDATE($AA19,MAX(0,(((YEAR(N$5)-YEAR($AA19))*12+MONTH(N$5)-MONTH($AA19))+1)))&gt;=N$5)*(EDATE($AA19,MAX(0,(((YEAR(N$5)-YEAR($AA19))*12+MONTH(N$5)-MONTH($AA19))+1)))&lt;=MIN(N$5+6,$AB19)),($AA19&gt;=N$5)*($AA19&lt;=N$5+6))))</f>
        <v/>
      </c>
      <c r="O19" s="21">
        <f>IF($X19&lt;&gt;1,0,$D19*IF($Y19&gt;0,MAX(0,INT((MIN(O$5+6,$AB19)-$AA19)/$Y19)-MAX(0,-INT(($AA19-O$5)/$Y19))+1),IF($Z19&gt;0,(MOD(((YEAR(O$5)-YEAR($AA19))*12+MONTH(O$5)-MONTH($AA19)),$Z19)=0)*(((YEAR(O$5)-YEAR($AA19))*12+MONTH(O$5)-MONTH($AA19))&gt;=0)*(EDATE($AA19,MAX(0,((YEAR(O$5)-YEAR($AA19))*12+MONTH(O$5)-MONTH($AA19))))&gt;=O$5)*(EDATE($AA19,MAX(0,((YEAR(O$5)-YEAR($AA19))*12+MONTH(O$5)-MONTH($AA19))))&lt;=MIN(O$5+6,$AB19))+(MOD((((YEAR(O$5)-YEAR($AA19))*12+MONTH(O$5)-MONTH($AA19))+1),$Z19)=0)*((((YEAR(O$5)-YEAR($AA19))*12+MONTH(O$5)-MONTH($AA19))+1)&gt;=0)*(EDATE($AA19,MAX(0,(((YEAR(O$5)-YEAR($AA19))*12+MONTH(O$5)-MONTH($AA19))+1)))&gt;=O$5)*(EDATE($AA19,MAX(0,(((YEAR(O$5)-YEAR($AA19))*12+MONTH(O$5)-MONTH($AA19))+1)))&lt;=MIN(O$5+6,$AB19)),($AA19&gt;=O$5)*($AA19&lt;=O$5+6))))</f>
        <v/>
      </c>
      <c r="P19" s="21">
        <f>IF($X19&lt;&gt;1,0,$D19*IF($Y19&gt;0,MAX(0,INT((MIN(P$5+6,$AB19)-$AA19)/$Y19)-MAX(0,-INT(($AA19-P$5)/$Y19))+1),IF($Z19&gt;0,(MOD(((YEAR(P$5)-YEAR($AA19))*12+MONTH(P$5)-MONTH($AA19)),$Z19)=0)*(((YEAR(P$5)-YEAR($AA19))*12+MONTH(P$5)-MONTH($AA19))&gt;=0)*(EDATE($AA19,MAX(0,((YEAR(P$5)-YEAR($AA19))*12+MONTH(P$5)-MONTH($AA19))))&gt;=P$5)*(EDATE($AA19,MAX(0,((YEAR(P$5)-YEAR($AA19))*12+MONTH(P$5)-MONTH($AA19))))&lt;=MIN(P$5+6,$AB19))+(MOD((((YEAR(P$5)-YEAR($AA19))*12+MONTH(P$5)-MONTH($AA19))+1),$Z19)=0)*((((YEAR(P$5)-YEAR($AA19))*12+MONTH(P$5)-MONTH($AA19))+1)&gt;=0)*(EDATE($AA19,MAX(0,(((YEAR(P$5)-YEAR($AA19))*12+MONTH(P$5)-MONTH($AA19))+1)))&gt;=P$5)*(EDATE($AA19,MAX(0,(((YEAR(P$5)-YEAR($AA19))*12+MONTH(P$5)-MONTH($AA19))+1)))&lt;=MIN(P$5+6,$AB19)),($AA19&gt;=P$5)*($AA19&lt;=P$5+6))))</f>
        <v/>
      </c>
      <c r="Q19" s="21">
        <f>IF($X19&lt;&gt;1,0,$D19*IF($Y19&gt;0,MAX(0,INT((MIN(Q$5+6,$AB19)-$AA19)/$Y19)-MAX(0,-INT(($AA19-Q$5)/$Y19))+1),IF($Z19&gt;0,(MOD(((YEAR(Q$5)-YEAR($AA19))*12+MONTH(Q$5)-MONTH($AA19)),$Z19)=0)*(((YEAR(Q$5)-YEAR($AA19))*12+MONTH(Q$5)-MONTH($AA19))&gt;=0)*(EDATE($AA19,MAX(0,((YEAR(Q$5)-YEAR($AA19))*12+MONTH(Q$5)-MONTH($AA19))))&gt;=Q$5)*(EDATE($AA19,MAX(0,((YEAR(Q$5)-YEAR($AA19))*12+MONTH(Q$5)-MONTH($AA19))))&lt;=MIN(Q$5+6,$AB19))+(MOD((((YEAR(Q$5)-YEAR($AA19))*12+MONTH(Q$5)-MONTH($AA19))+1),$Z19)=0)*((((YEAR(Q$5)-YEAR($AA19))*12+MONTH(Q$5)-MONTH($AA19))+1)&gt;=0)*(EDATE($AA19,MAX(0,(((YEAR(Q$5)-YEAR($AA19))*12+MONTH(Q$5)-MONTH($AA19))+1)))&gt;=Q$5)*(EDATE($AA19,MAX(0,(((YEAR(Q$5)-YEAR($AA19))*12+MONTH(Q$5)-MONTH($AA19))+1)))&lt;=MIN(Q$5+6,$AB19)),($AA19&gt;=Q$5)*($AA19&lt;=Q$5+6))))</f>
        <v/>
      </c>
      <c r="R19" s="21">
        <f>IF($X19&lt;&gt;1,0,$D19*IF($Y19&gt;0,MAX(0,INT((MIN(R$5+6,$AB19)-$AA19)/$Y19)-MAX(0,-INT(($AA19-R$5)/$Y19))+1),IF($Z19&gt;0,(MOD(((YEAR(R$5)-YEAR($AA19))*12+MONTH(R$5)-MONTH($AA19)),$Z19)=0)*(((YEAR(R$5)-YEAR($AA19))*12+MONTH(R$5)-MONTH($AA19))&gt;=0)*(EDATE($AA19,MAX(0,((YEAR(R$5)-YEAR($AA19))*12+MONTH(R$5)-MONTH($AA19))))&gt;=R$5)*(EDATE($AA19,MAX(0,((YEAR(R$5)-YEAR($AA19))*12+MONTH(R$5)-MONTH($AA19))))&lt;=MIN(R$5+6,$AB19))+(MOD((((YEAR(R$5)-YEAR($AA19))*12+MONTH(R$5)-MONTH($AA19))+1),$Z19)=0)*((((YEAR(R$5)-YEAR($AA19))*12+MONTH(R$5)-MONTH($AA19))+1)&gt;=0)*(EDATE($AA19,MAX(0,(((YEAR(R$5)-YEAR($AA19))*12+MONTH(R$5)-MONTH($AA19))+1)))&gt;=R$5)*(EDATE($AA19,MAX(0,(((YEAR(R$5)-YEAR($AA19))*12+MONTH(R$5)-MONTH($AA19))+1)))&lt;=MIN(R$5+6,$AB19)),($AA19&gt;=R$5)*($AA19&lt;=R$5+6))))</f>
        <v/>
      </c>
      <c r="S19" s="21">
        <f>IF($X19&lt;&gt;1,0,$D19*IF($Y19&gt;0,MAX(0,INT((MIN(S$5+6,$AB19)-$AA19)/$Y19)-MAX(0,-INT(($AA19-S$5)/$Y19))+1),IF($Z19&gt;0,(MOD(((YEAR(S$5)-YEAR($AA19))*12+MONTH(S$5)-MONTH($AA19)),$Z19)=0)*(((YEAR(S$5)-YEAR($AA19))*12+MONTH(S$5)-MONTH($AA19))&gt;=0)*(EDATE($AA19,MAX(0,((YEAR(S$5)-YEAR($AA19))*12+MONTH(S$5)-MONTH($AA19))))&gt;=S$5)*(EDATE($AA19,MAX(0,((YEAR(S$5)-YEAR($AA19))*12+MONTH(S$5)-MONTH($AA19))))&lt;=MIN(S$5+6,$AB19))+(MOD((((YEAR(S$5)-YEAR($AA19))*12+MONTH(S$5)-MONTH($AA19))+1),$Z19)=0)*((((YEAR(S$5)-YEAR($AA19))*12+MONTH(S$5)-MONTH($AA19))+1)&gt;=0)*(EDATE($AA19,MAX(0,(((YEAR(S$5)-YEAR($AA19))*12+MONTH(S$5)-MONTH($AA19))+1)))&gt;=S$5)*(EDATE($AA19,MAX(0,(((YEAR(S$5)-YEAR($AA19))*12+MONTH(S$5)-MONTH($AA19))+1)))&lt;=MIN(S$5+6,$AB19)),($AA19&gt;=S$5)*($AA19&lt;=S$5+6))))</f>
        <v/>
      </c>
      <c r="T19" s="21">
        <f>IF($X19&lt;&gt;1,0,$D19*IF($Y19&gt;0,MAX(0,INT((MIN(T$5+6,$AB19)-$AA19)/$Y19)-MAX(0,-INT(($AA19-T$5)/$Y19))+1),IF($Z19&gt;0,(MOD(((YEAR(T$5)-YEAR($AA19))*12+MONTH(T$5)-MONTH($AA19)),$Z19)=0)*(((YEAR(T$5)-YEAR($AA19))*12+MONTH(T$5)-MONTH($AA19))&gt;=0)*(EDATE($AA19,MAX(0,((YEAR(T$5)-YEAR($AA19))*12+MONTH(T$5)-MONTH($AA19))))&gt;=T$5)*(EDATE($AA19,MAX(0,((YEAR(T$5)-YEAR($AA19))*12+MONTH(T$5)-MONTH($AA19))))&lt;=MIN(T$5+6,$AB19))+(MOD((((YEAR(T$5)-YEAR($AA19))*12+MONTH(T$5)-MONTH($AA19))+1),$Z19)=0)*((((YEAR(T$5)-YEAR($AA19))*12+MONTH(T$5)-MONTH($AA19))+1)&gt;=0)*(EDATE($AA19,MAX(0,(((YEAR(T$5)-YEAR($AA19))*12+MONTH(T$5)-MONTH($AA19))+1)))&gt;=T$5)*(EDATE($AA19,MAX(0,(((YEAR(T$5)-YEAR($AA19))*12+MONTH(T$5)-MONTH($AA19))+1)))&lt;=MIN(T$5+6,$AB19)),($AA19&gt;=T$5)*($AA19&lt;=T$5+6))))</f>
        <v/>
      </c>
      <c r="U19" s="21">
        <f>IF($X19&lt;&gt;1,0,$D19*IF($Y19&gt;0,MAX(0,INT((MIN(U$5+6,$AB19)-$AA19)/$Y19)-MAX(0,-INT(($AA19-U$5)/$Y19))+1),IF($Z19&gt;0,(MOD(((YEAR(U$5)-YEAR($AA19))*12+MONTH(U$5)-MONTH($AA19)),$Z19)=0)*(((YEAR(U$5)-YEAR($AA19))*12+MONTH(U$5)-MONTH($AA19))&gt;=0)*(EDATE($AA19,MAX(0,((YEAR(U$5)-YEAR($AA19))*12+MONTH(U$5)-MONTH($AA19))))&gt;=U$5)*(EDATE($AA19,MAX(0,((YEAR(U$5)-YEAR($AA19))*12+MONTH(U$5)-MONTH($AA19))))&lt;=MIN(U$5+6,$AB19))+(MOD((((YEAR(U$5)-YEAR($AA19))*12+MONTH(U$5)-MONTH($AA19))+1),$Z19)=0)*((((YEAR(U$5)-YEAR($AA19))*12+MONTH(U$5)-MONTH($AA19))+1)&gt;=0)*(EDATE($AA19,MAX(0,(((YEAR(U$5)-YEAR($AA19))*12+MONTH(U$5)-MONTH($AA19))+1)))&gt;=U$5)*(EDATE($AA19,MAX(0,(((YEAR(U$5)-YEAR($AA19))*12+MONTH(U$5)-MONTH($AA19))+1)))&lt;=MIN(U$5+6,$AB19)),($AA19&gt;=U$5)*($AA19&lt;=U$5+6))))</f>
        <v/>
      </c>
      <c r="V19" s="21">
        <f>IF($X19&lt;&gt;1,0,$D19*IF($Y19&gt;0,MAX(0,INT((MIN(V$5+6,$AB19)-$AA19)/$Y19)-MAX(0,-INT(($AA19-V$5)/$Y19))+1),IF($Z19&gt;0,(MOD(((YEAR(V$5)-YEAR($AA19))*12+MONTH(V$5)-MONTH($AA19)),$Z19)=0)*(((YEAR(V$5)-YEAR($AA19))*12+MONTH(V$5)-MONTH($AA19))&gt;=0)*(EDATE($AA19,MAX(0,((YEAR(V$5)-YEAR($AA19))*12+MONTH(V$5)-MONTH($AA19))))&gt;=V$5)*(EDATE($AA19,MAX(0,((YEAR(V$5)-YEAR($AA19))*12+MONTH(V$5)-MONTH($AA19))))&lt;=MIN(V$5+6,$AB19))+(MOD((((YEAR(V$5)-YEAR($AA19))*12+MONTH(V$5)-MONTH($AA19))+1),$Z19)=0)*((((YEAR(V$5)-YEAR($AA19))*12+MONTH(V$5)-MONTH($AA19))+1)&gt;=0)*(EDATE($AA19,MAX(0,(((YEAR(V$5)-YEAR($AA19))*12+MONTH(V$5)-MONTH($AA19))+1)))&gt;=V$5)*(EDATE($AA19,MAX(0,(((YEAR(V$5)-YEAR($AA19))*12+MONTH(V$5)-MONTH($AA19))+1)))&lt;=MIN(V$5+6,$AB19)),($AA19&gt;=V$5)*($AA19&lt;=V$5+6))))</f>
        <v/>
      </c>
      <c r="W19" s="21">
        <f>IF($X19&lt;&gt;1,0,$D19*IF($Y19&gt;0,MAX(0,INT((MIN(W$5+6,$AB19)-$AA19)/$Y19)-MAX(0,-INT(($AA19-W$5)/$Y19))+1),IF($Z19&gt;0,(MOD(((YEAR(W$5)-YEAR($AA19))*12+MONTH(W$5)-MONTH($AA19)),$Z19)=0)*(((YEAR(W$5)-YEAR($AA19))*12+MONTH(W$5)-MONTH($AA19))&gt;=0)*(EDATE($AA19,MAX(0,((YEAR(W$5)-YEAR($AA19))*12+MONTH(W$5)-MONTH($AA19))))&gt;=W$5)*(EDATE($AA19,MAX(0,((YEAR(W$5)-YEAR($AA19))*12+MONTH(W$5)-MONTH($AA19))))&lt;=MIN(W$5+6,$AB19))+(MOD((((YEAR(W$5)-YEAR($AA19))*12+MONTH(W$5)-MONTH($AA19))+1),$Z19)=0)*((((YEAR(W$5)-YEAR($AA19))*12+MONTH(W$5)-MONTH($AA19))+1)&gt;=0)*(EDATE($AA19,MAX(0,(((YEAR(W$5)-YEAR($AA19))*12+MONTH(W$5)-MONTH($AA19))+1)))&gt;=W$5)*(EDATE($AA19,MAX(0,(((YEAR(W$5)-YEAR($AA19))*12+MONTH(W$5)-MONTH($AA19))+1)))&lt;=MIN(W$5+6,$AB19)),($AA19&gt;=W$5)*($AA19&lt;=W$5+6))))</f>
        <v/>
      </c>
      <c r="X19">
        <f>IF(COUNTA(A19:G19)=0,"",IF(AND(OR(B19="In",B19="Out"),ISNUMBER(D19),D19&gt;0,ISNUMBER(MATCH(E19,FreqName,0)),ISNUMBER(F19),OR(G19="",AND(ISNUMBER(G19),G19&gt;=F19))),1,0))</f>
        <v/>
      </c>
      <c r="Y19">
        <f>IF(X19&lt;&gt;1,0,INDEX(FreqDays,MATCH(E19,FreqName,0)))</f>
        <v/>
      </c>
      <c r="Z19">
        <f>IF(X19&lt;&gt;1,0,INDEX(FreqMonths,MATCH(E19,FreqName,0)))</f>
        <v/>
      </c>
      <c r="AA19">
        <f>IF(X19&lt;&gt;1,0,INT(F19))</f>
        <v/>
      </c>
      <c r="AB19">
        <f>IF(X19&lt;&gt;1,0,IF(ISNUMBER(G19),INT(G19),2958465))</f>
        <v/>
      </c>
    </row>
    <row r="20">
      <c r="A20" s="29" t="n"/>
      <c r="B20" s="29" t="n"/>
      <c r="C20" s="29" t="n"/>
      <c r="D20" s="34" t="n"/>
      <c r="E20" s="29" t="n"/>
      <c r="F20" s="24" t="n"/>
      <c r="G20" s="24" t="n"/>
      <c r="H20" s="10">
        <f>IF(X20="","",IF(X20=0,IF(AND(B20&lt;&gt;"In",B20&lt;&gt;"Out"),"Fix: choose In or Out",IF(OR(NOT(ISNUMBER(D20)),N(D20)&lt;=0),"Fix: amount must be a number above 0",IF(NOT(ISNUMBER(MATCH(E20,FreqName,0))),"Fix: choose a frequency",IF(NOT(ISNUMBER(F20)),"Fix: first date missing","Fix: end date must be a date on or after the first date")))),IF(AND(C20&lt;&gt;"",OR(AND(B20="In",ISNUMBER(MATCH(C20,InCats,0))),AND(B20="Out",ISNUMBER(MATCH(C20,OutCats,0))))),"OK","Category not on Settings (counted as Other)")))</f>
        <v/>
      </c>
      <c r="I20" s="35">
        <f>IF(X20&lt;&gt;1,"",ROUND(J20/D20,0))</f>
        <v/>
      </c>
      <c r="J20" s="36">
        <f>SUM(K20:W20)</f>
        <v/>
      </c>
      <c r="K20" s="21">
        <f>IF($X20&lt;&gt;1,0,$D20*IF($Y20&gt;0,MAX(0,INT((MIN(K$5+6,$AB20)-$AA20)/$Y20)-MAX(0,-INT(($AA20-K$5)/$Y20))+1),IF($Z20&gt;0,(MOD(((YEAR(K$5)-YEAR($AA20))*12+MONTH(K$5)-MONTH($AA20)),$Z20)=0)*(((YEAR(K$5)-YEAR($AA20))*12+MONTH(K$5)-MONTH($AA20))&gt;=0)*(EDATE($AA20,MAX(0,((YEAR(K$5)-YEAR($AA20))*12+MONTH(K$5)-MONTH($AA20))))&gt;=K$5)*(EDATE($AA20,MAX(0,((YEAR(K$5)-YEAR($AA20))*12+MONTH(K$5)-MONTH($AA20))))&lt;=MIN(K$5+6,$AB20))+(MOD((((YEAR(K$5)-YEAR($AA20))*12+MONTH(K$5)-MONTH($AA20))+1),$Z20)=0)*((((YEAR(K$5)-YEAR($AA20))*12+MONTH(K$5)-MONTH($AA20))+1)&gt;=0)*(EDATE($AA20,MAX(0,(((YEAR(K$5)-YEAR($AA20))*12+MONTH(K$5)-MONTH($AA20))+1)))&gt;=K$5)*(EDATE($AA20,MAX(0,(((YEAR(K$5)-YEAR($AA20))*12+MONTH(K$5)-MONTH($AA20))+1)))&lt;=MIN(K$5+6,$AB20)),($AA20&gt;=K$5)*($AA20&lt;=K$5+6))))</f>
        <v/>
      </c>
      <c r="L20" s="21">
        <f>IF($X20&lt;&gt;1,0,$D20*IF($Y20&gt;0,MAX(0,INT((MIN(L$5+6,$AB20)-$AA20)/$Y20)-MAX(0,-INT(($AA20-L$5)/$Y20))+1),IF($Z20&gt;0,(MOD(((YEAR(L$5)-YEAR($AA20))*12+MONTH(L$5)-MONTH($AA20)),$Z20)=0)*(((YEAR(L$5)-YEAR($AA20))*12+MONTH(L$5)-MONTH($AA20))&gt;=0)*(EDATE($AA20,MAX(0,((YEAR(L$5)-YEAR($AA20))*12+MONTH(L$5)-MONTH($AA20))))&gt;=L$5)*(EDATE($AA20,MAX(0,((YEAR(L$5)-YEAR($AA20))*12+MONTH(L$5)-MONTH($AA20))))&lt;=MIN(L$5+6,$AB20))+(MOD((((YEAR(L$5)-YEAR($AA20))*12+MONTH(L$5)-MONTH($AA20))+1),$Z20)=0)*((((YEAR(L$5)-YEAR($AA20))*12+MONTH(L$5)-MONTH($AA20))+1)&gt;=0)*(EDATE($AA20,MAX(0,(((YEAR(L$5)-YEAR($AA20))*12+MONTH(L$5)-MONTH($AA20))+1)))&gt;=L$5)*(EDATE($AA20,MAX(0,(((YEAR(L$5)-YEAR($AA20))*12+MONTH(L$5)-MONTH($AA20))+1)))&lt;=MIN(L$5+6,$AB20)),($AA20&gt;=L$5)*($AA20&lt;=L$5+6))))</f>
        <v/>
      </c>
      <c r="M20" s="21">
        <f>IF($X20&lt;&gt;1,0,$D20*IF($Y20&gt;0,MAX(0,INT((MIN(M$5+6,$AB20)-$AA20)/$Y20)-MAX(0,-INT(($AA20-M$5)/$Y20))+1),IF($Z20&gt;0,(MOD(((YEAR(M$5)-YEAR($AA20))*12+MONTH(M$5)-MONTH($AA20)),$Z20)=0)*(((YEAR(M$5)-YEAR($AA20))*12+MONTH(M$5)-MONTH($AA20))&gt;=0)*(EDATE($AA20,MAX(0,((YEAR(M$5)-YEAR($AA20))*12+MONTH(M$5)-MONTH($AA20))))&gt;=M$5)*(EDATE($AA20,MAX(0,((YEAR(M$5)-YEAR($AA20))*12+MONTH(M$5)-MONTH($AA20))))&lt;=MIN(M$5+6,$AB20))+(MOD((((YEAR(M$5)-YEAR($AA20))*12+MONTH(M$5)-MONTH($AA20))+1),$Z20)=0)*((((YEAR(M$5)-YEAR($AA20))*12+MONTH(M$5)-MONTH($AA20))+1)&gt;=0)*(EDATE($AA20,MAX(0,(((YEAR(M$5)-YEAR($AA20))*12+MONTH(M$5)-MONTH($AA20))+1)))&gt;=M$5)*(EDATE($AA20,MAX(0,(((YEAR(M$5)-YEAR($AA20))*12+MONTH(M$5)-MONTH($AA20))+1)))&lt;=MIN(M$5+6,$AB20)),($AA20&gt;=M$5)*($AA20&lt;=M$5+6))))</f>
        <v/>
      </c>
      <c r="N20" s="21">
        <f>IF($X20&lt;&gt;1,0,$D20*IF($Y20&gt;0,MAX(0,INT((MIN(N$5+6,$AB20)-$AA20)/$Y20)-MAX(0,-INT(($AA20-N$5)/$Y20))+1),IF($Z20&gt;0,(MOD(((YEAR(N$5)-YEAR($AA20))*12+MONTH(N$5)-MONTH($AA20)),$Z20)=0)*(((YEAR(N$5)-YEAR($AA20))*12+MONTH(N$5)-MONTH($AA20))&gt;=0)*(EDATE($AA20,MAX(0,((YEAR(N$5)-YEAR($AA20))*12+MONTH(N$5)-MONTH($AA20))))&gt;=N$5)*(EDATE($AA20,MAX(0,((YEAR(N$5)-YEAR($AA20))*12+MONTH(N$5)-MONTH($AA20))))&lt;=MIN(N$5+6,$AB20))+(MOD((((YEAR(N$5)-YEAR($AA20))*12+MONTH(N$5)-MONTH($AA20))+1),$Z20)=0)*((((YEAR(N$5)-YEAR($AA20))*12+MONTH(N$5)-MONTH($AA20))+1)&gt;=0)*(EDATE($AA20,MAX(0,(((YEAR(N$5)-YEAR($AA20))*12+MONTH(N$5)-MONTH($AA20))+1)))&gt;=N$5)*(EDATE($AA20,MAX(0,(((YEAR(N$5)-YEAR($AA20))*12+MONTH(N$5)-MONTH($AA20))+1)))&lt;=MIN(N$5+6,$AB20)),($AA20&gt;=N$5)*($AA20&lt;=N$5+6))))</f>
        <v/>
      </c>
      <c r="O20" s="21">
        <f>IF($X20&lt;&gt;1,0,$D20*IF($Y20&gt;0,MAX(0,INT((MIN(O$5+6,$AB20)-$AA20)/$Y20)-MAX(0,-INT(($AA20-O$5)/$Y20))+1),IF($Z20&gt;0,(MOD(((YEAR(O$5)-YEAR($AA20))*12+MONTH(O$5)-MONTH($AA20)),$Z20)=0)*(((YEAR(O$5)-YEAR($AA20))*12+MONTH(O$5)-MONTH($AA20))&gt;=0)*(EDATE($AA20,MAX(0,((YEAR(O$5)-YEAR($AA20))*12+MONTH(O$5)-MONTH($AA20))))&gt;=O$5)*(EDATE($AA20,MAX(0,((YEAR(O$5)-YEAR($AA20))*12+MONTH(O$5)-MONTH($AA20))))&lt;=MIN(O$5+6,$AB20))+(MOD((((YEAR(O$5)-YEAR($AA20))*12+MONTH(O$5)-MONTH($AA20))+1),$Z20)=0)*((((YEAR(O$5)-YEAR($AA20))*12+MONTH(O$5)-MONTH($AA20))+1)&gt;=0)*(EDATE($AA20,MAX(0,(((YEAR(O$5)-YEAR($AA20))*12+MONTH(O$5)-MONTH($AA20))+1)))&gt;=O$5)*(EDATE($AA20,MAX(0,(((YEAR(O$5)-YEAR($AA20))*12+MONTH(O$5)-MONTH($AA20))+1)))&lt;=MIN(O$5+6,$AB20)),($AA20&gt;=O$5)*($AA20&lt;=O$5+6))))</f>
        <v/>
      </c>
      <c r="P20" s="21">
        <f>IF($X20&lt;&gt;1,0,$D20*IF($Y20&gt;0,MAX(0,INT((MIN(P$5+6,$AB20)-$AA20)/$Y20)-MAX(0,-INT(($AA20-P$5)/$Y20))+1),IF($Z20&gt;0,(MOD(((YEAR(P$5)-YEAR($AA20))*12+MONTH(P$5)-MONTH($AA20)),$Z20)=0)*(((YEAR(P$5)-YEAR($AA20))*12+MONTH(P$5)-MONTH($AA20))&gt;=0)*(EDATE($AA20,MAX(0,((YEAR(P$5)-YEAR($AA20))*12+MONTH(P$5)-MONTH($AA20))))&gt;=P$5)*(EDATE($AA20,MAX(0,((YEAR(P$5)-YEAR($AA20))*12+MONTH(P$5)-MONTH($AA20))))&lt;=MIN(P$5+6,$AB20))+(MOD((((YEAR(P$5)-YEAR($AA20))*12+MONTH(P$5)-MONTH($AA20))+1),$Z20)=0)*((((YEAR(P$5)-YEAR($AA20))*12+MONTH(P$5)-MONTH($AA20))+1)&gt;=0)*(EDATE($AA20,MAX(0,(((YEAR(P$5)-YEAR($AA20))*12+MONTH(P$5)-MONTH($AA20))+1)))&gt;=P$5)*(EDATE($AA20,MAX(0,(((YEAR(P$5)-YEAR($AA20))*12+MONTH(P$5)-MONTH($AA20))+1)))&lt;=MIN(P$5+6,$AB20)),($AA20&gt;=P$5)*($AA20&lt;=P$5+6))))</f>
        <v/>
      </c>
      <c r="Q20" s="21">
        <f>IF($X20&lt;&gt;1,0,$D20*IF($Y20&gt;0,MAX(0,INT((MIN(Q$5+6,$AB20)-$AA20)/$Y20)-MAX(0,-INT(($AA20-Q$5)/$Y20))+1),IF($Z20&gt;0,(MOD(((YEAR(Q$5)-YEAR($AA20))*12+MONTH(Q$5)-MONTH($AA20)),$Z20)=0)*(((YEAR(Q$5)-YEAR($AA20))*12+MONTH(Q$5)-MONTH($AA20))&gt;=0)*(EDATE($AA20,MAX(0,((YEAR(Q$5)-YEAR($AA20))*12+MONTH(Q$5)-MONTH($AA20))))&gt;=Q$5)*(EDATE($AA20,MAX(0,((YEAR(Q$5)-YEAR($AA20))*12+MONTH(Q$5)-MONTH($AA20))))&lt;=MIN(Q$5+6,$AB20))+(MOD((((YEAR(Q$5)-YEAR($AA20))*12+MONTH(Q$5)-MONTH($AA20))+1),$Z20)=0)*((((YEAR(Q$5)-YEAR($AA20))*12+MONTH(Q$5)-MONTH($AA20))+1)&gt;=0)*(EDATE($AA20,MAX(0,(((YEAR(Q$5)-YEAR($AA20))*12+MONTH(Q$5)-MONTH($AA20))+1)))&gt;=Q$5)*(EDATE($AA20,MAX(0,(((YEAR(Q$5)-YEAR($AA20))*12+MONTH(Q$5)-MONTH($AA20))+1)))&lt;=MIN(Q$5+6,$AB20)),($AA20&gt;=Q$5)*($AA20&lt;=Q$5+6))))</f>
        <v/>
      </c>
      <c r="R20" s="21">
        <f>IF($X20&lt;&gt;1,0,$D20*IF($Y20&gt;0,MAX(0,INT((MIN(R$5+6,$AB20)-$AA20)/$Y20)-MAX(0,-INT(($AA20-R$5)/$Y20))+1),IF($Z20&gt;0,(MOD(((YEAR(R$5)-YEAR($AA20))*12+MONTH(R$5)-MONTH($AA20)),$Z20)=0)*(((YEAR(R$5)-YEAR($AA20))*12+MONTH(R$5)-MONTH($AA20))&gt;=0)*(EDATE($AA20,MAX(0,((YEAR(R$5)-YEAR($AA20))*12+MONTH(R$5)-MONTH($AA20))))&gt;=R$5)*(EDATE($AA20,MAX(0,((YEAR(R$5)-YEAR($AA20))*12+MONTH(R$5)-MONTH($AA20))))&lt;=MIN(R$5+6,$AB20))+(MOD((((YEAR(R$5)-YEAR($AA20))*12+MONTH(R$5)-MONTH($AA20))+1),$Z20)=0)*((((YEAR(R$5)-YEAR($AA20))*12+MONTH(R$5)-MONTH($AA20))+1)&gt;=0)*(EDATE($AA20,MAX(0,(((YEAR(R$5)-YEAR($AA20))*12+MONTH(R$5)-MONTH($AA20))+1)))&gt;=R$5)*(EDATE($AA20,MAX(0,(((YEAR(R$5)-YEAR($AA20))*12+MONTH(R$5)-MONTH($AA20))+1)))&lt;=MIN(R$5+6,$AB20)),($AA20&gt;=R$5)*($AA20&lt;=R$5+6))))</f>
        <v/>
      </c>
      <c r="S20" s="21">
        <f>IF($X20&lt;&gt;1,0,$D20*IF($Y20&gt;0,MAX(0,INT((MIN(S$5+6,$AB20)-$AA20)/$Y20)-MAX(0,-INT(($AA20-S$5)/$Y20))+1),IF($Z20&gt;0,(MOD(((YEAR(S$5)-YEAR($AA20))*12+MONTH(S$5)-MONTH($AA20)),$Z20)=0)*(((YEAR(S$5)-YEAR($AA20))*12+MONTH(S$5)-MONTH($AA20))&gt;=0)*(EDATE($AA20,MAX(0,((YEAR(S$5)-YEAR($AA20))*12+MONTH(S$5)-MONTH($AA20))))&gt;=S$5)*(EDATE($AA20,MAX(0,((YEAR(S$5)-YEAR($AA20))*12+MONTH(S$5)-MONTH($AA20))))&lt;=MIN(S$5+6,$AB20))+(MOD((((YEAR(S$5)-YEAR($AA20))*12+MONTH(S$5)-MONTH($AA20))+1),$Z20)=0)*((((YEAR(S$5)-YEAR($AA20))*12+MONTH(S$5)-MONTH($AA20))+1)&gt;=0)*(EDATE($AA20,MAX(0,(((YEAR(S$5)-YEAR($AA20))*12+MONTH(S$5)-MONTH($AA20))+1)))&gt;=S$5)*(EDATE($AA20,MAX(0,(((YEAR(S$5)-YEAR($AA20))*12+MONTH(S$5)-MONTH($AA20))+1)))&lt;=MIN(S$5+6,$AB20)),($AA20&gt;=S$5)*($AA20&lt;=S$5+6))))</f>
        <v/>
      </c>
      <c r="T20" s="21">
        <f>IF($X20&lt;&gt;1,0,$D20*IF($Y20&gt;0,MAX(0,INT((MIN(T$5+6,$AB20)-$AA20)/$Y20)-MAX(0,-INT(($AA20-T$5)/$Y20))+1),IF($Z20&gt;0,(MOD(((YEAR(T$5)-YEAR($AA20))*12+MONTH(T$5)-MONTH($AA20)),$Z20)=0)*(((YEAR(T$5)-YEAR($AA20))*12+MONTH(T$5)-MONTH($AA20))&gt;=0)*(EDATE($AA20,MAX(0,((YEAR(T$5)-YEAR($AA20))*12+MONTH(T$5)-MONTH($AA20))))&gt;=T$5)*(EDATE($AA20,MAX(0,((YEAR(T$5)-YEAR($AA20))*12+MONTH(T$5)-MONTH($AA20))))&lt;=MIN(T$5+6,$AB20))+(MOD((((YEAR(T$5)-YEAR($AA20))*12+MONTH(T$5)-MONTH($AA20))+1),$Z20)=0)*((((YEAR(T$5)-YEAR($AA20))*12+MONTH(T$5)-MONTH($AA20))+1)&gt;=0)*(EDATE($AA20,MAX(0,(((YEAR(T$5)-YEAR($AA20))*12+MONTH(T$5)-MONTH($AA20))+1)))&gt;=T$5)*(EDATE($AA20,MAX(0,(((YEAR(T$5)-YEAR($AA20))*12+MONTH(T$5)-MONTH($AA20))+1)))&lt;=MIN(T$5+6,$AB20)),($AA20&gt;=T$5)*($AA20&lt;=T$5+6))))</f>
        <v/>
      </c>
      <c r="U20" s="21">
        <f>IF($X20&lt;&gt;1,0,$D20*IF($Y20&gt;0,MAX(0,INT((MIN(U$5+6,$AB20)-$AA20)/$Y20)-MAX(0,-INT(($AA20-U$5)/$Y20))+1),IF($Z20&gt;0,(MOD(((YEAR(U$5)-YEAR($AA20))*12+MONTH(U$5)-MONTH($AA20)),$Z20)=0)*(((YEAR(U$5)-YEAR($AA20))*12+MONTH(U$5)-MONTH($AA20))&gt;=0)*(EDATE($AA20,MAX(0,((YEAR(U$5)-YEAR($AA20))*12+MONTH(U$5)-MONTH($AA20))))&gt;=U$5)*(EDATE($AA20,MAX(0,((YEAR(U$5)-YEAR($AA20))*12+MONTH(U$5)-MONTH($AA20))))&lt;=MIN(U$5+6,$AB20))+(MOD((((YEAR(U$5)-YEAR($AA20))*12+MONTH(U$5)-MONTH($AA20))+1),$Z20)=0)*((((YEAR(U$5)-YEAR($AA20))*12+MONTH(U$5)-MONTH($AA20))+1)&gt;=0)*(EDATE($AA20,MAX(0,(((YEAR(U$5)-YEAR($AA20))*12+MONTH(U$5)-MONTH($AA20))+1)))&gt;=U$5)*(EDATE($AA20,MAX(0,(((YEAR(U$5)-YEAR($AA20))*12+MONTH(U$5)-MONTH($AA20))+1)))&lt;=MIN(U$5+6,$AB20)),($AA20&gt;=U$5)*($AA20&lt;=U$5+6))))</f>
        <v/>
      </c>
      <c r="V20" s="21">
        <f>IF($X20&lt;&gt;1,0,$D20*IF($Y20&gt;0,MAX(0,INT((MIN(V$5+6,$AB20)-$AA20)/$Y20)-MAX(0,-INT(($AA20-V$5)/$Y20))+1),IF($Z20&gt;0,(MOD(((YEAR(V$5)-YEAR($AA20))*12+MONTH(V$5)-MONTH($AA20)),$Z20)=0)*(((YEAR(V$5)-YEAR($AA20))*12+MONTH(V$5)-MONTH($AA20))&gt;=0)*(EDATE($AA20,MAX(0,((YEAR(V$5)-YEAR($AA20))*12+MONTH(V$5)-MONTH($AA20))))&gt;=V$5)*(EDATE($AA20,MAX(0,((YEAR(V$5)-YEAR($AA20))*12+MONTH(V$5)-MONTH($AA20))))&lt;=MIN(V$5+6,$AB20))+(MOD((((YEAR(V$5)-YEAR($AA20))*12+MONTH(V$5)-MONTH($AA20))+1),$Z20)=0)*((((YEAR(V$5)-YEAR($AA20))*12+MONTH(V$5)-MONTH($AA20))+1)&gt;=0)*(EDATE($AA20,MAX(0,(((YEAR(V$5)-YEAR($AA20))*12+MONTH(V$5)-MONTH($AA20))+1)))&gt;=V$5)*(EDATE($AA20,MAX(0,(((YEAR(V$5)-YEAR($AA20))*12+MONTH(V$5)-MONTH($AA20))+1)))&lt;=MIN(V$5+6,$AB20)),($AA20&gt;=V$5)*($AA20&lt;=V$5+6))))</f>
        <v/>
      </c>
      <c r="W20" s="21">
        <f>IF($X20&lt;&gt;1,0,$D20*IF($Y20&gt;0,MAX(0,INT((MIN(W$5+6,$AB20)-$AA20)/$Y20)-MAX(0,-INT(($AA20-W$5)/$Y20))+1),IF($Z20&gt;0,(MOD(((YEAR(W$5)-YEAR($AA20))*12+MONTH(W$5)-MONTH($AA20)),$Z20)=0)*(((YEAR(W$5)-YEAR($AA20))*12+MONTH(W$5)-MONTH($AA20))&gt;=0)*(EDATE($AA20,MAX(0,((YEAR(W$5)-YEAR($AA20))*12+MONTH(W$5)-MONTH($AA20))))&gt;=W$5)*(EDATE($AA20,MAX(0,((YEAR(W$5)-YEAR($AA20))*12+MONTH(W$5)-MONTH($AA20))))&lt;=MIN(W$5+6,$AB20))+(MOD((((YEAR(W$5)-YEAR($AA20))*12+MONTH(W$5)-MONTH($AA20))+1),$Z20)=0)*((((YEAR(W$5)-YEAR($AA20))*12+MONTH(W$5)-MONTH($AA20))+1)&gt;=0)*(EDATE($AA20,MAX(0,(((YEAR(W$5)-YEAR($AA20))*12+MONTH(W$5)-MONTH($AA20))+1)))&gt;=W$5)*(EDATE($AA20,MAX(0,(((YEAR(W$5)-YEAR($AA20))*12+MONTH(W$5)-MONTH($AA20))+1)))&lt;=MIN(W$5+6,$AB20)),($AA20&gt;=W$5)*($AA20&lt;=W$5+6))))</f>
        <v/>
      </c>
      <c r="X20">
        <f>IF(COUNTA(A20:G20)=0,"",IF(AND(OR(B20="In",B20="Out"),ISNUMBER(D20),D20&gt;0,ISNUMBER(MATCH(E20,FreqName,0)),ISNUMBER(F20),OR(G20="",AND(ISNUMBER(G20),G20&gt;=F20))),1,0))</f>
        <v/>
      </c>
      <c r="Y20">
        <f>IF(X20&lt;&gt;1,0,INDEX(FreqDays,MATCH(E20,FreqName,0)))</f>
        <v/>
      </c>
      <c r="Z20">
        <f>IF(X20&lt;&gt;1,0,INDEX(FreqMonths,MATCH(E20,FreqName,0)))</f>
        <v/>
      </c>
      <c r="AA20">
        <f>IF(X20&lt;&gt;1,0,INT(F20))</f>
        <v/>
      </c>
      <c r="AB20">
        <f>IF(X20&lt;&gt;1,0,IF(ISNUMBER(G20),INT(G20),2958465))</f>
        <v/>
      </c>
    </row>
    <row r="21">
      <c r="A21" s="29" t="n"/>
      <c r="B21" s="29" t="n"/>
      <c r="C21" s="29" t="n"/>
      <c r="D21" s="34" t="n"/>
      <c r="E21" s="29" t="n"/>
      <c r="F21" s="24" t="n"/>
      <c r="G21" s="24" t="n"/>
      <c r="H21" s="10">
        <f>IF(X21="","",IF(X21=0,IF(AND(B21&lt;&gt;"In",B21&lt;&gt;"Out"),"Fix: choose In or Out",IF(OR(NOT(ISNUMBER(D21)),N(D21)&lt;=0),"Fix: amount must be a number above 0",IF(NOT(ISNUMBER(MATCH(E21,FreqName,0))),"Fix: choose a frequency",IF(NOT(ISNUMBER(F21)),"Fix: first date missing","Fix: end date must be a date on or after the first date")))),IF(AND(C21&lt;&gt;"",OR(AND(B21="In",ISNUMBER(MATCH(C21,InCats,0))),AND(B21="Out",ISNUMBER(MATCH(C21,OutCats,0))))),"OK","Category not on Settings (counted as Other)")))</f>
        <v/>
      </c>
      <c r="I21" s="35">
        <f>IF(X21&lt;&gt;1,"",ROUND(J21/D21,0))</f>
        <v/>
      </c>
      <c r="J21" s="36">
        <f>SUM(K21:W21)</f>
        <v/>
      </c>
      <c r="K21" s="21">
        <f>IF($X21&lt;&gt;1,0,$D21*IF($Y21&gt;0,MAX(0,INT((MIN(K$5+6,$AB21)-$AA21)/$Y21)-MAX(0,-INT(($AA21-K$5)/$Y21))+1),IF($Z21&gt;0,(MOD(((YEAR(K$5)-YEAR($AA21))*12+MONTH(K$5)-MONTH($AA21)),$Z21)=0)*(((YEAR(K$5)-YEAR($AA21))*12+MONTH(K$5)-MONTH($AA21))&gt;=0)*(EDATE($AA21,MAX(0,((YEAR(K$5)-YEAR($AA21))*12+MONTH(K$5)-MONTH($AA21))))&gt;=K$5)*(EDATE($AA21,MAX(0,((YEAR(K$5)-YEAR($AA21))*12+MONTH(K$5)-MONTH($AA21))))&lt;=MIN(K$5+6,$AB21))+(MOD((((YEAR(K$5)-YEAR($AA21))*12+MONTH(K$5)-MONTH($AA21))+1),$Z21)=0)*((((YEAR(K$5)-YEAR($AA21))*12+MONTH(K$5)-MONTH($AA21))+1)&gt;=0)*(EDATE($AA21,MAX(0,(((YEAR(K$5)-YEAR($AA21))*12+MONTH(K$5)-MONTH($AA21))+1)))&gt;=K$5)*(EDATE($AA21,MAX(0,(((YEAR(K$5)-YEAR($AA21))*12+MONTH(K$5)-MONTH($AA21))+1)))&lt;=MIN(K$5+6,$AB21)),($AA21&gt;=K$5)*($AA21&lt;=K$5+6))))</f>
        <v/>
      </c>
      <c r="L21" s="21">
        <f>IF($X21&lt;&gt;1,0,$D21*IF($Y21&gt;0,MAX(0,INT((MIN(L$5+6,$AB21)-$AA21)/$Y21)-MAX(0,-INT(($AA21-L$5)/$Y21))+1),IF($Z21&gt;0,(MOD(((YEAR(L$5)-YEAR($AA21))*12+MONTH(L$5)-MONTH($AA21)),$Z21)=0)*(((YEAR(L$5)-YEAR($AA21))*12+MONTH(L$5)-MONTH($AA21))&gt;=0)*(EDATE($AA21,MAX(0,((YEAR(L$5)-YEAR($AA21))*12+MONTH(L$5)-MONTH($AA21))))&gt;=L$5)*(EDATE($AA21,MAX(0,((YEAR(L$5)-YEAR($AA21))*12+MONTH(L$5)-MONTH($AA21))))&lt;=MIN(L$5+6,$AB21))+(MOD((((YEAR(L$5)-YEAR($AA21))*12+MONTH(L$5)-MONTH($AA21))+1),$Z21)=0)*((((YEAR(L$5)-YEAR($AA21))*12+MONTH(L$5)-MONTH($AA21))+1)&gt;=0)*(EDATE($AA21,MAX(0,(((YEAR(L$5)-YEAR($AA21))*12+MONTH(L$5)-MONTH($AA21))+1)))&gt;=L$5)*(EDATE($AA21,MAX(0,(((YEAR(L$5)-YEAR($AA21))*12+MONTH(L$5)-MONTH($AA21))+1)))&lt;=MIN(L$5+6,$AB21)),($AA21&gt;=L$5)*($AA21&lt;=L$5+6))))</f>
        <v/>
      </c>
      <c r="M21" s="21">
        <f>IF($X21&lt;&gt;1,0,$D21*IF($Y21&gt;0,MAX(0,INT((MIN(M$5+6,$AB21)-$AA21)/$Y21)-MAX(0,-INT(($AA21-M$5)/$Y21))+1),IF($Z21&gt;0,(MOD(((YEAR(M$5)-YEAR($AA21))*12+MONTH(M$5)-MONTH($AA21)),$Z21)=0)*(((YEAR(M$5)-YEAR($AA21))*12+MONTH(M$5)-MONTH($AA21))&gt;=0)*(EDATE($AA21,MAX(0,((YEAR(M$5)-YEAR($AA21))*12+MONTH(M$5)-MONTH($AA21))))&gt;=M$5)*(EDATE($AA21,MAX(0,((YEAR(M$5)-YEAR($AA21))*12+MONTH(M$5)-MONTH($AA21))))&lt;=MIN(M$5+6,$AB21))+(MOD((((YEAR(M$5)-YEAR($AA21))*12+MONTH(M$5)-MONTH($AA21))+1),$Z21)=0)*((((YEAR(M$5)-YEAR($AA21))*12+MONTH(M$5)-MONTH($AA21))+1)&gt;=0)*(EDATE($AA21,MAX(0,(((YEAR(M$5)-YEAR($AA21))*12+MONTH(M$5)-MONTH($AA21))+1)))&gt;=M$5)*(EDATE($AA21,MAX(0,(((YEAR(M$5)-YEAR($AA21))*12+MONTH(M$5)-MONTH($AA21))+1)))&lt;=MIN(M$5+6,$AB21)),($AA21&gt;=M$5)*($AA21&lt;=M$5+6))))</f>
        <v/>
      </c>
      <c r="N21" s="21">
        <f>IF($X21&lt;&gt;1,0,$D21*IF($Y21&gt;0,MAX(0,INT((MIN(N$5+6,$AB21)-$AA21)/$Y21)-MAX(0,-INT(($AA21-N$5)/$Y21))+1),IF($Z21&gt;0,(MOD(((YEAR(N$5)-YEAR($AA21))*12+MONTH(N$5)-MONTH($AA21)),$Z21)=0)*(((YEAR(N$5)-YEAR($AA21))*12+MONTH(N$5)-MONTH($AA21))&gt;=0)*(EDATE($AA21,MAX(0,((YEAR(N$5)-YEAR($AA21))*12+MONTH(N$5)-MONTH($AA21))))&gt;=N$5)*(EDATE($AA21,MAX(0,((YEAR(N$5)-YEAR($AA21))*12+MONTH(N$5)-MONTH($AA21))))&lt;=MIN(N$5+6,$AB21))+(MOD((((YEAR(N$5)-YEAR($AA21))*12+MONTH(N$5)-MONTH($AA21))+1),$Z21)=0)*((((YEAR(N$5)-YEAR($AA21))*12+MONTH(N$5)-MONTH($AA21))+1)&gt;=0)*(EDATE($AA21,MAX(0,(((YEAR(N$5)-YEAR($AA21))*12+MONTH(N$5)-MONTH($AA21))+1)))&gt;=N$5)*(EDATE($AA21,MAX(0,(((YEAR(N$5)-YEAR($AA21))*12+MONTH(N$5)-MONTH($AA21))+1)))&lt;=MIN(N$5+6,$AB21)),($AA21&gt;=N$5)*($AA21&lt;=N$5+6))))</f>
        <v/>
      </c>
      <c r="O21" s="21">
        <f>IF($X21&lt;&gt;1,0,$D21*IF($Y21&gt;0,MAX(0,INT((MIN(O$5+6,$AB21)-$AA21)/$Y21)-MAX(0,-INT(($AA21-O$5)/$Y21))+1),IF($Z21&gt;0,(MOD(((YEAR(O$5)-YEAR($AA21))*12+MONTH(O$5)-MONTH($AA21)),$Z21)=0)*(((YEAR(O$5)-YEAR($AA21))*12+MONTH(O$5)-MONTH($AA21))&gt;=0)*(EDATE($AA21,MAX(0,((YEAR(O$5)-YEAR($AA21))*12+MONTH(O$5)-MONTH($AA21))))&gt;=O$5)*(EDATE($AA21,MAX(0,((YEAR(O$5)-YEAR($AA21))*12+MONTH(O$5)-MONTH($AA21))))&lt;=MIN(O$5+6,$AB21))+(MOD((((YEAR(O$5)-YEAR($AA21))*12+MONTH(O$5)-MONTH($AA21))+1),$Z21)=0)*((((YEAR(O$5)-YEAR($AA21))*12+MONTH(O$5)-MONTH($AA21))+1)&gt;=0)*(EDATE($AA21,MAX(0,(((YEAR(O$5)-YEAR($AA21))*12+MONTH(O$5)-MONTH($AA21))+1)))&gt;=O$5)*(EDATE($AA21,MAX(0,(((YEAR(O$5)-YEAR($AA21))*12+MONTH(O$5)-MONTH($AA21))+1)))&lt;=MIN(O$5+6,$AB21)),($AA21&gt;=O$5)*($AA21&lt;=O$5+6))))</f>
        <v/>
      </c>
      <c r="P21" s="21">
        <f>IF($X21&lt;&gt;1,0,$D21*IF($Y21&gt;0,MAX(0,INT((MIN(P$5+6,$AB21)-$AA21)/$Y21)-MAX(0,-INT(($AA21-P$5)/$Y21))+1),IF($Z21&gt;0,(MOD(((YEAR(P$5)-YEAR($AA21))*12+MONTH(P$5)-MONTH($AA21)),$Z21)=0)*(((YEAR(P$5)-YEAR($AA21))*12+MONTH(P$5)-MONTH($AA21))&gt;=0)*(EDATE($AA21,MAX(0,((YEAR(P$5)-YEAR($AA21))*12+MONTH(P$5)-MONTH($AA21))))&gt;=P$5)*(EDATE($AA21,MAX(0,((YEAR(P$5)-YEAR($AA21))*12+MONTH(P$5)-MONTH($AA21))))&lt;=MIN(P$5+6,$AB21))+(MOD((((YEAR(P$5)-YEAR($AA21))*12+MONTH(P$5)-MONTH($AA21))+1),$Z21)=0)*((((YEAR(P$5)-YEAR($AA21))*12+MONTH(P$5)-MONTH($AA21))+1)&gt;=0)*(EDATE($AA21,MAX(0,(((YEAR(P$5)-YEAR($AA21))*12+MONTH(P$5)-MONTH($AA21))+1)))&gt;=P$5)*(EDATE($AA21,MAX(0,(((YEAR(P$5)-YEAR($AA21))*12+MONTH(P$5)-MONTH($AA21))+1)))&lt;=MIN(P$5+6,$AB21)),($AA21&gt;=P$5)*($AA21&lt;=P$5+6))))</f>
        <v/>
      </c>
      <c r="Q21" s="21">
        <f>IF($X21&lt;&gt;1,0,$D21*IF($Y21&gt;0,MAX(0,INT((MIN(Q$5+6,$AB21)-$AA21)/$Y21)-MAX(0,-INT(($AA21-Q$5)/$Y21))+1),IF($Z21&gt;0,(MOD(((YEAR(Q$5)-YEAR($AA21))*12+MONTH(Q$5)-MONTH($AA21)),$Z21)=0)*(((YEAR(Q$5)-YEAR($AA21))*12+MONTH(Q$5)-MONTH($AA21))&gt;=0)*(EDATE($AA21,MAX(0,((YEAR(Q$5)-YEAR($AA21))*12+MONTH(Q$5)-MONTH($AA21))))&gt;=Q$5)*(EDATE($AA21,MAX(0,((YEAR(Q$5)-YEAR($AA21))*12+MONTH(Q$5)-MONTH($AA21))))&lt;=MIN(Q$5+6,$AB21))+(MOD((((YEAR(Q$5)-YEAR($AA21))*12+MONTH(Q$5)-MONTH($AA21))+1),$Z21)=0)*((((YEAR(Q$5)-YEAR($AA21))*12+MONTH(Q$5)-MONTH($AA21))+1)&gt;=0)*(EDATE($AA21,MAX(0,(((YEAR(Q$5)-YEAR($AA21))*12+MONTH(Q$5)-MONTH($AA21))+1)))&gt;=Q$5)*(EDATE($AA21,MAX(0,(((YEAR(Q$5)-YEAR($AA21))*12+MONTH(Q$5)-MONTH($AA21))+1)))&lt;=MIN(Q$5+6,$AB21)),($AA21&gt;=Q$5)*($AA21&lt;=Q$5+6))))</f>
        <v/>
      </c>
      <c r="R21" s="21">
        <f>IF($X21&lt;&gt;1,0,$D21*IF($Y21&gt;0,MAX(0,INT((MIN(R$5+6,$AB21)-$AA21)/$Y21)-MAX(0,-INT(($AA21-R$5)/$Y21))+1),IF($Z21&gt;0,(MOD(((YEAR(R$5)-YEAR($AA21))*12+MONTH(R$5)-MONTH($AA21)),$Z21)=0)*(((YEAR(R$5)-YEAR($AA21))*12+MONTH(R$5)-MONTH($AA21))&gt;=0)*(EDATE($AA21,MAX(0,((YEAR(R$5)-YEAR($AA21))*12+MONTH(R$5)-MONTH($AA21))))&gt;=R$5)*(EDATE($AA21,MAX(0,((YEAR(R$5)-YEAR($AA21))*12+MONTH(R$5)-MONTH($AA21))))&lt;=MIN(R$5+6,$AB21))+(MOD((((YEAR(R$5)-YEAR($AA21))*12+MONTH(R$5)-MONTH($AA21))+1),$Z21)=0)*((((YEAR(R$5)-YEAR($AA21))*12+MONTH(R$5)-MONTH($AA21))+1)&gt;=0)*(EDATE($AA21,MAX(0,(((YEAR(R$5)-YEAR($AA21))*12+MONTH(R$5)-MONTH($AA21))+1)))&gt;=R$5)*(EDATE($AA21,MAX(0,(((YEAR(R$5)-YEAR($AA21))*12+MONTH(R$5)-MONTH($AA21))+1)))&lt;=MIN(R$5+6,$AB21)),($AA21&gt;=R$5)*($AA21&lt;=R$5+6))))</f>
        <v/>
      </c>
      <c r="S21" s="21">
        <f>IF($X21&lt;&gt;1,0,$D21*IF($Y21&gt;0,MAX(0,INT((MIN(S$5+6,$AB21)-$AA21)/$Y21)-MAX(0,-INT(($AA21-S$5)/$Y21))+1),IF($Z21&gt;0,(MOD(((YEAR(S$5)-YEAR($AA21))*12+MONTH(S$5)-MONTH($AA21)),$Z21)=0)*(((YEAR(S$5)-YEAR($AA21))*12+MONTH(S$5)-MONTH($AA21))&gt;=0)*(EDATE($AA21,MAX(0,((YEAR(S$5)-YEAR($AA21))*12+MONTH(S$5)-MONTH($AA21))))&gt;=S$5)*(EDATE($AA21,MAX(0,((YEAR(S$5)-YEAR($AA21))*12+MONTH(S$5)-MONTH($AA21))))&lt;=MIN(S$5+6,$AB21))+(MOD((((YEAR(S$5)-YEAR($AA21))*12+MONTH(S$5)-MONTH($AA21))+1),$Z21)=0)*((((YEAR(S$5)-YEAR($AA21))*12+MONTH(S$5)-MONTH($AA21))+1)&gt;=0)*(EDATE($AA21,MAX(0,(((YEAR(S$5)-YEAR($AA21))*12+MONTH(S$5)-MONTH($AA21))+1)))&gt;=S$5)*(EDATE($AA21,MAX(0,(((YEAR(S$5)-YEAR($AA21))*12+MONTH(S$5)-MONTH($AA21))+1)))&lt;=MIN(S$5+6,$AB21)),($AA21&gt;=S$5)*($AA21&lt;=S$5+6))))</f>
        <v/>
      </c>
      <c r="T21" s="21">
        <f>IF($X21&lt;&gt;1,0,$D21*IF($Y21&gt;0,MAX(0,INT((MIN(T$5+6,$AB21)-$AA21)/$Y21)-MAX(0,-INT(($AA21-T$5)/$Y21))+1),IF($Z21&gt;0,(MOD(((YEAR(T$5)-YEAR($AA21))*12+MONTH(T$5)-MONTH($AA21)),$Z21)=0)*(((YEAR(T$5)-YEAR($AA21))*12+MONTH(T$5)-MONTH($AA21))&gt;=0)*(EDATE($AA21,MAX(0,((YEAR(T$5)-YEAR($AA21))*12+MONTH(T$5)-MONTH($AA21))))&gt;=T$5)*(EDATE($AA21,MAX(0,((YEAR(T$5)-YEAR($AA21))*12+MONTH(T$5)-MONTH($AA21))))&lt;=MIN(T$5+6,$AB21))+(MOD((((YEAR(T$5)-YEAR($AA21))*12+MONTH(T$5)-MONTH($AA21))+1),$Z21)=0)*((((YEAR(T$5)-YEAR($AA21))*12+MONTH(T$5)-MONTH($AA21))+1)&gt;=0)*(EDATE($AA21,MAX(0,(((YEAR(T$5)-YEAR($AA21))*12+MONTH(T$5)-MONTH($AA21))+1)))&gt;=T$5)*(EDATE($AA21,MAX(0,(((YEAR(T$5)-YEAR($AA21))*12+MONTH(T$5)-MONTH($AA21))+1)))&lt;=MIN(T$5+6,$AB21)),($AA21&gt;=T$5)*($AA21&lt;=T$5+6))))</f>
        <v/>
      </c>
      <c r="U21" s="21">
        <f>IF($X21&lt;&gt;1,0,$D21*IF($Y21&gt;0,MAX(0,INT((MIN(U$5+6,$AB21)-$AA21)/$Y21)-MAX(0,-INT(($AA21-U$5)/$Y21))+1),IF($Z21&gt;0,(MOD(((YEAR(U$5)-YEAR($AA21))*12+MONTH(U$5)-MONTH($AA21)),$Z21)=0)*(((YEAR(U$5)-YEAR($AA21))*12+MONTH(U$5)-MONTH($AA21))&gt;=0)*(EDATE($AA21,MAX(0,((YEAR(U$5)-YEAR($AA21))*12+MONTH(U$5)-MONTH($AA21))))&gt;=U$5)*(EDATE($AA21,MAX(0,((YEAR(U$5)-YEAR($AA21))*12+MONTH(U$5)-MONTH($AA21))))&lt;=MIN(U$5+6,$AB21))+(MOD((((YEAR(U$5)-YEAR($AA21))*12+MONTH(U$5)-MONTH($AA21))+1),$Z21)=0)*((((YEAR(U$5)-YEAR($AA21))*12+MONTH(U$5)-MONTH($AA21))+1)&gt;=0)*(EDATE($AA21,MAX(0,(((YEAR(U$5)-YEAR($AA21))*12+MONTH(U$5)-MONTH($AA21))+1)))&gt;=U$5)*(EDATE($AA21,MAX(0,(((YEAR(U$5)-YEAR($AA21))*12+MONTH(U$5)-MONTH($AA21))+1)))&lt;=MIN(U$5+6,$AB21)),($AA21&gt;=U$5)*($AA21&lt;=U$5+6))))</f>
        <v/>
      </c>
      <c r="V21" s="21">
        <f>IF($X21&lt;&gt;1,0,$D21*IF($Y21&gt;0,MAX(0,INT((MIN(V$5+6,$AB21)-$AA21)/$Y21)-MAX(0,-INT(($AA21-V$5)/$Y21))+1),IF($Z21&gt;0,(MOD(((YEAR(V$5)-YEAR($AA21))*12+MONTH(V$5)-MONTH($AA21)),$Z21)=0)*(((YEAR(V$5)-YEAR($AA21))*12+MONTH(V$5)-MONTH($AA21))&gt;=0)*(EDATE($AA21,MAX(0,((YEAR(V$5)-YEAR($AA21))*12+MONTH(V$5)-MONTH($AA21))))&gt;=V$5)*(EDATE($AA21,MAX(0,((YEAR(V$5)-YEAR($AA21))*12+MONTH(V$5)-MONTH($AA21))))&lt;=MIN(V$5+6,$AB21))+(MOD((((YEAR(V$5)-YEAR($AA21))*12+MONTH(V$5)-MONTH($AA21))+1),$Z21)=0)*((((YEAR(V$5)-YEAR($AA21))*12+MONTH(V$5)-MONTH($AA21))+1)&gt;=0)*(EDATE($AA21,MAX(0,(((YEAR(V$5)-YEAR($AA21))*12+MONTH(V$5)-MONTH($AA21))+1)))&gt;=V$5)*(EDATE($AA21,MAX(0,(((YEAR(V$5)-YEAR($AA21))*12+MONTH(V$5)-MONTH($AA21))+1)))&lt;=MIN(V$5+6,$AB21)),($AA21&gt;=V$5)*($AA21&lt;=V$5+6))))</f>
        <v/>
      </c>
      <c r="W21" s="21">
        <f>IF($X21&lt;&gt;1,0,$D21*IF($Y21&gt;0,MAX(0,INT((MIN(W$5+6,$AB21)-$AA21)/$Y21)-MAX(0,-INT(($AA21-W$5)/$Y21))+1),IF($Z21&gt;0,(MOD(((YEAR(W$5)-YEAR($AA21))*12+MONTH(W$5)-MONTH($AA21)),$Z21)=0)*(((YEAR(W$5)-YEAR($AA21))*12+MONTH(W$5)-MONTH($AA21))&gt;=0)*(EDATE($AA21,MAX(0,((YEAR(W$5)-YEAR($AA21))*12+MONTH(W$5)-MONTH($AA21))))&gt;=W$5)*(EDATE($AA21,MAX(0,((YEAR(W$5)-YEAR($AA21))*12+MONTH(W$5)-MONTH($AA21))))&lt;=MIN(W$5+6,$AB21))+(MOD((((YEAR(W$5)-YEAR($AA21))*12+MONTH(W$5)-MONTH($AA21))+1),$Z21)=0)*((((YEAR(W$5)-YEAR($AA21))*12+MONTH(W$5)-MONTH($AA21))+1)&gt;=0)*(EDATE($AA21,MAX(0,(((YEAR(W$5)-YEAR($AA21))*12+MONTH(W$5)-MONTH($AA21))+1)))&gt;=W$5)*(EDATE($AA21,MAX(0,(((YEAR(W$5)-YEAR($AA21))*12+MONTH(W$5)-MONTH($AA21))+1)))&lt;=MIN(W$5+6,$AB21)),($AA21&gt;=W$5)*($AA21&lt;=W$5+6))))</f>
        <v/>
      </c>
      <c r="X21">
        <f>IF(COUNTA(A21:G21)=0,"",IF(AND(OR(B21="In",B21="Out"),ISNUMBER(D21),D21&gt;0,ISNUMBER(MATCH(E21,FreqName,0)),ISNUMBER(F21),OR(G21="",AND(ISNUMBER(G21),G21&gt;=F21))),1,0))</f>
        <v/>
      </c>
      <c r="Y21">
        <f>IF(X21&lt;&gt;1,0,INDEX(FreqDays,MATCH(E21,FreqName,0)))</f>
        <v/>
      </c>
      <c r="Z21">
        <f>IF(X21&lt;&gt;1,0,INDEX(FreqMonths,MATCH(E21,FreqName,0)))</f>
        <v/>
      </c>
      <c r="AA21">
        <f>IF(X21&lt;&gt;1,0,INT(F21))</f>
        <v/>
      </c>
      <c r="AB21">
        <f>IF(X21&lt;&gt;1,0,IF(ISNUMBER(G21),INT(G21),2958465))</f>
        <v/>
      </c>
    </row>
    <row r="22">
      <c r="A22" s="29" t="n"/>
      <c r="B22" s="29" t="n"/>
      <c r="C22" s="29" t="n"/>
      <c r="D22" s="34" t="n"/>
      <c r="E22" s="29" t="n"/>
      <c r="F22" s="24" t="n"/>
      <c r="G22" s="24" t="n"/>
      <c r="H22" s="10">
        <f>IF(X22="","",IF(X22=0,IF(AND(B22&lt;&gt;"In",B22&lt;&gt;"Out"),"Fix: choose In or Out",IF(OR(NOT(ISNUMBER(D22)),N(D22)&lt;=0),"Fix: amount must be a number above 0",IF(NOT(ISNUMBER(MATCH(E22,FreqName,0))),"Fix: choose a frequency",IF(NOT(ISNUMBER(F22)),"Fix: first date missing","Fix: end date must be a date on or after the first date")))),IF(AND(C22&lt;&gt;"",OR(AND(B22="In",ISNUMBER(MATCH(C22,InCats,0))),AND(B22="Out",ISNUMBER(MATCH(C22,OutCats,0))))),"OK","Category not on Settings (counted as Other)")))</f>
        <v/>
      </c>
      <c r="I22" s="35">
        <f>IF(X22&lt;&gt;1,"",ROUND(J22/D22,0))</f>
        <v/>
      </c>
      <c r="J22" s="36">
        <f>SUM(K22:W22)</f>
        <v/>
      </c>
      <c r="K22" s="21">
        <f>IF($X22&lt;&gt;1,0,$D22*IF($Y22&gt;0,MAX(0,INT((MIN(K$5+6,$AB22)-$AA22)/$Y22)-MAX(0,-INT(($AA22-K$5)/$Y22))+1),IF($Z22&gt;0,(MOD(((YEAR(K$5)-YEAR($AA22))*12+MONTH(K$5)-MONTH($AA22)),$Z22)=0)*(((YEAR(K$5)-YEAR($AA22))*12+MONTH(K$5)-MONTH($AA22))&gt;=0)*(EDATE($AA22,MAX(0,((YEAR(K$5)-YEAR($AA22))*12+MONTH(K$5)-MONTH($AA22))))&gt;=K$5)*(EDATE($AA22,MAX(0,((YEAR(K$5)-YEAR($AA22))*12+MONTH(K$5)-MONTH($AA22))))&lt;=MIN(K$5+6,$AB22))+(MOD((((YEAR(K$5)-YEAR($AA22))*12+MONTH(K$5)-MONTH($AA22))+1),$Z22)=0)*((((YEAR(K$5)-YEAR($AA22))*12+MONTH(K$5)-MONTH($AA22))+1)&gt;=0)*(EDATE($AA22,MAX(0,(((YEAR(K$5)-YEAR($AA22))*12+MONTH(K$5)-MONTH($AA22))+1)))&gt;=K$5)*(EDATE($AA22,MAX(0,(((YEAR(K$5)-YEAR($AA22))*12+MONTH(K$5)-MONTH($AA22))+1)))&lt;=MIN(K$5+6,$AB22)),($AA22&gt;=K$5)*($AA22&lt;=K$5+6))))</f>
        <v/>
      </c>
      <c r="L22" s="21">
        <f>IF($X22&lt;&gt;1,0,$D22*IF($Y22&gt;0,MAX(0,INT((MIN(L$5+6,$AB22)-$AA22)/$Y22)-MAX(0,-INT(($AA22-L$5)/$Y22))+1),IF($Z22&gt;0,(MOD(((YEAR(L$5)-YEAR($AA22))*12+MONTH(L$5)-MONTH($AA22)),$Z22)=0)*(((YEAR(L$5)-YEAR($AA22))*12+MONTH(L$5)-MONTH($AA22))&gt;=0)*(EDATE($AA22,MAX(0,((YEAR(L$5)-YEAR($AA22))*12+MONTH(L$5)-MONTH($AA22))))&gt;=L$5)*(EDATE($AA22,MAX(0,((YEAR(L$5)-YEAR($AA22))*12+MONTH(L$5)-MONTH($AA22))))&lt;=MIN(L$5+6,$AB22))+(MOD((((YEAR(L$5)-YEAR($AA22))*12+MONTH(L$5)-MONTH($AA22))+1),$Z22)=0)*((((YEAR(L$5)-YEAR($AA22))*12+MONTH(L$5)-MONTH($AA22))+1)&gt;=0)*(EDATE($AA22,MAX(0,(((YEAR(L$5)-YEAR($AA22))*12+MONTH(L$5)-MONTH($AA22))+1)))&gt;=L$5)*(EDATE($AA22,MAX(0,(((YEAR(L$5)-YEAR($AA22))*12+MONTH(L$5)-MONTH($AA22))+1)))&lt;=MIN(L$5+6,$AB22)),($AA22&gt;=L$5)*($AA22&lt;=L$5+6))))</f>
        <v/>
      </c>
      <c r="M22" s="21">
        <f>IF($X22&lt;&gt;1,0,$D22*IF($Y22&gt;0,MAX(0,INT((MIN(M$5+6,$AB22)-$AA22)/$Y22)-MAX(0,-INT(($AA22-M$5)/$Y22))+1),IF($Z22&gt;0,(MOD(((YEAR(M$5)-YEAR($AA22))*12+MONTH(M$5)-MONTH($AA22)),$Z22)=0)*(((YEAR(M$5)-YEAR($AA22))*12+MONTH(M$5)-MONTH($AA22))&gt;=0)*(EDATE($AA22,MAX(0,((YEAR(M$5)-YEAR($AA22))*12+MONTH(M$5)-MONTH($AA22))))&gt;=M$5)*(EDATE($AA22,MAX(0,((YEAR(M$5)-YEAR($AA22))*12+MONTH(M$5)-MONTH($AA22))))&lt;=MIN(M$5+6,$AB22))+(MOD((((YEAR(M$5)-YEAR($AA22))*12+MONTH(M$5)-MONTH($AA22))+1),$Z22)=0)*((((YEAR(M$5)-YEAR($AA22))*12+MONTH(M$5)-MONTH($AA22))+1)&gt;=0)*(EDATE($AA22,MAX(0,(((YEAR(M$5)-YEAR($AA22))*12+MONTH(M$5)-MONTH($AA22))+1)))&gt;=M$5)*(EDATE($AA22,MAX(0,(((YEAR(M$5)-YEAR($AA22))*12+MONTH(M$5)-MONTH($AA22))+1)))&lt;=MIN(M$5+6,$AB22)),($AA22&gt;=M$5)*($AA22&lt;=M$5+6))))</f>
        <v/>
      </c>
      <c r="N22" s="21">
        <f>IF($X22&lt;&gt;1,0,$D22*IF($Y22&gt;0,MAX(0,INT((MIN(N$5+6,$AB22)-$AA22)/$Y22)-MAX(0,-INT(($AA22-N$5)/$Y22))+1),IF($Z22&gt;0,(MOD(((YEAR(N$5)-YEAR($AA22))*12+MONTH(N$5)-MONTH($AA22)),$Z22)=0)*(((YEAR(N$5)-YEAR($AA22))*12+MONTH(N$5)-MONTH($AA22))&gt;=0)*(EDATE($AA22,MAX(0,((YEAR(N$5)-YEAR($AA22))*12+MONTH(N$5)-MONTH($AA22))))&gt;=N$5)*(EDATE($AA22,MAX(0,((YEAR(N$5)-YEAR($AA22))*12+MONTH(N$5)-MONTH($AA22))))&lt;=MIN(N$5+6,$AB22))+(MOD((((YEAR(N$5)-YEAR($AA22))*12+MONTH(N$5)-MONTH($AA22))+1),$Z22)=0)*((((YEAR(N$5)-YEAR($AA22))*12+MONTH(N$5)-MONTH($AA22))+1)&gt;=0)*(EDATE($AA22,MAX(0,(((YEAR(N$5)-YEAR($AA22))*12+MONTH(N$5)-MONTH($AA22))+1)))&gt;=N$5)*(EDATE($AA22,MAX(0,(((YEAR(N$5)-YEAR($AA22))*12+MONTH(N$5)-MONTH($AA22))+1)))&lt;=MIN(N$5+6,$AB22)),($AA22&gt;=N$5)*($AA22&lt;=N$5+6))))</f>
        <v/>
      </c>
      <c r="O22" s="21">
        <f>IF($X22&lt;&gt;1,0,$D22*IF($Y22&gt;0,MAX(0,INT((MIN(O$5+6,$AB22)-$AA22)/$Y22)-MAX(0,-INT(($AA22-O$5)/$Y22))+1),IF($Z22&gt;0,(MOD(((YEAR(O$5)-YEAR($AA22))*12+MONTH(O$5)-MONTH($AA22)),$Z22)=0)*(((YEAR(O$5)-YEAR($AA22))*12+MONTH(O$5)-MONTH($AA22))&gt;=0)*(EDATE($AA22,MAX(0,((YEAR(O$5)-YEAR($AA22))*12+MONTH(O$5)-MONTH($AA22))))&gt;=O$5)*(EDATE($AA22,MAX(0,((YEAR(O$5)-YEAR($AA22))*12+MONTH(O$5)-MONTH($AA22))))&lt;=MIN(O$5+6,$AB22))+(MOD((((YEAR(O$5)-YEAR($AA22))*12+MONTH(O$5)-MONTH($AA22))+1),$Z22)=0)*((((YEAR(O$5)-YEAR($AA22))*12+MONTH(O$5)-MONTH($AA22))+1)&gt;=0)*(EDATE($AA22,MAX(0,(((YEAR(O$5)-YEAR($AA22))*12+MONTH(O$5)-MONTH($AA22))+1)))&gt;=O$5)*(EDATE($AA22,MAX(0,(((YEAR(O$5)-YEAR($AA22))*12+MONTH(O$5)-MONTH($AA22))+1)))&lt;=MIN(O$5+6,$AB22)),($AA22&gt;=O$5)*($AA22&lt;=O$5+6))))</f>
        <v/>
      </c>
      <c r="P22" s="21">
        <f>IF($X22&lt;&gt;1,0,$D22*IF($Y22&gt;0,MAX(0,INT((MIN(P$5+6,$AB22)-$AA22)/$Y22)-MAX(0,-INT(($AA22-P$5)/$Y22))+1),IF($Z22&gt;0,(MOD(((YEAR(P$5)-YEAR($AA22))*12+MONTH(P$5)-MONTH($AA22)),$Z22)=0)*(((YEAR(P$5)-YEAR($AA22))*12+MONTH(P$5)-MONTH($AA22))&gt;=0)*(EDATE($AA22,MAX(0,((YEAR(P$5)-YEAR($AA22))*12+MONTH(P$5)-MONTH($AA22))))&gt;=P$5)*(EDATE($AA22,MAX(0,((YEAR(P$5)-YEAR($AA22))*12+MONTH(P$5)-MONTH($AA22))))&lt;=MIN(P$5+6,$AB22))+(MOD((((YEAR(P$5)-YEAR($AA22))*12+MONTH(P$5)-MONTH($AA22))+1),$Z22)=0)*((((YEAR(P$5)-YEAR($AA22))*12+MONTH(P$5)-MONTH($AA22))+1)&gt;=0)*(EDATE($AA22,MAX(0,(((YEAR(P$5)-YEAR($AA22))*12+MONTH(P$5)-MONTH($AA22))+1)))&gt;=P$5)*(EDATE($AA22,MAX(0,(((YEAR(P$5)-YEAR($AA22))*12+MONTH(P$5)-MONTH($AA22))+1)))&lt;=MIN(P$5+6,$AB22)),($AA22&gt;=P$5)*($AA22&lt;=P$5+6))))</f>
        <v/>
      </c>
      <c r="Q22" s="21">
        <f>IF($X22&lt;&gt;1,0,$D22*IF($Y22&gt;0,MAX(0,INT((MIN(Q$5+6,$AB22)-$AA22)/$Y22)-MAX(0,-INT(($AA22-Q$5)/$Y22))+1),IF($Z22&gt;0,(MOD(((YEAR(Q$5)-YEAR($AA22))*12+MONTH(Q$5)-MONTH($AA22)),$Z22)=0)*(((YEAR(Q$5)-YEAR($AA22))*12+MONTH(Q$5)-MONTH($AA22))&gt;=0)*(EDATE($AA22,MAX(0,((YEAR(Q$5)-YEAR($AA22))*12+MONTH(Q$5)-MONTH($AA22))))&gt;=Q$5)*(EDATE($AA22,MAX(0,((YEAR(Q$5)-YEAR($AA22))*12+MONTH(Q$5)-MONTH($AA22))))&lt;=MIN(Q$5+6,$AB22))+(MOD((((YEAR(Q$5)-YEAR($AA22))*12+MONTH(Q$5)-MONTH($AA22))+1),$Z22)=0)*((((YEAR(Q$5)-YEAR($AA22))*12+MONTH(Q$5)-MONTH($AA22))+1)&gt;=0)*(EDATE($AA22,MAX(0,(((YEAR(Q$5)-YEAR($AA22))*12+MONTH(Q$5)-MONTH($AA22))+1)))&gt;=Q$5)*(EDATE($AA22,MAX(0,(((YEAR(Q$5)-YEAR($AA22))*12+MONTH(Q$5)-MONTH($AA22))+1)))&lt;=MIN(Q$5+6,$AB22)),($AA22&gt;=Q$5)*($AA22&lt;=Q$5+6))))</f>
        <v/>
      </c>
      <c r="R22" s="21">
        <f>IF($X22&lt;&gt;1,0,$D22*IF($Y22&gt;0,MAX(0,INT((MIN(R$5+6,$AB22)-$AA22)/$Y22)-MAX(0,-INT(($AA22-R$5)/$Y22))+1),IF($Z22&gt;0,(MOD(((YEAR(R$5)-YEAR($AA22))*12+MONTH(R$5)-MONTH($AA22)),$Z22)=0)*(((YEAR(R$5)-YEAR($AA22))*12+MONTH(R$5)-MONTH($AA22))&gt;=0)*(EDATE($AA22,MAX(0,((YEAR(R$5)-YEAR($AA22))*12+MONTH(R$5)-MONTH($AA22))))&gt;=R$5)*(EDATE($AA22,MAX(0,((YEAR(R$5)-YEAR($AA22))*12+MONTH(R$5)-MONTH($AA22))))&lt;=MIN(R$5+6,$AB22))+(MOD((((YEAR(R$5)-YEAR($AA22))*12+MONTH(R$5)-MONTH($AA22))+1),$Z22)=0)*((((YEAR(R$5)-YEAR($AA22))*12+MONTH(R$5)-MONTH($AA22))+1)&gt;=0)*(EDATE($AA22,MAX(0,(((YEAR(R$5)-YEAR($AA22))*12+MONTH(R$5)-MONTH($AA22))+1)))&gt;=R$5)*(EDATE($AA22,MAX(0,(((YEAR(R$5)-YEAR($AA22))*12+MONTH(R$5)-MONTH($AA22))+1)))&lt;=MIN(R$5+6,$AB22)),($AA22&gt;=R$5)*($AA22&lt;=R$5+6))))</f>
        <v/>
      </c>
      <c r="S22" s="21">
        <f>IF($X22&lt;&gt;1,0,$D22*IF($Y22&gt;0,MAX(0,INT((MIN(S$5+6,$AB22)-$AA22)/$Y22)-MAX(0,-INT(($AA22-S$5)/$Y22))+1),IF($Z22&gt;0,(MOD(((YEAR(S$5)-YEAR($AA22))*12+MONTH(S$5)-MONTH($AA22)),$Z22)=0)*(((YEAR(S$5)-YEAR($AA22))*12+MONTH(S$5)-MONTH($AA22))&gt;=0)*(EDATE($AA22,MAX(0,((YEAR(S$5)-YEAR($AA22))*12+MONTH(S$5)-MONTH($AA22))))&gt;=S$5)*(EDATE($AA22,MAX(0,((YEAR(S$5)-YEAR($AA22))*12+MONTH(S$5)-MONTH($AA22))))&lt;=MIN(S$5+6,$AB22))+(MOD((((YEAR(S$5)-YEAR($AA22))*12+MONTH(S$5)-MONTH($AA22))+1),$Z22)=0)*((((YEAR(S$5)-YEAR($AA22))*12+MONTH(S$5)-MONTH($AA22))+1)&gt;=0)*(EDATE($AA22,MAX(0,(((YEAR(S$5)-YEAR($AA22))*12+MONTH(S$5)-MONTH($AA22))+1)))&gt;=S$5)*(EDATE($AA22,MAX(0,(((YEAR(S$5)-YEAR($AA22))*12+MONTH(S$5)-MONTH($AA22))+1)))&lt;=MIN(S$5+6,$AB22)),($AA22&gt;=S$5)*($AA22&lt;=S$5+6))))</f>
        <v/>
      </c>
      <c r="T22" s="21">
        <f>IF($X22&lt;&gt;1,0,$D22*IF($Y22&gt;0,MAX(0,INT((MIN(T$5+6,$AB22)-$AA22)/$Y22)-MAX(0,-INT(($AA22-T$5)/$Y22))+1),IF($Z22&gt;0,(MOD(((YEAR(T$5)-YEAR($AA22))*12+MONTH(T$5)-MONTH($AA22)),$Z22)=0)*(((YEAR(T$5)-YEAR($AA22))*12+MONTH(T$5)-MONTH($AA22))&gt;=0)*(EDATE($AA22,MAX(0,((YEAR(T$5)-YEAR($AA22))*12+MONTH(T$5)-MONTH($AA22))))&gt;=T$5)*(EDATE($AA22,MAX(0,((YEAR(T$5)-YEAR($AA22))*12+MONTH(T$5)-MONTH($AA22))))&lt;=MIN(T$5+6,$AB22))+(MOD((((YEAR(T$5)-YEAR($AA22))*12+MONTH(T$5)-MONTH($AA22))+1),$Z22)=0)*((((YEAR(T$5)-YEAR($AA22))*12+MONTH(T$5)-MONTH($AA22))+1)&gt;=0)*(EDATE($AA22,MAX(0,(((YEAR(T$5)-YEAR($AA22))*12+MONTH(T$5)-MONTH($AA22))+1)))&gt;=T$5)*(EDATE($AA22,MAX(0,(((YEAR(T$5)-YEAR($AA22))*12+MONTH(T$5)-MONTH($AA22))+1)))&lt;=MIN(T$5+6,$AB22)),($AA22&gt;=T$5)*($AA22&lt;=T$5+6))))</f>
        <v/>
      </c>
      <c r="U22" s="21">
        <f>IF($X22&lt;&gt;1,0,$D22*IF($Y22&gt;0,MAX(0,INT((MIN(U$5+6,$AB22)-$AA22)/$Y22)-MAX(0,-INT(($AA22-U$5)/$Y22))+1),IF($Z22&gt;0,(MOD(((YEAR(U$5)-YEAR($AA22))*12+MONTH(U$5)-MONTH($AA22)),$Z22)=0)*(((YEAR(U$5)-YEAR($AA22))*12+MONTH(U$5)-MONTH($AA22))&gt;=0)*(EDATE($AA22,MAX(0,((YEAR(U$5)-YEAR($AA22))*12+MONTH(U$5)-MONTH($AA22))))&gt;=U$5)*(EDATE($AA22,MAX(0,((YEAR(U$5)-YEAR($AA22))*12+MONTH(U$5)-MONTH($AA22))))&lt;=MIN(U$5+6,$AB22))+(MOD((((YEAR(U$5)-YEAR($AA22))*12+MONTH(U$5)-MONTH($AA22))+1),$Z22)=0)*((((YEAR(U$5)-YEAR($AA22))*12+MONTH(U$5)-MONTH($AA22))+1)&gt;=0)*(EDATE($AA22,MAX(0,(((YEAR(U$5)-YEAR($AA22))*12+MONTH(U$5)-MONTH($AA22))+1)))&gt;=U$5)*(EDATE($AA22,MAX(0,(((YEAR(U$5)-YEAR($AA22))*12+MONTH(U$5)-MONTH($AA22))+1)))&lt;=MIN(U$5+6,$AB22)),($AA22&gt;=U$5)*($AA22&lt;=U$5+6))))</f>
        <v/>
      </c>
      <c r="V22" s="21">
        <f>IF($X22&lt;&gt;1,0,$D22*IF($Y22&gt;0,MAX(0,INT((MIN(V$5+6,$AB22)-$AA22)/$Y22)-MAX(0,-INT(($AA22-V$5)/$Y22))+1),IF($Z22&gt;0,(MOD(((YEAR(V$5)-YEAR($AA22))*12+MONTH(V$5)-MONTH($AA22)),$Z22)=0)*(((YEAR(V$5)-YEAR($AA22))*12+MONTH(V$5)-MONTH($AA22))&gt;=0)*(EDATE($AA22,MAX(0,((YEAR(V$5)-YEAR($AA22))*12+MONTH(V$5)-MONTH($AA22))))&gt;=V$5)*(EDATE($AA22,MAX(0,((YEAR(V$5)-YEAR($AA22))*12+MONTH(V$5)-MONTH($AA22))))&lt;=MIN(V$5+6,$AB22))+(MOD((((YEAR(V$5)-YEAR($AA22))*12+MONTH(V$5)-MONTH($AA22))+1),$Z22)=0)*((((YEAR(V$5)-YEAR($AA22))*12+MONTH(V$5)-MONTH($AA22))+1)&gt;=0)*(EDATE($AA22,MAX(0,(((YEAR(V$5)-YEAR($AA22))*12+MONTH(V$5)-MONTH($AA22))+1)))&gt;=V$5)*(EDATE($AA22,MAX(0,(((YEAR(V$5)-YEAR($AA22))*12+MONTH(V$5)-MONTH($AA22))+1)))&lt;=MIN(V$5+6,$AB22)),($AA22&gt;=V$5)*($AA22&lt;=V$5+6))))</f>
        <v/>
      </c>
      <c r="W22" s="21">
        <f>IF($X22&lt;&gt;1,0,$D22*IF($Y22&gt;0,MAX(0,INT((MIN(W$5+6,$AB22)-$AA22)/$Y22)-MAX(0,-INT(($AA22-W$5)/$Y22))+1),IF($Z22&gt;0,(MOD(((YEAR(W$5)-YEAR($AA22))*12+MONTH(W$5)-MONTH($AA22)),$Z22)=0)*(((YEAR(W$5)-YEAR($AA22))*12+MONTH(W$5)-MONTH($AA22))&gt;=0)*(EDATE($AA22,MAX(0,((YEAR(W$5)-YEAR($AA22))*12+MONTH(W$5)-MONTH($AA22))))&gt;=W$5)*(EDATE($AA22,MAX(0,((YEAR(W$5)-YEAR($AA22))*12+MONTH(W$5)-MONTH($AA22))))&lt;=MIN(W$5+6,$AB22))+(MOD((((YEAR(W$5)-YEAR($AA22))*12+MONTH(W$5)-MONTH($AA22))+1),$Z22)=0)*((((YEAR(W$5)-YEAR($AA22))*12+MONTH(W$5)-MONTH($AA22))+1)&gt;=0)*(EDATE($AA22,MAX(0,(((YEAR(W$5)-YEAR($AA22))*12+MONTH(W$5)-MONTH($AA22))+1)))&gt;=W$5)*(EDATE($AA22,MAX(0,(((YEAR(W$5)-YEAR($AA22))*12+MONTH(W$5)-MONTH($AA22))+1)))&lt;=MIN(W$5+6,$AB22)),($AA22&gt;=W$5)*($AA22&lt;=W$5+6))))</f>
        <v/>
      </c>
      <c r="X22">
        <f>IF(COUNTA(A22:G22)=0,"",IF(AND(OR(B22="In",B22="Out"),ISNUMBER(D22),D22&gt;0,ISNUMBER(MATCH(E22,FreqName,0)),ISNUMBER(F22),OR(G22="",AND(ISNUMBER(G22),G22&gt;=F22))),1,0))</f>
        <v/>
      </c>
      <c r="Y22">
        <f>IF(X22&lt;&gt;1,0,INDEX(FreqDays,MATCH(E22,FreqName,0)))</f>
        <v/>
      </c>
      <c r="Z22">
        <f>IF(X22&lt;&gt;1,0,INDEX(FreqMonths,MATCH(E22,FreqName,0)))</f>
        <v/>
      </c>
      <c r="AA22">
        <f>IF(X22&lt;&gt;1,0,INT(F22))</f>
        <v/>
      </c>
      <c r="AB22">
        <f>IF(X22&lt;&gt;1,0,IF(ISNUMBER(G22),INT(G22),2958465))</f>
        <v/>
      </c>
    </row>
    <row r="23">
      <c r="A23" s="29" t="n"/>
      <c r="B23" s="29" t="n"/>
      <c r="C23" s="29" t="n"/>
      <c r="D23" s="34" t="n"/>
      <c r="E23" s="29" t="n"/>
      <c r="F23" s="24" t="n"/>
      <c r="G23" s="24" t="n"/>
      <c r="H23" s="10">
        <f>IF(X23="","",IF(X23=0,IF(AND(B23&lt;&gt;"In",B23&lt;&gt;"Out"),"Fix: choose In or Out",IF(OR(NOT(ISNUMBER(D23)),N(D23)&lt;=0),"Fix: amount must be a number above 0",IF(NOT(ISNUMBER(MATCH(E23,FreqName,0))),"Fix: choose a frequency",IF(NOT(ISNUMBER(F23)),"Fix: first date missing","Fix: end date must be a date on or after the first date")))),IF(AND(C23&lt;&gt;"",OR(AND(B23="In",ISNUMBER(MATCH(C23,InCats,0))),AND(B23="Out",ISNUMBER(MATCH(C23,OutCats,0))))),"OK","Category not on Settings (counted as Other)")))</f>
        <v/>
      </c>
      <c r="I23" s="35">
        <f>IF(X23&lt;&gt;1,"",ROUND(J23/D23,0))</f>
        <v/>
      </c>
      <c r="J23" s="36">
        <f>SUM(K23:W23)</f>
        <v/>
      </c>
      <c r="K23" s="21">
        <f>IF($X23&lt;&gt;1,0,$D23*IF($Y23&gt;0,MAX(0,INT((MIN(K$5+6,$AB23)-$AA23)/$Y23)-MAX(0,-INT(($AA23-K$5)/$Y23))+1),IF($Z23&gt;0,(MOD(((YEAR(K$5)-YEAR($AA23))*12+MONTH(K$5)-MONTH($AA23)),$Z23)=0)*(((YEAR(K$5)-YEAR($AA23))*12+MONTH(K$5)-MONTH($AA23))&gt;=0)*(EDATE($AA23,MAX(0,((YEAR(K$5)-YEAR($AA23))*12+MONTH(K$5)-MONTH($AA23))))&gt;=K$5)*(EDATE($AA23,MAX(0,((YEAR(K$5)-YEAR($AA23))*12+MONTH(K$5)-MONTH($AA23))))&lt;=MIN(K$5+6,$AB23))+(MOD((((YEAR(K$5)-YEAR($AA23))*12+MONTH(K$5)-MONTH($AA23))+1),$Z23)=0)*((((YEAR(K$5)-YEAR($AA23))*12+MONTH(K$5)-MONTH($AA23))+1)&gt;=0)*(EDATE($AA23,MAX(0,(((YEAR(K$5)-YEAR($AA23))*12+MONTH(K$5)-MONTH($AA23))+1)))&gt;=K$5)*(EDATE($AA23,MAX(0,(((YEAR(K$5)-YEAR($AA23))*12+MONTH(K$5)-MONTH($AA23))+1)))&lt;=MIN(K$5+6,$AB23)),($AA23&gt;=K$5)*($AA23&lt;=K$5+6))))</f>
        <v/>
      </c>
      <c r="L23" s="21">
        <f>IF($X23&lt;&gt;1,0,$D23*IF($Y23&gt;0,MAX(0,INT((MIN(L$5+6,$AB23)-$AA23)/$Y23)-MAX(0,-INT(($AA23-L$5)/$Y23))+1),IF($Z23&gt;0,(MOD(((YEAR(L$5)-YEAR($AA23))*12+MONTH(L$5)-MONTH($AA23)),$Z23)=0)*(((YEAR(L$5)-YEAR($AA23))*12+MONTH(L$5)-MONTH($AA23))&gt;=0)*(EDATE($AA23,MAX(0,((YEAR(L$5)-YEAR($AA23))*12+MONTH(L$5)-MONTH($AA23))))&gt;=L$5)*(EDATE($AA23,MAX(0,((YEAR(L$5)-YEAR($AA23))*12+MONTH(L$5)-MONTH($AA23))))&lt;=MIN(L$5+6,$AB23))+(MOD((((YEAR(L$5)-YEAR($AA23))*12+MONTH(L$5)-MONTH($AA23))+1),$Z23)=0)*((((YEAR(L$5)-YEAR($AA23))*12+MONTH(L$5)-MONTH($AA23))+1)&gt;=0)*(EDATE($AA23,MAX(0,(((YEAR(L$5)-YEAR($AA23))*12+MONTH(L$5)-MONTH($AA23))+1)))&gt;=L$5)*(EDATE($AA23,MAX(0,(((YEAR(L$5)-YEAR($AA23))*12+MONTH(L$5)-MONTH($AA23))+1)))&lt;=MIN(L$5+6,$AB23)),($AA23&gt;=L$5)*($AA23&lt;=L$5+6))))</f>
        <v/>
      </c>
      <c r="M23" s="21">
        <f>IF($X23&lt;&gt;1,0,$D23*IF($Y23&gt;0,MAX(0,INT((MIN(M$5+6,$AB23)-$AA23)/$Y23)-MAX(0,-INT(($AA23-M$5)/$Y23))+1),IF($Z23&gt;0,(MOD(((YEAR(M$5)-YEAR($AA23))*12+MONTH(M$5)-MONTH($AA23)),$Z23)=0)*(((YEAR(M$5)-YEAR($AA23))*12+MONTH(M$5)-MONTH($AA23))&gt;=0)*(EDATE($AA23,MAX(0,((YEAR(M$5)-YEAR($AA23))*12+MONTH(M$5)-MONTH($AA23))))&gt;=M$5)*(EDATE($AA23,MAX(0,((YEAR(M$5)-YEAR($AA23))*12+MONTH(M$5)-MONTH($AA23))))&lt;=MIN(M$5+6,$AB23))+(MOD((((YEAR(M$5)-YEAR($AA23))*12+MONTH(M$5)-MONTH($AA23))+1),$Z23)=0)*((((YEAR(M$5)-YEAR($AA23))*12+MONTH(M$5)-MONTH($AA23))+1)&gt;=0)*(EDATE($AA23,MAX(0,(((YEAR(M$5)-YEAR($AA23))*12+MONTH(M$5)-MONTH($AA23))+1)))&gt;=M$5)*(EDATE($AA23,MAX(0,(((YEAR(M$5)-YEAR($AA23))*12+MONTH(M$5)-MONTH($AA23))+1)))&lt;=MIN(M$5+6,$AB23)),($AA23&gt;=M$5)*($AA23&lt;=M$5+6))))</f>
        <v/>
      </c>
      <c r="N23" s="21">
        <f>IF($X23&lt;&gt;1,0,$D23*IF($Y23&gt;0,MAX(0,INT((MIN(N$5+6,$AB23)-$AA23)/$Y23)-MAX(0,-INT(($AA23-N$5)/$Y23))+1),IF($Z23&gt;0,(MOD(((YEAR(N$5)-YEAR($AA23))*12+MONTH(N$5)-MONTH($AA23)),$Z23)=0)*(((YEAR(N$5)-YEAR($AA23))*12+MONTH(N$5)-MONTH($AA23))&gt;=0)*(EDATE($AA23,MAX(0,((YEAR(N$5)-YEAR($AA23))*12+MONTH(N$5)-MONTH($AA23))))&gt;=N$5)*(EDATE($AA23,MAX(0,((YEAR(N$5)-YEAR($AA23))*12+MONTH(N$5)-MONTH($AA23))))&lt;=MIN(N$5+6,$AB23))+(MOD((((YEAR(N$5)-YEAR($AA23))*12+MONTH(N$5)-MONTH($AA23))+1),$Z23)=0)*((((YEAR(N$5)-YEAR($AA23))*12+MONTH(N$5)-MONTH($AA23))+1)&gt;=0)*(EDATE($AA23,MAX(0,(((YEAR(N$5)-YEAR($AA23))*12+MONTH(N$5)-MONTH($AA23))+1)))&gt;=N$5)*(EDATE($AA23,MAX(0,(((YEAR(N$5)-YEAR($AA23))*12+MONTH(N$5)-MONTH($AA23))+1)))&lt;=MIN(N$5+6,$AB23)),($AA23&gt;=N$5)*($AA23&lt;=N$5+6))))</f>
        <v/>
      </c>
      <c r="O23" s="21">
        <f>IF($X23&lt;&gt;1,0,$D23*IF($Y23&gt;0,MAX(0,INT((MIN(O$5+6,$AB23)-$AA23)/$Y23)-MAX(0,-INT(($AA23-O$5)/$Y23))+1),IF($Z23&gt;0,(MOD(((YEAR(O$5)-YEAR($AA23))*12+MONTH(O$5)-MONTH($AA23)),$Z23)=0)*(((YEAR(O$5)-YEAR($AA23))*12+MONTH(O$5)-MONTH($AA23))&gt;=0)*(EDATE($AA23,MAX(0,((YEAR(O$5)-YEAR($AA23))*12+MONTH(O$5)-MONTH($AA23))))&gt;=O$5)*(EDATE($AA23,MAX(0,((YEAR(O$5)-YEAR($AA23))*12+MONTH(O$5)-MONTH($AA23))))&lt;=MIN(O$5+6,$AB23))+(MOD((((YEAR(O$5)-YEAR($AA23))*12+MONTH(O$5)-MONTH($AA23))+1),$Z23)=0)*((((YEAR(O$5)-YEAR($AA23))*12+MONTH(O$5)-MONTH($AA23))+1)&gt;=0)*(EDATE($AA23,MAX(0,(((YEAR(O$5)-YEAR($AA23))*12+MONTH(O$5)-MONTH($AA23))+1)))&gt;=O$5)*(EDATE($AA23,MAX(0,(((YEAR(O$5)-YEAR($AA23))*12+MONTH(O$5)-MONTH($AA23))+1)))&lt;=MIN(O$5+6,$AB23)),($AA23&gt;=O$5)*($AA23&lt;=O$5+6))))</f>
        <v/>
      </c>
      <c r="P23" s="21">
        <f>IF($X23&lt;&gt;1,0,$D23*IF($Y23&gt;0,MAX(0,INT((MIN(P$5+6,$AB23)-$AA23)/$Y23)-MAX(0,-INT(($AA23-P$5)/$Y23))+1),IF($Z23&gt;0,(MOD(((YEAR(P$5)-YEAR($AA23))*12+MONTH(P$5)-MONTH($AA23)),$Z23)=0)*(((YEAR(P$5)-YEAR($AA23))*12+MONTH(P$5)-MONTH($AA23))&gt;=0)*(EDATE($AA23,MAX(0,((YEAR(P$5)-YEAR($AA23))*12+MONTH(P$5)-MONTH($AA23))))&gt;=P$5)*(EDATE($AA23,MAX(0,((YEAR(P$5)-YEAR($AA23))*12+MONTH(P$5)-MONTH($AA23))))&lt;=MIN(P$5+6,$AB23))+(MOD((((YEAR(P$5)-YEAR($AA23))*12+MONTH(P$5)-MONTH($AA23))+1),$Z23)=0)*((((YEAR(P$5)-YEAR($AA23))*12+MONTH(P$5)-MONTH($AA23))+1)&gt;=0)*(EDATE($AA23,MAX(0,(((YEAR(P$5)-YEAR($AA23))*12+MONTH(P$5)-MONTH($AA23))+1)))&gt;=P$5)*(EDATE($AA23,MAX(0,(((YEAR(P$5)-YEAR($AA23))*12+MONTH(P$5)-MONTH($AA23))+1)))&lt;=MIN(P$5+6,$AB23)),($AA23&gt;=P$5)*($AA23&lt;=P$5+6))))</f>
        <v/>
      </c>
      <c r="Q23" s="21">
        <f>IF($X23&lt;&gt;1,0,$D23*IF($Y23&gt;0,MAX(0,INT((MIN(Q$5+6,$AB23)-$AA23)/$Y23)-MAX(0,-INT(($AA23-Q$5)/$Y23))+1),IF($Z23&gt;0,(MOD(((YEAR(Q$5)-YEAR($AA23))*12+MONTH(Q$5)-MONTH($AA23)),$Z23)=0)*(((YEAR(Q$5)-YEAR($AA23))*12+MONTH(Q$5)-MONTH($AA23))&gt;=0)*(EDATE($AA23,MAX(0,((YEAR(Q$5)-YEAR($AA23))*12+MONTH(Q$5)-MONTH($AA23))))&gt;=Q$5)*(EDATE($AA23,MAX(0,((YEAR(Q$5)-YEAR($AA23))*12+MONTH(Q$5)-MONTH($AA23))))&lt;=MIN(Q$5+6,$AB23))+(MOD((((YEAR(Q$5)-YEAR($AA23))*12+MONTH(Q$5)-MONTH($AA23))+1),$Z23)=0)*((((YEAR(Q$5)-YEAR($AA23))*12+MONTH(Q$5)-MONTH($AA23))+1)&gt;=0)*(EDATE($AA23,MAX(0,(((YEAR(Q$5)-YEAR($AA23))*12+MONTH(Q$5)-MONTH($AA23))+1)))&gt;=Q$5)*(EDATE($AA23,MAX(0,(((YEAR(Q$5)-YEAR($AA23))*12+MONTH(Q$5)-MONTH($AA23))+1)))&lt;=MIN(Q$5+6,$AB23)),($AA23&gt;=Q$5)*($AA23&lt;=Q$5+6))))</f>
        <v/>
      </c>
      <c r="R23" s="21">
        <f>IF($X23&lt;&gt;1,0,$D23*IF($Y23&gt;0,MAX(0,INT((MIN(R$5+6,$AB23)-$AA23)/$Y23)-MAX(0,-INT(($AA23-R$5)/$Y23))+1),IF($Z23&gt;0,(MOD(((YEAR(R$5)-YEAR($AA23))*12+MONTH(R$5)-MONTH($AA23)),$Z23)=0)*(((YEAR(R$5)-YEAR($AA23))*12+MONTH(R$5)-MONTH($AA23))&gt;=0)*(EDATE($AA23,MAX(0,((YEAR(R$5)-YEAR($AA23))*12+MONTH(R$5)-MONTH($AA23))))&gt;=R$5)*(EDATE($AA23,MAX(0,((YEAR(R$5)-YEAR($AA23))*12+MONTH(R$5)-MONTH($AA23))))&lt;=MIN(R$5+6,$AB23))+(MOD((((YEAR(R$5)-YEAR($AA23))*12+MONTH(R$5)-MONTH($AA23))+1),$Z23)=0)*((((YEAR(R$5)-YEAR($AA23))*12+MONTH(R$5)-MONTH($AA23))+1)&gt;=0)*(EDATE($AA23,MAX(0,(((YEAR(R$5)-YEAR($AA23))*12+MONTH(R$5)-MONTH($AA23))+1)))&gt;=R$5)*(EDATE($AA23,MAX(0,(((YEAR(R$5)-YEAR($AA23))*12+MONTH(R$5)-MONTH($AA23))+1)))&lt;=MIN(R$5+6,$AB23)),($AA23&gt;=R$5)*($AA23&lt;=R$5+6))))</f>
        <v/>
      </c>
      <c r="S23" s="21">
        <f>IF($X23&lt;&gt;1,0,$D23*IF($Y23&gt;0,MAX(0,INT((MIN(S$5+6,$AB23)-$AA23)/$Y23)-MAX(0,-INT(($AA23-S$5)/$Y23))+1),IF($Z23&gt;0,(MOD(((YEAR(S$5)-YEAR($AA23))*12+MONTH(S$5)-MONTH($AA23)),$Z23)=0)*(((YEAR(S$5)-YEAR($AA23))*12+MONTH(S$5)-MONTH($AA23))&gt;=0)*(EDATE($AA23,MAX(0,((YEAR(S$5)-YEAR($AA23))*12+MONTH(S$5)-MONTH($AA23))))&gt;=S$5)*(EDATE($AA23,MAX(0,((YEAR(S$5)-YEAR($AA23))*12+MONTH(S$5)-MONTH($AA23))))&lt;=MIN(S$5+6,$AB23))+(MOD((((YEAR(S$5)-YEAR($AA23))*12+MONTH(S$5)-MONTH($AA23))+1),$Z23)=0)*((((YEAR(S$5)-YEAR($AA23))*12+MONTH(S$5)-MONTH($AA23))+1)&gt;=0)*(EDATE($AA23,MAX(0,(((YEAR(S$5)-YEAR($AA23))*12+MONTH(S$5)-MONTH($AA23))+1)))&gt;=S$5)*(EDATE($AA23,MAX(0,(((YEAR(S$5)-YEAR($AA23))*12+MONTH(S$5)-MONTH($AA23))+1)))&lt;=MIN(S$5+6,$AB23)),($AA23&gt;=S$5)*($AA23&lt;=S$5+6))))</f>
        <v/>
      </c>
      <c r="T23" s="21">
        <f>IF($X23&lt;&gt;1,0,$D23*IF($Y23&gt;0,MAX(0,INT((MIN(T$5+6,$AB23)-$AA23)/$Y23)-MAX(0,-INT(($AA23-T$5)/$Y23))+1),IF($Z23&gt;0,(MOD(((YEAR(T$5)-YEAR($AA23))*12+MONTH(T$5)-MONTH($AA23)),$Z23)=0)*(((YEAR(T$5)-YEAR($AA23))*12+MONTH(T$5)-MONTH($AA23))&gt;=0)*(EDATE($AA23,MAX(0,((YEAR(T$5)-YEAR($AA23))*12+MONTH(T$5)-MONTH($AA23))))&gt;=T$5)*(EDATE($AA23,MAX(0,((YEAR(T$5)-YEAR($AA23))*12+MONTH(T$5)-MONTH($AA23))))&lt;=MIN(T$5+6,$AB23))+(MOD((((YEAR(T$5)-YEAR($AA23))*12+MONTH(T$5)-MONTH($AA23))+1),$Z23)=0)*((((YEAR(T$5)-YEAR($AA23))*12+MONTH(T$5)-MONTH($AA23))+1)&gt;=0)*(EDATE($AA23,MAX(0,(((YEAR(T$5)-YEAR($AA23))*12+MONTH(T$5)-MONTH($AA23))+1)))&gt;=T$5)*(EDATE($AA23,MAX(0,(((YEAR(T$5)-YEAR($AA23))*12+MONTH(T$5)-MONTH($AA23))+1)))&lt;=MIN(T$5+6,$AB23)),($AA23&gt;=T$5)*($AA23&lt;=T$5+6))))</f>
        <v/>
      </c>
      <c r="U23" s="21">
        <f>IF($X23&lt;&gt;1,0,$D23*IF($Y23&gt;0,MAX(0,INT((MIN(U$5+6,$AB23)-$AA23)/$Y23)-MAX(0,-INT(($AA23-U$5)/$Y23))+1),IF($Z23&gt;0,(MOD(((YEAR(U$5)-YEAR($AA23))*12+MONTH(U$5)-MONTH($AA23)),$Z23)=0)*(((YEAR(U$5)-YEAR($AA23))*12+MONTH(U$5)-MONTH($AA23))&gt;=0)*(EDATE($AA23,MAX(0,((YEAR(U$5)-YEAR($AA23))*12+MONTH(U$5)-MONTH($AA23))))&gt;=U$5)*(EDATE($AA23,MAX(0,((YEAR(U$5)-YEAR($AA23))*12+MONTH(U$5)-MONTH($AA23))))&lt;=MIN(U$5+6,$AB23))+(MOD((((YEAR(U$5)-YEAR($AA23))*12+MONTH(U$5)-MONTH($AA23))+1),$Z23)=0)*((((YEAR(U$5)-YEAR($AA23))*12+MONTH(U$5)-MONTH($AA23))+1)&gt;=0)*(EDATE($AA23,MAX(0,(((YEAR(U$5)-YEAR($AA23))*12+MONTH(U$5)-MONTH($AA23))+1)))&gt;=U$5)*(EDATE($AA23,MAX(0,(((YEAR(U$5)-YEAR($AA23))*12+MONTH(U$5)-MONTH($AA23))+1)))&lt;=MIN(U$5+6,$AB23)),($AA23&gt;=U$5)*($AA23&lt;=U$5+6))))</f>
        <v/>
      </c>
      <c r="V23" s="21">
        <f>IF($X23&lt;&gt;1,0,$D23*IF($Y23&gt;0,MAX(0,INT((MIN(V$5+6,$AB23)-$AA23)/$Y23)-MAX(0,-INT(($AA23-V$5)/$Y23))+1),IF($Z23&gt;0,(MOD(((YEAR(V$5)-YEAR($AA23))*12+MONTH(V$5)-MONTH($AA23)),$Z23)=0)*(((YEAR(V$5)-YEAR($AA23))*12+MONTH(V$5)-MONTH($AA23))&gt;=0)*(EDATE($AA23,MAX(0,((YEAR(V$5)-YEAR($AA23))*12+MONTH(V$5)-MONTH($AA23))))&gt;=V$5)*(EDATE($AA23,MAX(0,((YEAR(V$5)-YEAR($AA23))*12+MONTH(V$5)-MONTH($AA23))))&lt;=MIN(V$5+6,$AB23))+(MOD((((YEAR(V$5)-YEAR($AA23))*12+MONTH(V$5)-MONTH($AA23))+1),$Z23)=0)*((((YEAR(V$5)-YEAR($AA23))*12+MONTH(V$5)-MONTH($AA23))+1)&gt;=0)*(EDATE($AA23,MAX(0,(((YEAR(V$5)-YEAR($AA23))*12+MONTH(V$5)-MONTH($AA23))+1)))&gt;=V$5)*(EDATE($AA23,MAX(0,(((YEAR(V$5)-YEAR($AA23))*12+MONTH(V$5)-MONTH($AA23))+1)))&lt;=MIN(V$5+6,$AB23)),($AA23&gt;=V$5)*($AA23&lt;=V$5+6))))</f>
        <v/>
      </c>
      <c r="W23" s="21">
        <f>IF($X23&lt;&gt;1,0,$D23*IF($Y23&gt;0,MAX(0,INT((MIN(W$5+6,$AB23)-$AA23)/$Y23)-MAX(0,-INT(($AA23-W$5)/$Y23))+1),IF($Z23&gt;0,(MOD(((YEAR(W$5)-YEAR($AA23))*12+MONTH(W$5)-MONTH($AA23)),$Z23)=0)*(((YEAR(W$5)-YEAR($AA23))*12+MONTH(W$5)-MONTH($AA23))&gt;=0)*(EDATE($AA23,MAX(0,((YEAR(W$5)-YEAR($AA23))*12+MONTH(W$5)-MONTH($AA23))))&gt;=W$5)*(EDATE($AA23,MAX(0,((YEAR(W$5)-YEAR($AA23))*12+MONTH(W$5)-MONTH($AA23))))&lt;=MIN(W$5+6,$AB23))+(MOD((((YEAR(W$5)-YEAR($AA23))*12+MONTH(W$5)-MONTH($AA23))+1),$Z23)=0)*((((YEAR(W$5)-YEAR($AA23))*12+MONTH(W$5)-MONTH($AA23))+1)&gt;=0)*(EDATE($AA23,MAX(0,(((YEAR(W$5)-YEAR($AA23))*12+MONTH(W$5)-MONTH($AA23))+1)))&gt;=W$5)*(EDATE($AA23,MAX(0,(((YEAR(W$5)-YEAR($AA23))*12+MONTH(W$5)-MONTH($AA23))+1)))&lt;=MIN(W$5+6,$AB23)),($AA23&gt;=W$5)*($AA23&lt;=W$5+6))))</f>
        <v/>
      </c>
      <c r="X23">
        <f>IF(COUNTA(A23:G23)=0,"",IF(AND(OR(B23="In",B23="Out"),ISNUMBER(D23),D23&gt;0,ISNUMBER(MATCH(E23,FreqName,0)),ISNUMBER(F23),OR(G23="",AND(ISNUMBER(G23),G23&gt;=F23))),1,0))</f>
        <v/>
      </c>
      <c r="Y23">
        <f>IF(X23&lt;&gt;1,0,INDEX(FreqDays,MATCH(E23,FreqName,0)))</f>
        <v/>
      </c>
      <c r="Z23">
        <f>IF(X23&lt;&gt;1,0,INDEX(FreqMonths,MATCH(E23,FreqName,0)))</f>
        <v/>
      </c>
      <c r="AA23">
        <f>IF(X23&lt;&gt;1,0,INT(F23))</f>
        <v/>
      </c>
      <c r="AB23">
        <f>IF(X23&lt;&gt;1,0,IF(ISNUMBER(G23),INT(G23),2958465))</f>
        <v/>
      </c>
    </row>
    <row r="24">
      <c r="A24" s="29" t="n"/>
      <c r="B24" s="29" t="n"/>
      <c r="C24" s="29" t="n"/>
      <c r="D24" s="34" t="n"/>
      <c r="E24" s="29" t="n"/>
      <c r="F24" s="24" t="n"/>
      <c r="G24" s="24" t="n"/>
      <c r="H24" s="10">
        <f>IF(X24="","",IF(X24=0,IF(AND(B24&lt;&gt;"In",B24&lt;&gt;"Out"),"Fix: choose In or Out",IF(OR(NOT(ISNUMBER(D24)),N(D24)&lt;=0),"Fix: amount must be a number above 0",IF(NOT(ISNUMBER(MATCH(E24,FreqName,0))),"Fix: choose a frequency",IF(NOT(ISNUMBER(F24)),"Fix: first date missing","Fix: end date must be a date on or after the first date")))),IF(AND(C24&lt;&gt;"",OR(AND(B24="In",ISNUMBER(MATCH(C24,InCats,0))),AND(B24="Out",ISNUMBER(MATCH(C24,OutCats,0))))),"OK","Category not on Settings (counted as Other)")))</f>
        <v/>
      </c>
      <c r="I24" s="35">
        <f>IF(X24&lt;&gt;1,"",ROUND(J24/D24,0))</f>
        <v/>
      </c>
      <c r="J24" s="36">
        <f>SUM(K24:W24)</f>
        <v/>
      </c>
      <c r="K24" s="21">
        <f>IF($X24&lt;&gt;1,0,$D24*IF($Y24&gt;0,MAX(0,INT((MIN(K$5+6,$AB24)-$AA24)/$Y24)-MAX(0,-INT(($AA24-K$5)/$Y24))+1),IF($Z24&gt;0,(MOD(((YEAR(K$5)-YEAR($AA24))*12+MONTH(K$5)-MONTH($AA24)),$Z24)=0)*(((YEAR(K$5)-YEAR($AA24))*12+MONTH(K$5)-MONTH($AA24))&gt;=0)*(EDATE($AA24,MAX(0,((YEAR(K$5)-YEAR($AA24))*12+MONTH(K$5)-MONTH($AA24))))&gt;=K$5)*(EDATE($AA24,MAX(0,((YEAR(K$5)-YEAR($AA24))*12+MONTH(K$5)-MONTH($AA24))))&lt;=MIN(K$5+6,$AB24))+(MOD((((YEAR(K$5)-YEAR($AA24))*12+MONTH(K$5)-MONTH($AA24))+1),$Z24)=0)*((((YEAR(K$5)-YEAR($AA24))*12+MONTH(K$5)-MONTH($AA24))+1)&gt;=0)*(EDATE($AA24,MAX(0,(((YEAR(K$5)-YEAR($AA24))*12+MONTH(K$5)-MONTH($AA24))+1)))&gt;=K$5)*(EDATE($AA24,MAX(0,(((YEAR(K$5)-YEAR($AA24))*12+MONTH(K$5)-MONTH($AA24))+1)))&lt;=MIN(K$5+6,$AB24)),($AA24&gt;=K$5)*($AA24&lt;=K$5+6))))</f>
        <v/>
      </c>
      <c r="L24" s="21">
        <f>IF($X24&lt;&gt;1,0,$D24*IF($Y24&gt;0,MAX(0,INT((MIN(L$5+6,$AB24)-$AA24)/$Y24)-MAX(0,-INT(($AA24-L$5)/$Y24))+1),IF($Z24&gt;0,(MOD(((YEAR(L$5)-YEAR($AA24))*12+MONTH(L$5)-MONTH($AA24)),$Z24)=0)*(((YEAR(L$5)-YEAR($AA24))*12+MONTH(L$5)-MONTH($AA24))&gt;=0)*(EDATE($AA24,MAX(0,((YEAR(L$5)-YEAR($AA24))*12+MONTH(L$5)-MONTH($AA24))))&gt;=L$5)*(EDATE($AA24,MAX(0,((YEAR(L$5)-YEAR($AA24))*12+MONTH(L$5)-MONTH($AA24))))&lt;=MIN(L$5+6,$AB24))+(MOD((((YEAR(L$5)-YEAR($AA24))*12+MONTH(L$5)-MONTH($AA24))+1),$Z24)=0)*((((YEAR(L$5)-YEAR($AA24))*12+MONTH(L$5)-MONTH($AA24))+1)&gt;=0)*(EDATE($AA24,MAX(0,(((YEAR(L$5)-YEAR($AA24))*12+MONTH(L$5)-MONTH($AA24))+1)))&gt;=L$5)*(EDATE($AA24,MAX(0,(((YEAR(L$5)-YEAR($AA24))*12+MONTH(L$5)-MONTH($AA24))+1)))&lt;=MIN(L$5+6,$AB24)),($AA24&gt;=L$5)*($AA24&lt;=L$5+6))))</f>
        <v/>
      </c>
      <c r="M24" s="21">
        <f>IF($X24&lt;&gt;1,0,$D24*IF($Y24&gt;0,MAX(0,INT((MIN(M$5+6,$AB24)-$AA24)/$Y24)-MAX(0,-INT(($AA24-M$5)/$Y24))+1),IF($Z24&gt;0,(MOD(((YEAR(M$5)-YEAR($AA24))*12+MONTH(M$5)-MONTH($AA24)),$Z24)=0)*(((YEAR(M$5)-YEAR($AA24))*12+MONTH(M$5)-MONTH($AA24))&gt;=0)*(EDATE($AA24,MAX(0,((YEAR(M$5)-YEAR($AA24))*12+MONTH(M$5)-MONTH($AA24))))&gt;=M$5)*(EDATE($AA24,MAX(0,((YEAR(M$5)-YEAR($AA24))*12+MONTH(M$5)-MONTH($AA24))))&lt;=MIN(M$5+6,$AB24))+(MOD((((YEAR(M$5)-YEAR($AA24))*12+MONTH(M$5)-MONTH($AA24))+1),$Z24)=0)*((((YEAR(M$5)-YEAR($AA24))*12+MONTH(M$5)-MONTH($AA24))+1)&gt;=0)*(EDATE($AA24,MAX(0,(((YEAR(M$5)-YEAR($AA24))*12+MONTH(M$5)-MONTH($AA24))+1)))&gt;=M$5)*(EDATE($AA24,MAX(0,(((YEAR(M$5)-YEAR($AA24))*12+MONTH(M$5)-MONTH($AA24))+1)))&lt;=MIN(M$5+6,$AB24)),($AA24&gt;=M$5)*($AA24&lt;=M$5+6))))</f>
        <v/>
      </c>
      <c r="N24" s="21">
        <f>IF($X24&lt;&gt;1,0,$D24*IF($Y24&gt;0,MAX(0,INT((MIN(N$5+6,$AB24)-$AA24)/$Y24)-MAX(0,-INT(($AA24-N$5)/$Y24))+1),IF($Z24&gt;0,(MOD(((YEAR(N$5)-YEAR($AA24))*12+MONTH(N$5)-MONTH($AA24)),$Z24)=0)*(((YEAR(N$5)-YEAR($AA24))*12+MONTH(N$5)-MONTH($AA24))&gt;=0)*(EDATE($AA24,MAX(0,((YEAR(N$5)-YEAR($AA24))*12+MONTH(N$5)-MONTH($AA24))))&gt;=N$5)*(EDATE($AA24,MAX(0,((YEAR(N$5)-YEAR($AA24))*12+MONTH(N$5)-MONTH($AA24))))&lt;=MIN(N$5+6,$AB24))+(MOD((((YEAR(N$5)-YEAR($AA24))*12+MONTH(N$5)-MONTH($AA24))+1),$Z24)=0)*((((YEAR(N$5)-YEAR($AA24))*12+MONTH(N$5)-MONTH($AA24))+1)&gt;=0)*(EDATE($AA24,MAX(0,(((YEAR(N$5)-YEAR($AA24))*12+MONTH(N$5)-MONTH($AA24))+1)))&gt;=N$5)*(EDATE($AA24,MAX(0,(((YEAR(N$5)-YEAR($AA24))*12+MONTH(N$5)-MONTH($AA24))+1)))&lt;=MIN(N$5+6,$AB24)),($AA24&gt;=N$5)*($AA24&lt;=N$5+6))))</f>
        <v/>
      </c>
      <c r="O24" s="21">
        <f>IF($X24&lt;&gt;1,0,$D24*IF($Y24&gt;0,MAX(0,INT((MIN(O$5+6,$AB24)-$AA24)/$Y24)-MAX(0,-INT(($AA24-O$5)/$Y24))+1),IF($Z24&gt;0,(MOD(((YEAR(O$5)-YEAR($AA24))*12+MONTH(O$5)-MONTH($AA24)),$Z24)=0)*(((YEAR(O$5)-YEAR($AA24))*12+MONTH(O$5)-MONTH($AA24))&gt;=0)*(EDATE($AA24,MAX(0,((YEAR(O$5)-YEAR($AA24))*12+MONTH(O$5)-MONTH($AA24))))&gt;=O$5)*(EDATE($AA24,MAX(0,((YEAR(O$5)-YEAR($AA24))*12+MONTH(O$5)-MONTH($AA24))))&lt;=MIN(O$5+6,$AB24))+(MOD((((YEAR(O$5)-YEAR($AA24))*12+MONTH(O$5)-MONTH($AA24))+1),$Z24)=0)*((((YEAR(O$5)-YEAR($AA24))*12+MONTH(O$5)-MONTH($AA24))+1)&gt;=0)*(EDATE($AA24,MAX(0,(((YEAR(O$5)-YEAR($AA24))*12+MONTH(O$5)-MONTH($AA24))+1)))&gt;=O$5)*(EDATE($AA24,MAX(0,(((YEAR(O$5)-YEAR($AA24))*12+MONTH(O$5)-MONTH($AA24))+1)))&lt;=MIN(O$5+6,$AB24)),($AA24&gt;=O$5)*($AA24&lt;=O$5+6))))</f>
        <v/>
      </c>
      <c r="P24" s="21">
        <f>IF($X24&lt;&gt;1,0,$D24*IF($Y24&gt;0,MAX(0,INT((MIN(P$5+6,$AB24)-$AA24)/$Y24)-MAX(0,-INT(($AA24-P$5)/$Y24))+1),IF($Z24&gt;0,(MOD(((YEAR(P$5)-YEAR($AA24))*12+MONTH(P$5)-MONTH($AA24)),$Z24)=0)*(((YEAR(P$5)-YEAR($AA24))*12+MONTH(P$5)-MONTH($AA24))&gt;=0)*(EDATE($AA24,MAX(0,((YEAR(P$5)-YEAR($AA24))*12+MONTH(P$5)-MONTH($AA24))))&gt;=P$5)*(EDATE($AA24,MAX(0,((YEAR(P$5)-YEAR($AA24))*12+MONTH(P$5)-MONTH($AA24))))&lt;=MIN(P$5+6,$AB24))+(MOD((((YEAR(P$5)-YEAR($AA24))*12+MONTH(P$5)-MONTH($AA24))+1),$Z24)=0)*((((YEAR(P$5)-YEAR($AA24))*12+MONTH(P$5)-MONTH($AA24))+1)&gt;=0)*(EDATE($AA24,MAX(0,(((YEAR(P$5)-YEAR($AA24))*12+MONTH(P$5)-MONTH($AA24))+1)))&gt;=P$5)*(EDATE($AA24,MAX(0,(((YEAR(P$5)-YEAR($AA24))*12+MONTH(P$5)-MONTH($AA24))+1)))&lt;=MIN(P$5+6,$AB24)),($AA24&gt;=P$5)*($AA24&lt;=P$5+6))))</f>
        <v/>
      </c>
      <c r="Q24" s="21">
        <f>IF($X24&lt;&gt;1,0,$D24*IF($Y24&gt;0,MAX(0,INT((MIN(Q$5+6,$AB24)-$AA24)/$Y24)-MAX(0,-INT(($AA24-Q$5)/$Y24))+1),IF($Z24&gt;0,(MOD(((YEAR(Q$5)-YEAR($AA24))*12+MONTH(Q$5)-MONTH($AA24)),$Z24)=0)*(((YEAR(Q$5)-YEAR($AA24))*12+MONTH(Q$5)-MONTH($AA24))&gt;=0)*(EDATE($AA24,MAX(0,((YEAR(Q$5)-YEAR($AA24))*12+MONTH(Q$5)-MONTH($AA24))))&gt;=Q$5)*(EDATE($AA24,MAX(0,((YEAR(Q$5)-YEAR($AA24))*12+MONTH(Q$5)-MONTH($AA24))))&lt;=MIN(Q$5+6,$AB24))+(MOD((((YEAR(Q$5)-YEAR($AA24))*12+MONTH(Q$5)-MONTH($AA24))+1),$Z24)=0)*((((YEAR(Q$5)-YEAR($AA24))*12+MONTH(Q$5)-MONTH($AA24))+1)&gt;=0)*(EDATE($AA24,MAX(0,(((YEAR(Q$5)-YEAR($AA24))*12+MONTH(Q$5)-MONTH($AA24))+1)))&gt;=Q$5)*(EDATE($AA24,MAX(0,(((YEAR(Q$5)-YEAR($AA24))*12+MONTH(Q$5)-MONTH($AA24))+1)))&lt;=MIN(Q$5+6,$AB24)),($AA24&gt;=Q$5)*($AA24&lt;=Q$5+6))))</f>
        <v/>
      </c>
      <c r="R24" s="21">
        <f>IF($X24&lt;&gt;1,0,$D24*IF($Y24&gt;0,MAX(0,INT((MIN(R$5+6,$AB24)-$AA24)/$Y24)-MAX(0,-INT(($AA24-R$5)/$Y24))+1),IF($Z24&gt;0,(MOD(((YEAR(R$5)-YEAR($AA24))*12+MONTH(R$5)-MONTH($AA24)),$Z24)=0)*(((YEAR(R$5)-YEAR($AA24))*12+MONTH(R$5)-MONTH($AA24))&gt;=0)*(EDATE($AA24,MAX(0,((YEAR(R$5)-YEAR($AA24))*12+MONTH(R$5)-MONTH($AA24))))&gt;=R$5)*(EDATE($AA24,MAX(0,((YEAR(R$5)-YEAR($AA24))*12+MONTH(R$5)-MONTH($AA24))))&lt;=MIN(R$5+6,$AB24))+(MOD((((YEAR(R$5)-YEAR($AA24))*12+MONTH(R$5)-MONTH($AA24))+1),$Z24)=0)*((((YEAR(R$5)-YEAR($AA24))*12+MONTH(R$5)-MONTH($AA24))+1)&gt;=0)*(EDATE($AA24,MAX(0,(((YEAR(R$5)-YEAR($AA24))*12+MONTH(R$5)-MONTH($AA24))+1)))&gt;=R$5)*(EDATE($AA24,MAX(0,(((YEAR(R$5)-YEAR($AA24))*12+MONTH(R$5)-MONTH($AA24))+1)))&lt;=MIN(R$5+6,$AB24)),($AA24&gt;=R$5)*($AA24&lt;=R$5+6))))</f>
        <v/>
      </c>
      <c r="S24" s="21">
        <f>IF($X24&lt;&gt;1,0,$D24*IF($Y24&gt;0,MAX(0,INT((MIN(S$5+6,$AB24)-$AA24)/$Y24)-MAX(0,-INT(($AA24-S$5)/$Y24))+1),IF($Z24&gt;0,(MOD(((YEAR(S$5)-YEAR($AA24))*12+MONTH(S$5)-MONTH($AA24)),$Z24)=0)*(((YEAR(S$5)-YEAR($AA24))*12+MONTH(S$5)-MONTH($AA24))&gt;=0)*(EDATE($AA24,MAX(0,((YEAR(S$5)-YEAR($AA24))*12+MONTH(S$5)-MONTH($AA24))))&gt;=S$5)*(EDATE($AA24,MAX(0,((YEAR(S$5)-YEAR($AA24))*12+MONTH(S$5)-MONTH($AA24))))&lt;=MIN(S$5+6,$AB24))+(MOD((((YEAR(S$5)-YEAR($AA24))*12+MONTH(S$5)-MONTH($AA24))+1),$Z24)=0)*((((YEAR(S$5)-YEAR($AA24))*12+MONTH(S$5)-MONTH($AA24))+1)&gt;=0)*(EDATE($AA24,MAX(0,(((YEAR(S$5)-YEAR($AA24))*12+MONTH(S$5)-MONTH($AA24))+1)))&gt;=S$5)*(EDATE($AA24,MAX(0,(((YEAR(S$5)-YEAR($AA24))*12+MONTH(S$5)-MONTH($AA24))+1)))&lt;=MIN(S$5+6,$AB24)),($AA24&gt;=S$5)*($AA24&lt;=S$5+6))))</f>
        <v/>
      </c>
      <c r="T24" s="21">
        <f>IF($X24&lt;&gt;1,0,$D24*IF($Y24&gt;0,MAX(0,INT((MIN(T$5+6,$AB24)-$AA24)/$Y24)-MAX(0,-INT(($AA24-T$5)/$Y24))+1),IF($Z24&gt;0,(MOD(((YEAR(T$5)-YEAR($AA24))*12+MONTH(T$5)-MONTH($AA24)),$Z24)=0)*(((YEAR(T$5)-YEAR($AA24))*12+MONTH(T$5)-MONTH($AA24))&gt;=0)*(EDATE($AA24,MAX(0,((YEAR(T$5)-YEAR($AA24))*12+MONTH(T$5)-MONTH($AA24))))&gt;=T$5)*(EDATE($AA24,MAX(0,((YEAR(T$5)-YEAR($AA24))*12+MONTH(T$5)-MONTH($AA24))))&lt;=MIN(T$5+6,$AB24))+(MOD((((YEAR(T$5)-YEAR($AA24))*12+MONTH(T$5)-MONTH($AA24))+1),$Z24)=0)*((((YEAR(T$5)-YEAR($AA24))*12+MONTH(T$5)-MONTH($AA24))+1)&gt;=0)*(EDATE($AA24,MAX(0,(((YEAR(T$5)-YEAR($AA24))*12+MONTH(T$5)-MONTH($AA24))+1)))&gt;=T$5)*(EDATE($AA24,MAX(0,(((YEAR(T$5)-YEAR($AA24))*12+MONTH(T$5)-MONTH($AA24))+1)))&lt;=MIN(T$5+6,$AB24)),($AA24&gt;=T$5)*($AA24&lt;=T$5+6))))</f>
        <v/>
      </c>
      <c r="U24" s="21">
        <f>IF($X24&lt;&gt;1,0,$D24*IF($Y24&gt;0,MAX(0,INT((MIN(U$5+6,$AB24)-$AA24)/$Y24)-MAX(0,-INT(($AA24-U$5)/$Y24))+1),IF($Z24&gt;0,(MOD(((YEAR(U$5)-YEAR($AA24))*12+MONTH(U$5)-MONTH($AA24)),$Z24)=0)*(((YEAR(U$5)-YEAR($AA24))*12+MONTH(U$5)-MONTH($AA24))&gt;=0)*(EDATE($AA24,MAX(0,((YEAR(U$5)-YEAR($AA24))*12+MONTH(U$5)-MONTH($AA24))))&gt;=U$5)*(EDATE($AA24,MAX(0,((YEAR(U$5)-YEAR($AA24))*12+MONTH(U$5)-MONTH($AA24))))&lt;=MIN(U$5+6,$AB24))+(MOD((((YEAR(U$5)-YEAR($AA24))*12+MONTH(U$5)-MONTH($AA24))+1),$Z24)=0)*((((YEAR(U$5)-YEAR($AA24))*12+MONTH(U$5)-MONTH($AA24))+1)&gt;=0)*(EDATE($AA24,MAX(0,(((YEAR(U$5)-YEAR($AA24))*12+MONTH(U$5)-MONTH($AA24))+1)))&gt;=U$5)*(EDATE($AA24,MAX(0,(((YEAR(U$5)-YEAR($AA24))*12+MONTH(U$5)-MONTH($AA24))+1)))&lt;=MIN(U$5+6,$AB24)),($AA24&gt;=U$5)*($AA24&lt;=U$5+6))))</f>
        <v/>
      </c>
      <c r="V24" s="21">
        <f>IF($X24&lt;&gt;1,0,$D24*IF($Y24&gt;0,MAX(0,INT((MIN(V$5+6,$AB24)-$AA24)/$Y24)-MAX(0,-INT(($AA24-V$5)/$Y24))+1),IF($Z24&gt;0,(MOD(((YEAR(V$5)-YEAR($AA24))*12+MONTH(V$5)-MONTH($AA24)),$Z24)=0)*(((YEAR(V$5)-YEAR($AA24))*12+MONTH(V$5)-MONTH($AA24))&gt;=0)*(EDATE($AA24,MAX(0,((YEAR(V$5)-YEAR($AA24))*12+MONTH(V$5)-MONTH($AA24))))&gt;=V$5)*(EDATE($AA24,MAX(0,((YEAR(V$5)-YEAR($AA24))*12+MONTH(V$5)-MONTH($AA24))))&lt;=MIN(V$5+6,$AB24))+(MOD((((YEAR(V$5)-YEAR($AA24))*12+MONTH(V$5)-MONTH($AA24))+1),$Z24)=0)*((((YEAR(V$5)-YEAR($AA24))*12+MONTH(V$5)-MONTH($AA24))+1)&gt;=0)*(EDATE($AA24,MAX(0,(((YEAR(V$5)-YEAR($AA24))*12+MONTH(V$5)-MONTH($AA24))+1)))&gt;=V$5)*(EDATE($AA24,MAX(0,(((YEAR(V$5)-YEAR($AA24))*12+MONTH(V$5)-MONTH($AA24))+1)))&lt;=MIN(V$5+6,$AB24)),($AA24&gt;=V$5)*($AA24&lt;=V$5+6))))</f>
        <v/>
      </c>
      <c r="W24" s="21">
        <f>IF($X24&lt;&gt;1,0,$D24*IF($Y24&gt;0,MAX(0,INT((MIN(W$5+6,$AB24)-$AA24)/$Y24)-MAX(0,-INT(($AA24-W$5)/$Y24))+1),IF($Z24&gt;0,(MOD(((YEAR(W$5)-YEAR($AA24))*12+MONTH(W$5)-MONTH($AA24)),$Z24)=0)*(((YEAR(W$5)-YEAR($AA24))*12+MONTH(W$5)-MONTH($AA24))&gt;=0)*(EDATE($AA24,MAX(0,((YEAR(W$5)-YEAR($AA24))*12+MONTH(W$5)-MONTH($AA24))))&gt;=W$5)*(EDATE($AA24,MAX(0,((YEAR(W$5)-YEAR($AA24))*12+MONTH(W$5)-MONTH($AA24))))&lt;=MIN(W$5+6,$AB24))+(MOD((((YEAR(W$5)-YEAR($AA24))*12+MONTH(W$5)-MONTH($AA24))+1),$Z24)=0)*((((YEAR(W$5)-YEAR($AA24))*12+MONTH(W$5)-MONTH($AA24))+1)&gt;=0)*(EDATE($AA24,MAX(0,(((YEAR(W$5)-YEAR($AA24))*12+MONTH(W$5)-MONTH($AA24))+1)))&gt;=W$5)*(EDATE($AA24,MAX(0,(((YEAR(W$5)-YEAR($AA24))*12+MONTH(W$5)-MONTH($AA24))+1)))&lt;=MIN(W$5+6,$AB24)),($AA24&gt;=W$5)*($AA24&lt;=W$5+6))))</f>
        <v/>
      </c>
      <c r="X24">
        <f>IF(COUNTA(A24:G24)=0,"",IF(AND(OR(B24="In",B24="Out"),ISNUMBER(D24),D24&gt;0,ISNUMBER(MATCH(E24,FreqName,0)),ISNUMBER(F24),OR(G24="",AND(ISNUMBER(G24),G24&gt;=F24))),1,0))</f>
        <v/>
      </c>
      <c r="Y24">
        <f>IF(X24&lt;&gt;1,0,INDEX(FreqDays,MATCH(E24,FreqName,0)))</f>
        <v/>
      </c>
      <c r="Z24">
        <f>IF(X24&lt;&gt;1,0,INDEX(FreqMonths,MATCH(E24,FreqName,0)))</f>
        <v/>
      </c>
      <c r="AA24">
        <f>IF(X24&lt;&gt;1,0,INT(F24))</f>
        <v/>
      </c>
      <c r="AB24">
        <f>IF(X24&lt;&gt;1,0,IF(ISNUMBER(G24),INT(G24),2958465))</f>
        <v/>
      </c>
    </row>
    <row r="25">
      <c r="A25" s="29" t="n"/>
      <c r="B25" s="29" t="n"/>
      <c r="C25" s="29" t="n"/>
      <c r="D25" s="34" t="n"/>
      <c r="E25" s="29" t="n"/>
      <c r="F25" s="24" t="n"/>
      <c r="G25" s="24" t="n"/>
      <c r="H25" s="10">
        <f>IF(X25="","",IF(X25=0,IF(AND(B25&lt;&gt;"In",B25&lt;&gt;"Out"),"Fix: choose In or Out",IF(OR(NOT(ISNUMBER(D25)),N(D25)&lt;=0),"Fix: amount must be a number above 0",IF(NOT(ISNUMBER(MATCH(E25,FreqName,0))),"Fix: choose a frequency",IF(NOT(ISNUMBER(F25)),"Fix: first date missing","Fix: end date must be a date on or after the first date")))),IF(AND(C25&lt;&gt;"",OR(AND(B25="In",ISNUMBER(MATCH(C25,InCats,0))),AND(B25="Out",ISNUMBER(MATCH(C25,OutCats,0))))),"OK","Category not on Settings (counted as Other)")))</f>
        <v/>
      </c>
      <c r="I25" s="35">
        <f>IF(X25&lt;&gt;1,"",ROUND(J25/D25,0))</f>
        <v/>
      </c>
      <c r="J25" s="36">
        <f>SUM(K25:W25)</f>
        <v/>
      </c>
      <c r="K25" s="21">
        <f>IF($X25&lt;&gt;1,0,$D25*IF($Y25&gt;0,MAX(0,INT((MIN(K$5+6,$AB25)-$AA25)/$Y25)-MAX(0,-INT(($AA25-K$5)/$Y25))+1),IF($Z25&gt;0,(MOD(((YEAR(K$5)-YEAR($AA25))*12+MONTH(K$5)-MONTH($AA25)),$Z25)=0)*(((YEAR(K$5)-YEAR($AA25))*12+MONTH(K$5)-MONTH($AA25))&gt;=0)*(EDATE($AA25,MAX(0,((YEAR(K$5)-YEAR($AA25))*12+MONTH(K$5)-MONTH($AA25))))&gt;=K$5)*(EDATE($AA25,MAX(0,((YEAR(K$5)-YEAR($AA25))*12+MONTH(K$5)-MONTH($AA25))))&lt;=MIN(K$5+6,$AB25))+(MOD((((YEAR(K$5)-YEAR($AA25))*12+MONTH(K$5)-MONTH($AA25))+1),$Z25)=0)*((((YEAR(K$5)-YEAR($AA25))*12+MONTH(K$5)-MONTH($AA25))+1)&gt;=0)*(EDATE($AA25,MAX(0,(((YEAR(K$5)-YEAR($AA25))*12+MONTH(K$5)-MONTH($AA25))+1)))&gt;=K$5)*(EDATE($AA25,MAX(0,(((YEAR(K$5)-YEAR($AA25))*12+MONTH(K$5)-MONTH($AA25))+1)))&lt;=MIN(K$5+6,$AB25)),($AA25&gt;=K$5)*($AA25&lt;=K$5+6))))</f>
        <v/>
      </c>
      <c r="L25" s="21">
        <f>IF($X25&lt;&gt;1,0,$D25*IF($Y25&gt;0,MAX(0,INT((MIN(L$5+6,$AB25)-$AA25)/$Y25)-MAX(0,-INT(($AA25-L$5)/$Y25))+1),IF($Z25&gt;0,(MOD(((YEAR(L$5)-YEAR($AA25))*12+MONTH(L$5)-MONTH($AA25)),$Z25)=0)*(((YEAR(L$5)-YEAR($AA25))*12+MONTH(L$5)-MONTH($AA25))&gt;=0)*(EDATE($AA25,MAX(0,((YEAR(L$5)-YEAR($AA25))*12+MONTH(L$5)-MONTH($AA25))))&gt;=L$5)*(EDATE($AA25,MAX(0,((YEAR(L$5)-YEAR($AA25))*12+MONTH(L$5)-MONTH($AA25))))&lt;=MIN(L$5+6,$AB25))+(MOD((((YEAR(L$5)-YEAR($AA25))*12+MONTH(L$5)-MONTH($AA25))+1),$Z25)=0)*((((YEAR(L$5)-YEAR($AA25))*12+MONTH(L$5)-MONTH($AA25))+1)&gt;=0)*(EDATE($AA25,MAX(0,(((YEAR(L$5)-YEAR($AA25))*12+MONTH(L$5)-MONTH($AA25))+1)))&gt;=L$5)*(EDATE($AA25,MAX(0,(((YEAR(L$5)-YEAR($AA25))*12+MONTH(L$5)-MONTH($AA25))+1)))&lt;=MIN(L$5+6,$AB25)),($AA25&gt;=L$5)*($AA25&lt;=L$5+6))))</f>
        <v/>
      </c>
      <c r="M25" s="21">
        <f>IF($X25&lt;&gt;1,0,$D25*IF($Y25&gt;0,MAX(0,INT((MIN(M$5+6,$AB25)-$AA25)/$Y25)-MAX(0,-INT(($AA25-M$5)/$Y25))+1),IF($Z25&gt;0,(MOD(((YEAR(M$5)-YEAR($AA25))*12+MONTH(M$5)-MONTH($AA25)),$Z25)=0)*(((YEAR(M$5)-YEAR($AA25))*12+MONTH(M$5)-MONTH($AA25))&gt;=0)*(EDATE($AA25,MAX(0,((YEAR(M$5)-YEAR($AA25))*12+MONTH(M$5)-MONTH($AA25))))&gt;=M$5)*(EDATE($AA25,MAX(0,((YEAR(M$5)-YEAR($AA25))*12+MONTH(M$5)-MONTH($AA25))))&lt;=MIN(M$5+6,$AB25))+(MOD((((YEAR(M$5)-YEAR($AA25))*12+MONTH(M$5)-MONTH($AA25))+1),$Z25)=0)*((((YEAR(M$5)-YEAR($AA25))*12+MONTH(M$5)-MONTH($AA25))+1)&gt;=0)*(EDATE($AA25,MAX(0,(((YEAR(M$5)-YEAR($AA25))*12+MONTH(M$5)-MONTH($AA25))+1)))&gt;=M$5)*(EDATE($AA25,MAX(0,(((YEAR(M$5)-YEAR($AA25))*12+MONTH(M$5)-MONTH($AA25))+1)))&lt;=MIN(M$5+6,$AB25)),($AA25&gt;=M$5)*($AA25&lt;=M$5+6))))</f>
        <v/>
      </c>
      <c r="N25" s="21">
        <f>IF($X25&lt;&gt;1,0,$D25*IF($Y25&gt;0,MAX(0,INT((MIN(N$5+6,$AB25)-$AA25)/$Y25)-MAX(0,-INT(($AA25-N$5)/$Y25))+1),IF($Z25&gt;0,(MOD(((YEAR(N$5)-YEAR($AA25))*12+MONTH(N$5)-MONTH($AA25)),$Z25)=0)*(((YEAR(N$5)-YEAR($AA25))*12+MONTH(N$5)-MONTH($AA25))&gt;=0)*(EDATE($AA25,MAX(0,((YEAR(N$5)-YEAR($AA25))*12+MONTH(N$5)-MONTH($AA25))))&gt;=N$5)*(EDATE($AA25,MAX(0,((YEAR(N$5)-YEAR($AA25))*12+MONTH(N$5)-MONTH($AA25))))&lt;=MIN(N$5+6,$AB25))+(MOD((((YEAR(N$5)-YEAR($AA25))*12+MONTH(N$5)-MONTH($AA25))+1),$Z25)=0)*((((YEAR(N$5)-YEAR($AA25))*12+MONTH(N$5)-MONTH($AA25))+1)&gt;=0)*(EDATE($AA25,MAX(0,(((YEAR(N$5)-YEAR($AA25))*12+MONTH(N$5)-MONTH($AA25))+1)))&gt;=N$5)*(EDATE($AA25,MAX(0,(((YEAR(N$5)-YEAR($AA25))*12+MONTH(N$5)-MONTH($AA25))+1)))&lt;=MIN(N$5+6,$AB25)),($AA25&gt;=N$5)*($AA25&lt;=N$5+6))))</f>
        <v/>
      </c>
      <c r="O25" s="21">
        <f>IF($X25&lt;&gt;1,0,$D25*IF($Y25&gt;0,MAX(0,INT((MIN(O$5+6,$AB25)-$AA25)/$Y25)-MAX(0,-INT(($AA25-O$5)/$Y25))+1),IF($Z25&gt;0,(MOD(((YEAR(O$5)-YEAR($AA25))*12+MONTH(O$5)-MONTH($AA25)),$Z25)=0)*(((YEAR(O$5)-YEAR($AA25))*12+MONTH(O$5)-MONTH($AA25))&gt;=0)*(EDATE($AA25,MAX(0,((YEAR(O$5)-YEAR($AA25))*12+MONTH(O$5)-MONTH($AA25))))&gt;=O$5)*(EDATE($AA25,MAX(0,((YEAR(O$5)-YEAR($AA25))*12+MONTH(O$5)-MONTH($AA25))))&lt;=MIN(O$5+6,$AB25))+(MOD((((YEAR(O$5)-YEAR($AA25))*12+MONTH(O$5)-MONTH($AA25))+1),$Z25)=0)*((((YEAR(O$5)-YEAR($AA25))*12+MONTH(O$5)-MONTH($AA25))+1)&gt;=0)*(EDATE($AA25,MAX(0,(((YEAR(O$5)-YEAR($AA25))*12+MONTH(O$5)-MONTH($AA25))+1)))&gt;=O$5)*(EDATE($AA25,MAX(0,(((YEAR(O$5)-YEAR($AA25))*12+MONTH(O$5)-MONTH($AA25))+1)))&lt;=MIN(O$5+6,$AB25)),($AA25&gt;=O$5)*($AA25&lt;=O$5+6))))</f>
        <v/>
      </c>
      <c r="P25" s="21">
        <f>IF($X25&lt;&gt;1,0,$D25*IF($Y25&gt;0,MAX(0,INT((MIN(P$5+6,$AB25)-$AA25)/$Y25)-MAX(0,-INT(($AA25-P$5)/$Y25))+1),IF($Z25&gt;0,(MOD(((YEAR(P$5)-YEAR($AA25))*12+MONTH(P$5)-MONTH($AA25)),$Z25)=0)*(((YEAR(P$5)-YEAR($AA25))*12+MONTH(P$5)-MONTH($AA25))&gt;=0)*(EDATE($AA25,MAX(0,((YEAR(P$5)-YEAR($AA25))*12+MONTH(P$5)-MONTH($AA25))))&gt;=P$5)*(EDATE($AA25,MAX(0,((YEAR(P$5)-YEAR($AA25))*12+MONTH(P$5)-MONTH($AA25))))&lt;=MIN(P$5+6,$AB25))+(MOD((((YEAR(P$5)-YEAR($AA25))*12+MONTH(P$5)-MONTH($AA25))+1),$Z25)=0)*((((YEAR(P$5)-YEAR($AA25))*12+MONTH(P$5)-MONTH($AA25))+1)&gt;=0)*(EDATE($AA25,MAX(0,(((YEAR(P$5)-YEAR($AA25))*12+MONTH(P$5)-MONTH($AA25))+1)))&gt;=P$5)*(EDATE($AA25,MAX(0,(((YEAR(P$5)-YEAR($AA25))*12+MONTH(P$5)-MONTH($AA25))+1)))&lt;=MIN(P$5+6,$AB25)),($AA25&gt;=P$5)*($AA25&lt;=P$5+6))))</f>
        <v/>
      </c>
      <c r="Q25" s="21">
        <f>IF($X25&lt;&gt;1,0,$D25*IF($Y25&gt;0,MAX(0,INT((MIN(Q$5+6,$AB25)-$AA25)/$Y25)-MAX(0,-INT(($AA25-Q$5)/$Y25))+1),IF($Z25&gt;0,(MOD(((YEAR(Q$5)-YEAR($AA25))*12+MONTH(Q$5)-MONTH($AA25)),$Z25)=0)*(((YEAR(Q$5)-YEAR($AA25))*12+MONTH(Q$5)-MONTH($AA25))&gt;=0)*(EDATE($AA25,MAX(0,((YEAR(Q$5)-YEAR($AA25))*12+MONTH(Q$5)-MONTH($AA25))))&gt;=Q$5)*(EDATE($AA25,MAX(0,((YEAR(Q$5)-YEAR($AA25))*12+MONTH(Q$5)-MONTH($AA25))))&lt;=MIN(Q$5+6,$AB25))+(MOD((((YEAR(Q$5)-YEAR($AA25))*12+MONTH(Q$5)-MONTH($AA25))+1),$Z25)=0)*((((YEAR(Q$5)-YEAR($AA25))*12+MONTH(Q$5)-MONTH($AA25))+1)&gt;=0)*(EDATE($AA25,MAX(0,(((YEAR(Q$5)-YEAR($AA25))*12+MONTH(Q$5)-MONTH($AA25))+1)))&gt;=Q$5)*(EDATE($AA25,MAX(0,(((YEAR(Q$5)-YEAR($AA25))*12+MONTH(Q$5)-MONTH($AA25))+1)))&lt;=MIN(Q$5+6,$AB25)),($AA25&gt;=Q$5)*($AA25&lt;=Q$5+6))))</f>
        <v/>
      </c>
      <c r="R25" s="21">
        <f>IF($X25&lt;&gt;1,0,$D25*IF($Y25&gt;0,MAX(0,INT((MIN(R$5+6,$AB25)-$AA25)/$Y25)-MAX(0,-INT(($AA25-R$5)/$Y25))+1),IF($Z25&gt;0,(MOD(((YEAR(R$5)-YEAR($AA25))*12+MONTH(R$5)-MONTH($AA25)),$Z25)=0)*(((YEAR(R$5)-YEAR($AA25))*12+MONTH(R$5)-MONTH($AA25))&gt;=0)*(EDATE($AA25,MAX(0,((YEAR(R$5)-YEAR($AA25))*12+MONTH(R$5)-MONTH($AA25))))&gt;=R$5)*(EDATE($AA25,MAX(0,((YEAR(R$5)-YEAR($AA25))*12+MONTH(R$5)-MONTH($AA25))))&lt;=MIN(R$5+6,$AB25))+(MOD((((YEAR(R$5)-YEAR($AA25))*12+MONTH(R$5)-MONTH($AA25))+1),$Z25)=0)*((((YEAR(R$5)-YEAR($AA25))*12+MONTH(R$5)-MONTH($AA25))+1)&gt;=0)*(EDATE($AA25,MAX(0,(((YEAR(R$5)-YEAR($AA25))*12+MONTH(R$5)-MONTH($AA25))+1)))&gt;=R$5)*(EDATE($AA25,MAX(0,(((YEAR(R$5)-YEAR($AA25))*12+MONTH(R$5)-MONTH($AA25))+1)))&lt;=MIN(R$5+6,$AB25)),($AA25&gt;=R$5)*($AA25&lt;=R$5+6))))</f>
        <v/>
      </c>
      <c r="S25" s="21">
        <f>IF($X25&lt;&gt;1,0,$D25*IF($Y25&gt;0,MAX(0,INT((MIN(S$5+6,$AB25)-$AA25)/$Y25)-MAX(0,-INT(($AA25-S$5)/$Y25))+1),IF($Z25&gt;0,(MOD(((YEAR(S$5)-YEAR($AA25))*12+MONTH(S$5)-MONTH($AA25)),$Z25)=0)*(((YEAR(S$5)-YEAR($AA25))*12+MONTH(S$5)-MONTH($AA25))&gt;=0)*(EDATE($AA25,MAX(0,((YEAR(S$5)-YEAR($AA25))*12+MONTH(S$5)-MONTH($AA25))))&gt;=S$5)*(EDATE($AA25,MAX(0,((YEAR(S$5)-YEAR($AA25))*12+MONTH(S$5)-MONTH($AA25))))&lt;=MIN(S$5+6,$AB25))+(MOD((((YEAR(S$5)-YEAR($AA25))*12+MONTH(S$5)-MONTH($AA25))+1),$Z25)=0)*((((YEAR(S$5)-YEAR($AA25))*12+MONTH(S$5)-MONTH($AA25))+1)&gt;=0)*(EDATE($AA25,MAX(0,(((YEAR(S$5)-YEAR($AA25))*12+MONTH(S$5)-MONTH($AA25))+1)))&gt;=S$5)*(EDATE($AA25,MAX(0,(((YEAR(S$5)-YEAR($AA25))*12+MONTH(S$5)-MONTH($AA25))+1)))&lt;=MIN(S$5+6,$AB25)),($AA25&gt;=S$5)*($AA25&lt;=S$5+6))))</f>
        <v/>
      </c>
      <c r="T25" s="21">
        <f>IF($X25&lt;&gt;1,0,$D25*IF($Y25&gt;0,MAX(0,INT((MIN(T$5+6,$AB25)-$AA25)/$Y25)-MAX(0,-INT(($AA25-T$5)/$Y25))+1),IF($Z25&gt;0,(MOD(((YEAR(T$5)-YEAR($AA25))*12+MONTH(T$5)-MONTH($AA25)),$Z25)=0)*(((YEAR(T$5)-YEAR($AA25))*12+MONTH(T$5)-MONTH($AA25))&gt;=0)*(EDATE($AA25,MAX(0,((YEAR(T$5)-YEAR($AA25))*12+MONTH(T$5)-MONTH($AA25))))&gt;=T$5)*(EDATE($AA25,MAX(0,((YEAR(T$5)-YEAR($AA25))*12+MONTH(T$5)-MONTH($AA25))))&lt;=MIN(T$5+6,$AB25))+(MOD((((YEAR(T$5)-YEAR($AA25))*12+MONTH(T$5)-MONTH($AA25))+1),$Z25)=0)*((((YEAR(T$5)-YEAR($AA25))*12+MONTH(T$5)-MONTH($AA25))+1)&gt;=0)*(EDATE($AA25,MAX(0,(((YEAR(T$5)-YEAR($AA25))*12+MONTH(T$5)-MONTH($AA25))+1)))&gt;=T$5)*(EDATE($AA25,MAX(0,(((YEAR(T$5)-YEAR($AA25))*12+MONTH(T$5)-MONTH($AA25))+1)))&lt;=MIN(T$5+6,$AB25)),($AA25&gt;=T$5)*($AA25&lt;=T$5+6))))</f>
        <v/>
      </c>
      <c r="U25" s="21">
        <f>IF($X25&lt;&gt;1,0,$D25*IF($Y25&gt;0,MAX(0,INT((MIN(U$5+6,$AB25)-$AA25)/$Y25)-MAX(0,-INT(($AA25-U$5)/$Y25))+1),IF($Z25&gt;0,(MOD(((YEAR(U$5)-YEAR($AA25))*12+MONTH(U$5)-MONTH($AA25)),$Z25)=0)*(((YEAR(U$5)-YEAR($AA25))*12+MONTH(U$5)-MONTH($AA25))&gt;=0)*(EDATE($AA25,MAX(0,((YEAR(U$5)-YEAR($AA25))*12+MONTH(U$5)-MONTH($AA25))))&gt;=U$5)*(EDATE($AA25,MAX(0,((YEAR(U$5)-YEAR($AA25))*12+MONTH(U$5)-MONTH($AA25))))&lt;=MIN(U$5+6,$AB25))+(MOD((((YEAR(U$5)-YEAR($AA25))*12+MONTH(U$5)-MONTH($AA25))+1),$Z25)=0)*((((YEAR(U$5)-YEAR($AA25))*12+MONTH(U$5)-MONTH($AA25))+1)&gt;=0)*(EDATE($AA25,MAX(0,(((YEAR(U$5)-YEAR($AA25))*12+MONTH(U$5)-MONTH($AA25))+1)))&gt;=U$5)*(EDATE($AA25,MAX(0,(((YEAR(U$5)-YEAR($AA25))*12+MONTH(U$5)-MONTH($AA25))+1)))&lt;=MIN(U$5+6,$AB25)),($AA25&gt;=U$5)*($AA25&lt;=U$5+6))))</f>
        <v/>
      </c>
      <c r="V25" s="21">
        <f>IF($X25&lt;&gt;1,0,$D25*IF($Y25&gt;0,MAX(0,INT((MIN(V$5+6,$AB25)-$AA25)/$Y25)-MAX(0,-INT(($AA25-V$5)/$Y25))+1),IF($Z25&gt;0,(MOD(((YEAR(V$5)-YEAR($AA25))*12+MONTH(V$5)-MONTH($AA25)),$Z25)=0)*(((YEAR(V$5)-YEAR($AA25))*12+MONTH(V$5)-MONTH($AA25))&gt;=0)*(EDATE($AA25,MAX(0,((YEAR(V$5)-YEAR($AA25))*12+MONTH(V$5)-MONTH($AA25))))&gt;=V$5)*(EDATE($AA25,MAX(0,((YEAR(V$5)-YEAR($AA25))*12+MONTH(V$5)-MONTH($AA25))))&lt;=MIN(V$5+6,$AB25))+(MOD((((YEAR(V$5)-YEAR($AA25))*12+MONTH(V$5)-MONTH($AA25))+1),$Z25)=0)*((((YEAR(V$5)-YEAR($AA25))*12+MONTH(V$5)-MONTH($AA25))+1)&gt;=0)*(EDATE($AA25,MAX(0,(((YEAR(V$5)-YEAR($AA25))*12+MONTH(V$5)-MONTH($AA25))+1)))&gt;=V$5)*(EDATE($AA25,MAX(0,(((YEAR(V$5)-YEAR($AA25))*12+MONTH(V$5)-MONTH($AA25))+1)))&lt;=MIN(V$5+6,$AB25)),($AA25&gt;=V$5)*($AA25&lt;=V$5+6))))</f>
        <v/>
      </c>
      <c r="W25" s="21">
        <f>IF($X25&lt;&gt;1,0,$D25*IF($Y25&gt;0,MAX(0,INT((MIN(W$5+6,$AB25)-$AA25)/$Y25)-MAX(0,-INT(($AA25-W$5)/$Y25))+1),IF($Z25&gt;0,(MOD(((YEAR(W$5)-YEAR($AA25))*12+MONTH(W$5)-MONTH($AA25)),$Z25)=0)*(((YEAR(W$5)-YEAR($AA25))*12+MONTH(W$5)-MONTH($AA25))&gt;=0)*(EDATE($AA25,MAX(0,((YEAR(W$5)-YEAR($AA25))*12+MONTH(W$5)-MONTH($AA25))))&gt;=W$5)*(EDATE($AA25,MAX(0,((YEAR(W$5)-YEAR($AA25))*12+MONTH(W$5)-MONTH($AA25))))&lt;=MIN(W$5+6,$AB25))+(MOD((((YEAR(W$5)-YEAR($AA25))*12+MONTH(W$5)-MONTH($AA25))+1),$Z25)=0)*((((YEAR(W$5)-YEAR($AA25))*12+MONTH(W$5)-MONTH($AA25))+1)&gt;=0)*(EDATE($AA25,MAX(0,(((YEAR(W$5)-YEAR($AA25))*12+MONTH(W$5)-MONTH($AA25))+1)))&gt;=W$5)*(EDATE($AA25,MAX(0,(((YEAR(W$5)-YEAR($AA25))*12+MONTH(W$5)-MONTH($AA25))+1)))&lt;=MIN(W$5+6,$AB25)),($AA25&gt;=W$5)*($AA25&lt;=W$5+6))))</f>
        <v/>
      </c>
      <c r="X25">
        <f>IF(COUNTA(A25:G25)=0,"",IF(AND(OR(B25="In",B25="Out"),ISNUMBER(D25),D25&gt;0,ISNUMBER(MATCH(E25,FreqName,0)),ISNUMBER(F25),OR(G25="",AND(ISNUMBER(G25),G25&gt;=F25))),1,0))</f>
        <v/>
      </c>
      <c r="Y25">
        <f>IF(X25&lt;&gt;1,0,INDEX(FreqDays,MATCH(E25,FreqName,0)))</f>
        <v/>
      </c>
      <c r="Z25">
        <f>IF(X25&lt;&gt;1,0,INDEX(FreqMonths,MATCH(E25,FreqName,0)))</f>
        <v/>
      </c>
      <c r="AA25">
        <f>IF(X25&lt;&gt;1,0,INT(F25))</f>
        <v/>
      </c>
      <c r="AB25">
        <f>IF(X25&lt;&gt;1,0,IF(ISNUMBER(G25),INT(G25),2958465))</f>
        <v/>
      </c>
    </row>
    <row r="26">
      <c r="A26" s="29" t="n"/>
      <c r="B26" s="29" t="n"/>
      <c r="C26" s="29" t="n"/>
      <c r="D26" s="34" t="n"/>
      <c r="E26" s="29" t="n"/>
      <c r="F26" s="24" t="n"/>
      <c r="G26" s="24" t="n"/>
      <c r="H26" s="10">
        <f>IF(X26="","",IF(X26=0,IF(AND(B26&lt;&gt;"In",B26&lt;&gt;"Out"),"Fix: choose In or Out",IF(OR(NOT(ISNUMBER(D26)),N(D26)&lt;=0),"Fix: amount must be a number above 0",IF(NOT(ISNUMBER(MATCH(E26,FreqName,0))),"Fix: choose a frequency",IF(NOT(ISNUMBER(F26)),"Fix: first date missing","Fix: end date must be a date on or after the first date")))),IF(AND(C26&lt;&gt;"",OR(AND(B26="In",ISNUMBER(MATCH(C26,InCats,0))),AND(B26="Out",ISNUMBER(MATCH(C26,OutCats,0))))),"OK","Category not on Settings (counted as Other)")))</f>
        <v/>
      </c>
      <c r="I26" s="35">
        <f>IF(X26&lt;&gt;1,"",ROUND(J26/D26,0))</f>
        <v/>
      </c>
      <c r="J26" s="36">
        <f>SUM(K26:W26)</f>
        <v/>
      </c>
      <c r="K26" s="21">
        <f>IF($X26&lt;&gt;1,0,$D26*IF($Y26&gt;0,MAX(0,INT((MIN(K$5+6,$AB26)-$AA26)/$Y26)-MAX(0,-INT(($AA26-K$5)/$Y26))+1),IF($Z26&gt;0,(MOD(((YEAR(K$5)-YEAR($AA26))*12+MONTH(K$5)-MONTH($AA26)),$Z26)=0)*(((YEAR(K$5)-YEAR($AA26))*12+MONTH(K$5)-MONTH($AA26))&gt;=0)*(EDATE($AA26,MAX(0,((YEAR(K$5)-YEAR($AA26))*12+MONTH(K$5)-MONTH($AA26))))&gt;=K$5)*(EDATE($AA26,MAX(0,((YEAR(K$5)-YEAR($AA26))*12+MONTH(K$5)-MONTH($AA26))))&lt;=MIN(K$5+6,$AB26))+(MOD((((YEAR(K$5)-YEAR($AA26))*12+MONTH(K$5)-MONTH($AA26))+1),$Z26)=0)*((((YEAR(K$5)-YEAR($AA26))*12+MONTH(K$5)-MONTH($AA26))+1)&gt;=0)*(EDATE($AA26,MAX(0,(((YEAR(K$5)-YEAR($AA26))*12+MONTH(K$5)-MONTH($AA26))+1)))&gt;=K$5)*(EDATE($AA26,MAX(0,(((YEAR(K$5)-YEAR($AA26))*12+MONTH(K$5)-MONTH($AA26))+1)))&lt;=MIN(K$5+6,$AB26)),($AA26&gt;=K$5)*($AA26&lt;=K$5+6))))</f>
        <v/>
      </c>
      <c r="L26" s="21">
        <f>IF($X26&lt;&gt;1,0,$D26*IF($Y26&gt;0,MAX(0,INT((MIN(L$5+6,$AB26)-$AA26)/$Y26)-MAX(0,-INT(($AA26-L$5)/$Y26))+1),IF($Z26&gt;0,(MOD(((YEAR(L$5)-YEAR($AA26))*12+MONTH(L$5)-MONTH($AA26)),$Z26)=0)*(((YEAR(L$5)-YEAR($AA26))*12+MONTH(L$5)-MONTH($AA26))&gt;=0)*(EDATE($AA26,MAX(0,((YEAR(L$5)-YEAR($AA26))*12+MONTH(L$5)-MONTH($AA26))))&gt;=L$5)*(EDATE($AA26,MAX(0,((YEAR(L$5)-YEAR($AA26))*12+MONTH(L$5)-MONTH($AA26))))&lt;=MIN(L$5+6,$AB26))+(MOD((((YEAR(L$5)-YEAR($AA26))*12+MONTH(L$5)-MONTH($AA26))+1),$Z26)=0)*((((YEAR(L$5)-YEAR($AA26))*12+MONTH(L$5)-MONTH($AA26))+1)&gt;=0)*(EDATE($AA26,MAX(0,(((YEAR(L$5)-YEAR($AA26))*12+MONTH(L$5)-MONTH($AA26))+1)))&gt;=L$5)*(EDATE($AA26,MAX(0,(((YEAR(L$5)-YEAR($AA26))*12+MONTH(L$5)-MONTH($AA26))+1)))&lt;=MIN(L$5+6,$AB26)),($AA26&gt;=L$5)*($AA26&lt;=L$5+6))))</f>
        <v/>
      </c>
      <c r="M26" s="21">
        <f>IF($X26&lt;&gt;1,0,$D26*IF($Y26&gt;0,MAX(0,INT((MIN(M$5+6,$AB26)-$AA26)/$Y26)-MAX(0,-INT(($AA26-M$5)/$Y26))+1),IF($Z26&gt;0,(MOD(((YEAR(M$5)-YEAR($AA26))*12+MONTH(M$5)-MONTH($AA26)),$Z26)=0)*(((YEAR(M$5)-YEAR($AA26))*12+MONTH(M$5)-MONTH($AA26))&gt;=0)*(EDATE($AA26,MAX(0,((YEAR(M$5)-YEAR($AA26))*12+MONTH(M$5)-MONTH($AA26))))&gt;=M$5)*(EDATE($AA26,MAX(0,((YEAR(M$5)-YEAR($AA26))*12+MONTH(M$5)-MONTH($AA26))))&lt;=MIN(M$5+6,$AB26))+(MOD((((YEAR(M$5)-YEAR($AA26))*12+MONTH(M$5)-MONTH($AA26))+1),$Z26)=0)*((((YEAR(M$5)-YEAR($AA26))*12+MONTH(M$5)-MONTH($AA26))+1)&gt;=0)*(EDATE($AA26,MAX(0,(((YEAR(M$5)-YEAR($AA26))*12+MONTH(M$5)-MONTH($AA26))+1)))&gt;=M$5)*(EDATE($AA26,MAX(0,(((YEAR(M$5)-YEAR($AA26))*12+MONTH(M$5)-MONTH($AA26))+1)))&lt;=MIN(M$5+6,$AB26)),($AA26&gt;=M$5)*($AA26&lt;=M$5+6))))</f>
        <v/>
      </c>
      <c r="N26" s="21">
        <f>IF($X26&lt;&gt;1,0,$D26*IF($Y26&gt;0,MAX(0,INT((MIN(N$5+6,$AB26)-$AA26)/$Y26)-MAX(0,-INT(($AA26-N$5)/$Y26))+1),IF($Z26&gt;0,(MOD(((YEAR(N$5)-YEAR($AA26))*12+MONTH(N$5)-MONTH($AA26)),$Z26)=0)*(((YEAR(N$5)-YEAR($AA26))*12+MONTH(N$5)-MONTH($AA26))&gt;=0)*(EDATE($AA26,MAX(0,((YEAR(N$5)-YEAR($AA26))*12+MONTH(N$5)-MONTH($AA26))))&gt;=N$5)*(EDATE($AA26,MAX(0,((YEAR(N$5)-YEAR($AA26))*12+MONTH(N$5)-MONTH($AA26))))&lt;=MIN(N$5+6,$AB26))+(MOD((((YEAR(N$5)-YEAR($AA26))*12+MONTH(N$5)-MONTH($AA26))+1),$Z26)=0)*((((YEAR(N$5)-YEAR($AA26))*12+MONTH(N$5)-MONTH($AA26))+1)&gt;=0)*(EDATE($AA26,MAX(0,(((YEAR(N$5)-YEAR($AA26))*12+MONTH(N$5)-MONTH($AA26))+1)))&gt;=N$5)*(EDATE($AA26,MAX(0,(((YEAR(N$5)-YEAR($AA26))*12+MONTH(N$5)-MONTH($AA26))+1)))&lt;=MIN(N$5+6,$AB26)),($AA26&gt;=N$5)*($AA26&lt;=N$5+6))))</f>
        <v/>
      </c>
      <c r="O26" s="21">
        <f>IF($X26&lt;&gt;1,0,$D26*IF($Y26&gt;0,MAX(0,INT((MIN(O$5+6,$AB26)-$AA26)/$Y26)-MAX(0,-INT(($AA26-O$5)/$Y26))+1),IF($Z26&gt;0,(MOD(((YEAR(O$5)-YEAR($AA26))*12+MONTH(O$5)-MONTH($AA26)),$Z26)=0)*(((YEAR(O$5)-YEAR($AA26))*12+MONTH(O$5)-MONTH($AA26))&gt;=0)*(EDATE($AA26,MAX(0,((YEAR(O$5)-YEAR($AA26))*12+MONTH(O$5)-MONTH($AA26))))&gt;=O$5)*(EDATE($AA26,MAX(0,((YEAR(O$5)-YEAR($AA26))*12+MONTH(O$5)-MONTH($AA26))))&lt;=MIN(O$5+6,$AB26))+(MOD((((YEAR(O$5)-YEAR($AA26))*12+MONTH(O$5)-MONTH($AA26))+1),$Z26)=0)*((((YEAR(O$5)-YEAR($AA26))*12+MONTH(O$5)-MONTH($AA26))+1)&gt;=0)*(EDATE($AA26,MAX(0,(((YEAR(O$5)-YEAR($AA26))*12+MONTH(O$5)-MONTH($AA26))+1)))&gt;=O$5)*(EDATE($AA26,MAX(0,(((YEAR(O$5)-YEAR($AA26))*12+MONTH(O$5)-MONTH($AA26))+1)))&lt;=MIN(O$5+6,$AB26)),($AA26&gt;=O$5)*($AA26&lt;=O$5+6))))</f>
        <v/>
      </c>
      <c r="P26" s="21">
        <f>IF($X26&lt;&gt;1,0,$D26*IF($Y26&gt;0,MAX(0,INT((MIN(P$5+6,$AB26)-$AA26)/$Y26)-MAX(0,-INT(($AA26-P$5)/$Y26))+1),IF($Z26&gt;0,(MOD(((YEAR(P$5)-YEAR($AA26))*12+MONTH(P$5)-MONTH($AA26)),$Z26)=0)*(((YEAR(P$5)-YEAR($AA26))*12+MONTH(P$5)-MONTH($AA26))&gt;=0)*(EDATE($AA26,MAX(0,((YEAR(P$5)-YEAR($AA26))*12+MONTH(P$5)-MONTH($AA26))))&gt;=P$5)*(EDATE($AA26,MAX(0,((YEAR(P$5)-YEAR($AA26))*12+MONTH(P$5)-MONTH($AA26))))&lt;=MIN(P$5+6,$AB26))+(MOD((((YEAR(P$5)-YEAR($AA26))*12+MONTH(P$5)-MONTH($AA26))+1),$Z26)=0)*((((YEAR(P$5)-YEAR($AA26))*12+MONTH(P$5)-MONTH($AA26))+1)&gt;=0)*(EDATE($AA26,MAX(0,(((YEAR(P$5)-YEAR($AA26))*12+MONTH(P$5)-MONTH($AA26))+1)))&gt;=P$5)*(EDATE($AA26,MAX(0,(((YEAR(P$5)-YEAR($AA26))*12+MONTH(P$5)-MONTH($AA26))+1)))&lt;=MIN(P$5+6,$AB26)),($AA26&gt;=P$5)*($AA26&lt;=P$5+6))))</f>
        <v/>
      </c>
      <c r="Q26" s="21">
        <f>IF($X26&lt;&gt;1,0,$D26*IF($Y26&gt;0,MAX(0,INT((MIN(Q$5+6,$AB26)-$AA26)/$Y26)-MAX(0,-INT(($AA26-Q$5)/$Y26))+1),IF($Z26&gt;0,(MOD(((YEAR(Q$5)-YEAR($AA26))*12+MONTH(Q$5)-MONTH($AA26)),$Z26)=0)*(((YEAR(Q$5)-YEAR($AA26))*12+MONTH(Q$5)-MONTH($AA26))&gt;=0)*(EDATE($AA26,MAX(0,((YEAR(Q$5)-YEAR($AA26))*12+MONTH(Q$5)-MONTH($AA26))))&gt;=Q$5)*(EDATE($AA26,MAX(0,((YEAR(Q$5)-YEAR($AA26))*12+MONTH(Q$5)-MONTH($AA26))))&lt;=MIN(Q$5+6,$AB26))+(MOD((((YEAR(Q$5)-YEAR($AA26))*12+MONTH(Q$5)-MONTH($AA26))+1),$Z26)=0)*((((YEAR(Q$5)-YEAR($AA26))*12+MONTH(Q$5)-MONTH($AA26))+1)&gt;=0)*(EDATE($AA26,MAX(0,(((YEAR(Q$5)-YEAR($AA26))*12+MONTH(Q$5)-MONTH($AA26))+1)))&gt;=Q$5)*(EDATE($AA26,MAX(0,(((YEAR(Q$5)-YEAR($AA26))*12+MONTH(Q$5)-MONTH($AA26))+1)))&lt;=MIN(Q$5+6,$AB26)),($AA26&gt;=Q$5)*($AA26&lt;=Q$5+6))))</f>
        <v/>
      </c>
      <c r="R26" s="21">
        <f>IF($X26&lt;&gt;1,0,$D26*IF($Y26&gt;0,MAX(0,INT((MIN(R$5+6,$AB26)-$AA26)/$Y26)-MAX(0,-INT(($AA26-R$5)/$Y26))+1),IF($Z26&gt;0,(MOD(((YEAR(R$5)-YEAR($AA26))*12+MONTH(R$5)-MONTH($AA26)),$Z26)=0)*(((YEAR(R$5)-YEAR($AA26))*12+MONTH(R$5)-MONTH($AA26))&gt;=0)*(EDATE($AA26,MAX(0,((YEAR(R$5)-YEAR($AA26))*12+MONTH(R$5)-MONTH($AA26))))&gt;=R$5)*(EDATE($AA26,MAX(0,((YEAR(R$5)-YEAR($AA26))*12+MONTH(R$5)-MONTH($AA26))))&lt;=MIN(R$5+6,$AB26))+(MOD((((YEAR(R$5)-YEAR($AA26))*12+MONTH(R$5)-MONTH($AA26))+1),$Z26)=0)*((((YEAR(R$5)-YEAR($AA26))*12+MONTH(R$5)-MONTH($AA26))+1)&gt;=0)*(EDATE($AA26,MAX(0,(((YEAR(R$5)-YEAR($AA26))*12+MONTH(R$5)-MONTH($AA26))+1)))&gt;=R$5)*(EDATE($AA26,MAX(0,(((YEAR(R$5)-YEAR($AA26))*12+MONTH(R$5)-MONTH($AA26))+1)))&lt;=MIN(R$5+6,$AB26)),($AA26&gt;=R$5)*($AA26&lt;=R$5+6))))</f>
        <v/>
      </c>
      <c r="S26" s="21">
        <f>IF($X26&lt;&gt;1,0,$D26*IF($Y26&gt;0,MAX(0,INT((MIN(S$5+6,$AB26)-$AA26)/$Y26)-MAX(0,-INT(($AA26-S$5)/$Y26))+1),IF($Z26&gt;0,(MOD(((YEAR(S$5)-YEAR($AA26))*12+MONTH(S$5)-MONTH($AA26)),$Z26)=0)*(((YEAR(S$5)-YEAR($AA26))*12+MONTH(S$5)-MONTH($AA26))&gt;=0)*(EDATE($AA26,MAX(0,((YEAR(S$5)-YEAR($AA26))*12+MONTH(S$5)-MONTH($AA26))))&gt;=S$5)*(EDATE($AA26,MAX(0,((YEAR(S$5)-YEAR($AA26))*12+MONTH(S$5)-MONTH($AA26))))&lt;=MIN(S$5+6,$AB26))+(MOD((((YEAR(S$5)-YEAR($AA26))*12+MONTH(S$5)-MONTH($AA26))+1),$Z26)=0)*((((YEAR(S$5)-YEAR($AA26))*12+MONTH(S$5)-MONTH($AA26))+1)&gt;=0)*(EDATE($AA26,MAX(0,(((YEAR(S$5)-YEAR($AA26))*12+MONTH(S$5)-MONTH($AA26))+1)))&gt;=S$5)*(EDATE($AA26,MAX(0,(((YEAR(S$5)-YEAR($AA26))*12+MONTH(S$5)-MONTH($AA26))+1)))&lt;=MIN(S$5+6,$AB26)),($AA26&gt;=S$5)*($AA26&lt;=S$5+6))))</f>
        <v/>
      </c>
      <c r="T26" s="21">
        <f>IF($X26&lt;&gt;1,0,$D26*IF($Y26&gt;0,MAX(0,INT((MIN(T$5+6,$AB26)-$AA26)/$Y26)-MAX(0,-INT(($AA26-T$5)/$Y26))+1),IF($Z26&gt;0,(MOD(((YEAR(T$5)-YEAR($AA26))*12+MONTH(T$5)-MONTH($AA26)),$Z26)=0)*(((YEAR(T$5)-YEAR($AA26))*12+MONTH(T$5)-MONTH($AA26))&gt;=0)*(EDATE($AA26,MAX(0,((YEAR(T$5)-YEAR($AA26))*12+MONTH(T$5)-MONTH($AA26))))&gt;=T$5)*(EDATE($AA26,MAX(0,((YEAR(T$5)-YEAR($AA26))*12+MONTH(T$5)-MONTH($AA26))))&lt;=MIN(T$5+6,$AB26))+(MOD((((YEAR(T$5)-YEAR($AA26))*12+MONTH(T$5)-MONTH($AA26))+1),$Z26)=0)*((((YEAR(T$5)-YEAR($AA26))*12+MONTH(T$5)-MONTH($AA26))+1)&gt;=0)*(EDATE($AA26,MAX(0,(((YEAR(T$5)-YEAR($AA26))*12+MONTH(T$5)-MONTH($AA26))+1)))&gt;=T$5)*(EDATE($AA26,MAX(0,(((YEAR(T$5)-YEAR($AA26))*12+MONTH(T$5)-MONTH($AA26))+1)))&lt;=MIN(T$5+6,$AB26)),($AA26&gt;=T$5)*($AA26&lt;=T$5+6))))</f>
        <v/>
      </c>
      <c r="U26" s="21">
        <f>IF($X26&lt;&gt;1,0,$D26*IF($Y26&gt;0,MAX(0,INT((MIN(U$5+6,$AB26)-$AA26)/$Y26)-MAX(0,-INT(($AA26-U$5)/$Y26))+1),IF($Z26&gt;0,(MOD(((YEAR(U$5)-YEAR($AA26))*12+MONTH(U$5)-MONTH($AA26)),$Z26)=0)*(((YEAR(U$5)-YEAR($AA26))*12+MONTH(U$5)-MONTH($AA26))&gt;=0)*(EDATE($AA26,MAX(0,((YEAR(U$5)-YEAR($AA26))*12+MONTH(U$5)-MONTH($AA26))))&gt;=U$5)*(EDATE($AA26,MAX(0,((YEAR(U$5)-YEAR($AA26))*12+MONTH(U$5)-MONTH($AA26))))&lt;=MIN(U$5+6,$AB26))+(MOD((((YEAR(U$5)-YEAR($AA26))*12+MONTH(U$5)-MONTH($AA26))+1),$Z26)=0)*((((YEAR(U$5)-YEAR($AA26))*12+MONTH(U$5)-MONTH($AA26))+1)&gt;=0)*(EDATE($AA26,MAX(0,(((YEAR(U$5)-YEAR($AA26))*12+MONTH(U$5)-MONTH($AA26))+1)))&gt;=U$5)*(EDATE($AA26,MAX(0,(((YEAR(U$5)-YEAR($AA26))*12+MONTH(U$5)-MONTH($AA26))+1)))&lt;=MIN(U$5+6,$AB26)),($AA26&gt;=U$5)*($AA26&lt;=U$5+6))))</f>
        <v/>
      </c>
      <c r="V26" s="21">
        <f>IF($X26&lt;&gt;1,0,$D26*IF($Y26&gt;0,MAX(0,INT((MIN(V$5+6,$AB26)-$AA26)/$Y26)-MAX(0,-INT(($AA26-V$5)/$Y26))+1),IF($Z26&gt;0,(MOD(((YEAR(V$5)-YEAR($AA26))*12+MONTH(V$5)-MONTH($AA26)),$Z26)=0)*(((YEAR(V$5)-YEAR($AA26))*12+MONTH(V$5)-MONTH($AA26))&gt;=0)*(EDATE($AA26,MAX(0,((YEAR(V$5)-YEAR($AA26))*12+MONTH(V$5)-MONTH($AA26))))&gt;=V$5)*(EDATE($AA26,MAX(0,((YEAR(V$5)-YEAR($AA26))*12+MONTH(V$5)-MONTH($AA26))))&lt;=MIN(V$5+6,$AB26))+(MOD((((YEAR(V$5)-YEAR($AA26))*12+MONTH(V$5)-MONTH($AA26))+1),$Z26)=0)*((((YEAR(V$5)-YEAR($AA26))*12+MONTH(V$5)-MONTH($AA26))+1)&gt;=0)*(EDATE($AA26,MAX(0,(((YEAR(V$5)-YEAR($AA26))*12+MONTH(V$5)-MONTH($AA26))+1)))&gt;=V$5)*(EDATE($AA26,MAX(0,(((YEAR(V$5)-YEAR($AA26))*12+MONTH(V$5)-MONTH($AA26))+1)))&lt;=MIN(V$5+6,$AB26)),($AA26&gt;=V$5)*($AA26&lt;=V$5+6))))</f>
        <v/>
      </c>
      <c r="W26" s="21">
        <f>IF($X26&lt;&gt;1,0,$D26*IF($Y26&gt;0,MAX(0,INT((MIN(W$5+6,$AB26)-$AA26)/$Y26)-MAX(0,-INT(($AA26-W$5)/$Y26))+1),IF($Z26&gt;0,(MOD(((YEAR(W$5)-YEAR($AA26))*12+MONTH(W$5)-MONTH($AA26)),$Z26)=0)*(((YEAR(W$5)-YEAR($AA26))*12+MONTH(W$5)-MONTH($AA26))&gt;=0)*(EDATE($AA26,MAX(0,((YEAR(W$5)-YEAR($AA26))*12+MONTH(W$5)-MONTH($AA26))))&gt;=W$5)*(EDATE($AA26,MAX(0,((YEAR(W$5)-YEAR($AA26))*12+MONTH(W$5)-MONTH($AA26))))&lt;=MIN(W$5+6,$AB26))+(MOD((((YEAR(W$5)-YEAR($AA26))*12+MONTH(W$5)-MONTH($AA26))+1),$Z26)=0)*((((YEAR(W$5)-YEAR($AA26))*12+MONTH(W$5)-MONTH($AA26))+1)&gt;=0)*(EDATE($AA26,MAX(0,(((YEAR(W$5)-YEAR($AA26))*12+MONTH(W$5)-MONTH($AA26))+1)))&gt;=W$5)*(EDATE($AA26,MAX(0,(((YEAR(W$5)-YEAR($AA26))*12+MONTH(W$5)-MONTH($AA26))+1)))&lt;=MIN(W$5+6,$AB26)),($AA26&gt;=W$5)*($AA26&lt;=W$5+6))))</f>
        <v/>
      </c>
      <c r="X26">
        <f>IF(COUNTA(A26:G26)=0,"",IF(AND(OR(B26="In",B26="Out"),ISNUMBER(D26),D26&gt;0,ISNUMBER(MATCH(E26,FreqName,0)),ISNUMBER(F26),OR(G26="",AND(ISNUMBER(G26),G26&gt;=F26))),1,0))</f>
        <v/>
      </c>
      <c r="Y26">
        <f>IF(X26&lt;&gt;1,0,INDEX(FreqDays,MATCH(E26,FreqName,0)))</f>
        <v/>
      </c>
      <c r="Z26">
        <f>IF(X26&lt;&gt;1,0,INDEX(FreqMonths,MATCH(E26,FreqName,0)))</f>
        <v/>
      </c>
      <c r="AA26">
        <f>IF(X26&lt;&gt;1,0,INT(F26))</f>
        <v/>
      </c>
      <c r="AB26">
        <f>IF(X26&lt;&gt;1,0,IF(ISNUMBER(G26),INT(G26),2958465))</f>
        <v/>
      </c>
    </row>
    <row r="27">
      <c r="A27" s="29" t="n"/>
      <c r="B27" s="29" t="n"/>
      <c r="C27" s="29" t="n"/>
      <c r="D27" s="34" t="n"/>
      <c r="E27" s="29" t="n"/>
      <c r="F27" s="24" t="n"/>
      <c r="G27" s="24" t="n"/>
      <c r="H27" s="10">
        <f>IF(X27="","",IF(X27=0,IF(AND(B27&lt;&gt;"In",B27&lt;&gt;"Out"),"Fix: choose In or Out",IF(OR(NOT(ISNUMBER(D27)),N(D27)&lt;=0),"Fix: amount must be a number above 0",IF(NOT(ISNUMBER(MATCH(E27,FreqName,0))),"Fix: choose a frequency",IF(NOT(ISNUMBER(F27)),"Fix: first date missing","Fix: end date must be a date on or after the first date")))),IF(AND(C27&lt;&gt;"",OR(AND(B27="In",ISNUMBER(MATCH(C27,InCats,0))),AND(B27="Out",ISNUMBER(MATCH(C27,OutCats,0))))),"OK","Category not on Settings (counted as Other)")))</f>
        <v/>
      </c>
      <c r="I27" s="35">
        <f>IF(X27&lt;&gt;1,"",ROUND(J27/D27,0))</f>
        <v/>
      </c>
      <c r="J27" s="36">
        <f>SUM(K27:W27)</f>
        <v/>
      </c>
      <c r="K27" s="21">
        <f>IF($X27&lt;&gt;1,0,$D27*IF($Y27&gt;0,MAX(0,INT((MIN(K$5+6,$AB27)-$AA27)/$Y27)-MAX(0,-INT(($AA27-K$5)/$Y27))+1),IF($Z27&gt;0,(MOD(((YEAR(K$5)-YEAR($AA27))*12+MONTH(K$5)-MONTH($AA27)),$Z27)=0)*(((YEAR(K$5)-YEAR($AA27))*12+MONTH(K$5)-MONTH($AA27))&gt;=0)*(EDATE($AA27,MAX(0,((YEAR(K$5)-YEAR($AA27))*12+MONTH(K$5)-MONTH($AA27))))&gt;=K$5)*(EDATE($AA27,MAX(0,((YEAR(K$5)-YEAR($AA27))*12+MONTH(K$5)-MONTH($AA27))))&lt;=MIN(K$5+6,$AB27))+(MOD((((YEAR(K$5)-YEAR($AA27))*12+MONTH(K$5)-MONTH($AA27))+1),$Z27)=0)*((((YEAR(K$5)-YEAR($AA27))*12+MONTH(K$5)-MONTH($AA27))+1)&gt;=0)*(EDATE($AA27,MAX(0,(((YEAR(K$5)-YEAR($AA27))*12+MONTH(K$5)-MONTH($AA27))+1)))&gt;=K$5)*(EDATE($AA27,MAX(0,(((YEAR(K$5)-YEAR($AA27))*12+MONTH(K$5)-MONTH($AA27))+1)))&lt;=MIN(K$5+6,$AB27)),($AA27&gt;=K$5)*($AA27&lt;=K$5+6))))</f>
        <v/>
      </c>
      <c r="L27" s="21">
        <f>IF($X27&lt;&gt;1,0,$D27*IF($Y27&gt;0,MAX(0,INT((MIN(L$5+6,$AB27)-$AA27)/$Y27)-MAX(0,-INT(($AA27-L$5)/$Y27))+1),IF($Z27&gt;0,(MOD(((YEAR(L$5)-YEAR($AA27))*12+MONTH(L$5)-MONTH($AA27)),$Z27)=0)*(((YEAR(L$5)-YEAR($AA27))*12+MONTH(L$5)-MONTH($AA27))&gt;=0)*(EDATE($AA27,MAX(0,((YEAR(L$5)-YEAR($AA27))*12+MONTH(L$5)-MONTH($AA27))))&gt;=L$5)*(EDATE($AA27,MAX(0,((YEAR(L$5)-YEAR($AA27))*12+MONTH(L$5)-MONTH($AA27))))&lt;=MIN(L$5+6,$AB27))+(MOD((((YEAR(L$5)-YEAR($AA27))*12+MONTH(L$5)-MONTH($AA27))+1),$Z27)=0)*((((YEAR(L$5)-YEAR($AA27))*12+MONTH(L$5)-MONTH($AA27))+1)&gt;=0)*(EDATE($AA27,MAX(0,(((YEAR(L$5)-YEAR($AA27))*12+MONTH(L$5)-MONTH($AA27))+1)))&gt;=L$5)*(EDATE($AA27,MAX(0,(((YEAR(L$5)-YEAR($AA27))*12+MONTH(L$5)-MONTH($AA27))+1)))&lt;=MIN(L$5+6,$AB27)),($AA27&gt;=L$5)*($AA27&lt;=L$5+6))))</f>
        <v/>
      </c>
      <c r="M27" s="21">
        <f>IF($X27&lt;&gt;1,0,$D27*IF($Y27&gt;0,MAX(0,INT((MIN(M$5+6,$AB27)-$AA27)/$Y27)-MAX(0,-INT(($AA27-M$5)/$Y27))+1),IF($Z27&gt;0,(MOD(((YEAR(M$5)-YEAR($AA27))*12+MONTH(M$5)-MONTH($AA27)),$Z27)=0)*(((YEAR(M$5)-YEAR($AA27))*12+MONTH(M$5)-MONTH($AA27))&gt;=0)*(EDATE($AA27,MAX(0,((YEAR(M$5)-YEAR($AA27))*12+MONTH(M$5)-MONTH($AA27))))&gt;=M$5)*(EDATE($AA27,MAX(0,((YEAR(M$5)-YEAR($AA27))*12+MONTH(M$5)-MONTH($AA27))))&lt;=MIN(M$5+6,$AB27))+(MOD((((YEAR(M$5)-YEAR($AA27))*12+MONTH(M$5)-MONTH($AA27))+1),$Z27)=0)*((((YEAR(M$5)-YEAR($AA27))*12+MONTH(M$5)-MONTH($AA27))+1)&gt;=0)*(EDATE($AA27,MAX(0,(((YEAR(M$5)-YEAR($AA27))*12+MONTH(M$5)-MONTH($AA27))+1)))&gt;=M$5)*(EDATE($AA27,MAX(0,(((YEAR(M$5)-YEAR($AA27))*12+MONTH(M$5)-MONTH($AA27))+1)))&lt;=MIN(M$5+6,$AB27)),($AA27&gt;=M$5)*($AA27&lt;=M$5+6))))</f>
        <v/>
      </c>
      <c r="N27" s="21">
        <f>IF($X27&lt;&gt;1,0,$D27*IF($Y27&gt;0,MAX(0,INT((MIN(N$5+6,$AB27)-$AA27)/$Y27)-MAX(0,-INT(($AA27-N$5)/$Y27))+1),IF($Z27&gt;0,(MOD(((YEAR(N$5)-YEAR($AA27))*12+MONTH(N$5)-MONTH($AA27)),$Z27)=0)*(((YEAR(N$5)-YEAR($AA27))*12+MONTH(N$5)-MONTH($AA27))&gt;=0)*(EDATE($AA27,MAX(0,((YEAR(N$5)-YEAR($AA27))*12+MONTH(N$5)-MONTH($AA27))))&gt;=N$5)*(EDATE($AA27,MAX(0,((YEAR(N$5)-YEAR($AA27))*12+MONTH(N$5)-MONTH($AA27))))&lt;=MIN(N$5+6,$AB27))+(MOD((((YEAR(N$5)-YEAR($AA27))*12+MONTH(N$5)-MONTH($AA27))+1),$Z27)=0)*((((YEAR(N$5)-YEAR($AA27))*12+MONTH(N$5)-MONTH($AA27))+1)&gt;=0)*(EDATE($AA27,MAX(0,(((YEAR(N$5)-YEAR($AA27))*12+MONTH(N$5)-MONTH($AA27))+1)))&gt;=N$5)*(EDATE($AA27,MAX(0,(((YEAR(N$5)-YEAR($AA27))*12+MONTH(N$5)-MONTH($AA27))+1)))&lt;=MIN(N$5+6,$AB27)),($AA27&gt;=N$5)*($AA27&lt;=N$5+6))))</f>
        <v/>
      </c>
      <c r="O27" s="21">
        <f>IF($X27&lt;&gt;1,0,$D27*IF($Y27&gt;0,MAX(0,INT((MIN(O$5+6,$AB27)-$AA27)/$Y27)-MAX(0,-INT(($AA27-O$5)/$Y27))+1),IF($Z27&gt;0,(MOD(((YEAR(O$5)-YEAR($AA27))*12+MONTH(O$5)-MONTH($AA27)),$Z27)=0)*(((YEAR(O$5)-YEAR($AA27))*12+MONTH(O$5)-MONTH($AA27))&gt;=0)*(EDATE($AA27,MAX(0,((YEAR(O$5)-YEAR($AA27))*12+MONTH(O$5)-MONTH($AA27))))&gt;=O$5)*(EDATE($AA27,MAX(0,((YEAR(O$5)-YEAR($AA27))*12+MONTH(O$5)-MONTH($AA27))))&lt;=MIN(O$5+6,$AB27))+(MOD((((YEAR(O$5)-YEAR($AA27))*12+MONTH(O$5)-MONTH($AA27))+1),$Z27)=0)*((((YEAR(O$5)-YEAR($AA27))*12+MONTH(O$5)-MONTH($AA27))+1)&gt;=0)*(EDATE($AA27,MAX(0,(((YEAR(O$5)-YEAR($AA27))*12+MONTH(O$5)-MONTH($AA27))+1)))&gt;=O$5)*(EDATE($AA27,MAX(0,(((YEAR(O$5)-YEAR($AA27))*12+MONTH(O$5)-MONTH($AA27))+1)))&lt;=MIN(O$5+6,$AB27)),($AA27&gt;=O$5)*($AA27&lt;=O$5+6))))</f>
        <v/>
      </c>
      <c r="P27" s="21">
        <f>IF($X27&lt;&gt;1,0,$D27*IF($Y27&gt;0,MAX(0,INT((MIN(P$5+6,$AB27)-$AA27)/$Y27)-MAX(0,-INT(($AA27-P$5)/$Y27))+1),IF($Z27&gt;0,(MOD(((YEAR(P$5)-YEAR($AA27))*12+MONTH(P$5)-MONTH($AA27)),$Z27)=0)*(((YEAR(P$5)-YEAR($AA27))*12+MONTH(P$5)-MONTH($AA27))&gt;=0)*(EDATE($AA27,MAX(0,((YEAR(P$5)-YEAR($AA27))*12+MONTH(P$5)-MONTH($AA27))))&gt;=P$5)*(EDATE($AA27,MAX(0,((YEAR(P$5)-YEAR($AA27))*12+MONTH(P$5)-MONTH($AA27))))&lt;=MIN(P$5+6,$AB27))+(MOD((((YEAR(P$5)-YEAR($AA27))*12+MONTH(P$5)-MONTH($AA27))+1),$Z27)=0)*((((YEAR(P$5)-YEAR($AA27))*12+MONTH(P$5)-MONTH($AA27))+1)&gt;=0)*(EDATE($AA27,MAX(0,(((YEAR(P$5)-YEAR($AA27))*12+MONTH(P$5)-MONTH($AA27))+1)))&gt;=P$5)*(EDATE($AA27,MAX(0,(((YEAR(P$5)-YEAR($AA27))*12+MONTH(P$5)-MONTH($AA27))+1)))&lt;=MIN(P$5+6,$AB27)),($AA27&gt;=P$5)*($AA27&lt;=P$5+6))))</f>
        <v/>
      </c>
      <c r="Q27" s="21">
        <f>IF($X27&lt;&gt;1,0,$D27*IF($Y27&gt;0,MAX(0,INT((MIN(Q$5+6,$AB27)-$AA27)/$Y27)-MAX(0,-INT(($AA27-Q$5)/$Y27))+1),IF($Z27&gt;0,(MOD(((YEAR(Q$5)-YEAR($AA27))*12+MONTH(Q$5)-MONTH($AA27)),$Z27)=0)*(((YEAR(Q$5)-YEAR($AA27))*12+MONTH(Q$5)-MONTH($AA27))&gt;=0)*(EDATE($AA27,MAX(0,((YEAR(Q$5)-YEAR($AA27))*12+MONTH(Q$5)-MONTH($AA27))))&gt;=Q$5)*(EDATE($AA27,MAX(0,((YEAR(Q$5)-YEAR($AA27))*12+MONTH(Q$5)-MONTH($AA27))))&lt;=MIN(Q$5+6,$AB27))+(MOD((((YEAR(Q$5)-YEAR($AA27))*12+MONTH(Q$5)-MONTH($AA27))+1),$Z27)=0)*((((YEAR(Q$5)-YEAR($AA27))*12+MONTH(Q$5)-MONTH($AA27))+1)&gt;=0)*(EDATE($AA27,MAX(0,(((YEAR(Q$5)-YEAR($AA27))*12+MONTH(Q$5)-MONTH($AA27))+1)))&gt;=Q$5)*(EDATE($AA27,MAX(0,(((YEAR(Q$5)-YEAR($AA27))*12+MONTH(Q$5)-MONTH($AA27))+1)))&lt;=MIN(Q$5+6,$AB27)),($AA27&gt;=Q$5)*($AA27&lt;=Q$5+6))))</f>
        <v/>
      </c>
      <c r="R27" s="21">
        <f>IF($X27&lt;&gt;1,0,$D27*IF($Y27&gt;0,MAX(0,INT((MIN(R$5+6,$AB27)-$AA27)/$Y27)-MAX(0,-INT(($AA27-R$5)/$Y27))+1),IF($Z27&gt;0,(MOD(((YEAR(R$5)-YEAR($AA27))*12+MONTH(R$5)-MONTH($AA27)),$Z27)=0)*(((YEAR(R$5)-YEAR($AA27))*12+MONTH(R$5)-MONTH($AA27))&gt;=0)*(EDATE($AA27,MAX(0,((YEAR(R$5)-YEAR($AA27))*12+MONTH(R$5)-MONTH($AA27))))&gt;=R$5)*(EDATE($AA27,MAX(0,((YEAR(R$5)-YEAR($AA27))*12+MONTH(R$5)-MONTH($AA27))))&lt;=MIN(R$5+6,$AB27))+(MOD((((YEAR(R$5)-YEAR($AA27))*12+MONTH(R$5)-MONTH($AA27))+1),$Z27)=0)*((((YEAR(R$5)-YEAR($AA27))*12+MONTH(R$5)-MONTH($AA27))+1)&gt;=0)*(EDATE($AA27,MAX(0,(((YEAR(R$5)-YEAR($AA27))*12+MONTH(R$5)-MONTH($AA27))+1)))&gt;=R$5)*(EDATE($AA27,MAX(0,(((YEAR(R$5)-YEAR($AA27))*12+MONTH(R$5)-MONTH($AA27))+1)))&lt;=MIN(R$5+6,$AB27)),($AA27&gt;=R$5)*($AA27&lt;=R$5+6))))</f>
        <v/>
      </c>
      <c r="S27" s="21">
        <f>IF($X27&lt;&gt;1,0,$D27*IF($Y27&gt;0,MAX(0,INT((MIN(S$5+6,$AB27)-$AA27)/$Y27)-MAX(0,-INT(($AA27-S$5)/$Y27))+1),IF($Z27&gt;0,(MOD(((YEAR(S$5)-YEAR($AA27))*12+MONTH(S$5)-MONTH($AA27)),$Z27)=0)*(((YEAR(S$5)-YEAR($AA27))*12+MONTH(S$5)-MONTH($AA27))&gt;=0)*(EDATE($AA27,MAX(0,((YEAR(S$5)-YEAR($AA27))*12+MONTH(S$5)-MONTH($AA27))))&gt;=S$5)*(EDATE($AA27,MAX(0,((YEAR(S$5)-YEAR($AA27))*12+MONTH(S$5)-MONTH($AA27))))&lt;=MIN(S$5+6,$AB27))+(MOD((((YEAR(S$5)-YEAR($AA27))*12+MONTH(S$5)-MONTH($AA27))+1),$Z27)=0)*((((YEAR(S$5)-YEAR($AA27))*12+MONTH(S$5)-MONTH($AA27))+1)&gt;=0)*(EDATE($AA27,MAX(0,(((YEAR(S$5)-YEAR($AA27))*12+MONTH(S$5)-MONTH($AA27))+1)))&gt;=S$5)*(EDATE($AA27,MAX(0,(((YEAR(S$5)-YEAR($AA27))*12+MONTH(S$5)-MONTH($AA27))+1)))&lt;=MIN(S$5+6,$AB27)),($AA27&gt;=S$5)*($AA27&lt;=S$5+6))))</f>
        <v/>
      </c>
      <c r="T27" s="21">
        <f>IF($X27&lt;&gt;1,0,$D27*IF($Y27&gt;0,MAX(0,INT((MIN(T$5+6,$AB27)-$AA27)/$Y27)-MAX(0,-INT(($AA27-T$5)/$Y27))+1),IF($Z27&gt;0,(MOD(((YEAR(T$5)-YEAR($AA27))*12+MONTH(T$5)-MONTH($AA27)),$Z27)=0)*(((YEAR(T$5)-YEAR($AA27))*12+MONTH(T$5)-MONTH($AA27))&gt;=0)*(EDATE($AA27,MAX(0,((YEAR(T$5)-YEAR($AA27))*12+MONTH(T$5)-MONTH($AA27))))&gt;=T$5)*(EDATE($AA27,MAX(0,((YEAR(T$5)-YEAR($AA27))*12+MONTH(T$5)-MONTH($AA27))))&lt;=MIN(T$5+6,$AB27))+(MOD((((YEAR(T$5)-YEAR($AA27))*12+MONTH(T$5)-MONTH($AA27))+1),$Z27)=0)*((((YEAR(T$5)-YEAR($AA27))*12+MONTH(T$5)-MONTH($AA27))+1)&gt;=0)*(EDATE($AA27,MAX(0,(((YEAR(T$5)-YEAR($AA27))*12+MONTH(T$5)-MONTH($AA27))+1)))&gt;=T$5)*(EDATE($AA27,MAX(0,(((YEAR(T$5)-YEAR($AA27))*12+MONTH(T$5)-MONTH($AA27))+1)))&lt;=MIN(T$5+6,$AB27)),($AA27&gt;=T$5)*($AA27&lt;=T$5+6))))</f>
        <v/>
      </c>
      <c r="U27" s="21">
        <f>IF($X27&lt;&gt;1,0,$D27*IF($Y27&gt;0,MAX(0,INT((MIN(U$5+6,$AB27)-$AA27)/$Y27)-MAX(0,-INT(($AA27-U$5)/$Y27))+1),IF($Z27&gt;0,(MOD(((YEAR(U$5)-YEAR($AA27))*12+MONTH(U$5)-MONTH($AA27)),$Z27)=0)*(((YEAR(U$5)-YEAR($AA27))*12+MONTH(U$5)-MONTH($AA27))&gt;=0)*(EDATE($AA27,MAX(0,((YEAR(U$5)-YEAR($AA27))*12+MONTH(U$5)-MONTH($AA27))))&gt;=U$5)*(EDATE($AA27,MAX(0,((YEAR(U$5)-YEAR($AA27))*12+MONTH(U$5)-MONTH($AA27))))&lt;=MIN(U$5+6,$AB27))+(MOD((((YEAR(U$5)-YEAR($AA27))*12+MONTH(U$5)-MONTH($AA27))+1),$Z27)=0)*((((YEAR(U$5)-YEAR($AA27))*12+MONTH(U$5)-MONTH($AA27))+1)&gt;=0)*(EDATE($AA27,MAX(0,(((YEAR(U$5)-YEAR($AA27))*12+MONTH(U$5)-MONTH($AA27))+1)))&gt;=U$5)*(EDATE($AA27,MAX(0,(((YEAR(U$5)-YEAR($AA27))*12+MONTH(U$5)-MONTH($AA27))+1)))&lt;=MIN(U$5+6,$AB27)),($AA27&gt;=U$5)*($AA27&lt;=U$5+6))))</f>
        <v/>
      </c>
      <c r="V27" s="21">
        <f>IF($X27&lt;&gt;1,0,$D27*IF($Y27&gt;0,MAX(0,INT((MIN(V$5+6,$AB27)-$AA27)/$Y27)-MAX(0,-INT(($AA27-V$5)/$Y27))+1),IF($Z27&gt;0,(MOD(((YEAR(V$5)-YEAR($AA27))*12+MONTH(V$5)-MONTH($AA27)),$Z27)=0)*(((YEAR(V$5)-YEAR($AA27))*12+MONTH(V$5)-MONTH($AA27))&gt;=0)*(EDATE($AA27,MAX(0,((YEAR(V$5)-YEAR($AA27))*12+MONTH(V$5)-MONTH($AA27))))&gt;=V$5)*(EDATE($AA27,MAX(0,((YEAR(V$5)-YEAR($AA27))*12+MONTH(V$5)-MONTH($AA27))))&lt;=MIN(V$5+6,$AB27))+(MOD((((YEAR(V$5)-YEAR($AA27))*12+MONTH(V$5)-MONTH($AA27))+1),$Z27)=0)*((((YEAR(V$5)-YEAR($AA27))*12+MONTH(V$5)-MONTH($AA27))+1)&gt;=0)*(EDATE($AA27,MAX(0,(((YEAR(V$5)-YEAR($AA27))*12+MONTH(V$5)-MONTH($AA27))+1)))&gt;=V$5)*(EDATE($AA27,MAX(0,(((YEAR(V$5)-YEAR($AA27))*12+MONTH(V$5)-MONTH($AA27))+1)))&lt;=MIN(V$5+6,$AB27)),($AA27&gt;=V$5)*($AA27&lt;=V$5+6))))</f>
        <v/>
      </c>
      <c r="W27" s="21">
        <f>IF($X27&lt;&gt;1,0,$D27*IF($Y27&gt;0,MAX(0,INT((MIN(W$5+6,$AB27)-$AA27)/$Y27)-MAX(0,-INT(($AA27-W$5)/$Y27))+1),IF($Z27&gt;0,(MOD(((YEAR(W$5)-YEAR($AA27))*12+MONTH(W$5)-MONTH($AA27)),$Z27)=0)*(((YEAR(W$5)-YEAR($AA27))*12+MONTH(W$5)-MONTH($AA27))&gt;=0)*(EDATE($AA27,MAX(0,((YEAR(W$5)-YEAR($AA27))*12+MONTH(W$5)-MONTH($AA27))))&gt;=W$5)*(EDATE($AA27,MAX(0,((YEAR(W$5)-YEAR($AA27))*12+MONTH(W$5)-MONTH($AA27))))&lt;=MIN(W$5+6,$AB27))+(MOD((((YEAR(W$5)-YEAR($AA27))*12+MONTH(W$5)-MONTH($AA27))+1),$Z27)=0)*((((YEAR(W$5)-YEAR($AA27))*12+MONTH(W$5)-MONTH($AA27))+1)&gt;=0)*(EDATE($AA27,MAX(0,(((YEAR(W$5)-YEAR($AA27))*12+MONTH(W$5)-MONTH($AA27))+1)))&gt;=W$5)*(EDATE($AA27,MAX(0,(((YEAR(W$5)-YEAR($AA27))*12+MONTH(W$5)-MONTH($AA27))+1)))&lt;=MIN(W$5+6,$AB27)),($AA27&gt;=W$5)*($AA27&lt;=W$5+6))))</f>
        <v/>
      </c>
      <c r="X27">
        <f>IF(COUNTA(A27:G27)=0,"",IF(AND(OR(B27="In",B27="Out"),ISNUMBER(D27),D27&gt;0,ISNUMBER(MATCH(E27,FreqName,0)),ISNUMBER(F27),OR(G27="",AND(ISNUMBER(G27),G27&gt;=F27))),1,0))</f>
        <v/>
      </c>
      <c r="Y27">
        <f>IF(X27&lt;&gt;1,0,INDEX(FreqDays,MATCH(E27,FreqName,0)))</f>
        <v/>
      </c>
      <c r="Z27">
        <f>IF(X27&lt;&gt;1,0,INDEX(FreqMonths,MATCH(E27,FreqName,0)))</f>
        <v/>
      </c>
      <c r="AA27">
        <f>IF(X27&lt;&gt;1,0,INT(F27))</f>
        <v/>
      </c>
      <c r="AB27">
        <f>IF(X27&lt;&gt;1,0,IF(ISNUMBER(G27),INT(G27),2958465))</f>
        <v/>
      </c>
    </row>
    <row r="28">
      <c r="A28" s="29" t="n"/>
      <c r="B28" s="29" t="n"/>
      <c r="C28" s="29" t="n"/>
      <c r="D28" s="34" t="n"/>
      <c r="E28" s="29" t="n"/>
      <c r="F28" s="24" t="n"/>
      <c r="G28" s="24" t="n"/>
      <c r="H28" s="10">
        <f>IF(X28="","",IF(X28=0,IF(AND(B28&lt;&gt;"In",B28&lt;&gt;"Out"),"Fix: choose In or Out",IF(OR(NOT(ISNUMBER(D28)),N(D28)&lt;=0),"Fix: amount must be a number above 0",IF(NOT(ISNUMBER(MATCH(E28,FreqName,0))),"Fix: choose a frequency",IF(NOT(ISNUMBER(F28)),"Fix: first date missing","Fix: end date must be a date on or after the first date")))),IF(AND(C28&lt;&gt;"",OR(AND(B28="In",ISNUMBER(MATCH(C28,InCats,0))),AND(B28="Out",ISNUMBER(MATCH(C28,OutCats,0))))),"OK","Category not on Settings (counted as Other)")))</f>
        <v/>
      </c>
      <c r="I28" s="35">
        <f>IF(X28&lt;&gt;1,"",ROUND(J28/D28,0))</f>
        <v/>
      </c>
      <c r="J28" s="36">
        <f>SUM(K28:W28)</f>
        <v/>
      </c>
      <c r="K28" s="21">
        <f>IF($X28&lt;&gt;1,0,$D28*IF($Y28&gt;0,MAX(0,INT((MIN(K$5+6,$AB28)-$AA28)/$Y28)-MAX(0,-INT(($AA28-K$5)/$Y28))+1),IF($Z28&gt;0,(MOD(((YEAR(K$5)-YEAR($AA28))*12+MONTH(K$5)-MONTH($AA28)),$Z28)=0)*(((YEAR(K$5)-YEAR($AA28))*12+MONTH(K$5)-MONTH($AA28))&gt;=0)*(EDATE($AA28,MAX(0,((YEAR(K$5)-YEAR($AA28))*12+MONTH(K$5)-MONTH($AA28))))&gt;=K$5)*(EDATE($AA28,MAX(0,((YEAR(K$5)-YEAR($AA28))*12+MONTH(K$5)-MONTH($AA28))))&lt;=MIN(K$5+6,$AB28))+(MOD((((YEAR(K$5)-YEAR($AA28))*12+MONTH(K$5)-MONTH($AA28))+1),$Z28)=0)*((((YEAR(K$5)-YEAR($AA28))*12+MONTH(K$5)-MONTH($AA28))+1)&gt;=0)*(EDATE($AA28,MAX(0,(((YEAR(K$5)-YEAR($AA28))*12+MONTH(K$5)-MONTH($AA28))+1)))&gt;=K$5)*(EDATE($AA28,MAX(0,(((YEAR(K$5)-YEAR($AA28))*12+MONTH(K$5)-MONTH($AA28))+1)))&lt;=MIN(K$5+6,$AB28)),($AA28&gt;=K$5)*($AA28&lt;=K$5+6))))</f>
        <v/>
      </c>
      <c r="L28" s="21">
        <f>IF($X28&lt;&gt;1,0,$D28*IF($Y28&gt;0,MAX(0,INT((MIN(L$5+6,$AB28)-$AA28)/$Y28)-MAX(0,-INT(($AA28-L$5)/$Y28))+1),IF($Z28&gt;0,(MOD(((YEAR(L$5)-YEAR($AA28))*12+MONTH(L$5)-MONTH($AA28)),$Z28)=0)*(((YEAR(L$5)-YEAR($AA28))*12+MONTH(L$5)-MONTH($AA28))&gt;=0)*(EDATE($AA28,MAX(0,((YEAR(L$5)-YEAR($AA28))*12+MONTH(L$5)-MONTH($AA28))))&gt;=L$5)*(EDATE($AA28,MAX(0,((YEAR(L$5)-YEAR($AA28))*12+MONTH(L$5)-MONTH($AA28))))&lt;=MIN(L$5+6,$AB28))+(MOD((((YEAR(L$5)-YEAR($AA28))*12+MONTH(L$5)-MONTH($AA28))+1),$Z28)=0)*((((YEAR(L$5)-YEAR($AA28))*12+MONTH(L$5)-MONTH($AA28))+1)&gt;=0)*(EDATE($AA28,MAX(0,(((YEAR(L$5)-YEAR($AA28))*12+MONTH(L$5)-MONTH($AA28))+1)))&gt;=L$5)*(EDATE($AA28,MAX(0,(((YEAR(L$5)-YEAR($AA28))*12+MONTH(L$5)-MONTH($AA28))+1)))&lt;=MIN(L$5+6,$AB28)),($AA28&gt;=L$5)*($AA28&lt;=L$5+6))))</f>
        <v/>
      </c>
      <c r="M28" s="21">
        <f>IF($X28&lt;&gt;1,0,$D28*IF($Y28&gt;0,MAX(0,INT((MIN(M$5+6,$AB28)-$AA28)/$Y28)-MAX(0,-INT(($AA28-M$5)/$Y28))+1),IF($Z28&gt;0,(MOD(((YEAR(M$5)-YEAR($AA28))*12+MONTH(M$5)-MONTH($AA28)),$Z28)=0)*(((YEAR(M$5)-YEAR($AA28))*12+MONTH(M$5)-MONTH($AA28))&gt;=0)*(EDATE($AA28,MAX(0,((YEAR(M$5)-YEAR($AA28))*12+MONTH(M$5)-MONTH($AA28))))&gt;=M$5)*(EDATE($AA28,MAX(0,((YEAR(M$5)-YEAR($AA28))*12+MONTH(M$5)-MONTH($AA28))))&lt;=MIN(M$5+6,$AB28))+(MOD((((YEAR(M$5)-YEAR($AA28))*12+MONTH(M$5)-MONTH($AA28))+1),$Z28)=0)*((((YEAR(M$5)-YEAR($AA28))*12+MONTH(M$5)-MONTH($AA28))+1)&gt;=0)*(EDATE($AA28,MAX(0,(((YEAR(M$5)-YEAR($AA28))*12+MONTH(M$5)-MONTH($AA28))+1)))&gt;=M$5)*(EDATE($AA28,MAX(0,(((YEAR(M$5)-YEAR($AA28))*12+MONTH(M$5)-MONTH($AA28))+1)))&lt;=MIN(M$5+6,$AB28)),($AA28&gt;=M$5)*($AA28&lt;=M$5+6))))</f>
        <v/>
      </c>
      <c r="N28" s="21">
        <f>IF($X28&lt;&gt;1,0,$D28*IF($Y28&gt;0,MAX(0,INT((MIN(N$5+6,$AB28)-$AA28)/$Y28)-MAX(0,-INT(($AA28-N$5)/$Y28))+1),IF($Z28&gt;0,(MOD(((YEAR(N$5)-YEAR($AA28))*12+MONTH(N$5)-MONTH($AA28)),$Z28)=0)*(((YEAR(N$5)-YEAR($AA28))*12+MONTH(N$5)-MONTH($AA28))&gt;=0)*(EDATE($AA28,MAX(0,((YEAR(N$5)-YEAR($AA28))*12+MONTH(N$5)-MONTH($AA28))))&gt;=N$5)*(EDATE($AA28,MAX(0,((YEAR(N$5)-YEAR($AA28))*12+MONTH(N$5)-MONTH($AA28))))&lt;=MIN(N$5+6,$AB28))+(MOD((((YEAR(N$5)-YEAR($AA28))*12+MONTH(N$5)-MONTH($AA28))+1),$Z28)=0)*((((YEAR(N$5)-YEAR($AA28))*12+MONTH(N$5)-MONTH($AA28))+1)&gt;=0)*(EDATE($AA28,MAX(0,(((YEAR(N$5)-YEAR($AA28))*12+MONTH(N$5)-MONTH($AA28))+1)))&gt;=N$5)*(EDATE($AA28,MAX(0,(((YEAR(N$5)-YEAR($AA28))*12+MONTH(N$5)-MONTH($AA28))+1)))&lt;=MIN(N$5+6,$AB28)),($AA28&gt;=N$5)*($AA28&lt;=N$5+6))))</f>
        <v/>
      </c>
      <c r="O28" s="21">
        <f>IF($X28&lt;&gt;1,0,$D28*IF($Y28&gt;0,MAX(0,INT((MIN(O$5+6,$AB28)-$AA28)/$Y28)-MAX(0,-INT(($AA28-O$5)/$Y28))+1),IF($Z28&gt;0,(MOD(((YEAR(O$5)-YEAR($AA28))*12+MONTH(O$5)-MONTH($AA28)),$Z28)=0)*(((YEAR(O$5)-YEAR($AA28))*12+MONTH(O$5)-MONTH($AA28))&gt;=0)*(EDATE($AA28,MAX(0,((YEAR(O$5)-YEAR($AA28))*12+MONTH(O$5)-MONTH($AA28))))&gt;=O$5)*(EDATE($AA28,MAX(0,((YEAR(O$5)-YEAR($AA28))*12+MONTH(O$5)-MONTH($AA28))))&lt;=MIN(O$5+6,$AB28))+(MOD((((YEAR(O$5)-YEAR($AA28))*12+MONTH(O$5)-MONTH($AA28))+1),$Z28)=0)*((((YEAR(O$5)-YEAR($AA28))*12+MONTH(O$5)-MONTH($AA28))+1)&gt;=0)*(EDATE($AA28,MAX(0,(((YEAR(O$5)-YEAR($AA28))*12+MONTH(O$5)-MONTH($AA28))+1)))&gt;=O$5)*(EDATE($AA28,MAX(0,(((YEAR(O$5)-YEAR($AA28))*12+MONTH(O$5)-MONTH($AA28))+1)))&lt;=MIN(O$5+6,$AB28)),($AA28&gt;=O$5)*($AA28&lt;=O$5+6))))</f>
        <v/>
      </c>
      <c r="P28" s="21">
        <f>IF($X28&lt;&gt;1,0,$D28*IF($Y28&gt;0,MAX(0,INT((MIN(P$5+6,$AB28)-$AA28)/$Y28)-MAX(0,-INT(($AA28-P$5)/$Y28))+1),IF($Z28&gt;0,(MOD(((YEAR(P$5)-YEAR($AA28))*12+MONTH(P$5)-MONTH($AA28)),$Z28)=0)*(((YEAR(P$5)-YEAR($AA28))*12+MONTH(P$5)-MONTH($AA28))&gt;=0)*(EDATE($AA28,MAX(0,((YEAR(P$5)-YEAR($AA28))*12+MONTH(P$5)-MONTH($AA28))))&gt;=P$5)*(EDATE($AA28,MAX(0,((YEAR(P$5)-YEAR($AA28))*12+MONTH(P$5)-MONTH($AA28))))&lt;=MIN(P$5+6,$AB28))+(MOD((((YEAR(P$5)-YEAR($AA28))*12+MONTH(P$5)-MONTH($AA28))+1),$Z28)=0)*((((YEAR(P$5)-YEAR($AA28))*12+MONTH(P$5)-MONTH($AA28))+1)&gt;=0)*(EDATE($AA28,MAX(0,(((YEAR(P$5)-YEAR($AA28))*12+MONTH(P$5)-MONTH($AA28))+1)))&gt;=P$5)*(EDATE($AA28,MAX(0,(((YEAR(P$5)-YEAR($AA28))*12+MONTH(P$5)-MONTH($AA28))+1)))&lt;=MIN(P$5+6,$AB28)),($AA28&gt;=P$5)*($AA28&lt;=P$5+6))))</f>
        <v/>
      </c>
      <c r="Q28" s="21">
        <f>IF($X28&lt;&gt;1,0,$D28*IF($Y28&gt;0,MAX(0,INT((MIN(Q$5+6,$AB28)-$AA28)/$Y28)-MAX(0,-INT(($AA28-Q$5)/$Y28))+1),IF($Z28&gt;0,(MOD(((YEAR(Q$5)-YEAR($AA28))*12+MONTH(Q$5)-MONTH($AA28)),$Z28)=0)*(((YEAR(Q$5)-YEAR($AA28))*12+MONTH(Q$5)-MONTH($AA28))&gt;=0)*(EDATE($AA28,MAX(0,((YEAR(Q$5)-YEAR($AA28))*12+MONTH(Q$5)-MONTH($AA28))))&gt;=Q$5)*(EDATE($AA28,MAX(0,((YEAR(Q$5)-YEAR($AA28))*12+MONTH(Q$5)-MONTH($AA28))))&lt;=MIN(Q$5+6,$AB28))+(MOD((((YEAR(Q$5)-YEAR($AA28))*12+MONTH(Q$5)-MONTH($AA28))+1),$Z28)=0)*((((YEAR(Q$5)-YEAR($AA28))*12+MONTH(Q$5)-MONTH($AA28))+1)&gt;=0)*(EDATE($AA28,MAX(0,(((YEAR(Q$5)-YEAR($AA28))*12+MONTH(Q$5)-MONTH($AA28))+1)))&gt;=Q$5)*(EDATE($AA28,MAX(0,(((YEAR(Q$5)-YEAR($AA28))*12+MONTH(Q$5)-MONTH($AA28))+1)))&lt;=MIN(Q$5+6,$AB28)),($AA28&gt;=Q$5)*($AA28&lt;=Q$5+6))))</f>
        <v/>
      </c>
      <c r="R28" s="21">
        <f>IF($X28&lt;&gt;1,0,$D28*IF($Y28&gt;0,MAX(0,INT((MIN(R$5+6,$AB28)-$AA28)/$Y28)-MAX(0,-INT(($AA28-R$5)/$Y28))+1),IF($Z28&gt;0,(MOD(((YEAR(R$5)-YEAR($AA28))*12+MONTH(R$5)-MONTH($AA28)),$Z28)=0)*(((YEAR(R$5)-YEAR($AA28))*12+MONTH(R$5)-MONTH($AA28))&gt;=0)*(EDATE($AA28,MAX(0,((YEAR(R$5)-YEAR($AA28))*12+MONTH(R$5)-MONTH($AA28))))&gt;=R$5)*(EDATE($AA28,MAX(0,((YEAR(R$5)-YEAR($AA28))*12+MONTH(R$5)-MONTH($AA28))))&lt;=MIN(R$5+6,$AB28))+(MOD((((YEAR(R$5)-YEAR($AA28))*12+MONTH(R$5)-MONTH($AA28))+1),$Z28)=0)*((((YEAR(R$5)-YEAR($AA28))*12+MONTH(R$5)-MONTH($AA28))+1)&gt;=0)*(EDATE($AA28,MAX(0,(((YEAR(R$5)-YEAR($AA28))*12+MONTH(R$5)-MONTH($AA28))+1)))&gt;=R$5)*(EDATE($AA28,MAX(0,(((YEAR(R$5)-YEAR($AA28))*12+MONTH(R$5)-MONTH($AA28))+1)))&lt;=MIN(R$5+6,$AB28)),($AA28&gt;=R$5)*($AA28&lt;=R$5+6))))</f>
        <v/>
      </c>
      <c r="S28" s="21">
        <f>IF($X28&lt;&gt;1,0,$D28*IF($Y28&gt;0,MAX(0,INT((MIN(S$5+6,$AB28)-$AA28)/$Y28)-MAX(0,-INT(($AA28-S$5)/$Y28))+1),IF($Z28&gt;0,(MOD(((YEAR(S$5)-YEAR($AA28))*12+MONTH(S$5)-MONTH($AA28)),$Z28)=0)*(((YEAR(S$5)-YEAR($AA28))*12+MONTH(S$5)-MONTH($AA28))&gt;=0)*(EDATE($AA28,MAX(0,((YEAR(S$5)-YEAR($AA28))*12+MONTH(S$5)-MONTH($AA28))))&gt;=S$5)*(EDATE($AA28,MAX(0,((YEAR(S$5)-YEAR($AA28))*12+MONTH(S$5)-MONTH($AA28))))&lt;=MIN(S$5+6,$AB28))+(MOD((((YEAR(S$5)-YEAR($AA28))*12+MONTH(S$5)-MONTH($AA28))+1),$Z28)=0)*((((YEAR(S$5)-YEAR($AA28))*12+MONTH(S$5)-MONTH($AA28))+1)&gt;=0)*(EDATE($AA28,MAX(0,(((YEAR(S$5)-YEAR($AA28))*12+MONTH(S$5)-MONTH($AA28))+1)))&gt;=S$5)*(EDATE($AA28,MAX(0,(((YEAR(S$5)-YEAR($AA28))*12+MONTH(S$5)-MONTH($AA28))+1)))&lt;=MIN(S$5+6,$AB28)),($AA28&gt;=S$5)*($AA28&lt;=S$5+6))))</f>
        <v/>
      </c>
      <c r="T28" s="21">
        <f>IF($X28&lt;&gt;1,0,$D28*IF($Y28&gt;0,MAX(0,INT((MIN(T$5+6,$AB28)-$AA28)/$Y28)-MAX(0,-INT(($AA28-T$5)/$Y28))+1),IF($Z28&gt;0,(MOD(((YEAR(T$5)-YEAR($AA28))*12+MONTH(T$5)-MONTH($AA28)),$Z28)=0)*(((YEAR(T$5)-YEAR($AA28))*12+MONTH(T$5)-MONTH($AA28))&gt;=0)*(EDATE($AA28,MAX(0,((YEAR(T$5)-YEAR($AA28))*12+MONTH(T$5)-MONTH($AA28))))&gt;=T$5)*(EDATE($AA28,MAX(0,((YEAR(T$5)-YEAR($AA28))*12+MONTH(T$5)-MONTH($AA28))))&lt;=MIN(T$5+6,$AB28))+(MOD((((YEAR(T$5)-YEAR($AA28))*12+MONTH(T$5)-MONTH($AA28))+1),$Z28)=0)*((((YEAR(T$5)-YEAR($AA28))*12+MONTH(T$5)-MONTH($AA28))+1)&gt;=0)*(EDATE($AA28,MAX(0,(((YEAR(T$5)-YEAR($AA28))*12+MONTH(T$5)-MONTH($AA28))+1)))&gt;=T$5)*(EDATE($AA28,MAX(0,(((YEAR(T$5)-YEAR($AA28))*12+MONTH(T$5)-MONTH($AA28))+1)))&lt;=MIN(T$5+6,$AB28)),($AA28&gt;=T$5)*($AA28&lt;=T$5+6))))</f>
        <v/>
      </c>
      <c r="U28" s="21">
        <f>IF($X28&lt;&gt;1,0,$D28*IF($Y28&gt;0,MAX(0,INT((MIN(U$5+6,$AB28)-$AA28)/$Y28)-MAX(0,-INT(($AA28-U$5)/$Y28))+1),IF($Z28&gt;0,(MOD(((YEAR(U$5)-YEAR($AA28))*12+MONTH(U$5)-MONTH($AA28)),$Z28)=0)*(((YEAR(U$5)-YEAR($AA28))*12+MONTH(U$5)-MONTH($AA28))&gt;=0)*(EDATE($AA28,MAX(0,((YEAR(U$5)-YEAR($AA28))*12+MONTH(U$5)-MONTH($AA28))))&gt;=U$5)*(EDATE($AA28,MAX(0,((YEAR(U$5)-YEAR($AA28))*12+MONTH(U$5)-MONTH($AA28))))&lt;=MIN(U$5+6,$AB28))+(MOD((((YEAR(U$5)-YEAR($AA28))*12+MONTH(U$5)-MONTH($AA28))+1),$Z28)=0)*((((YEAR(U$5)-YEAR($AA28))*12+MONTH(U$5)-MONTH($AA28))+1)&gt;=0)*(EDATE($AA28,MAX(0,(((YEAR(U$5)-YEAR($AA28))*12+MONTH(U$5)-MONTH($AA28))+1)))&gt;=U$5)*(EDATE($AA28,MAX(0,(((YEAR(U$5)-YEAR($AA28))*12+MONTH(U$5)-MONTH($AA28))+1)))&lt;=MIN(U$5+6,$AB28)),($AA28&gt;=U$5)*($AA28&lt;=U$5+6))))</f>
        <v/>
      </c>
      <c r="V28" s="21">
        <f>IF($X28&lt;&gt;1,0,$D28*IF($Y28&gt;0,MAX(0,INT((MIN(V$5+6,$AB28)-$AA28)/$Y28)-MAX(0,-INT(($AA28-V$5)/$Y28))+1),IF($Z28&gt;0,(MOD(((YEAR(V$5)-YEAR($AA28))*12+MONTH(V$5)-MONTH($AA28)),$Z28)=0)*(((YEAR(V$5)-YEAR($AA28))*12+MONTH(V$5)-MONTH($AA28))&gt;=0)*(EDATE($AA28,MAX(0,((YEAR(V$5)-YEAR($AA28))*12+MONTH(V$5)-MONTH($AA28))))&gt;=V$5)*(EDATE($AA28,MAX(0,((YEAR(V$5)-YEAR($AA28))*12+MONTH(V$5)-MONTH($AA28))))&lt;=MIN(V$5+6,$AB28))+(MOD((((YEAR(V$5)-YEAR($AA28))*12+MONTH(V$5)-MONTH($AA28))+1),$Z28)=0)*((((YEAR(V$5)-YEAR($AA28))*12+MONTH(V$5)-MONTH($AA28))+1)&gt;=0)*(EDATE($AA28,MAX(0,(((YEAR(V$5)-YEAR($AA28))*12+MONTH(V$5)-MONTH($AA28))+1)))&gt;=V$5)*(EDATE($AA28,MAX(0,(((YEAR(V$5)-YEAR($AA28))*12+MONTH(V$5)-MONTH($AA28))+1)))&lt;=MIN(V$5+6,$AB28)),($AA28&gt;=V$5)*($AA28&lt;=V$5+6))))</f>
        <v/>
      </c>
      <c r="W28" s="21">
        <f>IF($X28&lt;&gt;1,0,$D28*IF($Y28&gt;0,MAX(0,INT((MIN(W$5+6,$AB28)-$AA28)/$Y28)-MAX(0,-INT(($AA28-W$5)/$Y28))+1),IF($Z28&gt;0,(MOD(((YEAR(W$5)-YEAR($AA28))*12+MONTH(W$5)-MONTH($AA28)),$Z28)=0)*(((YEAR(W$5)-YEAR($AA28))*12+MONTH(W$5)-MONTH($AA28))&gt;=0)*(EDATE($AA28,MAX(0,((YEAR(W$5)-YEAR($AA28))*12+MONTH(W$5)-MONTH($AA28))))&gt;=W$5)*(EDATE($AA28,MAX(0,((YEAR(W$5)-YEAR($AA28))*12+MONTH(W$5)-MONTH($AA28))))&lt;=MIN(W$5+6,$AB28))+(MOD((((YEAR(W$5)-YEAR($AA28))*12+MONTH(W$5)-MONTH($AA28))+1),$Z28)=0)*((((YEAR(W$5)-YEAR($AA28))*12+MONTH(W$5)-MONTH($AA28))+1)&gt;=0)*(EDATE($AA28,MAX(0,(((YEAR(W$5)-YEAR($AA28))*12+MONTH(W$5)-MONTH($AA28))+1)))&gt;=W$5)*(EDATE($AA28,MAX(0,(((YEAR(W$5)-YEAR($AA28))*12+MONTH(W$5)-MONTH($AA28))+1)))&lt;=MIN(W$5+6,$AB28)),($AA28&gt;=W$5)*($AA28&lt;=W$5+6))))</f>
        <v/>
      </c>
      <c r="X28">
        <f>IF(COUNTA(A28:G28)=0,"",IF(AND(OR(B28="In",B28="Out"),ISNUMBER(D28),D28&gt;0,ISNUMBER(MATCH(E28,FreqName,0)),ISNUMBER(F28),OR(G28="",AND(ISNUMBER(G28),G28&gt;=F28))),1,0))</f>
        <v/>
      </c>
      <c r="Y28">
        <f>IF(X28&lt;&gt;1,0,INDEX(FreqDays,MATCH(E28,FreqName,0)))</f>
        <v/>
      </c>
      <c r="Z28">
        <f>IF(X28&lt;&gt;1,0,INDEX(FreqMonths,MATCH(E28,FreqName,0)))</f>
        <v/>
      </c>
      <c r="AA28">
        <f>IF(X28&lt;&gt;1,0,INT(F28))</f>
        <v/>
      </c>
      <c r="AB28">
        <f>IF(X28&lt;&gt;1,0,IF(ISNUMBER(G28),INT(G28),2958465))</f>
        <v/>
      </c>
    </row>
    <row r="29">
      <c r="A29" s="29" t="n"/>
      <c r="B29" s="29" t="n"/>
      <c r="C29" s="29" t="n"/>
      <c r="D29" s="34" t="n"/>
      <c r="E29" s="29" t="n"/>
      <c r="F29" s="24" t="n"/>
      <c r="G29" s="24" t="n"/>
      <c r="H29" s="10">
        <f>IF(X29="","",IF(X29=0,IF(AND(B29&lt;&gt;"In",B29&lt;&gt;"Out"),"Fix: choose In or Out",IF(OR(NOT(ISNUMBER(D29)),N(D29)&lt;=0),"Fix: amount must be a number above 0",IF(NOT(ISNUMBER(MATCH(E29,FreqName,0))),"Fix: choose a frequency",IF(NOT(ISNUMBER(F29)),"Fix: first date missing","Fix: end date must be a date on or after the first date")))),IF(AND(C29&lt;&gt;"",OR(AND(B29="In",ISNUMBER(MATCH(C29,InCats,0))),AND(B29="Out",ISNUMBER(MATCH(C29,OutCats,0))))),"OK","Category not on Settings (counted as Other)")))</f>
        <v/>
      </c>
      <c r="I29" s="35">
        <f>IF(X29&lt;&gt;1,"",ROUND(J29/D29,0))</f>
        <v/>
      </c>
      <c r="J29" s="36">
        <f>SUM(K29:W29)</f>
        <v/>
      </c>
      <c r="K29" s="21">
        <f>IF($X29&lt;&gt;1,0,$D29*IF($Y29&gt;0,MAX(0,INT((MIN(K$5+6,$AB29)-$AA29)/$Y29)-MAX(0,-INT(($AA29-K$5)/$Y29))+1),IF($Z29&gt;0,(MOD(((YEAR(K$5)-YEAR($AA29))*12+MONTH(K$5)-MONTH($AA29)),$Z29)=0)*(((YEAR(K$5)-YEAR($AA29))*12+MONTH(K$5)-MONTH($AA29))&gt;=0)*(EDATE($AA29,MAX(0,((YEAR(K$5)-YEAR($AA29))*12+MONTH(K$5)-MONTH($AA29))))&gt;=K$5)*(EDATE($AA29,MAX(0,((YEAR(K$5)-YEAR($AA29))*12+MONTH(K$5)-MONTH($AA29))))&lt;=MIN(K$5+6,$AB29))+(MOD((((YEAR(K$5)-YEAR($AA29))*12+MONTH(K$5)-MONTH($AA29))+1),$Z29)=0)*((((YEAR(K$5)-YEAR($AA29))*12+MONTH(K$5)-MONTH($AA29))+1)&gt;=0)*(EDATE($AA29,MAX(0,(((YEAR(K$5)-YEAR($AA29))*12+MONTH(K$5)-MONTH($AA29))+1)))&gt;=K$5)*(EDATE($AA29,MAX(0,(((YEAR(K$5)-YEAR($AA29))*12+MONTH(K$5)-MONTH($AA29))+1)))&lt;=MIN(K$5+6,$AB29)),($AA29&gt;=K$5)*($AA29&lt;=K$5+6))))</f>
        <v/>
      </c>
      <c r="L29" s="21">
        <f>IF($X29&lt;&gt;1,0,$D29*IF($Y29&gt;0,MAX(0,INT((MIN(L$5+6,$AB29)-$AA29)/$Y29)-MAX(0,-INT(($AA29-L$5)/$Y29))+1),IF($Z29&gt;0,(MOD(((YEAR(L$5)-YEAR($AA29))*12+MONTH(L$5)-MONTH($AA29)),$Z29)=0)*(((YEAR(L$5)-YEAR($AA29))*12+MONTH(L$5)-MONTH($AA29))&gt;=0)*(EDATE($AA29,MAX(0,((YEAR(L$5)-YEAR($AA29))*12+MONTH(L$5)-MONTH($AA29))))&gt;=L$5)*(EDATE($AA29,MAX(0,((YEAR(L$5)-YEAR($AA29))*12+MONTH(L$5)-MONTH($AA29))))&lt;=MIN(L$5+6,$AB29))+(MOD((((YEAR(L$5)-YEAR($AA29))*12+MONTH(L$5)-MONTH($AA29))+1),$Z29)=0)*((((YEAR(L$5)-YEAR($AA29))*12+MONTH(L$5)-MONTH($AA29))+1)&gt;=0)*(EDATE($AA29,MAX(0,(((YEAR(L$5)-YEAR($AA29))*12+MONTH(L$5)-MONTH($AA29))+1)))&gt;=L$5)*(EDATE($AA29,MAX(0,(((YEAR(L$5)-YEAR($AA29))*12+MONTH(L$5)-MONTH($AA29))+1)))&lt;=MIN(L$5+6,$AB29)),($AA29&gt;=L$5)*($AA29&lt;=L$5+6))))</f>
        <v/>
      </c>
      <c r="M29" s="21">
        <f>IF($X29&lt;&gt;1,0,$D29*IF($Y29&gt;0,MAX(0,INT((MIN(M$5+6,$AB29)-$AA29)/$Y29)-MAX(0,-INT(($AA29-M$5)/$Y29))+1),IF($Z29&gt;0,(MOD(((YEAR(M$5)-YEAR($AA29))*12+MONTH(M$5)-MONTH($AA29)),$Z29)=0)*(((YEAR(M$5)-YEAR($AA29))*12+MONTH(M$5)-MONTH($AA29))&gt;=0)*(EDATE($AA29,MAX(0,((YEAR(M$5)-YEAR($AA29))*12+MONTH(M$5)-MONTH($AA29))))&gt;=M$5)*(EDATE($AA29,MAX(0,((YEAR(M$5)-YEAR($AA29))*12+MONTH(M$5)-MONTH($AA29))))&lt;=MIN(M$5+6,$AB29))+(MOD((((YEAR(M$5)-YEAR($AA29))*12+MONTH(M$5)-MONTH($AA29))+1),$Z29)=0)*((((YEAR(M$5)-YEAR($AA29))*12+MONTH(M$5)-MONTH($AA29))+1)&gt;=0)*(EDATE($AA29,MAX(0,(((YEAR(M$5)-YEAR($AA29))*12+MONTH(M$5)-MONTH($AA29))+1)))&gt;=M$5)*(EDATE($AA29,MAX(0,(((YEAR(M$5)-YEAR($AA29))*12+MONTH(M$5)-MONTH($AA29))+1)))&lt;=MIN(M$5+6,$AB29)),($AA29&gt;=M$5)*($AA29&lt;=M$5+6))))</f>
        <v/>
      </c>
      <c r="N29" s="21">
        <f>IF($X29&lt;&gt;1,0,$D29*IF($Y29&gt;0,MAX(0,INT((MIN(N$5+6,$AB29)-$AA29)/$Y29)-MAX(0,-INT(($AA29-N$5)/$Y29))+1),IF($Z29&gt;0,(MOD(((YEAR(N$5)-YEAR($AA29))*12+MONTH(N$5)-MONTH($AA29)),$Z29)=0)*(((YEAR(N$5)-YEAR($AA29))*12+MONTH(N$5)-MONTH($AA29))&gt;=0)*(EDATE($AA29,MAX(0,((YEAR(N$5)-YEAR($AA29))*12+MONTH(N$5)-MONTH($AA29))))&gt;=N$5)*(EDATE($AA29,MAX(0,((YEAR(N$5)-YEAR($AA29))*12+MONTH(N$5)-MONTH($AA29))))&lt;=MIN(N$5+6,$AB29))+(MOD((((YEAR(N$5)-YEAR($AA29))*12+MONTH(N$5)-MONTH($AA29))+1),$Z29)=0)*((((YEAR(N$5)-YEAR($AA29))*12+MONTH(N$5)-MONTH($AA29))+1)&gt;=0)*(EDATE($AA29,MAX(0,(((YEAR(N$5)-YEAR($AA29))*12+MONTH(N$5)-MONTH($AA29))+1)))&gt;=N$5)*(EDATE($AA29,MAX(0,(((YEAR(N$5)-YEAR($AA29))*12+MONTH(N$5)-MONTH($AA29))+1)))&lt;=MIN(N$5+6,$AB29)),($AA29&gt;=N$5)*($AA29&lt;=N$5+6))))</f>
        <v/>
      </c>
      <c r="O29" s="21">
        <f>IF($X29&lt;&gt;1,0,$D29*IF($Y29&gt;0,MAX(0,INT((MIN(O$5+6,$AB29)-$AA29)/$Y29)-MAX(0,-INT(($AA29-O$5)/$Y29))+1),IF($Z29&gt;0,(MOD(((YEAR(O$5)-YEAR($AA29))*12+MONTH(O$5)-MONTH($AA29)),$Z29)=0)*(((YEAR(O$5)-YEAR($AA29))*12+MONTH(O$5)-MONTH($AA29))&gt;=0)*(EDATE($AA29,MAX(0,((YEAR(O$5)-YEAR($AA29))*12+MONTH(O$5)-MONTH($AA29))))&gt;=O$5)*(EDATE($AA29,MAX(0,((YEAR(O$5)-YEAR($AA29))*12+MONTH(O$5)-MONTH($AA29))))&lt;=MIN(O$5+6,$AB29))+(MOD((((YEAR(O$5)-YEAR($AA29))*12+MONTH(O$5)-MONTH($AA29))+1),$Z29)=0)*((((YEAR(O$5)-YEAR($AA29))*12+MONTH(O$5)-MONTH($AA29))+1)&gt;=0)*(EDATE($AA29,MAX(0,(((YEAR(O$5)-YEAR($AA29))*12+MONTH(O$5)-MONTH($AA29))+1)))&gt;=O$5)*(EDATE($AA29,MAX(0,(((YEAR(O$5)-YEAR($AA29))*12+MONTH(O$5)-MONTH($AA29))+1)))&lt;=MIN(O$5+6,$AB29)),($AA29&gt;=O$5)*($AA29&lt;=O$5+6))))</f>
        <v/>
      </c>
      <c r="P29" s="21">
        <f>IF($X29&lt;&gt;1,0,$D29*IF($Y29&gt;0,MAX(0,INT((MIN(P$5+6,$AB29)-$AA29)/$Y29)-MAX(0,-INT(($AA29-P$5)/$Y29))+1),IF($Z29&gt;0,(MOD(((YEAR(P$5)-YEAR($AA29))*12+MONTH(P$5)-MONTH($AA29)),$Z29)=0)*(((YEAR(P$5)-YEAR($AA29))*12+MONTH(P$5)-MONTH($AA29))&gt;=0)*(EDATE($AA29,MAX(0,((YEAR(P$5)-YEAR($AA29))*12+MONTH(P$5)-MONTH($AA29))))&gt;=P$5)*(EDATE($AA29,MAX(0,((YEAR(P$5)-YEAR($AA29))*12+MONTH(P$5)-MONTH($AA29))))&lt;=MIN(P$5+6,$AB29))+(MOD((((YEAR(P$5)-YEAR($AA29))*12+MONTH(P$5)-MONTH($AA29))+1),$Z29)=0)*((((YEAR(P$5)-YEAR($AA29))*12+MONTH(P$5)-MONTH($AA29))+1)&gt;=0)*(EDATE($AA29,MAX(0,(((YEAR(P$5)-YEAR($AA29))*12+MONTH(P$5)-MONTH($AA29))+1)))&gt;=P$5)*(EDATE($AA29,MAX(0,(((YEAR(P$5)-YEAR($AA29))*12+MONTH(P$5)-MONTH($AA29))+1)))&lt;=MIN(P$5+6,$AB29)),($AA29&gt;=P$5)*($AA29&lt;=P$5+6))))</f>
        <v/>
      </c>
      <c r="Q29" s="21">
        <f>IF($X29&lt;&gt;1,0,$D29*IF($Y29&gt;0,MAX(0,INT((MIN(Q$5+6,$AB29)-$AA29)/$Y29)-MAX(0,-INT(($AA29-Q$5)/$Y29))+1),IF($Z29&gt;0,(MOD(((YEAR(Q$5)-YEAR($AA29))*12+MONTH(Q$5)-MONTH($AA29)),$Z29)=0)*(((YEAR(Q$5)-YEAR($AA29))*12+MONTH(Q$5)-MONTH($AA29))&gt;=0)*(EDATE($AA29,MAX(0,((YEAR(Q$5)-YEAR($AA29))*12+MONTH(Q$5)-MONTH($AA29))))&gt;=Q$5)*(EDATE($AA29,MAX(0,((YEAR(Q$5)-YEAR($AA29))*12+MONTH(Q$5)-MONTH($AA29))))&lt;=MIN(Q$5+6,$AB29))+(MOD((((YEAR(Q$5)-YEAR($AA29))*12+MONTH(Q$5)-MONTH($AA29))+1),$Z29)=0)*((((YEAR(Q$5)-YEAR($AA29))*12+MONTH(Q$5)-MONTH($AA29))+1)&gt;=0)*(EDATE($AA29,MAX(0,(((YEAR(Q$5)-YEAR($AA29))*12+MONTH(Q$5)-MONTH($AA29))+1)))&gt;=Q$5)*(EDATE($AA29,MAX(0,(((YEAR(Q$5)-YEAR($AA29))*12+MONTH(Q$5)-MONTH($AA29))+1)))&lt;=MIN(Q$5+6,$AB29)),($AA29&gt;=Q$5)*($AA29&lt;=Q$5+6))))</f>
        <v/>
      </c>
      <c r="R29" s="21">
        <f>IF($X29&lt;&gt;1,0,$D29*IF($Y29&gt;0,MAX(0,INT((MIN(R$5+6,$AB29)-$AA29)/$Y29)-MAX(0,-INT(($AA29-R$5)/$Y29))+1),IF($Z29&gt;0,(MOD(((YEAR(R$5)-YEAR($AA29))*12+MONTH(R$5)-MONTH($AA29)),$Z29)=0)*(((YEAR(R$5)-YEAR($AA29))*12+MONTH(R$5)-MONTH($AA29))&gt;=0)*(EDATE($AA29,MAX(0,((YEAR(R$5)-YEAR($AA29))*12+MONTH(R$5)-MONTH($AA29))))&gt;=R$5)*(EDATE($AA29,MAX(0,((YEAR(R$5)-YEAR($AA29))*12+MONTH(R$5)-MONTH($AA29))))&lt;=MIN(R$5+6,$AB29))+(MOD((((YEAR(R$5)-YEAR($AA29))*12+MONTH(R$5)-MONTH($AA29))+1),$Z29)=0)*((((YEAR(R$5)-YEAR($AA29))*12+MONTH(R$5)-MONTH($AA29))+1)&gt;=0)*(EDATE($AA29,MAX(0,(((YEAR(R$5)-YEAR($AA29))*12+MONTH(R$5)-MONTH($AA29))+1)))&gt;=R$5)*(EDATE($AA29,MAX(0,(((YEAR(R$5)-YEAR($AA29))*12+MONTH(R$5)-MONTH($AA29))+1)))&lt;=MIN(R$5+6,$AB29)),($AA29&gt;=R$5)*($AA29&lt;=R$5+6))))</f>
        <v/>
      </c>
      <c r="S29" s="21">
        <f>IF($X29&lt;&gt;1,0,$D29*IF($Y29&gt;0,MAX(0,INT((MIN(S$5+6,$AB29)-$AA29)/$Y29)-MAX(0,-INT(($AA29-S$5)/$Y29))+1),IF($Z29&gt;0,(MOD(((YEAR(S$5)-YEAR($AA29))*12+MONTH(S$5)-MONTH($AA29)),$Z29)=0)*(((YEAR(S$5)-YEAR($AA29))*12+MONTH(S$5)-MONTH($AA29))&gt;=0)*(EDATE($AA29,MAX(0,((YEAR(S$5)-YEAR($AA29))*12+MONTH(S$5)-MONTH($AA29))))&gt;=S$5)*(EDATE($AA29,MAX(0,((YEAR(S$5)-YEAR($AA29))*12+MONTH(S$5)-MONTH($AA29))))&lt;=MIN(S$5+6,$AB29))+(MOD((((YEAR(S$5)-YEAR($AA29))*12+MONTH(S$5)-MONTH($AA29))+1),$Z29)=0)*((((YEAR(S$5)-YEAR($AA29))*12+MONTH(S$5)-MONTH($AA29))+1)&gt;=0)*(EDATE($AA29,MAX(0,(((YEAR(S$5)-YEAR($AA29))*12+MONTH(S$5)-MONTH($AA29))+1)))&gt;=S$5)*(EDATE($AA29,MAX(0,(((YEAR(S$5)-YEAR($AA29))*12+MONTH(S$5)-MONTH($AA29))+1)))&lt;=MIN(S$5+6,$AB29)),($AA29&gt;=S$5)*($AA29&lt;=S$5+6))))</f>
        <v/>
      </c>
      <c r="T29" s="21">
        <f>IF($X29&lt;&gt;1,0,$D29*IF($Y29&gt;0,MAX(0,INT((MIN(T$5+6,$AB29)-$AA29)/$Y29)-MAX(0,-INT(($AA29-T$5)/$Y29))+1),IF($Z29&gt;0,(MOD(((YEAR(T$5)-YEAR($AA29))*12+MONTH(T$5)-MONTH($AA29)),$Z29)=0)*(((YEAR(T$5)-YEAR($AA29))*12+MONTH(T$5)-MONTH($AA29))&gt;=0)*(EDATE($AA29,MAX(0,((YEAR(T$5)-YEAR($AA29))*12+MONTH(T$5)-MONTH($AA29))))&gt;=T$5)*(EDATE($AA29,MAX(0,((YEAR(T$5)-YEAR($AA29))*12+MONTH(T$5)-MONTH($AA29))))&lt;=MIN(T$5+6,$AB29))+(MOD((((YEAR(T$5)-YEAR($AA29))*12+MONTH(T$5)-MONTH($AA29))+1),$Z29)=0)*((((YEAR(T$5)-YEAR($AA29))*12+MONTH(T$5)-MONTH($AA29))+1)&gt;=0)*(EDATE($AA29,MAX(0,(((YEAR(T$5)-YEAR($AA29))*12+MONTH(T$5)-MONTH($AA29))+1)))&gt;=T$5)*(EDATE($AA29,MAX(0,(((YEAR(T$5)-YEAR($AA29))*12+MONTH(T$5)-MONTH($AA29))+1)))&lt;=MIN(T$5+6,$AB29)),($AA29&gt;=T$5)*($AA29&lt;=T$5+6))))</f>
        <v/>
      </c>
      <c r="U29" s="21">
        <f>IF($X29&lt;&gt;1,0,$D29*IF($Y29&gt;0,MAX(0,INT((MIN(U$5+6,$AB29)-$AA29)/$Y29)-MAX(0,-INT(($AA29-U$5)/$Y29))+1),IF($Z29&gt;0,(MOD(((YEAR(U$5)-YEAR($AA29))*12+MONTH(U$5)-MONTH($AA29)),$Z29)=0)*(((YEAR(U$5)-YEAR($AA29))*12+MONTH(U$5)-MONTH($AA29))&gt;=0)*(EDATE($AA29,MAX(0,((YEAR(U$5)-YEAR($AA29))*12+MONTH(U$5)-MONTH($AA29))))&gt;=U$5)*(EDATE($AA29,MAX(0,((YEAR(U$5)-YEAR($AA29))*12+MONTH(U$5)-MONTH($AA29))))&lt;=MIN(U$5+6,$AB29))+(MOD((((YEAR(U$5)-YEAR($AA29))*12+MONTH(U$5)-MONTH($AA29))+1),$Z29)=0)*((((YEAR(U$5)-YEAR($AA29))*12+MONTH(U$5)-MONTH($AA29))+1)&gt;=0)*(EDATE($AA29,MAX(0,(((YEAR(U$5)-YEAR($AA29))*12+MONTH(U$5)-MONTH($AA29))+1)))&gt;=U$5)*(EDATE($AA29,MAX(0,(((YEAR(U$5)-YEAR($AA29))*12+MONTH(U$5)-MONTH($AA29))+1)))&lt;=MIN(U$5+6,$AB29)),($AA29&gt;=U$5)*($AA29&lt;=U$5+6))))</f>
        <v/>
      </c>
      <c r="V29" s="21">
        <f>IF($X29&lt;&gt;1,0,$D29*IF($Y29&gt;0,MAX(0,INT((MIN(V$5+6,$AB29)-$AA29)/$Y29)-MAX(0,-INT(($AA29-V$5)/$Y29))+1),IF($Z29&gt;0,(MOD(((YEAR(V$5)-YEAR($AA29))*12+MONTH(V$5)-MONTH($AA29)),$Z29)=0)*(((YEAR(V$5)-YEAR($AA29))*12+MONTH(V$5)-MONTH($AA29))&gt;=0)*(EDATE($AA29,MAX(0,((YEAR(V$5)-YEAR($AA29))*12+MONTH(V$5)-MONTH($AA29))))&gt;=V$5)*(EDATE($AA29,MAX(0,((YEAR(V$5)-YEAR($AA29))*12+MONTH(V$5)-MONTH($AA29))))&lt;=MIN(V$5+6,$AB29))+(MOD((((YEAR(V$5)-YEAR($AA29))*12+MONTH(V$5)-MONTH($AA29))+1),$Z29)=0)*((((YEAR(V$5)-YEAR($AA29))*12+MONTH(V$5)-MONTH($AA29))+1)&gt;=0)*(EDATE($AA29,MAX(0,(((YEAR(V$5)-YEAR($AA29))*12+MONTH(V$5)-MONTH($AA29))+1)))&gt;=V$5)*(EDATE($AA29,MAX(0,(((YEAR(V$5)-YEAR($AA29))*12+MONTH(V$5)-MONTH($AA29))+1)))&lt;=MIN(V$5+6,$AB29)),($AA29&gt;=V$5)*($AA29&lt;=V$5+6))))</f>
        <v/>
      </c>
      <c r="W29" s="21">
        <f>IF($X29&lt;&gt;1,0,$D29*IF($Y29&gt;0,MAX(0,INT((MIN(W$5+6,$AB29)-$AA29)/$Y29)-MAX(0,-INT(($AA29-W$5)/$Y29))+1),IF($Z29&gt;0,(MOD(((YEAR(W$5)-YEAR($AA29))*12+MONTH(W$5)-MONTH($AA29)),$Z29)=0)*(((YEAR(W$5)-YEAR($AA29))*12+MONTH(W$5)-MONTH($AA29))&gt;=0)*(EDATE($AA29,MAX(0,((YEAR(W$5)-YEAR($AA29))*12+MONTH(W$5)-MONTH($AA29))))&gt;=W$5)*(EDATE($AA29,MAX(0,((YEAR(W$5)-YEAR($AA29))*12+MONTH(W$5)-MONTH($AA29))))&lt;=MIN(W$5+6,$AB29))+(MOD((((YEAR(W$5)-YEAR($AA29))*12+MONTH(W$5)-MONTH($AA29))+1),$Z29)=0)*((((YEAR(W$5)-YEAR($AA29))*12+MONTH(W$5)-MONTH($AA29))+1)&gt;=0)*(EDATE($AA29,MAX(0,(((YEAR(W$5)-YEAR($AA29))*12+MONTH(W$5)-MONTH($AA29))+1)))&gt;=W$5)*(EDATE($AA29,MAX(0,(((YEAR(W$5)-YEAR($AA29))*12+MONTH(W$5)-MONTH($AA29))+1)))&lt;=MIN(W$5+6,$AB29)),($AA29&gt;=W$5)*($AA29&lt;=W$5+6))))</f>
        <v/>
      </c>
      <c r="X29">
        <f>IF(COUNTA(A29:G29)=0,"",IF(AND(OR(B29="In",B29="Out"),ISNUMBER(D29),D29&gt;0,ISNUMBER(MATCH(E29,FreqName,0)),ISNUMBER(F29),OR(G29="",AND(ISNUMBER(G29),G29&gt;=F29))),1,0))</f>
        <v/>
      </c>
      <c r="Y29">
        <f>IF(X29&lt;&gt;1,0,INDEX(FreqDays,MATCH(E29,FreqName,0)))</f>
        <v/>
      </c>
      <c r="Z29">
        <f>IF(X29&lt;&gt;1,0,INDEX(FreqMonths,MATCH(E29,FreqName,0)))</f>
        <v/>
      </c>
      <c r="AA29">
        <f>IF(X29&lt;&gt;1,0,INT(F29))</f>
        <v/>
      </c>
      <c r="AB29">
        <f>IF(X29&lt;&gt;1,0,IF(ISNUMBER(G29),INT(G29),2958465))</f>
        <v/>
      </c>
    </row>
    <row r="30">
      <c r="A30" s="29" t="n"/>
      <c r="B30" s="29" t="n"/>
      <c r="C30" s="29" t="n"/>
      <c r="D30" s="34" t="n"/>
      <c r="E30" s="29" t="n"/>
      <c r="F30" s="24" t="n"/>
      <c r="G30" s="24" t="n"/>
      <c r="H30" s="10">
        <f>IF(X30="","",IF(X30=0,IF(AND(B30&lt;&gt;"In",B30&lt;&gt;"Out"),"Fix: choose In or Out",IF(OR(NOT(ISNUMBER(D30)),N(D30)&lt;=0),"Fix: amount must be a number above 0",IF(NOT(ISNUMBER(MATCH(E30,FreqName,0))),"Fix: choose a frequency",IF(NOT(ISNUMBER(F30)),"Fix: first date missing","Fix: end date must be a date on or after the first date")))),IF(AND(C30&lt;&gt;"",OR(AND(B30="In",ISNUMBER(MATCH(C30,InCats,0))),AND(B30="Out",ISNUMBER(MATCH(C30,OutCats,0))))),"OK","Category not on Settings (counted as Other)")))</f>
        <v/>
      </c>
      <c r="I30" s="35">
        <f>IF(X30&lt;&gt;1,"",ROUND(J30/D30,0))</f>
        <v/>
      </c>
      <c r="J30" s="36">
        <f>SUM(K30:W30)</f>
        <v/>
      </c>
      <c r="K30" s="21">
        <f>IF($X30&lt;&gt;1,0,$D30*IF($Y30&gt;0,MAX(0,INT((MIN(K$5+6,$AB30)-$AA30)/$Y30)-MAX(0,-INT(($AA30-K$5)/$Y30))+1),IF($Z30&gt;0,(MOD(((YEAR(K$5)-YEAR($AA30))*12+MONTH(K$5)-MONTH($AA30)),$Z30)=0)*(((YEAR(K$5)-YEAR($AA30))*12+MONTH(K$5)-MONTH($AA30))&gt;=0)*(EDATE($AA30,MAX(0,((YEAR(K$5)-YEAR($AA30))*12+MONTH(K$5)-MONTH($AA30))))&gt;=K$5)*(EDATE($AA30,MAX(0,((YEAR(K$5)-YEAR($AA30))*12+MONTH(K$5)-MONTH($AA30))))&lt;=MIN(K$5+6,$AB30))+(MOD((((YEAR(K$5)-YEAR($AA30))*12+MONTH(K$5)-MONTH($AA30))+1),$Z30)=0)*((((YEAR(K$5)-YEAR($AA30))*12+MONTH(K$5)-MONTH($AA30))+1)&gt;=0)*(EDATE($AA30,MAX(0,(((YEAR(K$5)-YEAR($AA30))*12+MONTH(K$5)-MONTH($AA30))+1)))&gt;=K$5)*(EDATE($AA30,MAX(0,(((YEAR(K$5)-YEAR($AA30))*12+MONTH(K$5)-MONTH($AA30))+1)))&lt;=MIN(K$5+6,$AB30)),($AA30&gt;=K$5)*($AA30&lt;=K$5+6))))</f>
        <v/>
      </c>
      <c r="L30" s="21">
        <f>IF($X30&lt;&gt;1,0,$D30*IF($Y30&gt;0,MAX(0,INT((MIN(L$5+6,$AB30)-$AA30)/$Y30)-MAX(0,-INT(($AA30-L$5)/$Y30))+1),IF($Z30&gt;0,(MOD(((YEAR(L$5)-YEAR($AA30))*12+MONTH(L$5)-MONTH($AA30)),$Z30)=0)*(((YEAR(L$5)-YEAR($AA30))*12+MONTH(L$5)-MONTH($AA30))&gt;=0)*(EDATE($AA30,MAX(0,((YEAR(L$5)-YEAR($AA30))*12+MONTH(L$5)-MONTH($AA30))))&gt;=L$5)*(EDATE($AA30,MAX(0,((YEAR(L$5)-YEAR($AA30))*12+MONTH(L$5)-MONTH($AA30))))&lt;=MIN(L$5+6,$AB30))+(MOD((((YEAR(L$5)-YEAR($AA30))*12+MONTH(L$5)-MONTH($AA30))+1),$Z30)=0)*((((YEAR(L$5)-YEAR($AA30))*12+MONTH(L$5)-MONTH($AA30))+1)&gt;=0)*(EDATE($AA30,MAX(0,(((YEAR(L$5)-YEAR($AA30))*12+MONTH(L$5)-MONTH($AA30))+1)))&gt;=L$5)*(EDATE($AA30,MAX(0,(((YEAR(L$5)-YEAR($AA30))*12+MONTH(L$5)-MONTH($AA30))+1)))&lt;=MIN(L$5+6,$AB30)),($AA30&gt;=L$5)*($AA30&lt;=L$5+6))))</f>
        <v/>
      </c>
      <c r="M30" s="21">
        <f>IF($X30&lt;&gt;1,0,$D30*IF($Y30&gt;0,MAX(0,INT((MIN(M$5+6,$AB30)-$AA30)/$Y30)-MAX(0,-INT(($AA30-M$5)/$Y30))+1),IF($Z30&gt;0,(MOD(((YEAR(M$5)-YEAR($AA30))*12+MONTH(M$5)-MONTH($AA30)),$Z30)=0)*(((YEAR(M$5)-YEAR($AA30))*12+MONTH(M$5)-MONTH($AA30))&gt;=0)*(EDATE($AA30,MAX(0,((YEAR(M$5)-YEAR($AA30))*12+MONTH(M$5)-MONTH($AA30))))&gt;=M$5)*(EDATE($AA30,MAX(0,((YEAR(M$5)-YEAR($AA30))*12+MONTH(M$5)-MONTH($AA30))))&lt;=MIN(M$5+6,$AB30))+(MOD((((YEAR(M$5)-YEAR($AA30))*12+MONTH(M$5)-MONTH($AA30))+1),$Z30)=0)*((((YEAR(M$5)-YEAR($AA30))*12+MONTH(M$5)-MONTH($AA30))+1)&gt;=0)*(EDATE($AA30,MAX(0,(((YEAR(M$5)-YEAR($AA30))*12+MONTH(M$5)-MONTH($AA30))+1)))&gt;=M$5)*(EDATE($AA30,MAX(0,(((YEAR(M$5)-YEAR($AA30))*12+MONTH(M$5)-MONTH($AA30))+1)))&lt;=MIN(M$5+6,$AB30)),($AA30&gt;=M$5)*($AA30&lt;=M$5+6))))</f>
        <v/>
      </c>
      <c r="N30" s="21">
        <f>IF($X30&lt;&gt;1,0,$D30*IF($Y30&gt;0,MAX(0,INT((MIN(N$5+6,$AB30)-$AA30)/$Y30)-MAX(0,-INT(($AA30-N$5)/$Y30))+1),IF($Z30&gt;0,(MOD(((YEAR(N$5)-YEAR($AA30))*12+MONTH(N$5)-MONTH($AA30)),$Z30)=0)*(((YEAR(N$5)-YEAR($AA30))*12+MONTH(N$5)-MONTH($AA30))&gt;=0)*(EDATE($AA30,MAX(0,((YEAR(N$5)-YEAR($AA30))*12+MONTH(N$5)-MONTH($AA30))))&gt;=N$5)*(EDATE($AA30,MAX(0,((YEAR(N$5)-YEAR($AA30))*12+MONTH(N$5)-MONTH($AA30))))&lt;=MIN(N$5+6,$AB30))+(MOD((((YEAR(N$5)-YEAR($AA30))*12+MONTH(N$5)-MONTH($AA30))+1),$Z30)=0)*((((YEAR(N$5)-YEAR($AA30))*12+MONTH(N$5)-MONTH($AA30))+1)&gt;=0)*(EDATE($AA30,MAX(0,(((YEAR(N$5)-YEAR($AA30))*12+MONTH(N$5)-MONTH($AA30))+1)))&gt;=N$5)*(EDATE($AA30,MAX(0,(((YEAR(N$5)-YEAR($AA30))*12+MONTH(N$5)-MONTH($AA30))+1)))&lt;=MIN(N$5+6,$AB30)),($AA30&gt;=N$5)*($AA30&lt;=N$5+6))))</f>
        <v/>
      </c>
      <c r="O30" s="21">
        <f>IF($X30&lt;&gt;1,0,$D30*IF($Y30&gt;0,MAX(0,INT((MIN(O$5+6,$AB30)-$AA30)/$Y30)-MAX(0,-INT(($AA30-O$5)/$Y30))+1),IF($Z30&gt;0,(MOD(((YEAR(O$5)-YEAR($AA30))*12+MONTH(O$5)-MONTH($AA30)),$Z30)=0)*(((YEAR(O$5)-YEAR($AA30))*12+MONTH(O$5)-MONTH($AA30))&gt;=0)*(EDATE($AA30,MAX(0,((YEAR(O$5)-YEAR($AA30))*12+MONTH(O$5)-MONTH($AA30))))&gt;=O$5)*(EDATE($AA30,MAX(0,((YEAR(O$5)-YEAR($AA30))*12+MONTH(O$5)-MONTH($AA30))))&lt;=MIN(O$5+6,$AB30))+(MOD((((YEAR(O$5)-YEAR($AA30))*12+MONTH(O$5)-MONTH($AA30))+1),$Z30)=0)*((((YEAR(O$5)-YEAR($AA30))*12+MONTH(O$5)-MONTH($AA30))+1)&gt;=0)*(EDATE($AA30,MAX(0,(((YEAR(O$5)-YEAR($AA30))*12+MONTH(O$5)-MONTH($AA30))+1)))&gt;=O$5)*(EDATE($AA30,MAX(0,(((YEAR(O$5)-YEAR($AA30))*12+MONTH(O$5)-MONTH($AA30))+1)))&lt;=MIN(O$5+6,$AB30)),($AA30&gt;=O$5)*($AA30&lt;=O$5+6))))</f>
        <v/>
      </c>
      <c r="P30" s="21">
        <f>IF($X30&lt;&gt;1,0,$D30*IF($Y30&gt;0,MAX(0,INT((MIN(P$5+6,$AB30)-$AA30)/$Y30)-MAX(0,-INT(($AA30-P$5)/$Y30))+1),IF($Z30&gt;0,(MOD(((YEAR(P$5)-YEAR($AA30))*12+MONTH(P$5)-MONTH($AA30)),$Z30)=0)*(((YEAR(P$5)-YEAR($AA30))*12+MONTH(P$5)-MONTH($AA30))&gt;=0)*(EDATE($AA30,MAX(0,((YEAR(P$5)-YEAR($AA30))*12+MONTH(P$5)-MONTH($AA30))))&gt;=P$5)*(EDATE($AA30,MAX(0,((YEAR(P$5)-YEAR($AA30))*12+MONTH(P$5)-MONTH($AA30))))&lt;=MIN(P$5+6,$AB30))+(MOD((((YEAR(P$5)-YEAR($AA30))*12+MONTH(P$5)-MONTH($AA30))+1),$Z30)=0)*((((YEAR(P$5)-YEAR($AA30))*12+MONTH(P$5)-MONTH($AA30))+1)&gt;=0)*(EDATE($AA30,MAX(0,(((YEAR(P$5)-YEAR($AA30))*12+MONTH(P$5)-MONTH($AA30))+1)))&gt;=P$5)*(EDATE($AA30,MAX(0,(((YEAR(P$5)-YEAR($AA30))*12+MONTH(P$5)-MONTH($AA30))+1)))&lt;=MIN(P$5+6,$AB30)),($AA30&gt;=P$5)*($AA30&lt;=P$5+6))))</f>
        <v/>
      </c>
      <c r="Q30" s="21">
        <f>IF($X30&lt;&gt;1,0,$D30*IF($Y30&gt;0,MAX(0,INT((MIN(Q$5+6,$AB30)-$AA30)/$Y30)-MAX(0,-INT(($AA30-Q$5)/$Y30))+1),IF($Z30&gt;0,(MOD(((YEAR(Q$5)-YEAR($AA30))*12+MONTH(Q$5)-MONTH($AA30)),$Z30)=0)*(((YEAR(Q$5)-YEAR($AA30))*12+MONTH(Q$5)-MONTH($AA30))&gt;=0)*(EDATE($AA30,MAX(0,((YEAR(Q$5)-YEAR($AA30))*12+MONTH(Q$5)-MONTH($AA30))))&gt;=Q$5)*(EDATE($AA30,MAX(0,((YEAR(Q$5)-YEAR($AA30))*12+MONTH(Q$5)-MONTH($AA30))))&lt;=MIN(Q$5+6,$AB30))+(MOD((((YEAR(Q$5)-YEAR($AA30))*12+MONTH(Q$5)-MONTH($AA30))+1),$Z30)=0)*((((YEAR(Q$5)-YEAR($AA30))*12+MONTH(Q$5)-MONTH($AA30))+1)&gt;=0)*(EDATE($AA30,MAX(0,(((YEAR(Q$5)-YEAR($AA30))*12+MONTH(Q$5)-MONTH($AA30))+1)))&gt;=Q$5)*(EDATE($AA30,MAX(0,(((YEAR(Q$5)-YEAR($AA30))*12+MONTH(Q$5)-MONTH($AA30))+1)))&lt;=MIN(Q$5+6,$AB30)),($AA30&gt;=Q$5)*($AA30&lt;=Q$5+6))))</f>
        <v/>
      </c>
      <c r="R30" s="21">
        <f>IF($X30&lt;&gt;1,0,$D30*IF($Y30&gt;0,MAX(0,INT((MIN(R$5+6,$AB30)-$AA30)/$Y30)-MAX(0,-INT(($AA30-R$5)/$Y30))+1),IF($Z30&gt;0,(MOD(((YEAR(R$5)-YEAR($AA30))*12+MONTH(R$5)-MONTH($AA30)),$Z30)=0)*(((YEAR(R$5)-YEAR($AA30))*12+MONTH(R$5)-MONTH($AA30))&gt;=0)*(EDATE($AA30,MAX(0,((YEAR(R$5)-YEAR($AA30))*12+MONTH(R$5)-MONTH($AA30))))&gt;=R$5)*(EDATE($AA30,MAX(0,((YEAR(R$5)-YEAR($AA30))*12+MONTH(R$5)-MONTH($AA30))))&lt;=MIN(R$5+6,$AB30))+(MOD((((YEAR(R$5)-YEAR($AA30))*12+MONTH(R$5)-MONTH($AA30))+1),$Z30)=0)*((((YEAR(R$5)-YEAR($AA30))*12+MONTH(R$5)-MONTH($AA30))+1)&gt;=0)*(EDATE($AA30,MAX(0,(((YEAR(R$5)-YEAR($AA30))*12+MONTH(R$5)-MONTH($AA30))+1)))&gt;=R$5)*(EDATE($AA30,MAX(0,(((YEAR(R$5)-YEAR($AA30))*12+MONTH(R$5)-MONTH($AA30))+1)))&lt;=MIN(R$5+6,$AB30)),($AA30&gt;=R$5)*($AA30&lt;=R$5+6))))</f>
        <v/>
      </c>
      <c r="S30" s="21">
        <f>IF($X30&lt;&gt;1,0,$D30*IF($Y30&gt;0,MAX(0,INT((MIN(S$5+6,$AB30)-$AA30)/$Y30)-MAX(0,-INT(($AA30-S$5)/$Y30))+1),IF($Z30&gt;0,(MOD(((YEAR(S$5)-YEAR($AA30))*12+MONTH(S$5)-MONTH($AA30)),$Z30)=0)*(((YEAR(S$5)-YEAR($AA30))*12+MONTH(S$5)-MONTH($AA30))&gt;=0)*(EDATE($AA30,MAX(0,((YEAR(S$5)-YEAR($AA30))*12+MONTH(S$5)-MONTH($AA30))))&gt;=S$5)*(EDATE($AA30,MAX(0,((YEAR(S$5)-YEAR($AA30))*12+MONTH(S$5)-MONTH($AA30))))&lt;=MIN(S$5+6,$AB30))+(MOD((((YEAR(S$5)-YEAR($AA30))*12+MONTH(S$5)-MONTH($AA30))+1),$Z30)=0)*((((YEAR(S$5)-YEAR($AA30))*12+MONTH(S$5)-MONTH($AA30))+1)&gt;=0)*(EDATE($AA30,MAX(0,(((YEAR(S$5)-YEAR($AA30))*12+MONTH(S$5)-MONTH($AA30))+1)))&gt;=S$5)*(EDATE($AA30,MAX(0,(((YEAR(S$5)-YEAR($AA30))*12+MONTH(S$5)-MONTH($AA30))+1)))&lt;=MIN(S$5+6,$AB30)),($AA30&gt;=S$5)*($AA30&lt;=S$5+6))))</f>
        <v/>
      </c>
      <c r="T30" s="21">
        <f>IF($X30&lt;&gt;1,0,$D30*IF($Y30&gt;0,MAX(0,INT((MIN(T$5+6,$AB30)-$AA30)/$Y30)-MAX(0,-INT(($AA30-T$5)/$Y30))+1),IF($Z30&gt;0,(MOD(((YEAR(T$5)-YEAR($AA30))*12+MONTH(T$5)-MONTH($AA30)),$Z30)=0)*(((YEAR(T$5)-YEAR($AA30))*12+MONTH(T$5)-MONTH($AA30))&gt;=0)*(EDATE($AA30,MAX(0,((YEAR(T$5)-YEAR($AA30))*12+MONTH(T$5)-MONTH($AA30))))&gt;=T$5)*(EDATE($AA30,MAX(0,((YEAR(T$5)-YEAR($AA30))*12+MONTH(T$5)-MONTH($AA30))))&lt;=MIN(T$5+6,$AB30))+(MOD((((YEAR(T$5)-YEAR($AA30))*12+MONTH(T$5)-MONTH($AA30))+1),$Z30)=0)*((((YEAR(T$5)-YEAR($AA30))*12+MONTH(T$5)-MONTH($AA30))+1)&gt;=0)*(EDATE($AA30,MAX(0,(((YEAR(T$5)-YEAR($AA30))*12+MONTH(T$5)-MONTH($AA30))+1)))&gt;=T$5)*(EDATE($AA30,MAX(0,(((YEAR(T$5)-YEAR($AA30))*12+MONTH(T$5)-MONTH($AA30))+1)))&lt;=MIN(T$5+6,$AB30)),($AA30&gt;=T$5)*($AA30&lt;=T$5+6))))</f>
        <v/>
      </c>
      <c r="U30" s="21">
        <f>IF($X30&lt;&gt;1,0,$D30*IF($Y30&gt;0,MAX(0,INT((MIN(U$5+6,$AB30)-$AA30)/$Y30)-MAX(0,-INT(($AA30-U$5)/$Y30))+1),IF($Z30&gt;0,(MOD(((YEAR(U$5)-YEAR($AA30))*12+MONTH(U$5)-MONTH($AA30)),$Z30)=0)*(((YEAR(U$5)-YEAR($AA30))*12+MONTH(U$5)-MONTH($AA30))&gt;=0)*(EDATE($AA30,MAX(0,((YEAR(U$5)-YEAR($AA30))*12+MONTH(U$5)-MONTH($AA30))))&gt;=U$5)*(EDATE($AA30,MAX(0,((YEAR(U$5)-YEAR($AA30))*12+MONTH(U$5)-MONTH($AA30))))&lt;=MIN(U$5+6,$AB30))+(MOD((((YEAR(U$5)-YEAR($AA30))*12+MONTH(U$5)-MONTH($AA30))+1),$Z30)=0)*((((YEAR(U$5)-YEAR($AA30))*12+MONTH(U$5)-MONTH($AA30))+1)&gt;=0)*(EDATE($AA30,MAX(0,(((YEAR(U$5)-YEAR($AA30))*12+MONTH(U$5)-MONTH($AA30))+1)))&gt;=U$5)*(EDATE($AA30,MAX(0,(((YEAR(U$5)-YEAR($AA30))*12+MONTH(U$5)-MONTH($AA30))+1)))&lt;=MIN(U$5+6,$AB30)),($AA30&gt;=U$5)*($AA30&lt;=U$5+6))))</f>
        <v/>
      </c>
      <c r="V30" s="21">
        <f>IF($X30&lt;&gt;1,0,$D30*IF($Y30&gt;0,MAX(0,INT((MIN(V$5+6,$AB30)-$AA30)/$Y30)-MAX(0,-INT(($AA30-V$5)/$Y30))+1),IF($Z30&gt;0,(MOD(((YEAR(V$5)-YEAR($AA30))*12+MONTH(V$5)-MONTH($AA30)),$Z30)=0)*(((YEAR(V$5)-YEAR($AA30))*12+MONTH(V$5)-MONTH($AA30))&gt;=0)*(EDATE($AA30,MAX(0,((YEAR(V$5)-YEAR($AA30))*12+MONTH(V$5)-MONTH($AA30))))&gt;=V$5)*(EDATE($AA30,MAX(0,((YEAR(V$5)-YEAR($AA30))*12+MONTH(V$5)-MONTH($AA30))))&lt;=MIN(V$5+6,$AB30))+(MOD((((YEAR(V$5)-YEAR($AA30))*12+MONTH(V$5)-MONTH($AA30))+1),$Z30)=0)*((((YEAR(V$5)-YEAR($AA30))*12+MONTH(V$5)-MONTH($AA30))+1)&gt;=0)*(EDATE($AA30,MAX(0,(((YEAR(V$5)-YEAR($AA30))*12+MONTH(V$5)-MONTH($AA30))+1)))&gt;=V$5)*(EDATE($AA30,MAX(0,(((YEAR(V$5)-YEAR($AA30))*12+MONTH(V$5)-MONTH($AA30))+1)))&lt;=MIN(V$5+6,$AB30)),($AA30&gt;=V$5)*($AA30&lt;=V$5+6))))</f>
        <v/>
      </c>
      <c r="W30" s="21">
        <f>IF($X30&lt;&gt;1,0,$D30*IF($Y30&gt;0,MAX(0,INT((MIN(W$5+6,$AB30)-$AA30)/$Y30)-MAX(0,-INT(($AA30-W$5)/$Y30))+1),IF($Z30&gt;0,(MOD(((YEAR(W$5)-YEAR($AA30))*12+MONTH(W$5)-MONTH($AA30)),$Z30)=0)*(((YEAR(W$5)-YEAR($AA30))*12+MONTH(W$5)-MONTH($AA30))&gt;=0)*(EDATE($AA30,MAX(0,((YEAR(W$5)-YEAR($AA30))*12+MONTH(W$5)-MONTH($AA30))))&gt;=W$5)*(EDATE($AA30,MAX(0,((YEAR(W$5)-YEAR($AA30))*12+MONTH(W$5)-MONTH($AA30))))&lt;=MIN(W$5+6,$AB30))+(MOD((((YEAR(W$5)-YEAR($AA30))*12+MONTH(W$5)-MONTH($AA30))+1),$Z30)=0)*((((YEAR(W$5)-YEAR($AA30))*12+MONTH(W$5)-MONTH($AA30))+1)&gt;=0)*(EDATE($AA30,MAX(0,(((YEAR(W$5)-YEAR($AA30))*12+MONTH(W$5)-MONTH($AA30))+1)))&gt;=W$5)*(EDATE($AA30,MAX(0,(((YEAR(W$5)-YEAR($AA30))*12+MONTH(W$5)-MONTH($AA30))+1)))&lt;=MIN(W$5+6,$AB30)),($AA30&gt;=W$5)*($AA30&lt;=W$5+6))))</f>
        <v/>
      </c>
      <c r="X30">
        <f>IF(COUNTA(A30:G30)=0,"",IF(AND(OR(B30="In",B30="Out"),ISNUMBER(D30),D30&gt;0,ISNUMBER(MATCH(E30,FreqName,0)),ISNUMBER(F30),OR(G30="",AND(ISNUMBER(G30),G30&gt;=F30))),1,0))</f>
        <v/>
      </c>
      <c r="Y30">
        <f>IF(X30&lt;&gt;1,0,INDEX(FreqDays,MATCH(E30,FreqName,0)))</f>
        <v/>
      </c>
      <c r="Z30">
        <f>IF(X30&lt;&gt;1,0,INDEX(FreqMonths,MATCH(E30,FreqName,0)))</f>
        <v/>
      </c>
      <c r="AA30">
        <f>IF(X30&lt;&gt;1,0,INT(F30))</f>
        <v/>
      </c>
      <c r="AB30">
        <f>IF(X30&lt;&gt;1,0,IF(ISNUMBER(G30),INT(G30),2958465))</f>
        <v/>
      </c>
    </row>
    <row r="31">
      <c r="A31" s="29" t="n"/>
      <c r="B31" s="29" t="n"/>
      <c r="C31" s="29" t="n"/>
      <c r="D31" s="34" t="n"/>
      <c r="E31" s="29" t="n"/>
      <c r="F31" s="24" t="n"/>
      <c r="G31" s="24" t="n"/>
      <c r="H31" s="10">
        <f>IF(X31="","",IF(X31=0,IF(AND(B31&lt;&gt;"In",B31&lt;&gt;"Out"),"Fix: choose In or Out",IF(OR(NOT(ISNUMBER(D31)),N(D31)&lt;=0),"Fix: amount must be a number above 0",IF(NOT(ISNUMBER(MATCH(E31,FreqName,0))),"Fix: choose a frequency",IF(NOT(ISNUMBER(F31)),"Fix: first date missing","Fix: end date must be a date on or after the first date")))),IF(AND(C31&lt;&gt;"",OR(AND(B31="In",ISNUMBER(MATCH(C31,InCats,0))),AND(B31="Out",ISNUMBER(MATCH(C31,OutCats,0))))),"OK","Category not on Settings (counted as Other)")))</f>
        <v/>
      </c>
      <c r="I31" s="35">
        <f>IF(X31&lt;&gt;1,"",ROUND(J31/D31,0))</f>
        <v/>
      </c>
      <c r="J31" s="36">
        <f>SUM(K31:W31)</f>
        <v/>
      </c>
      <c r="K31" s="21">
        <f>IF($X31&lt;&gt;1,0,$D31*IF($Y31&gt;0,MAX(0,INT((MIN(K$5+6,$AB31)-$AA31)/$Y31)-MAX(0,-INT(($AA31-K$5)/$Y31))+1),IF($Z31&gt;0,(MOD(((YEAR(K$5)-YEAR($AA31))*12+MONTH(K$5)-MONTH($AA31)),$Z31)=0)*(((YEAR(K$5)-YEAR($AA31))*12+MONTH(K$5)-MONTH($AA31))&gt;=0)*(EDATE($AA31,MAX(0,((YEAR(K$5)-YEAR($AA31))*12+MONTH(K$5)-MONTH($AA31))))&gt;=K$5)*(EDATE($AA31,MAX(0,((YEAR(K$5)-YEAR($AA31))*12+MONTH(K$5)-MONTH($AA31))))&lt;=MIN(K$5+6,$AB31))+(MOD((((YEAR(K$5)-YEAR($AA31))*12+MONTH(K$5)-MONTH($AA31))+1),$Z31)=0)*((((YEAR(K$5)-YEAR($AA31))*12+MONTH(K$5)-MONTH($AA31))+1)&gt;=0)*(EDATE($AA31,MAX(0,(((YEAR(K$5)-YEAR($AA31))*12+MONTH(K$5)-MONTH($AA31))+1)))&gt;=K$5)*(EDATE($AA31,MAX(0,(((YEAR(K$5)-YEAR($AA31))*12+MONTH(K$5)-MONTH($AA31))+1)))&lt;=MIN(K$5+6,$AB31)),($AA31&gt;=K$5)*($AA31&lt;=K$5+6))))</f>
        <v/>
      </c>
      <c r="L31" s="21">
        <f>IF($X31&lt;&gt;1,0,$D31*IF($Y31&gt;0,MAX(0,INT((MIN(L$5+6,$AB31)-$AA31)/$Y31)-MAX(0,-INT(($AA31-L$5)/$Y31))+1),IF($Z31&gt;0,(MOD(((YEAR(L$5)-YEAR($AA31))*12+MONTH(L$5)-MONTH($AA31)),$Z31)=0)*(((YEAR(L$5)-YEAR($AA31))*12+MONTH(L$5)-MONTH($AA31))&gt;=0)*(EDATE($AA31,MAX(0,((YEAR(L$5)-YEAR($AA31))*12+MONTH(L$5)-MONTH($AA31))))&gt;=L$5)*(EDATE($AA31,MAX(0,((YEAR(L$5)-YEAR($AA31))*12+MONTH(L$5)-MONTH($AA31))))&lt;=MIN(L$5+6,$AB31))+(MOD((((YEAR(L$5)-YEAR($AA31))*12+MONTH(L$5)-MONTH($AA31))+1),$Z31)=0)*((((YEAR(L$5)-YEAR($AA31))*12+MONTH(L$5)-MONTH($AA31))+1)&gt;=0)*(EDATE($AA31,MAX(0,(((YEAR(L$5)-YEAR($AA31))*12+MONTH(L$5)-MONTH($AA31))+1)))&gt;=L$5)*(EDATE($AA31,MAX(0,(((YEAR(L$5)-YEAR($AA31))*12+MONTH(L$5)-MONTH($AA31))+1)))&lt;=MIN(L$5+6,$AB31)),($AA31&gt;=L$5)*($AA31&lt;=L$5+6))))</f>
        <v/>
      </c>
      <c r="M31" s="21">
        <f>IF($X31&lt;&gt;1,0,$D31*IF($Y31&gt;0,MAX(0,INT((MIN(M$5+6,$AB31)-$AA31)/$Y31)-MAX(0,-INT(($AA31-M$5)/$Y31))+1),IF($Z31&gt;0,(MOD(((YEAR(M$5)-YEAR($AA31))*12+MONTH(M$5)-MONTH($AA31)),$Z31)=0)*(((YEAR(M$5)-YEAR($AA31))*12+MONTH(M$5)-MONTH($AA31))&gt;=0)*(EDATE($AA31,MAX(0,((YEAR(M$5)-YEAR($AA31))*12+MONTH(M$5)-MONTH($AA31))))&gt;=M$5)*(EDATE($AA31,MAX(0,((YEAR(M$5)-YEAR($AA31))*12+MONTH(M$5)-MONTH($AA31))))&lt;=MIN(M$5+6,$AB31))+(MOD((((YEAR(M$5)-YEAR($AA31))*12+MONTH(M$5)-MONTH($AA31))+1),$Z31)=0)*((((YEAR(M$5)-YEAR($AA31))*12+MONTH(M$5)-MONTH($AA31))+1)&gt;=0)*(EDATE($AA31,MAX(0,(((YEAR(M$5)-YEAR($AA31))*12+MONTH(M$5)-MONTH($AA31))+1)))&gt;=M$5)*(EDATE($AA31,MAX(0,(((YEAR(M$5)-YEAR($AA31))*12+MONTH(M$5)-MONTH($AA31))+1)))&lt;=MIN(M$5+6,$AB31)),($AA31&gt;=M$5)*($AA31&lt;=M$5+6))))</f>
        <v/>
      </c>
      <c r="N31" s="21">
        <f>IF($X31&lt;&gt;1,0,$D31*IF($Y31&gt;0,MAX(0,INT((MIN(N$5+6,$AB31)-$AA31)/$Y31)-MAX(0,-INT(($AA31-N$5)/$Y31))+1),IF($Z31&gt;0,(MOD(((YEAR(N$5)-YEAR($AA31))*12+MONTH(N$5)-MONTH($AA31)),$Z31)=0)*(((YEAR(N$5)-YEAR($AA31))*12+MONTH(N$5)-MONTH($AA31))&gt;=0)*(EDATE($AA31,MAX(0,((YEAR(N$5)-YEAR($AA31))*12+MONTH(N$5)-MONTH($AA31))))&gt;=N$5)*(EDATE($AA31,MAX(0,((YEAR(N$5)-YEAR($AA31))*12+MONTH(N$5)-MONTH($AA31))))&lt;=MIN(N$5+6,$AB31))+(MOD((((YEAR(N$5)-YEAR($AA31))*12+MONTH(N$5)-MONTH($AA31))+1),$Z31)=0)*((((YEAR(N$5)-YEAR($AA31))*12+MONTH(N$5)-MONTH($AA31))+1)&gt;=0)*(EDATE($AA31,MAX(0,(((YEAR(N$5)-YEAR($AA31))*12+MONTH(N$5)-MONTH($AA31))+1)))&gt;=N$5)*(EDATE($AA31,MAX(0,(((YEAR(N$5)-YEAR($AA31))*12+MONTH(N$5)-MONTH($AA31))+1)))&lt;=MIN(N$5+6,$AB31)),($AA31&gt;=N$5)*($AA31&lt;=N$5+6))))</f>
        <v/>
      </c>
      <c r="O31" s="21">
        <f>IF($X31&lt;&gt;1,0,$D31*IF($Y31&gt;0,MAX(0,INT((MIN(O$5+6,$AB31)-$AA31)/$Y31)-MAX(0,-INT(($AA31-O$5)/$Y31))+1),IF($Z31&gt;0,(MOD(((YEAR(O$5)-YEAR($AA31))*12+MONTH(O$5)-MONTH($AA31)),$Z31)=0)*(((YEAR(O$5)-YEAR($AA31))*12+MONTH(O$5)-MONTH($AA31))&gt;=0)*(EDATE($AA31,MAX(0,((YEAR(O$5)-YEAR($AA31))*12+MONTH(O$5)-MONTH($AA31))))&gt;=O$5)*(EDATE($AA31,MAX(0,((YEAR(O$5)-YEAR($AA31))*12+MONTH(O$5)-MONTH($AA31))))&lt;=MIN(O$5+6,$AB31))+(MOD((((YEAR(O$5)-YEAR($AA31))*12+MONTH(O$5)-MONTH($AA31))+1),$Z31)=0)*((((YEAR(O$5)-YEAR($AA31))*12+MONTH(O$5)-MONTH($AA31))+1)&gt;=0)*(EDATE($AA31,MAX(0,(((YEAR(O$5)-YEAR($AA31))*12+MONTH(O$5)-MONTH($AA31))+1)))&gt;=O$5)*(EDATE($AA31,MAX(0,(((YEAR(O$5)-YEAR($AA31))*12+MONTH(O$5)-MONTH($AA31))+1)))&lt;=MIN(O$5+6,$AB31)),($AA31&gt;=O$5)*($AA31&lt;=O$5+6))))</f>
        <v/>
      </c>
      <c r="P31" s="21">
        <f>IF($X31&lt;&gt;1,0,$D31*IF($Y31&gt;0,MAX(0,INT((MIN(P$5+6,$AB31)-$AA31)/$Y31)-MAX(0,-INT(($AA31-P$5)/$Y31))+1),IF($Z31&gt;0,(MOD(((YEAR(P$5)-YEAR($AA31))*12+MONTH(P$5)-MONTH($AA31)),$Z31)=0)*(((YEAR(P$5)-YEAR($AA31))*12+MONTH(P$5)-MONTH($AA31))&gt;=0)*(EDATE($AA31,MAX(0,((YEAR(P$5)-YEAR($AA31))*12+MONTH(P$5)-MONTH($AA31))))&gt;=P$5)*(EDATE($AA31,MAX(0,((YEAR(P$5)-YEAR($AA31))*12+MONTH(P$5)-MONTH($AA31))))&lt;=MIN(P$5+6,$AB31))+(MOD((((YEAR(P$5)-YEAR($AA31))*12+MONTH(P$5)-MONTH($AA31))+1),$Z31)=0)*((((YEAR(P$5)-YEAR($AA31))*12+MONTH(P$5)-MONTH($AA31))+1)&gt;=0)*(EDATE($AA31,MAX(0,(((YEAR(P$5)-YEAR($AA31))*12+MONTH(P$5)-MONTH($AA31))+1)))&gt;=P$5)*(EDATE($AA31,MAX(0,(((YEAR(P$5)-YEAR($AA31))*12+MONTH(P$5)-MONTH($AA31))+1)))&lt;=MIN(P$5+6,$AB31)),($AA31&gt;=P$5)*($AA31&lt;=P$5+6))))</f>
        <v/>
      </c>
      <c r="Q31" s="21">
        <f>IF($X31&lt;&gt;1,0,$D31*IF($Y31&gt;0,MAX(0,INT((MIN(Q$5+6,$AB31)-$AA31)/$Y31)-MAX(0,-INT(($AA31-Q$5)/$Y31))+1),IF($Z31&gt;0,(MOD(((YEAR(Q$5)-YEAR($AA31))*12+MONTH(Q$5)-MONTH($AA31)),$Z31)=0)*(((YEAR(Q$5)-YEAR($AA31))*12+MONTH(Q$5)-MONTH($AA31))&gt;=0)*(EDATE($AA31,MAX(0,((YEAR(Q$5)-YEAR($AA31))*12+MONTH(Q$5)-MONTH($AA31))))&gt;=Q$5)*(EDATE($AA31,MAX(0,((YEAR(Q$5)-YEAR($AA31))*12+MONTH(Q$5)-MONTH($AA31))))&lt;=MIN(Q$5+6,$AB31))+(MOD((((YEAR(Q$5)-YEAR($AA31))*12+MONTH(Q$5)-MONTH($AA31))+1),$Z31)=0)*((((YEAR(Q$5)-YEAR($AA31))*12+MONTH(Q$5)-MONTH($AA31))+1)&gt;=0)*(EDATE($AA31,MAX(0,(((YEAR(Q$5)-YEAR($AA31))*12+MONTH(Q$5)-MONTH($AA31))+1)))&gt;=Q$5)*(EDATE($AA31,MAX(0,(((YEAR(Q$5)-YEAR($AA31))*12+MONTH(Q$5)-MONTH($AA31))+1)))&lt;=MIN(Q$5+6,$AB31)),($AA31&gt;=Q$5)*($AA31&lt;=Q$5+6))))</f>
        <v/>
      </c>
      <c r="R31" s="21">
        <f>IF($X31&lt;&gt;1,0,$D31*IF($Y31&gt;0,MAX(0,INT((MIN(R$5+6,$AB31)-$AA31)/$Y31)-MAX(0,-INT(($AA31-R$5)/$Y31))+1),IF($Z31&gt;0,(MOD(((YEAR(R$5)-YEAR($AA31))*12+MONTH(R$5)-MONTH($AA31)),$Z31)=0)*(((YEAR(R$5)-YEAR($AA31))*12+MONTH(R$5)-MONTH($AA31))&gt;=0)*(EDATE($AA31,MAX(0,((YEAR(R$5)-YEAR($AA31))*12+MONTH(R$5)-MONTH($AA31))))&gt;=R$5)*(EDATE($AA31,MAX(0,((YEAR(R$5)-YEAR($AA31))*12+MONTH(R$5)-MONTH($AA31))))&lt;=MIN(R$5+6,$AB31))+(MOD((((YEAR(R$5)-YEAR($AA31))*12+MONTH(R$5)-MONTH($AA31))+1),$Z31)=0)*((((YEAR(R$5)-YEAR($AA31))*12+MONTH(R$5)-MONTH($AA31))+1)&gt;=0)*(EDATE($AA31,MAX(0,(((YEAR(R$5)-YEAR($AA31))*12+MONTH(R$5)-MONTH($AA31))+1)))&gt;=R$5)*(EDATE($AA31,MAX(0,(((YEAR(R$5)-YEAR($AA31))*12+MONTH(R$5)-MONTH($AA31))+1)))&lt;=MIN(R$5+6,$AB31)),($AA31&gt;=R$5)*($AA31&lt;=R$5+6))))</f>
        <v/>
      </c>
      <c r="S31" s="21">
        <f>IF($X31&lt;&gt;1,0,$D31*IF($Y31&gt;0,MAX(0,INT((MIN(S$5+6,$AB31)-$AA31)/$Y31)-MAX(0,-INT(($AA31-S$5)/$Y31))+1),IF($Z31&gt;0,(MOD(((YEAR(S$5)-YEAR($AA31))*12+MONTH(S$5)-MONTH($AA31)),$Z31)=0)*(((YEAR(S$5)-YEAR($AA31))*12+MONTH(S$5)-MONTH($AA31))&gt;=0)*(EDATE($AA31,MAX(0,((YEAR(S$5)-YEAR($AA31))*12+MONTH(S$5)-MONTH($AA31))))&gt;=S$5)*(EDATE($AA31,MAX(0,((YEAR(S$5)-YEAR($AA31))*12+MONTH(S$5)-MONTH($AA31))))&lt;=MIN(S$5+6,$AB31))+(MOD((((YEAR(S$5)-YEAR($AA31))*12+MONTH(S$5)-MONTH($AA31))+1),$Z31)=0)*((((YEAR(S$5)-YEAR($AA31))*12+MONTH(S$5)-MONTH($AA31))+1)&gt;=0)*(EDATE($AA31,MAX(0,(((YEAR(S$5)-YEAR($AA31))*12+MONTH(S$5)-MONTH($AA31))+1)))&gt;=S$5)*(EDATE($AA31,MAX(0,(((YEAR(S$5)-YEAR($AA31))*12+MONTH(S$5)-MONTH($AA31))+1)))&lt;=MIN(S$5+6,$AB31)),($AA31&gt;=S$5)*($AA31&lt;=S$5+6))))</f>
        <v/>
      </c>
      <c r="T31" s="21">
        <f>IF($X31&lt;&gt;1,0,$D31*IF($Y31&gt;0,MAX(0,INT((MIN(T$5+6,$AB31)-$AA31)/$Y31)-MAX(0,-INT(($AA31-T$5)/$Y31))+1),IF($Z31&gt;0,(MOD(((YEAR(T$5)-YEAR($AA31))*12+MONTH(T$5)-MONTH($AA31)),$Z31)=0)*(((YEAR(T$5)-YEAR($AA31))*12+MONTH(T$5)-MONTH($AA31))&gt;=0)*(EDATE($AA31,MAX(0,((YEAR(T$5)-YEAR($AA31))*12+MONTH(T$5)-MONTH($AA31))))&gt;=T$5)*(EDATE($AA31,MAX(0,((YEAR(T$5)-YEAR($AA31))*12+MONTH(T$5)-MONTH($AA31))))&lt;=MIN(T$5+6,$AB31))+(MOD((((YEAR(T$5)-YEAR($AA31))*12+MONTH(T$5)-MONTH($AA31))+1),$Z31)=0)*((((YEAR(T$5)-YEAR($AA31))*12+MONTH(T$5)-MONTH($AA31))+1)&gt;=0)*(EDATE($AA31,MAX(0,(((YEAR(T$5)-YEAR($AA31))*12+MONTH(T$5)-MONTH($AA31))+1)))&gt;=T$5)*(EDATE($AA31,MAX(0,(((YEAR(T$5)-YEAR($AA31))*12+MONTH(T$5)-MONTH($AA31))+1)))&lt;=MIN(T$5+6,$AB31)),($AA31&gt;=T$5)*($AA31&lt;=T$5+6))))</f>
        <v/>
      </c>
      <c r="U31" s="21">
        <f>IF($X31&lt;&gt;1,0,$D31*IF($Y31&gt;0,MAX(0,INT((MIN(U$5+6,$AB31)-$AA31)/$Y31)-MAX(0,-INT(($AA31-U$5)/$Y31))+1),IF($Z31&gt;0,(MOD(((YEAR(U$5)-YEAR($AA31))*12+MONTH(U$5)-MONTH($AA31)),$Z31)=0)*(((YEAR(U$5)-YEAR($AA31))*12+MONTH(U$5)-MONTH($AA31))&gt;=0)*(EDATE($AA31,MAX(0,((YEAR(U$5)-YEAR($AA31))*12+MONTH(U$5)-MONTH($AA31))))&gt;=U$5)*(EDATE($AA31,MAX(0,((YEAR(U$5)-YEAR($AA31))*12+MONTH(U$5)-MONTH($AA31))))&lt;=MIN(U$5+6,$AB31))+(MOD((((YEAR(U$5)-YEAR($AA31))*12+MONTH(U$5)-MONTH($AA31))+1),$Z31)=0)*((((YEAR(U$5)-YEAR($AA31))*12+MONTH(U$5)-MONTH($AA31))+1)&gt;=0)*(EDATE($AA31,MAX(0,(((YEAR(U$5)-YEAR($AA31))*12+MONTH(U$5)-MONTH($AA31))+1)))&gt;=U$5)*(EDATE($AA31,MAX(0,(((YEAR(U$5)-YEAR($AA31))*12+MONTH(U$5)-MONTH($AA31))+1)))&lt;=MIN(U$5+6,$AB31)),($AA31&gt;=U$5)*($AA31&lt;=U$5+6))))</f>
        <v/>
      </c>
      <c r="V31" s="21">
        <f>IF($X31&lt;&gt;1,0,$D31*IF($Y31&gt;0,MAX(0,INT((MIN(V$5+6,$AB31)-$AA31)/$Y31)-MAX(0,-INT(($AA31-V$5)/$Y31))+1),IF($Z31&gt;0,(MOD(((YEAR(V$5)-YEAR($AA31))*12+MONTH(V$5)-MONTH($AA31)),$Z31)=0)*(((YEAR(V$5)-YEAR($AA31))*12+MONTH(V$5)-MONTH($AA31))&gt;=0)*(EDATE($AA31,MAX(0,((YEAR(V$5)-YEAR($AA31))*12+MONTH(V$5)-MONTH($AA31))))&gt;=V$5)*(EDATE($AA31,MAX(0,((YEAR(V$5)-YEAR($AA31))*12+MONTH(V$5)-MONTH($AA31))))&lt;=MIN(V$5+6,$AB31))+(MOD((((YEAR(V$5)-YEAR($AA31))*12+MONTH(V$5)-MONTH($AA31))+1),$Z31)=0)*((((YEAR(V$5)-YEAR($AA31))*12+MONTH(V$5)-MONTH($AA31))+1)&gt;=0)*(EDATE($AA31,MAX(0,(((YEAR(V$5)-YEAR($AA31))*12+MONTH(V$5)-MONTH($AA31))+1)))&gt;=V$5)*(EDATE($AA31,MAX(0,(((YEAR(V$5)-YEAR($AA31))*12+MONTH(V$5)-MONTH($AA31))+1)))&lt;=MIN(V$5+6,$AB31)),($AA31&gt;=V$5)*($AA31&lt;=V$5+6))))</f>
        <v/>
      </c>
      <c r="W31" s="21">
        <f>IF($X31&lt;&gt;1,0,$D31*IF($Y31&gt;0,MAX(0,INT((MIN(W$5+6,$AB31)-$AA31)/$Y31)-MAX(0,-INT(($AA31-W$5)/$Y31))+1),IF($Z31&gt;0,(MOD(((YEAR(W$5)-YEAR($AA31))*12+MONTH(W$5)-MONTH($AA31)),$Z31)=0)*(((YEAR(W$5)-YEAR($AA31))*12+MONTH(W$5)-MONTH($AA31))&gt;=0)*(EDATE($AA31,MAX(0,((YEAR(W$5)-YEAR($AA31))*12+MONTH(W$5)-MONTH($AA31))))&gt;=W$5)*(EDATE($AA31,MAX(0,((YEAR(W$5)-YEAR($AA31))*12+MONTH(W$5)-MONTH($AA31))))&lt;=MIN(W$5+6,$AB31))+(MOD((((YEAR(W$5)-YEAR($AA31))*12+MONTH(W$5)-MONTH($AA31))+1),$Z31)=0)*((((YEAR(W$5)-YEAR($AA31))*12+MONTH(W$5)-MONTH($AA31))+1)&gt;=0)*(EDATE($AA31,MAX(0,(((YEAR(W$5)-YEAR($AA31))*12+MONTH(W$5)-MONTH($AA31))+1)))&gt;=W$5)*(EDATE($AA31,MAX(0,(((YEAR(W$5)-YEAR($AA31))*12+MONTH(W$5)-MONTH($AA31))+1)))&lt;=MIN(W$5+6,$AB31)),($AA31&gt;=W$5)*($AA31&lt;=W$5+6))))</f>
        <v/>
      </c>
      <c r="X31">
        <f>IF(COUNTA(A31:G31)=0,"",IF(AND(OR(B31="In",B31="Out"),ISNUMBER(D31),D31&gt;0,ISNUMBER(MATCH(E31,FreqName,0)),ISNUMBER(F31),OR(G31="",AND(ISNUMBER(G31),G31&gt;=F31))),1,0))</f>
        <v/>
      </c>
      <c r="Y31">
        <f>IF(X31&lt;&gt;1,0,INDEX(FreqDays,MATCH(E31,FreqName,0)))</f>
        <v/>
      </c>
      <c r="Z31">
        <f>IF(X31&lt;&gt;1,0,INDEX(FreqMonths,MATCH(E31,FreqName,0)))</f>
        <v/>
      </c>
      <c r="AA31">
        <f>IF(X31&lt;&gt;1,0,INT(F31))</f>
        <v/>
      </c>
      <c r="AB31">
        <f>IF(X31&lt;&gt;1,0,IF(ISNUMBER(G31),INT(G31),2958465))</f>
        <v/>
      </c>
    </row>
    <row r="32">
      <c r="A32" s="29" t="n"/>
      <c r="B32" s="29" t="n"/>
      <c r="C32" s="29" t="n"/>
      <c r="D32" s="34" t="n"/>
      <c r="E32" s="29" t="n"/>
      <c r="F32" s="24" t="n"/>
      <c r="G32" s="24" t="n"/>
      <c r="H32" s="10">
        <f>IF(X32="","",IF(X32=0,IF(AND(B32&lt;&gt;"In",B32&lt;&gt;"Out"),"Fix: choose In or Out",IF(OR(NOT(ISNUMBER(D32)),N(D32)&lt;=0),"Fix: amount must be a number above 0",IF(NOT(ISNUMBER(MATCH(E32,FreqName,0))),"Fix: choose a frequency",IF(NOT(ISNUMBER(F32)),"Fix: first date missing","Fix: end date must be a date on or after the first date")))),IF(AND(C32&lt;&gt;"",OR(AND(B32="In",ISNUMBER(MATCH(C32,InCats,0))),AND(B32="Out",ISNUMBER(MATCH(C32,OutCats,0))))),"OK","Category not on Settings (counted as Other)")))</f>
        <v/>
      </c>
      <c r="I32" s="35">
        <f>IF(X32&lt;&gt;1,"",ROUND(J32/D32,0))</f>
        <v/>
      </c>
      <c r="J32" s="36">
        <f>SUM(K32:W32)</f>
        <v/>
      </c>
      <c r="K32" s="21">
        <f>IF($X32&lt;&gt;1,0,$D32*IF($Y32&gt;0,MAX(0,INT((MIN(K$5+6,$AB32)-$AA32)/$Y32)-MAX(0,-INT(($AA32-K$5)/$Y32))+1),IF($Z32&gt;0,(MOD(((YEAR(K$5)-YEAR($AA32))*12+MONTH(K$5)-MONTH($AA32)),$Z32)=0)*(((YEAR(K$5)-YEAR($AA32))*12+MONTH(K$5)-MONTH($AA32))&gt;=0)*(EDATE($AA32,MAX(0,((YEAR(K$5)-YEAR($AA32))*12+MONTH(K$5)-MONTH($AA32))))&gt;=K$5)*(EDATE($AA32,MAX(0,((YEAR(K$5)-YEAR($AA32))*12+MONTH(K$5)-MONTH($AA32))))&lt;=MIN(K$5+6,$AB32))+(MOD((((YEAR(K$5)-YEAR($AA32))*12+MONTH(K$5)-MONTH($AA32))+1),$Z32)=0)*((((YEAR(K$5)-YEAR($AA32))*12+MONTH(K$5)-MONTH($AA32))+1)&gt;=0)*(EDATE($AA32,MAX(0,(((YEAR(K$5)-YEAR($AA32))*12+MONTH(K$5)-MONTH($AA32))+1)))&gt;=K$5)*(EDATE($AA32,MAX(0,(((YEAR(K$5)-YEAR($AA32))*12+MONTH(K$5)-MONTH($AA32))+1)))&lt;=MIN(K$5+6,$AB32)),($AA32&gt;=K$5)*($AA32&lt;=K$5+6))))</f>
        <v/>
      </c>
      <c r="L32" s="21">
        <f>IF($X32&lt;&gt;1,0,$D32*IF($Y32&gt;0,MAX(0,INT((MIN(L$5+6,$AB32)-$AA32)/$Y32)-MAX(0,-INT(($AA32-L$5)/$Y32))+1),IF($Z32&gt;0,(MOD(((YEAR(L$5)-YEAR($AA32))*12+MONTH(L$5)-MONTH($AA32)),$Z32)=0)*(((YEAR(L$5)-YEAR($AA32))*12+MONTH(L$5)-MONTH($AA32))&gt;=0)*(EDATE($AA32,MAX(0,((YEAR(L$5)-YEAR($AA32))*12+MONTH(L$5)-MONTH($AA32))))&gt;=L$5)*(EDATE($AA32,MAX(0,((YEAR(L$5)-YEAR($AA32))*12+MONTH(L$5)-MONTH($AA32))))&lt;=MIN(L$5+6,$AB32))+(MOD((((YEAR(L$5)-YEAR($AA32))*12+MONTH(L$5)-MONTH($AA32))+1),$Z32)=0)*((((YEAR(L$5)-YEAR($AA32))*12+MONTH(L$5)-MONTH($AA32))+1)&gt;=0)*(EDATE($AA32,MAX(0,(((YEAR(L$5)-YEAR($AA32))*12+MONTH(L$5)-MONTH($AA32))+1)))&gt;=L$5)*(EDATE($AA32,MAX(0,(((YEAR(L$5)-YEAR($AA32))*12+MONTH(L$5)-MONTH($AA32))+1)))&lt;=MIN(L$5+6,$AB32)),($AA32&gt;=L$5)*($AA32&lt;=L$5+6))))</f>
        <v/>
      </c>
      <c r="M32" s="21">
        <f>IF($X32&lt;&gt;1,0,$D32*IF($Y32&gt;0,MAX(0,INT((MIN(M$5+6,$AB32)-$AA32)/$Y32)-MAX(0,-INT(($AA32-M$5)/$Y32))+1),IF($Z32&gt;0,(MOD(((YEAR(M$5)-YEAR($AA32))*12+MONTH(M$5)-MONTH($AA32)),$Z32)=0)*(((YEAR(M$5)-YEAR($AA32))*12+MONTH(M$5)-MONTH($AA32))&gt;=0)*(EDATE($AA32,MAX(0,((YEAR(M$5)-YEAR($AA32))*12+MONTH(M$5)-MONTH($AA32))))&gt;=M$5)*(EDATE($AA32,MAX(0,((YEAR(M$5)-YEAR($AA32))*12+MONTH(M$5)-MONTH($AA32))))&lt;=MIN(M$5+6,$AB32))+(MOD((((YEAR(M$5)-YEAR($AA32))*12+MONTH(M$5)-MONTH($AA32))+1),$Z32)=0)*((((YEAR(M$5)-YEAR($AA32))*12+MONTH(M$5)-MONTH($AA32))+1)&gt;=0)*(EDATE($AA32,MAX(0,(((YEAR(M$5)-YEAR($AA32))*12+MONTH(M$5)-MONTH($AA32))+1)))&gt;=M$5)*(EDATE($AA32,MAX(0,(((YEAR(M$5)-YEAR($AA32))*12+MONTH(M$5)-MONTH($AA32))+1)))&lt;=MIN(M$5+6,$AB32)),($AA32&gt;=M$5)*($AA32&lt;=M$5+6))))</f>
        <v/>
      </c>
      <c r="N32" s="21">
        <f>IF($X32&lt;&gt;1,0,$D32*IF($Y32&gt;0,MAX(0,INT((MIN(N$5+6,$AB32)-$AA32)/$Y32)-MAX(0,-INT(($AA32-N$5)/$Y32))+1),IF($Z32&gt;0,(MOD(((YEAR(N$5)-YEAR($AA32))*12+MONTH(N$5)-MONTH($AA32)),$Z32)=0)*(((YEAR(N$5)-YEAR($AA32))*12+MONTH(N$5)-MONTH($AA32))&gt;=0)*(EDATE($AA32,MAX(0,((YEAR(N$5)-YEAR($AA32))*12+MONTH(N$5)-MONTH($AA32))))&gt;=N$5)*(EDATE($AA32,MAX(0,((YEAR(N$5)-YEAR($AA32))*12+MONTH(N$5)-MONTH($AA32))))&lt;=MIN(N$5+6,$AB32))+(MOD((((YEAR(N$5)-YEAR($AA32))*12+MONTH(N$5)-MONTH($AA32))+1),$Z32)=0)*((((YEAR(N$5)-YEAR($AA32))*12+MONTH(N$5)-MONTH($AA32))+1)&gt;=0)*(EDATE($AA32,MAX(0,(((YEAR(N$5)-YEAR($AA32))*12+MONTH(N$5)-MONTH($AA32))+1)))&gt;=N$5)*(EDATE($AA32,MAX(0,(((YEAR(N$5)-YEAR($AA32))*12+MONTH(N$5)-MONTH($AA32))+1)))&lt;=MIN(N$5+6,$AB32)),($AA32&gt;=N$5)*($AA32&lt;=N$5+6))))</f>
        <v/>
      </c>
      <c r="O32" s="21">
        <f>IF($X32&lt;&gt;1,0,$D32*IF($Y32&gt;0,MAX(0,INT((MIN(O$5+6,$AB32)-$AA32)/$Y32)-MAX(0,-INT(($AA32-O$5)/$Y32))+1),IF($Z32&gt;0,(MOD(((YEAR(O$5)-YEAR($AA32))*12+MONTH(O$5)-MONTH($AA32)),$Z32)=0)*(((YEAR(O$5)-YEAR($AA32))*12+MONTH(O$5)-MONTH($AA32))&gt;=0)*(EDATE($AA32,MAX(0,((YEAR(O$5)-YEAR($AA32))*12+MONTH(O$5)-MONTH($AA32))))&gt;=O$5)*(EDATE($AA32,MAX(0,((YEAR(O$5)-YEAR($AA32))*12+MONTH(O$5)-MONTH($AA32))))&lt;=MIN(O$5+6,$AB32))+(MOD((((YEAR(O$5)-YEAR($AA32))*12+MONTH(O$5)-MONTH($AA32))+1),$Z32)=0)*((((YEAR(O$5)-YEAR($AA32))*12+MONTH(O$5)-MONTH($AA32))+1)&gt;=0)*(EDATE($AA32,MAX(0,(((YEAR(O$5)-YEAR($AA32))*12+MONTH(O$5)-MONTH($AA32))+1)))&gt;=O$5)*(EDATE($AA32,MAX(0,(((YEAR(O$5)-YEAR($AA32))*12+MONTH(O$5)-MONTH($AA32))+1)))&lt;=MIN(O$5+6,$AB32)),($AA32&gt;=O$5)*($AA32&lt;=O$5+6))))</f>
        <v/>
      </c>
      <c r="P32" s="21">
        <f>IF($X32&lt;&gt;1,0,$D32*IF($Y32&gt;0,MAX(0,INT((MIN(P$5+6,$AB32)-$AA32)/$Y32)-MAX(0,-INT(($AA32-P$5)/$Y32))+1),IF($Z32&gt;0,(MOD(((YEAR(P$5)-YEAR($AA32))*12+MONTH(P$5)-MONTH($AA32)),$Z32)=0)*(((YEAR(P$5)-YEAR($AA32))*12+MONTH(P$5)-MONTH($AA32))&gt;=0)*(EDATE($AA32,MAX(0,((YEAR(P$5)-YEAR($AA32))*12+MONTH(P$5)-MONTH($AA32))))&gt;=P$5)*(EDATE($AA32,MAX(0,((YEAR(P$5)-YEAR($AA32))*12+MONTH(P$5)-MONTH($AA32))))&lt;=MIN(P$5+6,$AB32))+(MOD((((YEAR(P$5)-YEAR($AA32))*12+MONTH(P$5)-MONTH($AA32))+1),$Z32)=0)*((((YEAR(P$5)-YEAR($AA32))*12+MONTH(P$5)-MONTH($AA32))+1)&gt;=0)*(EDATE($AA32,MAX(0,(((YEAR(P$5)-YEAR($AA32))*12+MONTH(P$5)-MONTH($AA32))+1)))&gt;=P$5)*(EDATE($AA32,MAX(0,(((YEAR(P$5)-YEAR($AA32))*12+MONTH(P$5)-MONTH($AA32))+1)))&lt;=MIN(P$5+6,$AB32)),($AA32&gt;=P$5)*($AA32&lt;=P$5+6))))</f>
        <v/>
      </c>
      <c r="Q32" s="21">
        <f>IF($X32&lt;&gt;1,0,$D32*IF($Y32&gt;0,MAX(0,INT((MIN(Q$5+6,$AB32)-$AA32)/$Y32)-MAX(0,-INT(($AA32-Q$5)/$Y32))+1),IF($Z32&gt;0,(MOD(((YEAR(Q$5)-YEAR($AA32))*12+MONTH(Q$5)-MONTH($AA32)),$Z32)=0)*(((YEAR(Q$5)-YEAR($AA32))*12+MONTH(Q$5)-MONTH($AA32))&gt;=0)*(EDATE($AA32,MAX(0,((YEAR(Q$5)-YEAR($AA32))*12+MONTH(Q$5)-MONTH($AA32))))&gt;=Q$5)*(EDATE($AA32,MAX(0,((YEAR(Q$5)-YEAR($AA32))*12+MONTH(Q$5)-MONTH($AA32))))&lt;=MIN(Q$5+6,$AB32))+(MOD((((YEAR(Q$5)-YEAR($AA32))*12+MONTH(Q$5)-MONTH($AA32))+1),$Z32)=0)*((((YEAR(Q$5)-YEAR($AA32))*12+MONTH(Q$5)-MONTH($AA32))+1)&gt;=0)*(EDATE($AA32,MAX(0,(((YEAR(Q$5)-YEAR($AA32))*12+MONTH(Q$5)-MONTH($AA32))+1)))&gt;=Q$5)*(EDATE($AA32,MAX(0,(((YEAR(Q$5)-YEAR($AA32))*12+MONTH(Q$5)-MONTH($AA32))+1)))&lt;=MIN(Q$5+6,$AB32)),($AA32&gt;=Q$5)*($AA32&lt;=Q$5+6))))</f>
        <v/>
      </c>
      <c r="R32" s="21">
        <f>IF($X32&lt;&gt;1,0,$D32*IF($Y32&gt;0,MAX(0,INT((MIN(R$5+6,$AB32)-$AA32)/$Y32)-MAX(0,-INT(($AA32-R$5)/$Y32))+1),IF($Z32&gt;0,(MOD(((YEAR(R$5)-YEAR($AA32))*12+MONTH(R$5)-MONTH($AA32)),$Z32)=0)*(((YEAR(R$5)-YEAR($AA32))*12+MONTH(R$5)-MONTH($AA32))&gt;=0)*(EDATE($AA32,MAX(0,((YEAR(R$5)-YEAR($AA32))*12+MONTH(R$5)-MONTH($AA32))))&gt;=R$5)*(EDATE($AA32,MAX(0,((YEAR(R$5)-YEAR($AA32))*12+MONTH(R$5)-MONTH($AA32))))&lt;=MIN(R$5+6,$AB32))+(MOD((((YEAR(R$5)-YEAR($AA32))*12+MONTH(R$5)-MONTH($AA32))+1),$Z32)=0)*((((YEAR(R$5)-YEAR($AA32))*12+MONTH(R$5)-MONTH($AA32))+1)&gt;=0)*(EDATE($AA32,MAX(0,(((YEAR(R$5)-YEAR($AA32))*12+MONTH(R$5)-MONTH($AA32))+1)))&gt;=R$5)*(EDATE($AA32,MAX(0,(((YEAR(R$5)-YEAR($AA32))*12+MONTH(R$5)-MONTH($AA32))+1)))&lt;=MIN(R$5+6,$AB32)),($AA32&gt;=R$5)*($AA32&lt;=R$5+6))))</f>
        <v/>
      </c>
      <c r="S32" s="21">
        <f>IF($X32&lt;&gt;1,0,$D32*IF($Y32&gt;0,MAX(0,INT((MIN(S$5+6,$AB32)-$AA32)/$Y32)-MAX(0,-INT(($AA32-S$5)/$Y32))+1),IF($Z32&gt;0,(MOD(((YEAR(S$5)-YEAR($AA32))*12+MONTH(S$5)-MONTH($AA32)),$Z32)=0)*(((YEAR(S$5)-YEAR($AA32))*12+MONTH(S$5)-MONTH($AA32))&gt;=0)*(EDATE($AA32,MAX(0,((YEAR(S$5)-YEAR($AA32))*12+MONTH(S$5)-MONTH($AA32))))&gt;=S$5)*(EDATE($AA32,MAX(0,((YEAR(S$5)-YEAR($AA32))*12+MONTH(S$5)-MONTH($AA32))))&lt;=MIN(S$5+6,$AB32))+(MOD((((YEAR(S$5)-YEAR($AA32))*12+MONTH(S$5)-MONTH($AA32))+1),$Z32)=0)*((((YEAR(S$5)-YEAR($AA32))*12+MONTH(S$5)-MONTH($AA32))+1)&gt;=0)*(EDATE($AA32,MAX(0,(((YEAR(S$5)-YEAR($AA32))*12+MONTH(S$5)-MONTH($AA32))+1)))&gt;=S$5)*(EDATE($AA32,MAX(0,(((YEAR(S$5)-YEAR($AA32))*12+MONTH(S$5)-MONTH($AA32))+1)))&lt;=MIN(S$5+6,$AB32)),($AA32&gt;=S$5)*($AA32&lt;=S$5+6))))</f>
        <v/>
      </c>
      <c r="T32" s="21">
        <f>IF($X32&lt;&gt;1,0,$D32*IF($Y32&gt;0,MAX(0,INT((MIN(T$5+6,$AB32)-$AA32)/$Y32)-MAX(0,-INT(($AA32-T$5)/$Y32))+1),IF($Z32&gt;0,(MOD(((YEAR(T$5)-YEAR($AA32))*12+MONTH(T$5)-MONTH($AA32)),$Z32)=0)*(((YEAR(T$5)-YEAR($AA32))*12+MONTH(T$5)-MONTH($AA32))&gt;=0)*(EDATE($AA32,MAX(0,((YEAR(T$5)-YEAR($AA32))*12+MONTH(T$5)-MONTH($AA32))))&gt;=T$5)*(EDATE($AA32,MAX(0,((YEAR(T$5)-YEAR($AA32))*12+MONTH(T$5)-MONTH($AA32))))&lt;=MIN(T$5+6,$AB32))+(MOD((((YEAR(T$5)-YEAR($AA32))*12+MONTH(T$5)-MONTH($AA32))+1),$Z32)=0)*((((YEAR(T$5)-YEAR($AA32))*12+MONTH(T$5)-MONTH($AA32))+1)&gt;=0)*(EDATE($AA32,MAX(0,(((YEAR(T$5)-YEAR($AA32))*12+MONTH(T$5)-MONTH($AA32))+1)))&gt;=T$5)*(EDATE($AA32,MAX(0,(((YEAR(T$5)-YEAR($AA32))*12+MONTH(T$5)-MONTH($AA32))+1)))&lt;=MIN(T$5+6,$AB32)),($AA32&gt;=T$5)*($AA32&lt;=T$5+6))))</f>
        <v/>
      </c>
      <c r="U32" s="21">
        <f>IF($X32&lt;&gt;1,0,$D32*IF($Y32&gt;0,MAX(0,INT((MIN(U$5+6,$AB32)-$AA32)/$Y32)-MAX(0,-INT(($AA32-U$5)/$Y32))+1),IF($Z32&gt;0,(MOD(((YEAR(U$5)-YEAR($AA32))*12+MONTH(U$5)-MONTH($AA32)),$Z32)=0)*(((YEAR(U$5)-YEAR($AA32))*12+MONTH(U$5)-MONTH($AA32))&gt;=0)*(EDATE($AA32,MAX(0,((YEAR(U$5)-YEAR($AA32))*12+MONTH(U$5)-MONTH($AA32))))&gt;=U$5)*(EDATE($AA32,MAX(0,((YEAR(U$5)-YEAR($AA32))*12+MONTH(U$5)-MONTH($AA32))))&lt;=MIN(U$5+6,$AB32))+(MOD((((YEAR(U$5)-YEAR($AA32))*12+MONTH(U$5)-MONTH($AA32))+1),$Z32)=0)*((((YEAR(U$5)-YEAR($AA32))*12+MONTH(U$5)-MONTH($AA32))+1)&gt;=0)*(EDATE($AA32,MAX(0,(((YEAR(U$5)-YEAR($AA32))*12+MONTH(U$5)-MONTH($AA32))+1)))&gt;=U$5)*(EDATE($AA32,MAX(0,(((YEAR(U$5)-YEAR($AA32))*12+MONTH(U$5)-MONTH($AA32))+1)))&lt;=MIN(U$5+6,$AB32)),($AA32&gt;=U$5)*($AA32&lt;=U$5+6))))</f>
        <v/>
      </c>
      <c r="V32" s="21">
        <f>IF($X32&lt;&gt;1,0,$D32*IF($Y32&gt;0,MAX(0,INT((MIN(V$5+6,$AB32)-$AA32)/$Y32)-MAX(0,-INT(($AA32-V$5)/$Y32))+1),IF($Z32&gt;0,(MOD(((YEAR(V$5)-YEAR($AA32))*12+MONTH(V$5)-MONTH($AA32)),$Z32)=0)*(((YEAR(V$5)-YEAR($AA32))*12+MONTH(V$5)-MONTH($AA32))&gt;=0)*(EDATE($AA32,MAX(0,((YEAR(V$5)-YEAR($AA32))*12+MONTH(V$5)-MONTH($AA32))))&gt;=V$5)*(EDATE($AA32,MAX(0,((YEAR(V$5)-YEAR($AA32))*12+MONTH(V$5)-MONTH($AA32))))&lt;=MIN(V$5+6,$AB32))+(MOD((((YEAR(V$5)-YEAR($AA32))*12+MONTH(V$5)-MONTH($AA32))+1),$Z32)=0)*((((YEAR(V$5)-YEAR($AA32))*12+MONTH(V$5)-MONTH($AA32))+1)&gt;=0)*(EDATE($AA32,MAX(0,(((YEAR(V$5)-YEAR($AA32))*12+MONTH(V$5)-MONTH($AA32))+1)))&gt;=V$5)*(EDATE($AA32,MAX(0,(((YEAR(V$5)-YEAR($AA32))*12+MONTH(V$5)-MONTH($AA32))+1)))&lt;=MIN(V$5+6,$AB32)),($AA32&gt;=V$5)*($AA32&lt;=V$5+6))))</f>
        <v/>
      </c>
      <c r="W32" s="21">
        <f>IF($X32&lt;&gt;1,0,$D32*IF($Y32&gt;0,MAX(0,INT((MIN(W$5+6,$AB32)-$AA32)/$Y32)-MAX(0,-INT(($AA32-W$5)/$Y32))+1),IF($Z32&gt;0,(MOD(((YEAR(W$5)-YEAR($AA32))*12+MONTH(W$5)-MONTH($AA32)),$Z32)=0)*(((YEAR(W$5)-YEAR($AA32))*12+MONTH(W$5)-MONTH($AA32))&gt;=0)*(EDATE($AA32,MAX(0,((YEAR(W$5)-YEAR($AA32))*12+MONTH(W$5)-MONTH($AA32))))&gt;=W$5)*(EDATE($AA32,MAX(0,((YEAR(W$5)-YEAR($AA32))*12+MONTH(W$5)-MONTH($AA32))))&lt;=MIN(W$5+6,$AB32))+(MOD((((YEAR(W$5)-YEAR($AA32))*12+MONTH(W$5)-MONTH($AA32))+1),$Z32)=0)*((((YEAR(W$5)-YEAR($AA32))*12+MONTH(W$5)-MONTH($AA32))+1)&gt;=0)*(EDATE($AA32,MAX(0,(((YEAR(W$5)-YEAR($AA32))*12+MONTH(W$5)-MONTH($AA32))+1)))&gt;=W$5)*(EDATE($AA32,MAX(0,(((YEAR(W$5)-YEAR($AA32))*12+MONTH(W$5)-MONTH($AA32))+1)))&lt;=MIN(W$5+6,$AB32)),($AA32&gt;=W$5)*($AA32&lt;=W$5+6))))</f>
        <v/>
      </c>
      <c r="X32">
        <f>IF(COUNTA(A32:G32)=0,"",IF(AND(OR(B32="In",B32="Out"),ISNUMBER(D32),D32&gt;0,ISNUMBER(MATCH(E32,FreqName,0)),ISNUMBER(F32),OR(G32="",AND(ISNUMBER(G32),G32&gt;=F32))),1,0))</f>
        <v/>
      </c>
      <c r="Y32">
        <f>IF(X32&lt;&gt;1,0,INDEX(FreqDays,MATCH(E32,FreqName,0)))</f>
        <v/>
      </c>
      <c r="Z32">
        <f>IF(X32&lt;&gt;1,0,INDEX(FreqMonths,MATCH(E32,FreqName,0)))</f>
        <v/>
      </c>
      <c r="AA32">
        <f>IF(X32&lt;&gt;1,0,INT(F32))</f>
        <v/>
      </c>
      <c r="AB32">
        <f>IF(X32&lt;&gt;1,0,IF(ISNUMBER(G32),INT(G32),2958465))</f>
        <v/>
      </c>
    </row>
    <row r="33">
      <c r="A33" s="29" t="n"/>
      <c r="B33" s="29" t="n"/>
      <c r="C33" s="29" t="n"/>
      <c r="D33" s="34" t="n"/>
      <c r="E33" s="29" t="n"/>
      <c r="F33" s="24" t="n"/>
      <c r="G33" s="24" t="n"/>
      <c r="H33" s="10">
        <f>IF(X33="","",IF(X33=0,IF(AND(B33&lt;&gt;"In",B33&lt;&gt;"Out"),"Fix: choose In or Out",IF(OR(NOT(ISNUMBER(D33)),N(D33)&lt;=0),"Fix: amount must be a number above 0",IF(NOT(ISNUMBER(MATCH(E33,FreqName,0))),"Fix: choose a frequency",IF(NOT(ISNUMBER(F33)),"Fix: first date missing","Fix: end date must be a date on or after the first date")))),IF(AND(C33&lt;&gt;"",OR(AND(B33="In",ISNUMBER(MATCH(C33,InCats,0))),AND(B33="Out",ISNUMBER(MATCH(C33,OutCats,0))))),"OK","Category not on Settings (counted as Other)")))</f>
        <v/>
      </c>
      <c r="I33" s="35">
        <f>IF(X33&lt;&gt;1,"",ROUND(J33/D33,0))</f>
        <v/>
      </c>
      <c r="J33" s="36">
        <f>SUM(K33:W33)</f>
        <v/>
      </c>
      <c r="K33" s="21">
        <f>IF($X33&lt;&gt;1,0,$D33*IF($Y33&gt;0,MAX(0,INT((MIN(K$5+6,$AB33)-$AA33)/$Y33)-MAX(0,-INT(($AA33-K$5)/$Y33))+1),IF($Z33&gt;0,(MOD(((YEAR(K$5)-YEAR($AA33))*12+MONTH(K$5)-MONTH($AA33)),$Z33)=0)*(((YEAR(K$5)-YEAR($AA33))*12+MONTH(K$5)-MONTH($AA33))&gt;=0)*(EDATE($AA33,MAX(0,((YEAR(K$5)-YEAR($AA33))*12+MONTH(K$5)-MONTH($AA33))))&gt;=K$5)*(EDATE($AA33,MAX(0,((YEAR(K$5)-YEAR($AA33))*12+MONTH(K$5)-MONTH($AA33))))&lt;=MIN(K$5+6,$AB33))+(MOD((((YEAR(K$5)-YEAR($AA33))*12+MONTH(K$5)-MONTH($AA33))+1),$Z33)=0)*((((YEAR(K$5)-YEAR($AA33))*12+MONTH(K$5)-MONTH($AA33))+1)&gt;=0)*(EDATE($AA33,MAX(0,(((YEAR(K$5)-YEAR($AA33))*12+MONTH(K$5)-MONTH($AA33))+1)))&gt;=K$5)*(EDATE($AA33,MAX(0,(((YEAR(K$5)-YEAR($AA33))*12+MONTH(K$5)-MONTH($AA33))+1)))&lt;=MIN(K$5+6,$AB33)),($AA33&gt;=K$5)*($AA33&lt;=K$5+6))))</f>
        <v/>
      </c>
      <c r="L33" s="21">
        <f>IF($X33&lt;&gt;1,0,$D33*IF($Y33&gt;0,MAX(0,INT((MIN(L$5+6,$AB33)-$AA33)/$Y33)-MAX(0,-INT(($AA33-L$5)/$Y33))+1),IF($Z33&gt;0,(MOD(((YEAR(L$5)-YEAR($AA33))*12+MONTH(L$5)-MONTH($AA33)),$Z33)=0)*(((YEAR(L$5)-YEAR($AA33))*12+MONTH(L$5)-MONTH($AA33))&gt;=0)*(EDATE($AA33,MAX(0,((YEAR(L$5)-YEAR($AA33))*12+MONTH(L$5)-MONTH($AA33))))&gt;=L$5)*(EDATE($AA33,MAX(0,((YEAR(L$5)-YEAR($AA33))*12+MONTH(L$5)-MONTH($AA33))))&lt;=MIN(L$5+6,$AB33))+(MOD((((YEAR(L$5)-YEAR($AA33))*12+MONTH(L$5)-MONTH($AA33))+1),$Z33)=0)*((((YEAR(L$5)-YEAR($AA33))*12+MONTH(L$5)-MONTH($AA33))+1)&gt;=0)*(EDATE($AA33,MAX(0,(((YEAR(L$5)-YEAR($AA33))*12+MONTH(L$5)-MONTH($AA33))+1)))&gt;=L$5)*(EDATE($AA33,MAX(0,(((YEAR(L$5)-YEAR($AA33))*12+MONTH(L$5)-MONTH($AA33))+1)))&lt;=MIN(L$5+6,$AB33)),($AA33&gt;=L$5)*($AA33&lt;=L$5+6))))</f>
        <v/>
      </c>
      <c r="M33" s="21">
        <f>IF($X33&lt;&gt;1,0,$D33*IF($Y33&gt;0,MAX(0,INT((MIN(M$5+6,$AB33)-$AA33)/$Y33)-MAX(0,-INT(($AA33-M$5)/$Y33))+1),IF($Z33&gt;0,(MOD(((YEAR(M$5)-YEAR($AA33))*12+MONTH(M$5)-MONTH($AA33)),$Z33)=0)*(((YEAR(M$5)-YEAR($AA33))*12+MONTH(M$5)-MONTH($AA33))&gt;=0)*(EDATE($AA33,MAX(0,((YEAR(M$5)-YEAR($AA33))*12+MONTH(M$5)-MONTH($AA33))))&gt;=M$5)*(EDATE($AA33,MAX(0,((YEAR(M$5)-YEAR($AA33))*12+MONTH(M$5)-MONTH($AA33))))&lt;=MIN(M$5+6,$AB33))+(MOD((((YEAR(M$5)-YEAR($AA33))*12+MONTH(M$5)-MONTH($AA33))+1),$Z33)=0)*((((YEAR(M$5)-YEAR($AA33))*12+MONTH(M$5)-MONTH($AA33))+1)&gt;=0)*(EDATE($AA33,MAX(0,(((YEAR(M$5)-YEAR($AA33))*12+MONTH(M$5)-MONTH($AA33))+1)))&gt;=M$5)*(EDATE($AA33,MAX(0,(((YEAR(M$5)-YEAR($AA33))*12+MONTH(M$5)-MONTH($AA33))+1)))&lt;=MIN(M$5+6,$AB33)),($AA33&gt;=M$5)*($AA33&lt;=M$5+6))))</f>
        <v/>
      </c>
      <c r="N33" s="21">
        <f>IF($X33&lt;&gt;1,0,$D33*IF($Y33&gt;0,MAX(0,INT((MIN(N$5+6,$AB33)-$AA33)/$Y33)-MAX(0,-INT(($AA33-N$5)/$Y33))+1),IF($Z33&gt;0,(MOD(((YEAR(N$5)-YEAR($AA33))*12+MONTH(N$5)-MONTH($AA33)),$Z33)=0)*(((YEAR(N$5)-YEAR($AA33))*12+MONTH(N$5)-MONTH($AA33))&gt;=0)*(EDATE($AA33,MAX(0,((YEAR(N$5)-YEAR($AA33))*12+MONTH(N$5)-MONTH($AA33))))&gt;=N$5)*(EDATE($AA33,MAX(0,((YEAR(N$5)-YEAR($AA33))*12+MONTH(N$5)-MONTH($AA33))))&lt;=MIN(N$5+6,$AB33))+(MOD((((YEAR(N$5)-YEAR($AA33))*12+MONTH(N$5)-MONTH($AA33))+1),$Z33)=0)*((((YEAR(N$5)-YEAR($AA33))*12+MONTH(N$5)-MONTH($AA33))+1)&gt;=0)*(EDATE($AA33,MAX(0,(((YEAR(N$5)-YEAR($AA33))*12+MONTH(N$5)-MONTH($AA33))+1)))&gt;=N$5)*(EDATE($AA33,MAX(0,(((YEAR(N$5)-YEAR($AA33))*12+MONTH(N$5)-MONTH($AA33))+1)))&lt;=MIN(N$5+6,$AB33)),($AA33&gt;=N$5)*($AA33&lt;=N$5+6))))</f>
        <v/>
      </c>
      <c r="O33" s="21">
        <f>IF($X33&lt;&gt;1,0,$D33*IF($Y33&gt;0,MAX(0,INT((MIN(O$5+6,$AB33)-$AA33)/$Y33)-MAX(0,-INT(($AA33-O$5)/$Y33))+1),IF($Z33&gt;0,(MOD(((YEAR(O$5)-YEAR($AA33))*12+MONTH(O$5)-MONTH($AA33)),$Z33)=0)*(((YEAR(O$5)-YEAR($AA33))*12+MONTH(O$5)-MONTH($AA33))&gt;=0)*(EDATE($AA33,MAX(0,((YEAR(O$5)-YEAR($AA33))*12+MONTH(O$5)-MONTH($AA33))))&gt;=O$5)*(EDATE($AA33,MAX(0,((YEAR(O$5)-YEAR($AA33))*12+MONTH(O$5)-MONTH($AA33))))&lt;=MIN(O$5+6,$AB33))+(MOD((((YEAR(O$5)-YEAR($AA33))*12+MONTH(O$5)-MONTH($AA33))+1),$Z33)=0)*((((YEAR(O$5)-YEAR($AA33))*12+MONTH(O$5)-MONTH($AA33))+1)&gt;=0)*(EDATE($AA33,MAX(0,(((YEAR(O$5)-YEAR($AA33))*12+MONTH(O$5)-MONTH($AA33))+1)))&gt;=O$5)*(EDATE($AA33,MAX(0,(((YEAR(O$5)-YEAR($AA33))*12+MONTH(O$5)-MONTH($AA33))+1)))&lt;=MIN(O$5+6,$AB33)),($AA33&gt;=O$5)*($AA33&lt;=O$5+6))))</f>
        <v/>
      </c>
      <c r="P33" s="21">
        <f>IF($X33&lt;&gt;1,0,$D33*IF($Y33&gt;0,MAX(0,INT((MIN(P$5+6,$AB33)-$AA33)/$Y33)-MAX(0,-INT(($AA33-P$5)/$Y33))+1),IF($Z33&gt;0,(MOD(((YEAR(P$5)-YEAR($AA33))*12+MONTH(P$5)-MONTH($AA33)),$Z33)=0)*(((YEAR(P$5)-YEAR($AA33))*12+MONTH(P$5)-MONTH($AA33))&gt;=0)*(EDATE($AA33,MAX(0,((YEAR(P$5)-YEAR($AA33))*12+MONTH(P$5)-MONTH($AA33))))&gt;=P$5)*(EDATE($AA33,MAX(0,((YEAR(P$5)-YEAR($AA33))*12+MONTH(P$5)-MONTH($AA33))))&lt;=MIN(P$5+6,$AB33))+(MOD((((YEAR(P$5)-YEAR($AA33))*12+MONTH(P$5)-MONTH($AA33))+1),$Z33)=0)*((((YEAR(P$5)-YEAR($AA33))*12+MONTH(P$5)-MONTH($AA33))+1)&gt;=0)*(EDATE($AA33,MAX(0,(((YEAR(P$5)-YEAR($AA33))*12+MONTH(P$5)-MONTH($AA33))+1)))&gt;=P$5)*(EDATE($AA33,MAX(0,(((YEAR(P$5)-YEAR($AA33))*12+MONTH(P$5)-MONTH($AA33))+1)))&lt;=MIN(P$5+6,$AB33)),($AA33&gt;=P$5)*($AA33&lt;=P$5+6))))</f>
        <v/>
      </c>
      <c r="Q33" s="21">
        <f>IF($X33&lt;&gt;1,0,$D33*IF($Y33&gt;0,MAX(0,INT((MIN(Q$5+6,$AB33)-$AA33)/$Y33)-MAX(0,-INT(($AA33-Q$5)/$Y33))+1),IF($Z33&gt;0,(MOD(((YEAR(Q$5)-YEAR($AA33))*12+MONTH(Q$5)-MONTH($AA33)),$Z33)=0)*(((YEAR(Q$5)-YEAR($AA33))*12+MONTH(Q$5)-MONTH($AA33))&gt;=0)*(EDATE($AA33,MAX(0,((YEAR(Q$5)-YEAR($AA33))*12+MONTH(Q$5)-MONTH($AA33))))&gt;=Q$5)*(EDATE($AA33,MAX(0,((YEAR(Q$5)-YEAR($AA33))*12+MONTH(Q$5)-MONTH($AA33))))&lt;=MIN(Q$5+6,$AB33))+(MOD((((YEAR(Q$5)-YEAR($AA33))*12+MONTH(Q$5)-MONTH($AA33))+1),$Z33)=0)*((((YEAR(Q$5)-YEAR($AA33))*12+MONTH(Q$5)-MONTH($AA33))+1)&gt;=0)*(EDATE($AA33,MAX(0,(((YEAR(Q$5)-YEAR($AA33))*12+MONTH(Q$5)-MONTH($AA33))+1)))&gt;=Q$5)*(EDATE($AA33,MAX(0,(((YEAR(Q$5)-YEAR($AA33))*12+MONTH(Q$5)-MONTH($AA33))+1)))&lt;=MIN(Q$5+6,$AB33)),($AA33&gt;=Q$5)*($AA33&lt;=Q$5+6))))</f>
        <v/>
      </c>
      <c r="R33" s="21">
        <f>IF($X33&lt;&gt;1,0,$D33*IF($Y33&gt;0,MAX(0,INT((MIN(R$5+6,$AB33)-$AA33)/$Y33)-MAX(0,-INT(($AA33-R$5)/$Y33))+1),IF($Z33&gt;0,(MOD(((YEAR(R$5)-YEAR($AA33))*12+MONTH(R$5)-MONTH($AA33)),$Z33)=0)*(((YEAR(R$5)-YEAR($AA33))*12+MONTH(R$5)-MONTH($AA33))&gt;=0)*(EDATE($AA33,MAX(0,((YEAR(R$5)-YEAR($AA33))*12+MONTH(R$5)-MONTH($AA33))))&gt;=R$5)*(EDATE($AA33,MAX(0,((YEAR(R$5)-YEAR($AA33))*12+MONTH(R$5)-MONTH($AA33))))&lt;=MIN(R$5+6,$AB33))+(MOD((((YEAR(R$5)-YEAR($AA33))*12+MONTH(R$5)-MONTH($AA33))+1),$Z33)=0)*((((YEAR(R$5)-YEAR($AA33))*12+MONTH(R$5)-MONTH($AA33))+1)&gt;=0)*(EDATE($AA33,MAX(0,(((YEAR(R$5)-YEAR($AA33))*12+MONTH(R$5)-MONTH($AA33))+1)))&gt;=R$5)*(EDATE($AA33,MAX(0,(((YEAR(R$5)-YEAR($AA33))*12+MONTH(R$5)-MONTH($AA33))+1)))&lt;=MIN(R$5+6,$AB33)),($AA33&gt;=R$5)*($AA33&lt;=R$5+6))))</f>
        <v/>
      </c>
      <c r="S33" s="21">
        <f>IF($X33&lt;&gt;1,0,$D33*IF($Y33&gt;0,MAX(0,INT((MIN(S$5+6,$AB33)-$AA33)/$Y33)-MAX(0,-INT(($AA33-S$5)/$Y33))+1),IF($Z33&gt;0,(MOD(((YEAR(S$5)-YEAR($AA33))*12+MONTH(S$5)-MONTH($AA33)),$Z33)=0)*(((YEAR(S$5)-YEAR($AA33))*12+MONTH(S$5)-MONTH($AA33))&gt;=0)*(EDATE($AA33,MAX(0,((YEAR(S$5)-YEAR($AA33))*12+MONTH(S$5)-MONTH($AA33))))&gt;=S$5)*(EDATE($AA33,MAX(0,((YEAR(S$5)-YEAR($AA33))*12+MONTH(S$5)-MONTH($AA33))))&lt;=MIN(S$5+6,$AB33))+(MOD((((YEAR(S$5)-YEAR($AA33))*12+MONTH(S$5)-MONTH($AA33))+1),$Z33)=0)*((((YEAR(S$5)-YEAR($AA33))*12+MONTH(S$5)-MONTH($AA33))+1)&gt;=0)*(EDATE($AA33,MAX(0,(((YEAR(S$5)-YEAR($AA33))*12+MONTH(S$5)-MONTH($AA33))+1)))&gt;=S$5)*(EDATE($AA33,MAX(0,(((YEAR(S$5)-YEAR($AA33))*12+MONTH(S$5)-MONTH($AA33))+1)))&lt;=MIN(S$5+6,$AB33)),($AA33&gt;=S$5)*($AA33&lt;=S$5+6))))</f>
        <v/>
      </c>
      <c r="T33" s="21">
        <f>IF($X33&lt;&gt;1,0,$D33*IF($Y33&gt;0,MAX(0,INT((MIN(T$5+6,$AB33)-$AA33)/$Y33)-MAX(0,-INT(($AA33-T$5)/$Y33))+1),IF($Z33&gt;0,(MOD(((YEAR(T$5)-YEAR($AA33))*12+MONTH(T$5)-MONTH($AA33)),$Z33)=0)*(((YEAR(T$5)-YEAR($AA33))*12+MONTH(T$5)-MONTH($AA33))&gt;=0)*(EDATE($AA33,MAX(0,((YEAR(T$5)-YEAR($AA33))*12+MONTH(T$5)-MONTH($AA33))))&gt;=T$5)*(EDATE($AA33,MAX(0,((YEAR(T$5)-YEAR($AA33))*12+MONTH(T$5)-MONTH($AA33))))&lt;=MIN(T$5+6,$AB33))+(MOD((((YEAR(T$5)-YEAR($AA33))*12+MONTH(T$5)-MONTH($AA33))+1),$Z33)=0)*((((YEAR(T$5)-YEAR($AA33))*12+MONTH(T$5)-MONTH($AA33))+1)&gt;=0)*(EDATE($AA33,MAX(0,(((YEAR(T$5)-YEAR($AA33))*12+MONTH(T$5)-MONTH($AA33))+1)))&gt;=T$5)*(EDATE($AA33,MAX(0,(((YEAR(T$5)-YEAR($AA33))*12+MONTH(T$5)-MONTH($AA33))+1)))&lt;=MIN(T$5+6,$AB33)),($AA33&gt;=T$5)*($AA33&lt;=T$5+6))))</f>
        <v/>
      </c>
      <c r="U33" s="21">
        <f>IF($X33&lt;&gt;1,0,$D33*IF($Y33&gt;0,MAX(0,INT((MIN(U$5+6,$AB33)-$AA33)/$Y33)-MAX(0,-INT(($AA33-U$5)/$Y33))+1),IF($Z33&gt;0,(MOD(((YEAR(U$5)-YEAR($AA33))*12+MONTH(U$5)-MONTH($AA33)),$Z33)=0)*(((YEAR(U$5)-YEAR($AA33))*12+MONTH(U$5)-MONTH($AA33))&gt;=0)*(EDATE($AA33,MAX(0,((YEAR(U$5)-YEAR($AA33))*12+MONTH(U$5)-MONTH($AA33))))&gt;=U$5)*(EDATE($AA33,MAX(0,((YEAR(U$5)-YEAR($AA33))*12+MONTH(U$5)-MONTH($AA33))))&lt;=MIN(U$5+6,$AB33))+(MOD((((YEAR(U$5)-YEAR($AA33))*12+MONTH(U$5)-MONTH($AA33))+1),$Z33)=0)*((((YEAR(U$5)-YEAR($AA33))*12+MONTH(U$5)-MONTH($AA33))+1)&gt;=0)*(EDATE($AA33,MAX(0,(((YEAR(U$5)-YEAR($AA33))*12+MONTH(U$5)-MONTH($AA33))+1)))&gt;=U$5)*(EDATE($AA33,MAX(0,(((YEAR(U$5)-YEAR($AA33))*12+MONTH(U$5)-MONTH($AA33))+1)))&lt;=MIN(U$5+6,$AB33)),($AA33&gt;=U$5)*($AA33&lt;=U$5+6))))</f>
        <v/>
      </c>
      <c r="V33" s="21">
        <f>IF($X33&lt;&gt;1,0,$D33*IF($Y33&gt;0,MAX(0,INT((MIN(V$5+6,$AB33)-$AA33)/$Y33)-MAX(0,-INT(($AA33-V$5)/$Y33))+1),IF($Z33&gt;0,(MOD(((YEAR(V$5)-YEAR($AA33))*12+MONTH(V$5)-MONTH($AA33)),$Z33)=0)*(((YEAR(V$5)-YEAR($AA33))*12+MONTH(V$5)-MONTH($AA33))&gt;=0)*(EDATE($AA33,MAX(0,((YEAR(V$5)-YEAR($AA33))*12+MONTH(V$5)-MONTH($AA33))))&gt;=V$5)*(EDATE($AA33,MAX(0,((YEAR(V$5)-YEAR($AA33))*12+MONTH(V$5)-MONTH($AA33))))&lt;=MIN(V$5+6,$AB33))+(MOD((((YEAR(V$5)-YEAR($AA33))*12+MONTH(V$5)-MONTH($AA33))+1),$Z33)=0)*((((YEAR(V$5)-YEAR($AA33))*12+MONTH(V$5)-MONTH($AA33))+1)&gt;=0)*(EDATE($AA33,MAX(0,(((YEAR(V$5)-YEAR($AA33))*12+MONTH(V$5)-MONTH($AA33))+1)))&gt;=V$5)*(EDATE($AA33,MAX(0,(((YEAR(V$5)-YEAR($AA33))*12+MONTH(V$5)-MONTH($AA33))+1)))&lt;=MIN(V$5+6,$AB33)),($AA33&gt;=V$5)*($AA33&lt;=V$5+6))))</f>
        <v/>
      </c>
      <c r="W33" s="21">
        <f>IF($X33&lt;&gt;1,0,$D33*IF($Y33&gt;0,MAX(0,INT((MIN(W$5+6,$AB33)-$AA33)/$Y33)-MAX(0,-INT(($AA33-W$5)/$Y33))+1),IF($Z33&gt;0,(MOD(((YEAR(W$5)-YEAR($AA33))*12+MONTH(W$5)-MONTH($AA33)),$Z33)=0)*(((YEAR(W$5)-YEAR($AA33))*12+MONTH(W$5)-MONTH($AA33))&gt;=0)*(EDATE($AA33,MAX(0,((YEAR(W$5)-YEAR($AA33))*12+MONTH(W$5)-MONTH($AA33))))&gt;=W$5)*(EDATE($AA33,MAX(0,((YEAR(W$5)-YEAR($AA33))*12+MONTH(W$5)-MONTH($AA33))))&lt;=MIN(W$5+6,$AB33))+(MOD((((YEAR(W$5)-YEAR($AA33))*12+MONTH(W$5)-MONTH($AA33))+1),$Z33)=0)*((((YEAR(W$5)-YEAR($AA33))*12+MONTH(W$5)-MONTH($AA33))+1)&gt;=0)*(EDATE($AA33,MAX(0,(((YEAR(W$5)-YEAR($AA33))*12+MONTH(W$5)-MONTH($AA33))+1)))&gt;=W$5)*(EDATE($AA33,MAX(0,(((YEAR(W$5)-YEAR($AA33))*12+MONTH(W$5)-MONTH($AA33))+1)))&lt;=MIN(W$5+6,$AB33)),($AA33&gt;=W$5)*($AA33&lt;=W$5+6))))</f>
        <v/>
      </c>
      <c r="X33">
        <f>IF(COUNTA(A33:G33)=0,"",IF(AND(OR(B33="In",B33="Out"),ISNUMBER(D33),D33&gt;0,ISNUMBER(MATCH(E33,FreqName,0)),ISNUMBER(F33),OR(G33="",AND(ISNUMBER(G33),G33&gt;=F33))),1,0))</f>
        <v/>
      </c>
      <c r="Y33">
        <f>IF(X33&lt;&gt;1,0,INDEX(FreqDays,MATCH(E33,FreqName,0)))</f>
        <v/>
      </c>
      <c r="Z33">
        <f>IF(X33&lt;&gt;1,0,INDEX(FreqMonths,MATCH(E33,FreqName,0)))</f>
        <v/>
      </c>
      <c r="AA33">
        <f>IF(X33&lt;&gt;1,0,INT(F33))</f>
        <v/>
      </c>
      <c r="AB33">
        <f>IF(X33&lt;&gt;1,0,IF(ISNUMBER(G33),INT(G33),2958465))</f>
        <v/>
      </c>
    </row>
    <row r="34">
      <c r="A34" s="29" t="n"/>
      <c r="B34" s="29" t="n"/>
      <c r="C34" s="29" t="n"/>
      <c r="D34" s="34" t="n"/>
      <c r="E34" s="29" t="n"/>
      <c r="F34" s="24" t="n"/>
      <c r="G34" s="24" t="n"/>
      <c r="H34" s="10">
        <f>IF(X34="","",IF(X34=0,IF(AND(B34&lt;&gt;"In",B34&lt;&gt;"Out"),"Fix: choose In or Out",IF(OR(NOT(ISNUMBER(D34)),N(D34)&lt;=0),"Fix: amount must be a number above 0",IF(NOT(ISNUMBER(MATCH(E34,FreqName,0))),"Fix: choose a frequency",IF(NOT(ISNUMBER(F34)),"Fix: first date missing","Fix: end date must be a date on or after the first date")))),IF(AND(C34&lt;&gt;"",OR(AND(B34="In",ISNUMBER(MATCH(C34,InCats,0))),AND(B34="Out",ISNUMBER(MATCH(C34,OutCats,0))))),"OK","Category not on Settings (counted as Other)")))</f>
        <v/>
      </c>
      <c r="I34" s="35">
        <f>IF(X34&lt;&gt;1,"",ROUND(J34/D34,0))</f>
        <v/>
      </c>
      <c r="J34" s="36">
        <f>SUM(K34:W34)</f>
        <v/>
      </c>
      <c r="K34" s="21">
        <f>IF($X34&lt;&gt;1,0,$D34*IF($Y34&gt;0,MAX(0,INT((MIN(K$5+6,$AB34)-$AA34)/$Y34)-MAX(0,-INT(($AA34-K$5)/$Y34))+1),IF($Z34&gt;0,(MOD(((YEAR(K$5)-YEAR($AA34))*12+MONTH(K$5)-MONTH($AA34)),$Z34)=0)*(((YEAR(K$5)-YEAR($AA34))*12+MONTH(K$5)-MONTH($AA34))&gt;=0)*(EDATE($AA34,MAX(0,((YEAR(K$5)-YEAR($AA34))*12+MONTH(K$5)-MONTH($AA34))))&gt;=K$5)*(EDATE($AA34,MAX(0,((YEAR(K$5)-YEAR($AA34))*12+MONTH(K$5)-MONTH($AA34))))&lt;=MIN(K$5+6,$AB34))+(MOD((((YEAR(K$5)-YEAR($AA34))*12+MONTH(K$5)-MONTH($AA34))+1),$Z34)=0)*((((YEAR(K$5)-YEAR($AA34))*12+MONTH(K$5)-MONTH($AA34))+1)&gt;=0)*(EDATE($AA34,MAX(0,(((YEAR(K$5)-YEAR($AA34))*12+MONTH(K$5)-MONTH($AA34))+1)))&gt;=K$5)*(EDATE($AA34,MAX(0,(((YEAR(K$5)-YEAR($AA34))*12+MONTH(K$5)-MONTH($AA34))+1)))&lt;=MIN(K$5+6,$AB34)),($AA34&gt;=K$5)*($AA34&lt;=K$5+6))))</f>
        <v/>
      </c>
      <c r="L34" s="21">
        <f>IF($X34&lt;&gt;1,0,$D34*IF($Y34&gt;0,MAX(0,INT((MIN(L$5+6,$AB34)-$AA34)/$Y34)-MAX(0,-INT(($AA34-L$5)/$Y34))+1),IF($Z34&gt;0,(MOD(((YEAR(L$5)-YEAR($AA34))*12+MONTH(L$5)-MONTH($AA34)),$Z34)=0)*(((YEAR(L$5)-YEAR($AA34))*12+MONTH(L$5)-MONTH($AA34))&gt;=0)*(EDATE($AA34,MAX(0,((YEAR(L$5)-YEAR($AA34))*12+MONTH(L$5)-MONTH($AA34))))&gt;=L$5)*(EDATE($AA34,MAX(0,((YEAR(L$5)-YEAR($AA34))*12+MONTH(L$5)-MONTH($AA34))))&lt;=MIN(L$5+6,$AB34))+(MOD((((YEAR(L$5)-YEAR($AA34))*12+MONTH(L$5)-MONTH($AA34))+1),$Z34)=0)*((((YEAR(L$5)-YEAR($AA34))*12+MONTH(L$5)-MONTH($AA34))+1)&gt;=0)*(EDATE($AA34,MAX(0,(((YEAR(L$5)-YEAR($AA34))*12+MONTH(L$5)-MONTH($AA34))+1)))&gt;=L$5)*(EDATE($AA34,MAX(0,(((YEAR(L$5)-YEAR($AA34))*12+MONTH(L$5)-MONTH($AA34))+1)))&lt;=MIN(L$5+6,$AB34)),($AA34&gt;=L$5)*($AA34&lt;=L$5+6))))</f>
        <v/>
      </c>
      <c r="M34" s="21">
        <f>IF($X34&lt;&gt;1,0,$D34*IF($Y34&gt;0,MAX(0,INT((MIN(M$5+6,$AB34)-$AA34)/$Y34)-MAX(0,-INT(($AA34-M$5)/$Y34))+1),IF($Z34&gt;0,(MOD(((YEAR(M$5)-YEAR($AA34))*12+MONTH(M$5)-MONTH($AA34)),$Z34)=0)*(((YEAR(M$5)-YEAR($AA34))*12+MONTH(M$5)-MONTH($AA34))&gt;=0)*(EDATE($AA34,MAX(0,((YEAR(M$5)-YEAR($AA34))*12+MONTH(M$5)-MONTH($AA34))))&gt;=M$5)*(EDATE($AA34,MAX(0,((YEAR(M$5)-YEAR($AA34))*12+MONTH(M$5)-MONTH($AA34))))&lt;=MIN(M$5+6,$AB34))+(MOD((((YEAR(M$5)-YEAR($AA34))*12+MONTH(M$5)-MONTH($AA34))+1),$Z34)=0)*((((YEAR(M$5)-YEAR($AA34))*12+MONTH(M$5)-MONTH($AA34))+1)&gt;=0)*(EDATE($AA34,MAX(0,(((YEAR(M$5)-YEAR($AA34))*12+MONTH(M$5)-MONTH($AA34))+1)))&gt;=M$5)*(EDATE($AA34,MAX(0,(((YEAR(M$5)-YEAR($AA34))*12+MONTH(M$5)-MONTH($AA34))+1)))&lt;=MIN(M$5+6,$AB34)),($AA34&gt;=M$5)*($AA34&lt;=M$5+6))))</f>
        <v/>
      </c>
      <c r="N34" s="21">
        <f>IF($X34&lt;&gt;1,0,$D34*IF($Y34&gt;0,MAX(0,INT((MIN(N$5+6,$AB34)-$AA34)/$Y34)-MAX(0,-INT(($AA34-N$5)/$Y34))+1),IF($Z34&gt;0,(MOD(((YEAR(N$5)-YEAR($AA34))*12+MONTH(N$5)-MONTH($AA34)),$Z34)=0)*(((YEAR(N$5)-YEAR($AA34))*12+MONTH(N$5)-MONTH($AA34))&gt;=0)*(EDATE($AA34,MAX(0,((YEAR(N$5)-YEAR($AA34))*12+MONTH(N$5)-MONTH($AA34))))&gt;=N$5)*(EDATE($AA34,MAX(0,((YEAR(N$5)-YEAR($AA34))*12+MONTH(N$5)-MONTH($AA34))))&lt;=MIN(N$5+6,$AB34))+(MOD((((YEAR(N$5)-YEAR($AA34))*12+MONTH(N$5)-MONTH($AA34))+1),$Z34)=0)*((((YEAR(N$5)-YEAR($AA34))*12+MONTH(N$5)-MONTH($AA34))+1)&gt;=0)*(EDATE($AA34,MAX(0,(((YEAR(N$5)-YEAR($AA34))*12+MONTH(N$5)-MONTH($AA34))+1)))&gt;=N$5)*(EDATE($AA34,MAX(0,(((YEAR(N$5)-YEAR($AA34))*12+MONTH(N$5)-MONTH($AA34))+1)))&lt;=MIN(N$5+6,$AB34)),($AA34&gt;=N$5)*($AA34&lt;=N$5+6))))</f>
        <v/>
      </c>
      <c r="O34" s="21">
        <f>IF($X34&lt;&gt;1,0,$D34*IF($Y34&gt;0,MAX(0,INT((MIN(O$5+6,$AB34)-$AA34)/$Y34)-MAX(0,-INT(($AA34-O$5)/$Y34))+1),IF($Z34&gt;0,(MOD(((YEAR(O$5)-YEAR($AA34))*12+MONTH(O$5)-MONTH($AA34)),$Z34)=0)*(((YEAR(O$5)-YEAR($AA34))*12+MONTH(O$5)-MONTH($AA34))&gt;=0)*(EDATE($AA34,MAX(0,((YEAR(O$5)-YEAR($AA34))*12+MONTH(O$5)-MONTH($AA34))))&gt;=O$5)*(EDATE($AA34,MAX(0,((YEAR(O$5)-YEAR($AA34))*12+MONTH(O$5)-MONTH($AA34))))&lt;=MIN(O$5+6,$AB34))+(MOD((((YEAR(O$5)-YEAR($AA34))*12+MONTH(O$5)-MONTH($AA34))+1),$Z34)=0)*((((YEAR(O$5)-YEAR($AA34))*12+MONTH(O$5)-MONTH($AA34))+1)&gt;=0)*(EDATE($AA34,MAX(0,(((YEAR(O$5)-YEAR($AA34))*12+MONTH(O$5)-MONTH($AA34))+1)))&gt;=O$5)*(EDATE($AA34,MAX(0,(((YEAR(O$5)-YEAR($AA34))*12+MONTH(O$5)-MONTH($AA34))+1)))&lt;=MIN(O$5+6,$AB34)),($AA34&gt;=O$5)*($AA34&lt;=O$5+6))))</f>
        <v/>
      </c>
      <c r="P34" s="21">
        <f>IF($X34&lt;&gt;1,0,$D34*IF($Y34&gt;0,MAX(0,INT((MIN(P$5+6,$AB34)-$AA34)/$Y34)-MAX(0,-INT(($AA34-P$5)/$Y34))+1),IF($Z34&gt;0,(MOD(((YEAR(P$5)-YEAR($AA34))*12+MONTH(P$5)-MONTH($AA34)),$Z34)=0)*(((YEAR(P$5)-YEAR($AA34))*12+MONTH(P$5)-MONTH($AA34))&gt;=0)*(EDATE($AA34,MAX(0,((YEAR(P$5)-YEAR($AA34))*12+MONTH(P$5)-MONTH($AA34))))&gt;=P$5)*(EDATE($AA34,MAX(0,((YEAR(P$5)-YEAR($AA34))*12+MONTH(P$5)-MONTH($AA34))))&lt;=MIN(P$5+6,$AB34))+(MOD((((YEAR(P$5)-YEAR($AA34))*12+MONTH(P$5)-MONTH($AA34))+1),$Z34)=0)*((((YEAR(P$5)-YEAR($AA34))*12+MONTH(P$5)-MONTH($AA34))+1)&gt;=0)*(EDATE($AA34,MAX(0,(((YEAR(P$5)-YEAR($AA34))*12+MONTH(P$5)-MONTH($AA34))+1)))&gt;=P$5)*(EDATE($AA34,MAX(0,(((YEAR(P$5)-YEAR($AA34))*12+MONTH(P$5)-MONTH($AA34))+1)))&lt;=MIN(P$5+6,$AB34)),($AA34&gt;=P$5)*($AA34&lt;=P$5+6))))</f>
        <v/>
      </c>
      <c r="Q34" s="21">
        <f>IF($X34&lt;&gt;1,0,$D34*IF($Y34&gt;0,MAX(0,INT((MIN(Q$5+6,$AB34)-$AA34)/$Y34)-MAX(0,-INT(($AA34-Q$5)/$Y34))+1),IF($Z34&gt;0,(MOD(((YEAR(Q$5)-YEAR($AA34))*12+MONTH(Q$5)-MONTH($AA34)),$Z34)=0)*(((YEAR(Q$5)-YEAR($AA34))*12+MONTH(Q$5)-MONTH($AA34))&gt;=0)*(EDATE($AA34,MAX(0,((YEAR(Q$5)-YEAR($AA34))*12+MONTH(Q$5)-MONTH($AA34))))&gt;=Q$5)*(EDATE($AA34,MAX(0,((YEAR(Q$5)-YEAR($AA34))*12+MONTH(Q$5)-MONTH($AA34))))&lt;=MIN(Q$5+6,$AB34))+(MOD((((YEAR(Q$5)-YEAR($AA34))*12+MONTH(Q$5)-MONTH($AA34))+1),$Z34)=0)*((((YEAR(Q$5)-YEAR($AA34))*12+MONTH(Q$5)-MONTH($AA34))+1)&gt;=0)*(EDATE($AA34,MAX(0,(((YEAR(Q$5)-YEAR($AA34))*12+MONTH(Q$5)-MONTH($AA34))+1)))&gt;=Q$5)*(EDATE($AA34,MAX(0,(((YEAR(Q$5)-YEAR($AA34))*12+MONTH(Q$5)-MONTH($AA34))+1)))&lt;=MIN(Q$5+6,$AB34)),($AA34&gt;=Q$5)*($AA34&lt;=Q$5+6))))</f>
        <v/>
      </c>
      <c r="R34" s="21">
        <f>IF($X34&lt;&gt;1,0,$D34*IF($Y34&gt;0,MAX(0,INT((MIN(R$5+6,$AB34)-$AA34)/$Y34)-MAX(0,-INT(($AA34-R$5)/$Y34))+1),IF($Z34&gt;0,(MOD(((YEAR(R$5)-YEAR($AA34))*12+MONTH(R$5)-MONTH($AA34)),$Z34)=0)*(((YEAR(R$5)-YEAR($AA34))*12+MONTH(R$5)-MONTH($AA34))&gt;=0)*(EDATE($AA34,MAX(0,((YEAR(R$5)-YEAR($AA34))*12+MONTH(R$5)-MONTH($AA34))))&gt;=R$5)*(EDATE($AA34,MAX(0,((YEAR(R$5)-YEAR($AA34))*12+MONTH(R$5)-MONTH($AA34))))&lt;=MIN(R$5+6,$AB34))+(MOD((((YEAR(R$5)-YEAR($AA34))*12+MONTH(R$5)-MONTH($AA34))+1),$Z34)=0)*((((YEAR(R$5)-YEAR($AA34))*12+MONTH(R$5)-MONTH($AA34))+1)&gt;=0)*(EDATE($AA34,MAX(0,(((YEAR(R$5)-YEAR($AA34))*12+MONTH(R$5)-MONTH($AA34))+1)))&gt;=R$5)*(EDATE($AA34,MAX(0,(((YEAR(R$5)-YEAR($AA34))*12+MONTH(R$5)-MONTH($AA34))+1)))&lt;=MIN(R$5+6,$AB34)),($AA34&gt;=R$5)*($AA34&lt;=R$5+6))))</f>
        <v/>
      </c>
      <c r="S34" s="21">
        <f>IF($X34&lt;&gt;1,0,$D34*IF($Y34&gt;0,MAX(0,INT((MIN(S$5+6,$AB34)-$AA34)/$Y34)-MAX(0,-INT(($AA34-S$5)/$Y34))+1),IF($Z34&gt;0,(MOD(((YEAR(S$5)-YEAR($AA34))*12+MONTH(S$5)-MONTH($AA34)),$Z34)=0)*(((YEAR(S$5)-YEAR($AA34))*12+MONTH(S$5)-MONTH($AA34))&gt;=0)*(EDATE($AA34,MAX(0,((YEAR(S$5)-YEAR($AA34))*12+MONTH(S$5)-MONTH($AA34))))&gt;=S$5)*(EDATE($AA34,MAX(0,((YEAR(S$5)-YEAR($AA34))*12+MONTH(S$5)-MONTH($AA34))))&lt;=MIN(S$5+6,$AB34))+(MOD((((YEAR(S$5)-YEAR($AA34))*12+MONTH(S$5)-MONTH($AA34))+1),$Z34)=0)*((((YEAR(S$5)-YEAR($AA34))*12+MONTH(S$5)-MONTH($AA34))+1)&gt;=0)*(EDATE($AA34,MAX(0,(((YEAR(S$5)-YEAR($AA34))*12+MONTH(S$5)-MONTH($AA34))+1)))&gt;=S$5)*(EDATE($AA34,MAX(0,(((YEAR(S$5)-YEAR($AA34))*12+MONTH(S$5)-MONTH($AA34))+1)))&lt;=MIN(S$5+6,$AB34)),($AA34&gt;=S$5)*($AA34&lt;=S$5+6))))</f>
        <v/>
      </c>
      <c r="T34" s="21">
        <f>IF($X34&lt;&gt;1,0,$D34*IF($Y34&gt;0,MAX(0,INT((MIN(T$5+6,$AB34)-$AA34)/$Y34)-MAX(0,-INT(($AA34-T$5)/$Y34))+1),IF($Z34&gt;0,(MOD(((YEAR(T$5)-YEAR($AA34))*12+MONTH(T$5)-MONTH($AA34)),$Z34)=0)*(((YEAR(T$5)-YEAR($AA34))*12+MONTH(T$5)-MONTH($AA34))&gt;=0)*(EDATE($AA34,MAX(0,((YEAR(T$5)-YEAR($AA34))*12+MONTH(T$5)-MONTH($AA34))))&gt;=T$5)*(EDATE($AA34,MAX(0,((YEAR(T$5)-YEAR($AA34))*12+MONTH(T$5)-MONTH($AA34))))&lt;=MIN(T$5+6,$AB34))+(MOD((((YEAR(T$5)-YEAR($AA34))*12+MONTH(T$5)-MONTH($AA34))+1),$Z34)=0)*((((YEAR(T$5)-YEAR($AA34))*12+MONTH(T$5)-MONTH($AA34))+1)&gt;=0)*(EDATE($AA34,MAX(0,(((YEAR(T$5)-YEAR($AA34))*12+MONTH(T$5)-MONTH($AA34))+1)))&gt;=T$5)*(EDATE($AA34,MAX(0,(((YEAR(T$5)-YEAR($AA34))*12+MONTH(T$5)-MONTH($AA34))+1)))&lt;=MIN(T$5+6,$AB34)),($AA34&gt;=T$5)*($AA34&lt;=T$5+6))))</f>
        <v/>
      </c>
      <c r="U34" s="21">
        <f>IF($X34&lt;&gt;1,0,$D34*IF($Y34&gt;0,MAX(0,INT((MIN(U$5+6,$AB34)-$AA34)/$Y34)-MAX(0,-INT(($AA34-U$5)/$Y34))+1),IF($Z34&gt;0,(MOD(((YEAR(U$5)-YEAR($AA34))*12+MONTH(U$5)-MONTH($AA34)),$Z34)=0)*(((YEAR(U$5)-YEAR($AA34))*12+MONTH(U$5)-MONTH($AA34))&gt;=0)*(EDATE($AA34,MAX(0,((YEAR(U$5)-YEAR($AA34))*12+MONTH(U$5)-MONTH($AA34))))&gt;=U$5)*(EDATE($AA34,MAX(0,((YEAR(U$5)-YEAR($AA34))*12+MONTH(U$5)-MONTH($AA34))))&lt;=MIN(U$5+6,$AB34))+(MOD((((YEAR(U$5)-YEAR($AA34))*12+MONTH(U$5)-MONTH($AA34))+1),$Z34)=0)*((((YEAR(U$5)-YEAR($AA34))*12+MONTH(U$5)-MONTH($AA34))+1)&gt;=0)*(EDATE($AA34,MAX(0,(((YEAR(U$5)-YEAR($AA34))*12+MONTH(U$5)-MONTH($AA34))+1)))&gt;=U$5)*(EDATE($AA34,MAX(0,(((YEAR(U$5)-YEAR($AA34))*12+MONTH(U$5)-MONTH($AA34))+1)))&lt;=MIN(U$5+6,$AB34)),($AA34&gt;=U$5)*($AA34&lt;=U$5+6))))</f>
        <v/>
      </c>
      <c r="V34" s="21">
        <f>IF($X34&lt;&gt;1,0,$D34*IF($Y34&gt;0,MAX(0,INT((MIN(V$5+6,$AB34)-$AA34)/$Y34)-MAX(0,-INT(($AA34-V$5)/$Y34))+1),IF($Z34&gt;0,(MOD(((YEAR(V$5)-YEAR($AA34))*12+MONTH(V$5)-MONTH($AA34)),$Z34)=0)*(((YEAR(V$5)-YEAR($AA34))*12+MONTH(V$5)-MONTH($AA34))&gt;=0)*(EDATE($AA34,MAX(0,((YEAR(V$5)-YEAR($AA34))*12+MONTH(V$5)-MONTH($AA34))))&gt;=V$5)*(EDATE($AA34,MAX(0,((YEAR(V$5)-YEAR($AA34))*12+MONTH(V$5)-MONTH($AA34))))&lt;=MIN(V$5+6,$AB34))+(MOD((((YEAR(V$5)-YEAR($AA34))*12+MONTH(V$5)-MONTH($AA34))+1),$Z34)=0)*((((YEAR(V$5)-YEAR($AA34))*12+MONTH(V$5)-MONTH($AA34))+1)&gt;=0)*(EDATE($AA34,MAX(0,(((YEAR(V$5)-YEAR($AA34))*12+MONTH(V$5)-MONTH($AA34))+1)))&gt;=V$5)*(EDATE($AA34,MAX(0,(((YEAR(V$5)-YEAR($AA34))*12+MONTH(V$5)-MONTH($AA34))+1)))&lt;=MIN(V$5+6,$AB34)),($AA34&gt;=V$5)*($AA34&lt;=V$5+6))))</f>
        <v/>
      </c>
      <c r="W34" s="21">
        <f>IF($X34&lt;&gt;1,0,$D34*IF($Y34&gt;0,MAX(0,INT((MIN(W$5+6,$AB34)-$AA34)/$Y34)-MAX(0,-INT(($AA34-W$5)/$Y34))+1),IF($Z34&gt;0,(MOD(((YEAR(W$5)-YEAR($AA34))*12+MONTH(W$5)-MONTH($AA34)),$Z34)=0)*(((YEAR(W$5)-YEAR($AA34))*12+MONTH(W$5)-MONTH($AA34))&gt;=0)*(EDATE($AA34,MAX(0,((YEAR(W$5)-YEAR($AA34))*12+MONTH(W$5)-MONTH($AA34))))&gt;=W$5)*(EDATE($AA34,MAX(0,((YEAR(W$5)-YEAR($AA34))*12+MONTH(W$5)-MONTH($AA34))))&lt;=MIN(W$5+6,$AB34))+(MOD((((YEAR(W$5)-YEAR($AA34))*12+MONTH(W$5)-MONTH($AA34))+1),$Z34)=0)*((((YEAR(W$5)-YEAR($AA34))*12+MONTH(W$5)-MONTH($AA34))+1)&gt;=0)*(EDATE($AA34,MAX(0,(((YEAR(W$5)-YEAR($AA34))*12+MONTH(W$5)-MONTH($AA34))+1)))&gt;=W$5)*(EDATE($AA34,MAX(0,(((YEAR(W$5)-YEAR($AA34))*12+MONTH(W$5)-MONTH($AA34))+1)))&lt;=MIN(W$5+6,$AB34)),($AA34&gt;=W$5)*($AA34&lt;=W$5+6))))</f>
        <v/>
      </c>
      <c r="X34">
        <f>IF(COUNTA(A34:G34)=0,"",IF(AND(OR(B34="In",B34="Out"),ISNUMBER(D34),D34&gt;0,ISNUMBER(MATCH(E34,FreqName,0)),ISNUMBER(F34),OR(G34="",AND(ISNUMBER(G34),G34&gt;=F34))),1,0))</f>
        <v/>
      </c>
      <c r="Y34">
        <f>IF(X34&lt;&gt;1,0,INDEX(FreqDays,MATCH(E34,FreqName,0)))</f>
        <v/>
      </c>
      <c r="Z34">
        <f>IF(X34&lt;&gt;1,0,INDEX(FreqMonths,MATCH(E34,FreqName,0)))</f>
        <v/>
      </c>
      <c r="AA34">
        <f>IF(X34&lt;&gt;1,0,INT(F34))</f>
        <v/>
      </c>
      <c r="AB34">
        <f>IF(X34&lt;&gt;1,0,IF(ISNUMBER(G34),INT(G34),2958465))</f>
        <v/>
      </c>
    </row>
    <row r="35">
      <c r="A35" s="29" t="n"/>
      <c r="B35" s="29" t="n"/>
      <c r="C35" s="29" t="n"/>
      <c r="D35" s="34" t="n"/>
      <c r="E35" s="29" t="n"/>
      <c r="F35" s="24" t="n"/>
      <c r="G35" s="24" t="n"/>
      <c r="H35" s="10">
        <f>IF(X35="","",IF(X35=0,IF(AND(B35&lt;&gt;"In",B35&lt;&gt;"Out"),"Fix: choose In or Out",IF(OR(NOT(ISNUMBER(D35)),N(D35)&lt;=0),"Fix: amount must be a number above 0",IF(NOT(ISNUMBER(MATCH(E35,FreqName,0))),"Fix: choose a frequency",IF(NOT(ISNUMBER(F35)),"Fix: first date missing","Fix: end date must be a date on or after the first date")))),IF(AND(C35&lt;&gt;"",OR(AND(B35="In",ISNUMBER(MATCH(C35,InCats,0))),AND(B35="Out",ISNUMBER(MATCH(C35,OutCats,0))))),"OK","Category not on Settings (counted as Other)")))</f>
        <v/>
      </c>
      <c r="I35" s="35">
        <f>IF(X35&lt;&gt;1,"",ROUND(J35/D35,0))</f>
        <v/>
      </c>
      <c r="J35" s="36">
        <f>SUM(K35:W35)</f>
        <v/>
      </c>
      <c r="K35" s="21">
        <f>IF($X35&lt;&gt;1,0,$D35*IF($Y35&gt;0,MAX(0,INT((MIN(K$5+6,$AB35)-$AA35)/$Y35)-MAX(0,-INT(($AA35-K$5)/$Y35))+1),IF($Z35&gt;0,(MOD(((YEAR(K$5)-YEAR($AA35))*12+MONTH(K$5)-MONTH($AA35)),$Z35)=0)*(((YEAR(K$5)-YEAR($AA35))*12+MONTH(K$5)-MONTH($AA35))&gt;=0)*(EDATE($AA35,MAX(0,((YEAR(K$5)-YEAR($AA35))*12+MONTH(K$5)-MONTH($AA35))))&gt;=K$5)*(EDATE($AA35,MAX(0,((YEAR(K$5)-YEAR($AA35))*12+MONTH(K$5)-MONTH($AA35))))&lt;=MIN(K$5+6,$AB35))+(MOD((((YEAR(K$5)-YEAR($AA35))*12+MONTH(K$5)-MONTH($AA35))+1),$Z35)=0)*((((YEAR(K$5)-YEAR($AA35))*12+MONTH(K$5)-MONTH($AA35))+1)&gt;=0)*(EDATE($AA35,MAX(0,(((YEAR(K$5)-YEAR($AA35))*12+MONTH(K$5)-MONTH($AA35))+1)))&gt;=K$5)*(EDATE($AA35,MAX(0,(((YEAR(K$5)-YEAR($AA35))*12+MONTH(K$5)-MONTH($AA35))+1)))&lt;=MIN(K$5+6,$AB35)),($AA35&gt;=K$5)*($AA35&lt;=K$5+6))))</f>
        <v/>
      </c>
      <c r="L35" s="21">
        <f>IF($X35&lt;&gt;1,0,$D35*IF($Y35&gt;0,MAX(0,INT((MIN(L$5+6,$AB35)-$AA35)/$Y35)-MAX(0,-INT(($AA35-L$5)/$Y35))+1),IF($Z35&gt;0,(MOD(((YEAR(L$5)-YEAR($AA35))*12+MONTH(L$5)-MONTH($AA35)),$Z35)=0)*(((YEAR(L$5)-YEAR($AA35))*12+MONTH(L$5)-MONTH($AA35))&gt;=0)*(EDATE($AA35,MAX(0,((YEAR(L$5)-YEAR($AA35))*12+MONTH(L$5)-MONTH($AA35))))&gt;=L$5)*(EDATE($AA35,MAX(0,((YEAR(L$5)-YEAR($AA35))*12+MONTH(L$5)-MONTH($AA35))))&lt;=MIN(L$5+6,$AB35))+(MOD((((YEAR(L$5)-YEAR($AA35))*12+MONTH(L$5)-MONTH($AA35))+1),$Z35)=0)*((((YEAR(L$5)-YEAR($AA35))*12+MONTH(L$5)-MONTH($AA35))+1)&gt;=0)*(EDATE($AA35,MAX(0,(((YEAR(L$5)-YEAR($AA35))*12+MONTH(L$5)-MONTH($AA35))+1)))&gt;=L$5)*(EDATE($AA35,MAX(0,(((YEAR(L$5)-YEAR($AA35))*12+MONTH(L$5)-MONTH($AA35))+1)))&lt;=MIN(L$5+6,$AB35)),($AA35&gt;=L$5)*($AA35&lt;=L$5+6))))</f>
        <v/>
      </c>
      <c r="M35" s="21">
        <f>IF($X35&lt;&gt;1,0,$D35*IF($Y35&gt;0,MAX(0,INT((MIN(M$5+6,$AB35)-$AA35)/$Y35)-MAX(0,-INT(($AA35-M$5)/$Y35))+1),IF($Z35&gt;0,(MOD(((YEAR(M$5)-YEAR($AA35))*12+MONTH(M$5)-MONTH($AA35)),$Z35)=0)*(((YEAR(M$5)-YEAR($AA35))*12+MONTH(M$5)-MONTH($AA35))&gt;=0)*(EDATE($AA35,MAX(0,((YEAR(M$5)-YEAR($AA35))*12+MONTH(M$5)-MONTH($AA35))))&gt;=M$5)*(EDATE($AA35,MAX(0,((YEAR(M$5)-YEAR($AA35))*12+MONTH(M$5)-MONTH($AA35))))&lt;=MIN(M$5+6,$AB35))+(MOD((((YEAR(M$5)-YEAR($AA35))*12+MONTH(M$5)-MONTH($AA35))+1),$Z35)=0)*((((YEAR(M$5)-YEAR($AA35))*12+MONTH(M$5)-MONTH($AA35))+1)&gt;=0)*(EDATE($AA35,MAX(0,(((YEAR(M$5)-YEAR($AA35))*12+MONTH(M$5)-MONTH($AA35))+1)))&gt;=M$5)*(EDATE($AA35,MAX(0,(((YEAR(M$5)-YEAR($AA35))*12+MONTH(M$5)-MONTH($AA35))+1)))&lt;=MIN(M$5+6,$AB35)),($AA35&gt;=M$5)*($AA35&lt;=M$5+6))))</f>
        <v/>
      </c>
      <c r="N35" s="21">
        <f>IF($X35&lt;&gt;1,0,$D35*IF($Y35&gt;0,MAX(0,INT((MIN(N$5+6,$AB35)-$AA35)/$Y35)-MAX(0,-INT(($AA35-N$5)/$Y35))+1),IF($Z35&gt;0,(MOD(((YEAR(N$5)-YEAR($AA35))*12+MONTH(N$5)-MONTH($AA35)),$Z35)=0)*(((YEAR(N$5)-YEAR($AA35))*12+MONTH(N$5)-MONTH($AA35))&gt;=0)*(EDATE($AA35,MAX(0,((YEAR(N$5)-YEAR($AA35))*12+MONTH(N$5)-MONTH($AA35))))&gt;=N$5)*(EDATE($AA35,MAX(0,((YEAR(N$5)-YEAR($AA35))*12+MONTH(N$5)-MONTH($AA35))))&lt;=MIN(N$5+6,$AB35))+(MOD((((YEAR(N$5)-YEAR($AA35))*12+MONTH(N$5)-MONTH($AA35))+1),$Z35)=0)*((((YEAR(N$5)-YEAR($AA35))*12+MONTH(N$5)-MONTH($AA35))+1)&gt;=0)*(EDATE($AA35,MAX(0,(((YEAR(N$5)-YEAR($AA35))*12+MONTH(N$5)-MONTH($AA35))+1)))&gt;=N$5)*(EDATE($AA35,MAX(0,(((YEAR(N$5)-YEAR($AA35))*12+MONTH(N$5)-MONTH($AA35))+1)))&lt;=MIN(N$5+6,$AB35)),($AA35&gt;=N$5)*($AA35&lt;=N$5+6))))</f>
        <v/>
      </c>
      <c r="O35" s="21">
        <f>IF($X35&lt;&gt;1,0,$D35*IF($Y35&gt;0,MAX(0,INT((MIN(O$5+6,$AB35)-$AA35)/$Y35)-MAX(0,-INT(($AA35-O$5)/$Y35))+1),IF($Z35&gt;0,(MOD(((YEAR(O$5)-YEAR($AA35))*12+MONTH(O$5)-MONTH($AA35)),$Z35)=0)*(((YEAR(O$5)-YEAR($AA35))*12+MONTH(O$5)-MONTH($AA35))&gt;=0)*(EDATE($AA35,MAX(0,((YEAR(O$5)-YEAR($AA35))*12+MONTH(O$5)-MONTH($AA35))))&gt;=O$5)*(EDATE($AA35,MAX(0,((YEAR(O$5)-YEAR($AA35))*12+MONTH(O$5)-MONTH($AA35))))&lt;=MIN(O$5+6,$AB35))+(MOD((((YEAR(O$5)-YEAR($AA35))*12+MONTH(O$5)-MONTH($AA35))+1),$Z35)=0)*((((YEAR(O$5)-YEAR($AA35))*12+MONTH(O$5)-MONTH($AA35))+1)&gt;=0)*(EDATE($AA35,MAX(0,(((YEAR(O$5)-YEAR($AA35))*12+MONTH(O$5)-MONTH($AA35))+1)))&gt;=O$5)*(EDATE($AA35,MAX(0,(((YEAR(O$5)-YEAR($AA35))*12+MONTH(O$5)-MONTH($AA35))+1)))&lt;=MIN(O$5+6,$AB35)),($AA35&gt;=O$5)*($AA35&lt;=O$5+6))))</f>
        <v/>
      </c>
      <c r="P35" s="21">
        <f>IF($X35&lt;&gt;1,0,$D35*IF($Y35&gt;0,MAX(0,INT((MIN(P$5+6,$AB35)-$AA35)/$Y35)-MAX(0,-INT(($AA35-P$5)/$Y35))+1),IF($Z35&gt;0,(MOD(((YEAR(P$5)-YEAR($AA35))*12+MONTH(P$5)-MONTH($AA35)),$Z35)=0)*(((YEAR(P$5)-YEAR($AA35))*12+MONTH(P$5)-MONTH($AA35))&gt;=0)*(EDATE($AA35,MAX(0,((YEAR(P$5)-YEAR($AA35))*12+MONTH(P$5)-MONTH($AA35))))&gt;=P$5)*(EDATE($AA35,MAX(0,((YEAR(P$5)-YEAR($AA35))*12+MONTH(P$5)-MONTH($AA35))))&lt;=MIN(P$5+6,$AB35))+(MOD((((YEAR(P$5)-YEAR($AA35))*12+MONTH(P$5)-MONTH($AA35))+1),$Z35)=0)*((((YEAR(P$5)-YEAR($AA35))*12+MONTH(P$5)-MONTH($AA35))+1)&gt;=0)*(EDATE($AA35,MAX(0,(((YEAR(P$5)-YEAR($AA35))*12+MONTH(P$5)-MONTH($AA35))+1)))&gt;=P$5)*(EDATE($AA35,MAX(0,(((YEAR(P$5)-YEAR($AA35))*12+MONTH(P$5)-MONTH($AA35))+1)))&lt;=MIN(P$5+6,$AB35)),($AA35&gt;=P$5)*($AA35&lt;=P$5+6))))</f>
        <v/>
      </c>
      <c r="Q35" s="21">
        <f>IF($X35&lt;&gt;1,0,$D35*IF($Y35&gt;0,MAX(0,INT((MIN(Q$5+6,$AB35)-$AA35)/$Y35)-MAX(0,-INT(($AA35-Q$5)/$Y35))+1),IF($Z35&gt;0,(MOD(((YEAR(Q$5)-YEAR($AA35))*12+MONTH(Q$5)-MONTH($AA35)),$Z35)=0)*(((YEAR(Q$5)-YEAR($AA35))*12+MONTH(Q$5)-MONTH($AA35))&gt;=0)*(EDATE($AA35,MAX(0,((YEAR(Q$5)-YEAR($AA35))*12+MONTH(Q$5)-MONTH($AA35))))&gt;=Q$5)*(EDATE($AA35,MAX(0,((YEAR(Q$5)-YEAR($AA35))*12+MONTH(Q$5)-MONTH($AA35))))&lt;=MIN(Q$5+6,$AB35))+(MOD((((YEAR(Q$5)-YEAR($AA35))*12+MONTH(Q$5)-MONTH($AA35))+1),$Z35)=0)*((((YEAR(Q$5)-YEAR($AA35))*12+MONTH(Q$5)-MONTH($AA35))+1)&gt;=0)*(EDATE($AA35,MAX(0,(((YEAR(Q$5)-YEAR($AA35))*12+MONTH(Q$5)-MONTH($AA35))+1)))&gt;=Q$5)*(EDATE($AA35,MAX(0,(((YEAR(Q$5)-YEAR($AA35))*12+MONTH(Q$5)-MONTH($AA35))+1)))&lt;=MIN(Q$5+6,$AB35)),($AA35&gt;=Q$5)*($AA35&lt;=Q$5+6))))</f>
        <v/>
      </c>
      <c r="R35" s="21">
        <f>IF($X35&lt;&gt;1,0,$D35*IF($Y35&gt;0,MAX(0,INT((MIN(R$5+6,$AB35)-$AA35)/$Y35)-MAX(0,-INT(($AA35-R$5)/$Y35))+1),IF($Z35&gt;0,(MOD(((YEAR(R$5)-YEAR($AA35))*12+MONTH(R$5)-MONTH($AA35)),$Z35)=0)*(((YEAR(R$5)-YEAR($AA35))*12+MONTH(R$5)-MONTH($AA35))&gt;=0)*(EDATE($AA35,MAX(0,((YEAR(R$5)-YEAR($AA35))*12+MONTH(R$5)-MONTH($AA35))))&gt;=R$5)*(EDATE($AA35,MAX(0,((YEAR(R$5)-YEAR($AA35))*12+MONTH(R$5)-MONTH($AA35))))&lt;=MIN(R$5+6,$AB35))+(MOD((((YEAR(R$5)-YEAR($AA35))*12+MONTH(R$5)-MONTH($AA35))+1),$Z35)=0)*((((YEAR(R$5)-YEAR($AA35))*12+MONTH(R$5)-MONTH($AA35))+1)&gt;=0)*(EDATE($AA35,MAX(0,(((YEAR(R$5)-YEAR($AA35))*12+MONTH(R$5)-MONTH($AA35))+1)))&gt;=R$5)*(EDATE($AA35,MAX(0,(((YEAR(R$5)-YEAR($AA35))*12+MONTH(R$5)-MONTH($AA35))+1)))&lt;=MIN(R$5+6,$AB35)),($AA35&gt;=R$5)*($AA35&lt;=R$5+6))))</f>
        <v/>
      </c>
      <c r="S35" s="21">
        <f>IF($X35&lt;&gt;1,0,$D35*IF($Y35&gt;0,MAX(0,INT((MIN(S$5+6,$AB35)-$AA35)/$Y35)-MAX(0,-INT(($AA35-S$5)/$Y35))+1),IF($Z35&gt;0,(MOD(((YEAR(S$5)-YEAR($AA35))*12+MONTH(S$5)-MONTH($AA35)),$Z35)=0)*(((YEAR(S$5)-YEAR($AA35))*12+MONTH(S$5)-MONTH($AA35))&gt;=0)*(EDATE($AA35,MAX(0,((YEAR(S$5)-YEAR($AA35))*12+MONTH(S$5)-MONTH($AA35))))&gt;=S$5)*(EDATE($AA35,MAX(0,((YEAR(S$5)-YEAR($AA35))*12+MONTH(S$5)-MONTH($AA35))))&lt;=MIN(S$5+6,$AB35))+(MOD((((YEAR(S$5)-YEAR($AA35))*12+MONTH(S$5)-MONTH($AA35))+1),$Z35)=0)*((((YEAR(S$5)-YEAR($AA35))*12+MONTH(S$5)-MONTH($AA35))+1)&gt;=0)*(EDATE($AA35,MAX(0,(((YEAR(S$5)-YEAR($AA35))*12+MONTH(S$5)-MONTH($AA35))+1)))&gt;=S$5)*(EDATE($AA35,MAX(0,(((YEAR(S$5)-YEAR($AA35))*12+MONTH(S$5)-MONTH($AA35))+1)))&lt;=MIN(S$5+6,$AB35)),($AA35&gt;=S$5)*($AA35&lt;=S$5+6))))</f>
        <v/>
      </c>
      <c r="T35" s="21">
        <f>IF($X35&lt;&gt;1,0,$D35*IF($Y35&gt;0,MAX(0,INT((MIN(T$5+6,$AB35)-$AA35)/$Y35)-MAX(0,-INT(($AA35-T$5)/$Y35))+1),IF($Z35&gt;0,(MOD(((YEAR(T$5)-YEAR($AA35))*12+MONTH(T$5)-MONTH($AA35)),$Z35)=0)*(((YEAR(T$5)-YEAR($AA35))*12+MONTH(T$5)-MONTH($AA35))&gt;=0)*(EDATE($AA35,MAX(0,((YEAR(T$5)-YEAR($AA35))*12+MONTH(T$5)-MONTH($AA35))))&gt;=T$5)*(EDATE($AA35,MAX(0,((YEAR(T$5)-YEAR($AA35))*12+MONTH(T$5)-MONTH($AA35))))&lt;=MIN(T$5+6,$AB35))+(MOD((((YEAR(T$5)-YEAR($AA35))*12+MONTH(T$5)-MONTH($AA35))+1),$Z35)=0)*((((YEAR(T$5)-YEAR($AA35))*12+MONTH(T$5)-MONTH($AA35))+1)&gt;=0)*(EDATE($AA35,MAX(0,(((YEAR(T$5)-YEAR($AA35))*12+MONTH(T$5)-MONTH($AA35))+1)))&gt;=T$5)*(EDATE($AA35,MAX(0,(((YEAR(T$5)-YEAR($AA35))*12+MONTH(T$5)-MONTH($AA35))+1)))&lt;=MIN(T$5+6,$AB35)),($AA35&gt;=T$5)*($AA35&lt;=T$5+6))))</f>
        <v/>
      </c>
      <c r="U35" s="21">
        <f>IF($X35&lt;&gt;1,0,$D35*IF($Y35&gt;0,MAX(0,INT((MIN(U$5+6,$AB35)-$AA35)/$Y35)-MAX(0,-INT(($AA35-U$5)/$Y35))+1),IF($Z35&gt;0,(MOD(((YEAR(U$5)-YEAR($AA35))*12+MONTH(U$5)-MONTH($AA35)),$Z35)=0)*(((YEAR(U$5)-YEAR($AA35))*12+MONTH(U$5)-MONTH($AA35))&gt;=0)*(EDATE($AA35,MAX(0,((YEAR(U$5)-YEAR($AA35))*12+MONTH(U$5)-MONTH($AA35))))&gt;=U$5)*(EDATE($AA35,MAX(0,((YEAR(U$5)-YEAR($AA35))*12+MONTH(U$5)-MONTH($AA35))))&lt;=MIN(U$5+6,$AB35))+(MOD((((YEAR(U$5)-YEAR($AA35))*12+MONTH(U$5)-MONTH($AA35))+1),$Z35)=0)*((((YEAR(U$5)-YEAR($AA35))*12+MONTH(U$5)-MONTH($AA35))+1)&gt;=0)*(EDATE($AA35,MAX(0,(((YEAR(U$5)-YEAR($AA35))*12+MONTH(U$5)-MONTH($AA35))+1)))&gt;=U$5)*(EDATE($AA35,MAX(0,(((YEAR(U$5)-YEAR($AA35))*12+MONTH(U$5)-MONTH($AA35))+1)))&lt;=MIN(U$5+6,$AB35)),($AA35&gt;=U$5)*($AA35&lt;=U$5+6))))</f>
        <v/>
      </c>
      <c r="V35" s="21">
        <f>IF($X35&lt;&gt;1,0,$D35*IF($Y35&gt;0,MAX(0,INT((MIN(V$5+6,$AB35)-$AA35)/$Y35)-MAX(0,-INT(($AA35-V$5)/$Y35))+1),IF($Z35&gt;0,(MOD(((YEAR(V$5)-YEAR($AA35))*12+MONTH(V$5)-MONTH($AA35)),$Z35)=0)*(((YEAR(V$5)-YEAR($AA35))*12+MONTH(V$5)-MONTH($AA35))&gt;=0)*(EDATE($AA35,MAX(0,((YEAR(V$5)-YEAR($AA35))*12+MONTH(V$5)-MONTH($AA35))))&gt;=V$5)*(EDATE($AA35,MAX(0,((YEAR(V$5)-YEAR($AA35))*12+MONTH(V$5)-MONTH($AA35))))&lt;=MIN(V$5+6,$AB35))+(MOD((((YEAR(V$5)-YEAR($AA35))*12+MONTH(V$5)-MONTH($AA35))+1),$Z35)=0)*((((YEAR(V$5)-YEAR($AA35))*12+MONTH(V$5)-MONTH($AA35))+1)&gt;=0)*(EDATE($AA35,MAX(0,(((YEAR(V$5)-YEAR($AA35))*12+MONTH(V$5)-MONTH($AA35))+1)))&gt;=V$5)*(EDATE($AA35,MAX(0,(((YEAR(V$5)-YEAR($AA35))*12+MONTH(V$5)-MONTH($AA35))+1)))&lt;=MIN(V$5+6,$AB35)),($AA35&gt;=V$5)*($AA35&lt;=V$5+6))))</f>
        <v/>
      </c>
      <c r="W35" s="21">
        <f>IF($X35&lt;&gt;1,0,$D35*IF($Y35&gt;0,MAX(0,INT((MIN(W$5+6,$AB35)-$AA35)/$Y35)-MAX(0,-INT(($AA35-W$5)/$Y35))+1),IF($Z35&gt;0,(MOD(((YEAR(W$5)-YEAR($AA35))*12+MONTH(W$5)-MONTH($AA35)),$Z35)=0)*(((YEAR(W$5)-YEAR($AA35))*12+MONTH(W$5)-MONTH($AA35))&gt;=0)*(EDATE($AA35,MAX(0,((YEAR(W$5)-YEAR($AA35))*12+MONTH(W$5)-MONTH($AA35))))&gt;=W$5)*(EDATE($AA35,MAX(0,((YEAR(W$5)-YEAR($AA35))*12+MONTH(W$5)-MONTH($AA35))))&lt;=MIN(W$5+6,$AB35))+(MOD((((YEAR(W$5)-YEAR($AA35))*12+MONTH(W$5)-MONTH($AA35))+1),$Z35)=0)*((((YEAR(W$5)-YEAR($AA35))*12+MONTH(W$5)-MONTH($AA35))+1)&gt;=0)*(EDATE($AA35,MAX(0,(((YEAR(W$5)-YEAR($AA35))*12+MONTH(W$5)-MONTH($AA35))+1)))&gt;=W$5)*(EDATE($AA35,MAX(0,(((YEAR(W$5)-YEAR($AA35))*12+MONTH(W$5)-MONTH($AA35))+1)))&lt;=MIN(W$5+6,$AB35)),($AA35&gt;=W$5)*($AA35&lt;=W$5+6))))</f>
        <v/>
      </c>
      <c r="X35">
        <f>IF(COUNTA(A35:G35)=0,"",IF(AND(OR(B35="In",B35="Out"),ISNUMBER(D35),D35&gt;0,ISNUMBER(MATCH(E35,FreqName,0)),ISNUMBER(F35),OR(G35="",AND(ISNUMBER(G35),G35&gt;=F35))),1,0))</f>
        <v/>
      </c>
      <c r="Y35">
        <f>IF(X35&lt;&gt;1,0,INDEX(FreqDays,MATCH(E35,FreqName,0)))</f>
        <v/>
      </c>
      <c r="Z35">
        <f>IF(X35&lt;&gt;1,0,INDEX(FreqMonths,MATCH(E35,FreqName,0)))</f>
        <v/>
      </c>
      <c r="AA35">
        <f>IF(X35&lt;&gt;1,0,INT(F35))</f>
        <v/>
      </c>
      <c r="AB35">
        <f>IF(X35&lt;&gt;1,0,IF(ISNUMBER(G35),INT(G35),2958465))</f>
        <v/>
      </c>
    </row>
    <row r="36">
      <c r="A36" s="29" t="n"/>
      <c r="B36" s="29" t="n"/>
      <c r="C36" s="29" t="n"/>
      <c r="D36" s="34" t="n"/>
      <c r="E36" s="29" t="n"/>
      <c r="F36" s="24" t="n"/>
      <c r="G36" s="24" t="n"/>
      <c r="H36" s="10">
        <f>IF(X36="","",IF(X36=0,IF(AND(B36&lt;&gt;"In",B36&lt;&gt;"Out"),"Fix: choose In or Out",IF(OR(NOT(ISNUMBER(D36)),N(D36)&lt;=0),"Fix: amount must be a number above 0",IF(NOT(ISNUMBER(MATCH(E36,FreqName,0))),"Fix: choose a frequency",IF(NOT(ISNUMBER(F36)),"Fix: first date missing","Fix: end date must be a date on or after the first date")))),IF(AND(C36&lt;&gt;"",OR(AND(B36="In",ISNUMBER(MATCH(C36,InCats,0))),AND(B36="Out",ISNUMBER(MATCH(C36,OutCats,0))))),"OK","Category not on Settings (counted as Other)")))</f>
        <v/>
      </c>
      <c r="I36" s="35">
        <f>IF(X36&lt;&gt;1,"",ROUND(J36/D36,0))</f>
        <v/>
      </c>
      <c r="J36" s="36">
        <f>SUM(K36:W36)</f>
        <v/>
      </c>
      <c r="K36" s="21">
        <f>IF($X36&lt;&gt;1,0,$D36*IF($Y36&gt;0,MAX(0,INT((MIN(K$5+6,$AB36)-$AA36)/$Y36)-MAX(0,-INT(($AA36-K$5)/$Y36))+1),IF($Z36&gt;0,(MOD(((YEAR(K$5)-YEAR($AA36))*12+MONTH(K$5)-MONTH($AA36)),$Z36)=0)*(((YEAR(K$5)-YEAR($AA36))*12+MONTH(K$5)-MONTH($AA36))&gt;=0)*(EDATE($AA36,MAX(0,((YEAR(K$5)-YEAR($AA36))*12+MONTH(K$5)-MONTH($AA36))))&gt;=K$5)*(EDATE($AA36,MAX(0,((YEAR(K$5)-YEAR($AA36))*12+MONTH(K$5)-MONTH($AA36))))&lt;=MIN(K$5+6,$AB36))+(MOD((((YEAR(K$5)-YEAR($AA36))*12+MONTH(K$5)-MONTH($AA36))+1),$Z36)=0)*((((YEAR(K$5)-YEAR($AA36))*12+MONTH(K$5)-MONTH($AA36))+1)&gt;=0)*(EDATE($AA36,MAX(0,(((YEAR(K$5)-YEAR($AA36))*12+MONTH(K$5)-MONTH($AA36))+1)))&gt;=K$5)*(EDATE($AA36,MAX(0,(((YEAR(K$5)-YEAR($AA36))*12+MONTH(K$5)-MONTH($AA36))+1)))&lt;=MIN(K$5+6,$AB36)),($AA36&gt;=K$5)*($AA36&lt;=K$5+6))))</f>
        <v/>
      </c>
      <c r="L36" s="21">
        <f>IF($X36&lt;&gt;1,0,$D36*IF($Y36&gt;0,MAX(0,INT((MIN(L$5+6,$AB36)-$AA36)/$Y36)-MAX(0,-INT(($AA36-L$5)/$Y36))+1),IF($Z36&gt;0,(MOD(((YEAR(L$5)-YEAR($AA36))*12+MONTH(L$5)-MONTH($AA36)),$Z36)=0)*(((YEAR(L$5)-YEAR($AA36))*12+MONTH(L$5)-MONTH($AA36))&gt;=0)*(EDATE($AA36,MAX(0,((YEAR(L$5)-YEAR($AA36))*12+MONTH(L$5)-MONTH($AA36))))&gt;=L$5)*(EDATE($AA36,MAX(0,((YEAR(L$5)-YEAR($AA36))*12+MONTH(L$5)-MONTH($AA36))))&lt;=MIN(L$5+6,$AB36))+(MOD((((YEAR(L$5)-YEAR($AA36))*12+MONTH(L$5)-MONTH($AA36))+1),$Z36)=0)*((((YEAR(L$5)-YEAR($AA36))*12+MONTH(L$5)-MONTH($AA36))+1)&gt;=0)*(EDATE($AA36,MAX(0,(((YEAR(L$5)-YEAR($AA36))*12+MONTH(L$5)-MONTH($AA36))+1)))&gt;=L$5)*(EDATE($AA36,MAX(0,(((YEAR(L$5)-YEAR($AA36))*12+MONTH(L$5)-MONTH($AA36))+1)))&lt;=MIN(L$5+6,$AB36)),($AA36&gt;=L$5)*($AA36&lt;=L$5+6))))</f>
        <v/>
      </c>
      <c r="M36" s="21">
        <f>IF($X36&lt;&gt;1,0,$D36*IF($Y36&gt;0,MAX(0,INT((MIN(M$5+6,$AB36)-$AA36)/$Y36)-MAX(0,-INT(($AA36-M$5)/$Y36))+1),IF($Z36&gt;0,(MOD(((YEAR(M$5)-YEAR($AA36))*12+MONTH(M$5)-MONTH($AA36)),$Z36)=0)*(((YEAR(M$5)-YEAR($AA36))*12+MONTH(M$5)-MONTH($AA36))&gt;=0)*(EDATE($AA36,MAX(0,((YEAR(M$5)-YEAR($AA36))*12+MONTH(M$5)-MONTH($AA36))))&gt;=M$5)*(EDATE($AA36,MAX(0,((YEAR(M$5)-YEAR($AA36))*12+MONTH(M$5)-MONTH($AA36))))&lt;=MIN(M$5+6,$AB36))+(MOD((((YEAR(M$5)-YEAR($AA36))*12+MONTH(M$5)-MONTH($AA36))+1),$Z36)=0)*((((YEAR(M$5)-YEAR($AA36))*12+MONTH(M$5)-MONTH($AA36))+1)&gt;=0)*(EDATE($AA36,MAX(0,(((YEAR(M$5)-YEAR($AA36))*12+MONTH(M$5)-MONTH($AA36))+1)))&gt;=M$5)*(EDATE($AA36,MAX(0,(((YEAR(M$5)-YEAR($AA36))*12+MONTH(M$5)-MONTH($AA36))+1)))&lt;=MIN(M$5+6,$AB36)),($AA36&gt;=M$5)*($AA36&lt;=M$5+6))))</f>
        <v/>
      </c>
      <c r="N36" s="21">
        <f>IF($X36&lt;&gt;1,0,$D36*IF($Y36&gt;0,MAX(0,INT((MIN(N$5+6,$AB36)-$AA36)/$Y36)-MAX(0,-INT(($AA36-N$5)/$Y36))+1),IF($Z36&gt;0,(MOD(((YEAR(N$5)-YEAR($AA36))*12+MONTH(N$5)-MONTH($AA36)),$Z36)=0)*(((YEAR(N$5)-YEAR($AA36))*12+MONTH(N$5)-MONTH($AA36))&gt;=0)*(EDATE($AA36,MAX(0,((YEAR(N$5)-YEAR($AA36))*12+MONTH(N$5)-MONTH($AA36))))&gt;=N$5)*(EDATE($AA36,MAX(0,((YEAR(N$5)-YEAR($AA36))*12+MONTH(N$5)-MONTH($AA36))))&lt;=MIN(N$5+6,$AB36))+(MOD((((YEAR(N$5)-YEAR($AA36))*12+MONTH(N$5)-MONTH($AA36))+1),$Z36)=0)*((((YEAR(N$5)-YEAR($AA36))*12+MONTH(N$5)-MONTH($AA36))+1)&gt;=0)*(EDATE($AA36,MAX(0,(((YEAR(N$5)-YEAR($AA36))*12+MONTH(N$5)-MONTH($AA36))+1)))&gt;=N$5)*(EDATE($AA36,MAX(0,(((YEAR(N$5)-YEAR($AA36))*12+MONTH(N$5)-MONTH($AA36))+1)))&lt;=MIN(N$5+6,$AB36)),($AA36&gt;=N$5)*($AA36&lt;=N$5+6))))</f>
        <v/>
      </c>
      <c r="O36" s="21">
        <f>IF($X36&lt;&gt;1,0,$D36*IF($Y36&gt;0,MAX(0,INT((MIN(O$5+6,$AB36)-$AA36)/$Y36)-MAX(0,-INT(($AA36-O$5)/$Y36))+1),IF($Z36&gt;0,(MOD(((YEAR(O$5)-YEAR($AA36))*12+MONTH(O$5)-MONTH($AA36)),$Z36)=0)*(((YEAR(O$5)-YEAR($AA36))*12+MONTH(O$5)-MONTH($AA36))&gt;=0)*(EDATE($AA36,MAX(0,((YEAR(O$5)-YEAR($AA36))*12+MONTH(O$5)-MONTH($AA36))))&gt;=O$5)*(EDATE($AA36,MAX(0,((YEAR(O$5)-YEAR($AA36))*12+MONTH(O$5)-MONTH($AA36))))&lt;=MIN(O$5+6,$AB36))+(MOD((((YEAR(O$5)-YEAR($AA36))*12+MONTH(O$5)-MONTH($AA36))+1),$Z36)=0)*((((YEAR(O$5)-YEAR($AA36))*12+MONTH(O$5)-MONTH($AA36))+1)&gt;=0)*(EDATE($AA36,MAX(0,(((YEAR(O$5)-YEAR($AA36))*12+MONTH(O$5)-MONTH($AA36))+1)))&gt;=O$5)*(EDATE($AA36,MAX(0,(((YEAR(O$5)-YEAR($AA36))*12+MONTH(O$5)-MONTH($AA36))+1)))&lt;=MIN(O$5+6,$AB36)),($AA36&gt;=O$5)*($AA36&lt;=O$5+6))))</f>
        <v/>
      </c>
      <c r="P36" s="21">
        <f>IF($X36&lt;&gt;1,0,$D36*IF($Y36&gt;0,MAX(0,INT((MIN(P$5+6,$AB36)-$AA36)/$Y36)-MAX(0,-INT(($AA36-P$5)/$Y36))+1),IF($Z36&gt;0,(MOD(((YEAR(P$5)-YEAR($AA36))*12+MONTH(P$5)-MONTH($AA36)),$Z36)=0)*(((YEAR(P$5)-YEAR($AA36))*12+MONTH(P$5)-MONTH($AA36))&gt;=0)*(EDATE($AA36,MAX(0,((YEAR(P$5)-YEAR($AA36))*12+MONTH(P$5)-MONTH($AA36))))&gt;=P$5)*(EDATE($AA36,MAX(0,((YEAR(P$5)-YEAR($AA36))*12+MONTH(P$5)-MONTH($AA36))))&lt;=MIN(P$5+6,$AB36))+(MOD((((YEAR(P$5)-YEAR($AA36))*12+MONTH(P$5)-MONTH($AA36))+1),$Z36)=0)*((((YEAR(P$5)-YEAR($AA36))*12+MONTH(P$5)-MONTH($AA36))+1)&gt;=0)*(EDATE($AA36,MAX(0,(((YEAR(P$5)-YEAR($AA36))*12+MONTH(P$5)-MONTH($AA36))+1)))&gt;=P$5)*(EDATE($AA36,MAX(0,(((YEAR(P$5)-YEAR($AA36))*12+MONTH(P$5)-MONTH($AA36))+1)))&lt;=MIN(P$5+6,$AB36)),($AA36&gt;=P$5)*($AA36&lt;=P$5+6))))</f>
        <v/>
      </c>
      <c r="Q36" s="21">
        <f>IF($X36&lt;&gt;1,0,$D36*IF($Y36&gt;0,MAX(0,INT((MIN(Q$5+6,$AB36)-$AA36)/$Y36)-MAX(0,-INT(($AA36-Q$5)/$Y36))+1),IF($Z36&gt;0,(MOD(((YEAR(Q$5)-YEAR($AA36))*12+MONTH(Q$5)-MONTH($AA36)),$Z36)=0)*(((YEAR(Q$5)-YEAR($AA36))*12+MONTH(Q$5)-MONTH($AA36))&gt;=0)*(EDATE($AA36,MAX(0,((YEAR(Q$5)-YEAR($AA36))*12+MONTH(Q$5)-MONTH($AA36))))&gt;=Q$5)*(EDATE($AA36,MAX(0,((YEAR(Q$5)-YEAR($AA36))*12+MONTH(Q$5)-MONTH($AA36))))&lt;=MIN(Q$5+6,$AB36))+(MOD((((YEAR(Q$5)-YEAR($AA36))*12+MONTH(Q$5)-MONTH($AA36))+1),$Z36)=0)*((((YEAR(Q$5)-YEAR($AA36))*12+MONTH(Q$5)-MONTH($AA36))+1)&gt;=0)*(EDATE($AA36,MAX(0,(((YEAR(Q$5)-YEAR($AA36))*12+MONTH(Q$5)-MONTH($AA36))+1)))&gt;=Q$5)*(EDATE($AA36,MAX(0,(((YEAR(Q$5)-YEAR($AA36))*12+MONTH(Q$5)-MONTH($AA36))+1)))&lt;=MIN(Q$5+6,$AB36)),($AA36&gt;=Q$5)*($AA36&lt;=Q$5+6))))</f>
        <v/>
      </c>
      <c r="R36" s="21">
        <f>IF($X36&lt;&gt;1,0,$D36*IF($Y36&gt;0,MAX(0,INT((MIN(R$5+6,$AB36)-$AA36)/$Y36)-MAX(0,-INT(($AA36-R$5)/$Y36))+1),IF($Z36&gt;0,(MOD(((YEAR(R$5)-YEAR($AA36))*12+MONTH(R$5)-MONTH($AA36)),$Z36)=0)*(((YEAR(R$5)-YEAR($AA36))*12+MONTH(R$5)-MONTH($AA36))&gt;=0)*(EDATE($AA36,MAX(0,((YEAR(R$5)-YEAR($AA36))*12+MONTH(R$5)-MONTH($AA36))))&gt;=R$5)*(EDATE($AA36,MAX(0,((YEAR(R$5)-YEAR($AA36))*12+MONTH(R$5)-MONTH($AA36))))&lt;=MIN(R$5+6,$AB36))+(MOD((((YEAR(R$5)-YEAR($AA36))*12+MONTH(R$5)-MONTH($AA36))+1),$Z36)=0)*((((YEAR(R$5)-YEAR($AA36))*12+MONTH(R$5)-MONTH($AA36))+1)&gt;=0)*(EDATE($AA36,MAX(0,(((YEAR(R$5)-YEAR($AA36))*12+MONTH(R$5)-MONTH($AA36))+1)))&gt;=R$5)*(EDATE($AA36,MAX(0,(((YEAR(R$5)-YEAR($AA36))*12+MONTH(R$5)-MONTH($AA36))+1)))&lt;=MIN(R$5+6,$AB36)),($AA36&gt;=R$5)*($AA36&lt;=R$5+6))))</f>
        <v/>
      </c>
      <c r="S36" s="21">
        <f>IF($X36&lt;&gt;1,0,$D36*IF($Y36&gt;0,MAX(0,INT((MIN(S$5+6,$AB36)-$AA36)/$Y36)-MAX(0,-INT(($AA36-S$5)/$Y36))+1),IF($Z36&gt;0,(MOD(((YEAR(S$5)-YEAR($AA36))*12+MONTH(S$5)-MONTH($AA36)),$Z36)=0)*(((YEAR(S$5)-YEAR($AA36))*12+MONTH(S$5)-MONTH($AA36))&gt;=0)*(EDATE($AA36,MAX(0,((YEAR(S$5)-YEAR($AA36))*12+MONTH(S$5)-MONTH($AA36))))&gt;=S$5)*(EDATE($AA36,MAX(0,((YEAR(S$5)-YEAR($AA36))*12+MONTH(S$5)-MONTH($AA36))))&lt;=MIN(S$5+6,$AB36))+(MOD((((YEAR(S$5)-YEAR($AA36))*12+MONTH(S$5)-MONTH($AA36))+1),$Z36)=0)*((((YEAR(S$5)-YEAR($AA36))*12+MONTH(S$5)-MONTH($AA36))+1)&gt;=0)*(EDATE($AA36,MAX(0,(((YEAR(S$5)-YEAR($AA36))*12+MONTH(S$5)-MONTH($AA36))+1)))&gt;=S$5)*(EDATE($AA36,MAX(0,(((YEAR(S$5)-YEAR($AA36))*12+MONTH(S$5)-MONTH($AA36))+1)))&lt;=MIN(S$5+6,$AB36)),($AA36&gt;=S$5)*($AA36&lt;=S$5+6))))</f>
        <v/>
      </c>
      <c r="T36" s="21">
        <f>IF($X36&lt;&gt;1,0,$D36*IF($Y36&gt;0,MAX(0,INT((MIN(T$5+6,$AB36)-$AA36)/$Y36)-MAX(0,-INT(($AA36-T$5)/$Y36))+1),IF($Z36&gt;0,(MOD(((YEAR(T$5)-YEAR($AA36))*12+MONTH(T$5)-MONTH($AA36)),$Z36)=0)*(((YEAR(T$5)-YEAR($AA36))*12+MONTH(T$5)-MONTH($AA36))&gt;=0)*(EDATE($AA36,MAX(0,((YEAR(T$5)-YEAR($AA36))*12+MONTH(T$5)-MONTH($AA36))))&gt;=T$5)*(EDATE($AA36,MAX(0,((YEAR(T$5)-YEAR($AA36))*12+MONTH(T$5)-MONTH($AA36))))&lt;=MIN(T$5+6,$AB36))+(MOD((((YEAR(T$5)-YEAR($AA36))*12+MONTH(T$5)-MONTH($AA36))+1),$Z36)=0)*((((YEAR(T$5)-YEAR($AA36))*12+MONTH(T$5)-MONTH($AA36))+1)&gt;=0)*(EDATE($AA36,MAX(0,(((YEAR(T$5)-YEAR($AA36))*12+MONTH(T$5)-MONTH($AA36))+1)))&gt;=T$5)*(EDATE($AA36,MAX(0,(((YEAR(T$5)-YEAR($AA36))*12+MONTH(T$5)-MONTH($AA36))+1)))&lt;=MIN(T$5+6,$AB36)),($AA36&gt;=T$5)*($AA36&lt;=T$5+6))))</f>
        <v/>
      </c>
      <c r="U36" s="21">
        <f>IF($X36&lt;&gt;1,0,$D36*IF($Y36&gt;0,MAX(0,INT((MIN(U$5+6,$AB36)-$AA36)/$Y36)-MAX(0,-INT(($AA36-U$5)/$Y36))+1),IF($Z36&gt;0,(MOD(((YEAR(U$5)-YEAR($AA36))*12+MONTH(U$5)-MONTH($AA36)),$Z36)=0)*(((YEAR(U$5)-YEAR($AA36))*12+MONTH(U$5)-MONTH($AA36))&gt;=0)*(EDATE($AA36,MAX(0,((YEAR(U$5)-YEAR($AA36))*12+MONTH(U$5)-MONTH($AA36))))&gt;=U$5)*(EDATE($AA36,MAX(0,((YEAR(U$5)-YEAR($AA36))*12+MONTH(U$5)-MONTH($AA36))))&lt;=MIN(U$5+6,$AB36))+(MOD((((YEAR(U$5)-YEAR($AA36))*12+MONTH(U$5)-MONTH($AA36))+1),$Z36)=0)*((((YEAR(U$5)-YEAR($AA36))*12+MONTH(U$5)-MONTH($AA36))+1)&gt;=0)*(EDATE($AA36,MAX(0,(((YEAR(U$5)-YEAR($AA36))*12+MONTH(U$5)-MONTH($AA36))+1)))&gt;=U$5)*(EDATE($AA36,MAX(0,(((YEAR(U$5)-YEAR($AA36))*12+MONTH(U$5)-MONTH($AA36))+1)))&lt;=MIN(U$5+6,$AB36)),($AA36&gt;=U$5)*($AA36&lt;=U$5+6))))</f>
        <v/>
      </c>
      <c r="V36" s="21">
        <f>IF($X36&lt;&gt;1,0,$D36*IF($Y36&gt;0,MAX(0,INT((MIN(V$5+6,$AB36)-$AA36)/$Y36)-MAX(0,-INT(($AA36-V$5)/$Y36))+1),IF($Z36&gt;0,(MOD(((YEAR(V$5)-YEAR($AA36))*12+MONTH(V$5)-MONTH($AA36)),$Z36)=0)*(((YEAR(V$5)-YEAR($AA36))*12+MONTH(V$5)-MONTH($AA36))&gt;=0)*(EDATE($AA36,MAX(0,((YEAR(V$5)-YEAR($AA36))*12+MONTH(V$5)-MONTH($AA36))))&gt;=V$5)*(EDATE($AA36,MAX(0,((YEAR(V$5)-YEAR($AA36))*12+MONTH(V$5)-MONTH($AA36))))&lt;=MIN(V$5+6,$AB36))+(MOD((((YEAR(V$5)-YEAR($AA36))*12+MONTH(V$5)-MONTH($AA36))+1),$Z36)=0)*((((YEAR(V$5)-YEAR($AA36))*12+MONTH(V$5)-MONTH($AA36))+1)&gt;=0)*(EDATE($AA36,MAX(0,(((YEAR(V$5)-YEAR($AA36))*12+MONTH(V$5)-MONTH($AA36))+1)))&gt;=V$5)*(EDATE($AA36,MAX(0,(((YEAR(V$5)-YEAR($AA36))*12+MONTH(V$5)-MONTH($AA36))+1)))&lt;=MIN(V$5+6,$AB36)),($AA36&gt;=V$5)*($AA36&lt;=V$5+6))))</f>
        <v/>
      </c>
      <c r="W36" s="21">
        <f>IF($X36&lt;&gt;1,0,$D36*IF($Y36&gt;0,MAX(0,INT((MIN(W$5+6,$AB36)-$AA36)/$Y36)-MAX(0,-INT(($AA36-W$5)/$Y36))+1),IF($Z36&gt;0,(MOD(((YEAR(W$5)-YEAR($AA36))*12+MONTH(W$5)-MONTH($AA36)),$Z36)=0)*(((YEAR(W$5)-YEAR($AA36))*12+MONTH(W$5)-MONTH($AA36))&gt;=0)*(EDATE($AA36,MAX(0,((YEAR(W$5)-YEAR($AA36))*12+MONTH(W$5)-MONTH($AA36))))&gt;=W$5)*(EDATE($AA36,MAX(0,((YEAR(W$5)-YEAR($AA36))*12+MONTH(W$5)-MONTH($AA36))))&lt;=MIN(W$5+6,$AB36))+(MOD((((YEAR(W$5)-YEAR($AA36))*12+MONTH(W$5)-MONTH($AA36))+1),$Z36)=0)*((((YEAR(W$5)-YEAR($AA36))*12+MONTH(W$5)-MONTH($AA36))+1)&gt;=0)*(EDATE($AA36,MAX(0,(((YEAR(W$5)-YEAR($AA36))*12+MONTH(W$5)-MONTH($AA36))+1)))&gt;=W$5)*(EDATE($AA36,MAX(0,(((YEAR(W$5)-YEAR($AA36))*12+MONTH(W$5)-MONTH($AA36))+1)))&lt;=MIN(W$5+6,$AB36)),($AA36&gt;=W$5)*($AA36&lt;=W$5+6))))</f>
        <v/>
      </c>
      <c r="X36">
        <f>IF(COUNTA(A36:G36)=0,"",IF(AND(OR(B36="In",B36="Out"),ISNUMBER(D36),D36&gt;0,ISNUMBER(MATCH(E36,FreqName,0)),ISNUMBER(F36),OR(G36="",AND(ISNUMBER(G36),G36&gt;=F36))),1,0))</f>
        <v/>
      </c>
      <c r="Y36">
        <f>IF(X36&lt;&gt;1,0,INDEX(FreqDays,MATCH(E36,FreqName,0)))</f>
        <v/>
      </c>
      <c r="Z36">
        <f>IF(X36&lt;&gt;1,0,INDEX(FreqMonths,MATCH(E36,FreqName,0)))</f>
        <v/>
      </c>
      <c r="AA36">
        <f>IF(X36&lt;&gt;1,0,INT(F36))</f>
        <v/>
      </c>
      <c r="AB36">
        <f>IF(X36&lt;&gt;1,0,IF(ISNUMBER(G36),INT(G36),2958465))</f>
        <v/>
      </c>
    </row>
    <row r="37">
      <c r="A37" s="29" t="n"/>
      <c r="B37" s="29" t="n"/>
      <c r="C37" s="29" t="n"/>
      <c r="D37" s="34" t="n"/>
      <c r="E37" s="29" t="n"/>
      <c r="F37" s="24" t="n"/>
      <c r="G37" s="24" t="n"/>
      <c r="H37" s="10">
        <f>IF(X37="","",IF(X37=0,IF(AND(B37&lt;&gt;"In",B37&lt;&gt;"Out"),"Fix: choose In or Out",IF(OR(NOT(ISNUMBER(D37)),N(D37)&lt;=0),"Fix: amount must be a number above 0",IF(NOT(ISNUMBER(MATCH(E37,FreqName,0))),"Fix: choose a frequency",IF(NOT(ISNUMBER(F37)),"Fix: first date missing","Fix: end date must be a date on or after the first date")))),IF(AND(C37&lt;&gt;"",OR(AND(B37="In",ISNUMBER(MATCH(C37,InCats,0))),AND(B37="Out",ISNUMBER(MATCH(C37,OutCats,0))))),"OK","Category not on Settings (counted as Other)")))</f>
        <v/>
      </c>
      <c r="I37" s="35">
        <f>IF(X37&lt;&gt;1,"",ROUND(J37/D37,0))</f>
        <v/>
      </c>
      <c r="J37" s="36">
        <f>SUM(K37:W37)</f>
        <v/>
      </c>
      <c r="K37" s="21">
        <f>IF($X37&lt;&gt;1,0,$D37*IF($Y37&gt;0,MAX(0,INT((MIN(K$5+6,$AB37)-$AA37)/$Y37)-MAX(0,-INT(($AA37-K$5)/$Y37))+1),IF($Z37&gt;0,(MOD(((YEAR(K$5)-YEAR($AA37))*12+MONTH(K$5)-MONTH($AA37)),$Z37)=0)*(((YEAR(K$5)-YEAR($AA37))*12+MONTH(K$5)-MONTH($AA37))&gt;=0)*(EDATE($AA37,MAX(0,((YEAR(K$5)-YEAR($AA37))*12+MONTH(K$5)-MONTH($AA37))))&gt;=K$5)*(EDATE($AA37,MAX(0,((YEAR(K$5)-YEAR($AA37))*12+MONTH(K$5)-MONTH($AA37))))&lt;=MIN(K$5+6,$AB37))+(MOD((((YEAR(K$5)-YEAR($AA37))*12+MONTH(K$5)-MONTH($AA37))+1),$Z37)=0)*((((YEAR(K$5)-YEAR($AA37))*12+MONTH(K$5)-MONTH($AA37))+1)&gt;=0)*(EDATE($AA37,MAX(0,(((YEAR(K$5)-YEAR($AA37))*12+MONTH(K$5)-MONTH($AA37))+1)))&gt;=K$5)*(EDATE($AA37,MAX(0,(((YEAR(K$5)-YEAR($AA37))*12+MONTH(K$5)-MONTH($AA37))+1)))&lt;=MIN(K$5+6,$AB37)),($AA37&gt;=K$5)*($AA37&lt;=K$5+6))))</f>
        <v/>
      </c>
      <c r="L37" s="21">
        <f>IF($X37&lt;&gt;1,0,$D37*IF($Y37&gt;0,MAX(0,INT((MIN(L$5+6,$AB37)-$AA37)/$Y37)-MAX(0,-INT(($AA37-L$5)/$Y37))+1),IF($Z37&gt;0,(MOD(((YEAR(L$5)-YEAR($AA37))*12+MONTH(L$5)-MONTH($AA37)),$Z37)=0)*(((YEAR(L$5)-YEAR($AA37))*12+MONTH(L$5)-MONTH($AA37))&gt;=0)*(EDATE($AA37,MAX(0,((YEAR(L$5)-YEAR($AA37))*12+MONTH(L$5)-MONTH($AA37))))&gt;=L$5)*(EDATE($AA37,MAX(0,((YEAR(L$5)-YEAR($AA37))*12+MONTH(L$5)-MONTH($AA37))))&lt;=MIN(L$5+6,$AB37))+(MOD((((YEAR(L$5)-YEAR($AA37))*12+MONTH(L$5)-MONTH($AA37))+1),$Z37)=0)*((((YEAR(L$5)-YEAR($AA37))*12+MONTH(L$5)-MONTH($AA37))+1)&gt;=0)*(EDATE($AA37,MAX(0,(((YEAR(L$5)-YEAR($AA37))*12+MONTH(L$5)-MONTH($AA37))+1)))&gt;=L$5)*(EDATE($AA37,MAX(0,(((YEAR(L$5)-YEAR($AA37))*12+MONTH(L$5)-MONTH($AA37))+1)))&lt;=MIN(L$5+6,$AB37)),($AA37&gt;=L$5)*($AA37&lt;=L$5+6))))</f>
        <v/>
      </c>
      <c r="M37" s="21">
        <f>IF($X37&lt;&gt;1,0,$D37*IF($Y37&gt;0,MAX(0,INT((MIN(M$5+6,$AB37)-$AA37)/$Y37)-MAX(0,-INT(($AA37-M$5)/$Y37))+1),IF($Z37&gt;0,(MOD(((YEAR(M$5)-YEAR($AA37))*12+MONTH(M$5)-MONTH($AA37)),$Z37)=0)*(((YEAR(M$5)-YEAR($AA37))*12+MONTH(M$5)-MONTH($AA37))&gt;=0)*(EDATE($AA37,MAX(0,((YEAR(M$5)-YEAR($AA37))*12+MONTH(M$5)-MONTH($AA37))))&gt;=M$5)*(EDATE($AA37,MAX(0,((YEAR(M$5)-YEAR($AA37))*12+MONTH(M$5)-MONTH($AA37))))&lt;=MIN(M$5+6,$AB37))+(MOD((((YEAR(M$5)-YEAR($AA37))*12+MONTH(M$5)-MONTH($AA37))+1),$Z37)=0)*((((YEAR(M$5)-YEAR($AA37))*12+MONTH(M$5)-MONTH($AA37))+1)&gt;=0)*(EDATE($AA37,MAX(0,(((YEAR(M$5)-YEAR($AA37))*12+MONTH(M$5)-MONTH($AA37))+1)))&gt;=M$5)*(EDATE($AA37,MAX(0,(((YEAR(M$5)-YEAR($AA37))*12+MONTH(M$5)-MONTH($AA37))+1)))&lt;=MIN(M$5+6,$AB37)),($AA37&gt;=M$5)*($AA37&lt;=M$5+6))))</f>
        <v/>
      </c>
      <c r="N37" s="21">
        <f>IF($X37&lt;&gt;1,0,$D37*IF($Y37&gt;0,MAX(0,INT((MIN(N$5+6,$AB37)-$AA37)/$Y37)-MAX(0,-INT(($AA37-N$5)/$Y37))+1),IF($Z37&gt;0,(MOD(((YEAR(N$5)-YEAR($AA37))*12+MONTH(N$5)-MONTH($AA37)),$Z37)=0)*(((YEAR(N$5)-YEAR($AA37))*12+MONTH(N$5)-MONTH($AA37))&gt;=0)*(EDATE($AA37,MAX(0,((YEAR(N$5)-YEAR($AA37))*12+MONTH(N$5)-MONTH($AA37))))&gt;=N$5)*(EDATE($AA37,MAX(0,((YEAR(N$5)-YEAR($AA37))*12+MONTH(N$5)-MONTH($AA37))))&lt;=MIN(N$5+6,$AB37))+(MOD((((YEAR(N$5)-YEAR($AA37))*12+MONTH(N$5)-MONTH($AA37))+1),$Z37)=0)*((((YEAR(N$5)-YEAR($AA37))*12+MONTH(N$5)-MONTH($AA37))+1)&gt;=0)*(EDATE($AA37,MAX(0,(((YEAR(N$5)-YEAR($AA37))*12+MONTH(N$5)-MONTH($AA37))+1)))&gt;=N$5)*(EDATE($AA37,MAX(0,(((YEAR(N$5)-YEAR($AA37))*12+MONTH(N$5)-MONTH($AA37))+1)))&lt;=MIN(N$5+6,$AB37)),($AA37&gt;=N$5)*($AA37&lt;=N$5+6))))</f>
        <v/>
      </c>
      <c r="O37" s="21">
        <f>IF($X37&lt;&gt;1,0,$D37*IF($Y37&gt;0,MAX(0,INT((MIN(O$5+6,$AB37)-$AA37)/$Y37)-MAX(0,-INT(($AA37-O$5)/$Y37))+1),IF($Z37&gt;0,(MOD(((YEAR(O$5)-YEAR($AA37))*12+MONTH(O$5)-MONTH($AA37)),$Z37)=0)*(((YEAR(O$5)-YEAR($AA37))*12+MONTH(O$5)-MONTH($AA37))&gt;=0)*(EDATE($AA37,MAX(0,((YEAR(O$5)-YEAR($AA37))*12+MONTH(O$5)-MONTH($AA37))))&gt;=O$5)*(EDATE($AA37,MAX(0,((YEAR(O$5)-YEAR($AA37))*12+MONTH(O$5)-MONTH($AA37))))&lt;=MIN(O$5+6,$AB37))+(MOD((((YEAR(O$5)-YEAR($AA37))*12+MONTH(O$5)-MONTH($AA37))+1),$Z37)=0)*((((YEAR(O$5)-YEAR($AA37))*12+MONTH(O$5)-MONTH($AA37))+1)&gt;=0)*(EDATE($AA37,MAX(0,(((YEAR(O$5)-YEAR($AA37))*12+MONTH(O$5)-MONTH($AA37))+1)))&gt;=O$5)*(EDATE($AA37,MAX(0,(((YEAR(O$5)-YEAR($AA37))*12+MONTH(O$5)-MONTH($AA37))+1)))&lt;=MIN(O$5+6,$AB37)),($AA37&gt;=O$5)*($AA37&lt;=O$5+6))))</f>
        <v/>
      </c>
      <c r="P37" s="21">
        <f>IF($X37&lt;&gt;1,0,$D37*IF($Y37&gt;0,MAX(0,INT((MIN(P$5+6,$AB37)-$AA37)/$Y37)-MAX(0,-INT(($AA37-P$5)/$Y37))+1),IF($Z37&gt;0,(MOD(((YEAR(P$5)-YEAR($AA37))*12+MONTH(P$5)-MONTH($AA37)),$Z37)=0)*(((YEAR(P$5)-YEAR($AA37))*12+MONTH(P$5)-MONTH($AA37))&gt;=0)*(EDATE($AA37,MAX(0,((YEAR(P$5)-YEAR($AA37))*12+MONTH(P$5)-MONTH($AA37))))&gt;=P$5)*(EDATE($AA37,MAX(0,((YEAR(P$5)-YEAR($AA37))*12+MONTH(P$5)-MONTH($AA37))))&lt;=MIN(P$5+6,$AB37))+(MOD((((YEAR(P$5)-YEAR($AA37))*12+MONTH(P$5)-MONTH($AA37))+1),$Z37)=0)*((((YEAR(P$5)-YEAR($AA37))*12+MONTH(P$5)-MONTH($AA37))+1)&gt;=0)*(EDATE($AA37,MAX(0,(((YEAR(P$5)-YEAR($AA37))*12+MONTH(P$5)-MONTH($AA37))+1)))&gt;=P$5)*(EDATE($AA37,MAX(0,(((YEAR(P$5)-YEAR($AA37))*12+MONTH(P$5)-MONTH($AA37))+1)))&lt;=MIN(P$5+6,$AB37)),($AA37&gt;=P$5)*($AA37&lt;=P$5+6))))</f>
        <v/>
      </c>
      <c r="Q37" s="21">
        <f>IF($X37&lt;&gt;1,0,$D37*IF($Y37&gt;0,MAX(0,INT((MIN(Q$5+6,$AB37)-$AA37)/$Y37)-MAX(0,-INT(($AA37-Q$5)/$Y37))+1),IF($Z37&gt;0,(MOD(((YEAR(Q$5)-YEAR($AA37))*12+MONTH(Q$5)-MONTH($AA37)),$Z37)=0)*(((YEAR(Q$5)-YEAR($AA37))*12+MONTH(Q$5)-MONTH($AA37))&gt;=0)*(EDATE($AA37,MAX(0,((YEAR(Q$5)-YEAR($AA37))*12+MONTH(Q$5)-MONTH($AA37))))&gt;=Q$5)*(EDATE($AA37,MAX(0,((YEAR(Q$5)-YEAR($AA37))*12+MONTH(Q$5)-MONTH($AA37))))&lt;=MIN(Q$5+6,$AB37))+(MOD((((YEAR(Q$5)-YEAR($AA37))*12+MONTH(Q$5)-MONTH($AA37))+1),$Z37)=0)*((((YEAR(Q$5)-YEAR($AA37))*12+MONTH(Q$5)-MONTH($AA37))+1)&gt;=0)*(EDATE($AA37,MAX(0,(((YEAR(Q$5)-YEAR($AA37))*12+MONTH(Q$5)-MONTH($AA37))+1)))&gt;=Q$5)*(EDATE($AA37,MAX(0,(((YEAR(Q$5)-YEAR($AA37))*12+MONTH(Q$5)-MONTH($AA37))+1)))&lt;=MIN(Q$5+6,$AB37)),($AA37&gt;=Q$5)*($AA37&lt;=Q$5+6))))</f>
        <v/>
      </c>
      <c r="R37" s="21">
        <f>IF($X37&lt;&gt;1,0,$D37*IF($Y37&gt;0,MAX(0,INT((MIN(R$5+6,$AB37)-$AA37)/$Y37)-MAX(0,-INT(($AA37-R$5)/$Y37))+1),IF($Z37&gt;0,(MOD(((YEAR(R$5)-YEAR($AA37))*12+MONTH(R$5)-MONTH($AA37)),$Z37)=0)*(((YEAR(R$5)-YEAR($AA37))*12+MONTH(R$5)-MONTH($AA37))&gt;=0)*(EDATE($AA37,MAX(0,((YEAR(R$5)-YEAR($AA37))*12+MONTH(R$5)-MONTH($AA37))))&gt;=R$5)*(EDATE($AA37,MAX(0,((YEAR(R$5)-YEAR($AA37))*12+MONTH(R$5)-MONTH($AA37))))&lt;=MIN(R$5+6,$AB37))+(MOD((((YEAR(R$5)-YEAR($AA37))*12+MONTH(R$5)-MONTH($AA37))+1),$Z37)=0)*((((YEAR(R$5)-YEAR($AA37))*12+MONTH(R$5)-MONTH($AA37))+1)&gt;=0)*(EDATE($AA37,MAX(0,(((YEAR(R$5)-YEAR($AA37))*12+MONTH(R$5)-MONTH($AA37))+1)))&gt;=R$5)*(EDATE($AA37,MAX(0,(((YEAR(R$5)-YEAR($AA37))*12+MONTH(R$5)-MONTH($AA37))+1)))&lt;=MIN(R$5+6,$AB37)),($AA37&gt;=R$5)*($AA37&lt;=R$5+6))))</f>
        <v/>
      </c>
      <c r="S37" s="21">
        <f>IF($X37&lt;&gt;1,0,$D37*IF($Y37&gt;0,MAX(0,INT((MIN(S$5+6,$AB37)-$AA37)/$Y37)-MAX(0,-INT(($AA37-S$5)/$Y37))+1),IF($Z37&gt;0,(MOD(((YEAR(S$5)-YEAR($AA37))*12+MONTH(S$5)-MONTH($AA37)),$Z37)=0)*(((YEAR(S$5)-YEAR($AA37))*12+MONTH(S$5)-MONTH($AA37))&gt;=0)*(EDATE($AA37,MAX(0,((YEAR(S$5)-YEAR($AA37))*12+MONTH(S$5)-MONTH($AA37))))&gt;=S$5)*(EDATE($AA37,MAX(0,((YEAR(S$5)-YEAR($AA37))*12+MONTH(S$5)-MONTH($AA37))))&lt;=MIN(S$5+6,$AB37))+(MOD((((YEAR(S$5)-YEAR($AA37))*12+MONTH(S$5)-MONTH($AA37))+1),$Z37)=0)*((((YEAR(S$5)-YEAR($AA37))*12+MONTH(S$5)-MONTH($AA37))+1)&gt;=0)*(EDATE($AA37,MAX(0,(((YEAR(S$5)-YEAR($AA37))*12+MONTH(S$5)-MONTH($AA37))+1)))&gt;=S$5)*(EDATE($AA37,MAX(0,(((YEAR(S$5)-YEAR($AA37))*12+MONTH(S$5)-MONTH($AA37))+1)))&lt;=MIN(S$5+6,$AB37)),($AA37&gt;=S$5)*($AA37&lt;=S$5+6))))</f>
        <v/>
      </c>
      <c r="T37" s="21">
        <f>IF($X37&lt;&gt;1,0,$D37*IF($Y37&gt;0,MAX(0,INT((MIN(T$5+6,$AB37)-$AA37)/$Y37)-MAX(0,-INT(($AA37-T$5)/$Y37))+1),IF($Z37&gt;0,(MOD(((YEAR(T$5)-YEAR($AA37))*12+MONTH(T$5)-MONTH($AA37)),$Z37)=0)*(((YEAR(T$5)-YEAR($AA37))*12+MONTH(T$5)-MONTH($AA37))&gt;=0)*(EDATE($AA37,MAX(0,((YEAR(T$5)-YEAR($AA37))*12+MONTH(T$5)-MONTH($AA37))))&gt;=T$5)*(EDATE($AA37,MAX(0,((YEAR(T$5)-YEAR($AA37))*12+MONTH(T$5)-MONTH($AA37))))&lt;=MIN(T$5+6,$AB37))+(MOD((((YEAR(T$5)-YEAR($AA37))*12+MONTH(T$5)-MONTH($AA37))+1),$Z37)=0)*((((YEAR(T$5)-YEAR($AA37))*12+MONTH(T$5)-MONTH($AA37))+1)&gt;=0)*(EDATE($AA37,MAX(0,(((YEAR(T$5)-YEAR($AA37))*12+MONTH(T$5)-MONTH($AA37))+1)))&gt;=T$5)*(EDATE($AA37,MAX(0,(((YEAR(T$5)-YEAR($AA37))*12+MONTH(T$5)-MONTH($AA37))+1)))&lt;=MIN(T$5+6,$AB37)),($AA37&gt;=T$5)*($AA37&lt;=T$5+6))))</f>
        <v/>
      </c>
      <c r="U37" s="21">
        <f>IF($X37&lt;&gt;1,0,$D37*IF($Y37&gt;0,MAX(0,INT((MIN(U$5+6,$AB37)-$AA37)/$Y37)-MAX(0,-INT(($AA37-U$5)/$Y37))+1),IF($Z37&gt;0,(MOD(((YEAR(U$5)-YEAR($AA37))*12+MONTH(U$5)-MONTH($AA37)),$Z37)=0)*(((YEAR(U$5)-YEAR($AA37))*12+MONTH(U$5)-MONTH($AA37))&gt;=0)*(EDATE($AA37,MAX(0,((YEAR(U$5)-YEAR($AA37))*12+MONTH(U$5)-MONTH($AA37))))&gt;=U$5)*(EDATE($AA37,MAX(0,((YEAR(U$5)-YEAR($AA37))*12+MONTH(U$5)-MONTH($AA37))))&lt;=MIN(U$5+6,$AB37))+(MOD((((YEAR(U$5)-YEAR($AA37))*12+MONTH(U$5)-MONTH($AA37))+1),$Z37)=0)*((((YEAR(U$5)-YEAR($AA37))*12+MONTH(U$5)-MONTH($AA37))+1)&gt;=0)*(EDATE($AA37,MAX(0,(((YEAR(U$5)-YEAR($AA37))*12+MONTH(U$5)-MONTH($AA37))+1)))&gt;=U$5)*(EDATE($AA37,MAX(0,(((YEAR(U$5)-YEAR($AA37))*12+MONTH(U$5)-MONTH($AA37))+1)))&lt;=MIN(U$5+6,$AB37)),($AA37&gt;=U$5)*($AA37&lt;=U$5+6))))</f>
        <v/>
      </c>
      <c r="V37" s="21">
        <f>IF($X37&lt;&gt;1,0,$D37*IF($Y37&gt;0,MAX(0,INT((MIN(V$5+6,$AB37)-$AA37)/$Y37)-MAX(0,-INT(($AA37-V$5)/$Y37))+1),IF($Z37&gt;0,(MOD(((YEAR(V$5)-YEAR($AA37))*12+MONTH(V$5)-MONTH($AA37)),$Z37)=0)*(((YEAR(V$5)-YEAR($AA37))*12+MONTH(V$5)-MONTH($AA37))&gt;=0)*(EDATE($AA37,MAX(0,((YEAR(V$5)-YEAR($AA37))*12+MONTH(V$5)-MONTH($AA37))))&gt;=V$5)*(EDATE($AA37,MAX(0,((YEAR(V$5)-YEAR($AA37))*12+MONTH(V$5)-MONTH($AA37))))&lt;=MIN(V$5+6,$AB37))+(MOD((((YEAR(V$5)-YEAR($AA37))*12+MONTH(V$5)-MONTH($AA37))+1),$Z37)=0)*((((YEAR(V$5)-YEAR($AA37))*12+MONTH(V$5)-MONTH($AA37))+1)&gt;=0)*(EDATE($AA37,MAX(0,(((YEAR(V$5)-YEAR($AA37))*12+MONTH(V$5)-MONTH($AA37))+1)))&gt;=V$5)*(EDATE($AA37,MAX(0,(((YEAR(V$5)-YEAR($AA37))*12+MONTH(V$5)-MONTH($AA37))+1)))&lt;=MIN(V$5+6,$AB37)),($AA37&gt;=V$5)*($AA37&lt;=V$5+6))))</f>
        <v/>
      </c>
      <c r="W37" s="21">
        <f>IF($X37&lt;&gt;1,0,$D37*IF($Y37&gt;0,MAX(0,INT((MIN(W$5+6,$AB37)-$AA37)/$Y37)-MAX(0,-INT(($AA37-W$5)/$Y37))+1),IF($Z37&gt;0,(MOD(((YEAR(W$5)-YEAR($AA37))*12+MONTH(W$5)-MONTH($AA37)),$Z37)=0)*(((YEAR(W$5)-YEAR($AA37))*12+MONTH(W$5)-MONTH($AA37))&gt;=0)*(EDATE($AA37,MAX(0,((YEAR(W$5)-YEAR($AA37))*12+MONTH(W$5)-MONTH($AA37))))&gt;=W$5)*(EDATE($AA37,MAX(0,((YEAR(W$5)-YEAR($AA37))*12+MONTH(W$5)-MONTH($AA37))))&lt;=MIN(W$5+6,$AB37))+(MOD((((YEAR(W$5)-YEAR($AA37))*12+MONTH(W$5)-MONTH($AA37))+1),$Z37)=0)*((((YEAR(W$5)-YEAR($AA37))*12+MONTH(W$5)-MONTH($AA37))+1)&gt;=0)*(EDATE($AA37,MAX(0,(((YEAR(W$5)-YEAR($AA37))*12+MONTH(W$5)-MONTH($AA37))+1)))&gt;=W$5)*(EDATE($AA37,MAX(0,(((YEAR(W$5)-YEAR($AA37))*12+MONTH(W$5)-MONTH($AA37))+1)))&lt;=MIN(W$5+6,$AB37)),($AA37&gt;=W$5)*($AA37&lt;=W$5+6))))</f>
        <v/>
      </c>
      <c r="X37">
        <f>IF(COUNTA(A37:G37)=0,"",IF(AND(OR(B37="In",B37="Out"),ISNUMBER(D37),D37&gt;0,ISNUMBER(MATCH(E37,FreqName,0)),ISNUMBER(F37),OR(G37="",AND(ISNUMBER(G37),G37&gt;=F37))),1,0))</f>
        <v/>
      </c>
      <c r="Y37">
        <f>IF(X37&lt;&gt;1,0,INDEX(FreqDays,MATCH(E37,FreqName,0)))</f>
        <v/>
      </c>
      <c r="Z37">
        <f>IF(X37&lt;&gt;1,0,INDEX(FreqMonths,MATCH(E37,FreqName,0)))</f>
        <v/>
      </c>
      <c r="AA37">
        <f>IF(X37&lt;&gt;1,0,INT(F37))</f>
        <v/>
      </c>
      <c r="AB37">
        <f>IF(X37&lt;&gt;1,0,IF(ISNUMBER(G37),INT(G37),2958465))</f>
        <v/>
      </c>
    </row>
    <row r="38">
      <c r="A38" s="29" t="n"/>
      <c r="B38" s="29" t="n"/>
      <c r="C38" s="29" t="n"/>
      <c r="D38" s="34" t="n"/>
      <c r="E38" s="29" t="n"/>
      <c r="F38" s="24" t="n"/>
      <c r="G38" s="24" t="n"/>
      <c r="H38" s="10">
        <f>IF(X38="","",IF(X38=0,IF(AND(B38&lt;&gt;"In",B38&lt;&gt;"Out"),"Fix: choose In or Out",IF(OR(NOT(ISNUMBER(D38)),N(D38)&lt;=0),"Fix: amount must be a number above 0",IF(NOT(ISNUMBER(MATCH(E38,FreqName,0))),"Fix: choose a frequency",IF(NOT(ISNUMBER(F38)),"Fix: first date missing","Fix: end date must be a date on or after the first date")))),IF(AND(C38&lt;&gt;"",OR(AND(B38="In",ISNUMBER(MATCH(C38,InCats,0))),AND(B38="Out",ISNUMBER(MATCH(C38,OutCats,0))))),"OK","Category not on Settings (counted as Other)")))</f>
        <v/>
      </c>
      <c r="I38" s="35">
        <f>IF(X38&lt;&gt;1,"",ROUND(J38/D38,0))</f>
        <v/>
      </c>
      <c r="J38" s="36">
        <f>SUM(K38:W38)</f>
        <v/>
      </c>
      <c r="K38" s="21">
        <f>IF($X38&lt;&gt;1,0,$D38*IF($Y38&gt;0,MAX(0,INT((MIN(K$5+6,$AB38)-$AA38)/$Y38)-MAX(0,-INT(($AA38-K$5)/$Y38))+1),IF($Z38&gt;0,(MOD(((YEAR(K$5)-YEAR($AA38))*12+MONTH(K$5)-MONTH($AA38)),$Z38)=0)*(((YEAR(K$5)-YEAR($AA38))*12+MONTH(K$5)-MONTH($AA38))&gt;=0)*(EDATE($AA38,MAX(0,((YEAR(K$5)-YEAR($AA38))*12+MONTH(K$5)-MONTH($AA38))))&gt;=K$5)*(EDATE($AA38,MAX(0,((YEAR(K$5)-YEAR($AA38))*12+MONTH(K$5)-MONTH($AA38))))&lt;=MIN(K$5+6,$AB38))+(MOD((((YEAR(K$5)-YEAR($AA38))*12+MONTH(K$5)-MONTH($AA38))+1),$Z38)=0)*((((YEAR(K$5)-YEAR($AA38))*12+MONTH(K$5)-MONTH($AA38))+1)&gt;=0)*(EDATE($AA38,MAX(0,(((YEAR(K$5)-YEAR($AA38))*12+MONTH(K$5)-MONTH($AA38))+1)))&gt;=K$5)*(EDATE($AA38,MAX(0,(((YEAR(K$5)-YEAR($AA38))*12+MONTH(K$5)-MONTH($AA38))+1)))&lt;=MIN(K$5+6,$AB38)),($AA38&gt;=K$5)*($AA38&lt;=K$5+6))))</f>
        <v/>
      </c>
      <c r="L38" s="21">
        <f>IF($X38&lt;&gt;1,0,$D38*IF($Y38&gt;0,MAX(0,INT((MIN(L$5+6,$AB38)-$AA38)/$Y38)-MAX(0,-INT(($AA38-L$5)/$Y38))+1),IF($Z38&gt;0,(MOD(((YEAR(L$5)-YEAR($AA38))*12+MONTH(L$5)-MONTH($AA38)),$Z38)=0)*(((YEAR(L$5)-YEAR($AA38))*12+MONTH(L$5)-MONTH($AA38))&gt;=0)*(EDATE($AA38,MAX(0,((YEAR(L$5)-YEAR($AA38))*12+MONTH(L$5)-MONTH($AA38))))&gt;=L$5)*(EDATE($AA38,MAX(0,((YEAR(L$5)-YEAR($AA38))*12+MONTH(L$5)-MONTH($AA38))))&lt;=MIN(L$5+6,$AB38))+(MOD((((YEAR(L$5)-YEAR($AA38))*12+MONTH(L$5)-MONTH($AA38))+1),$Z38)=0)*((((YEAR(L$5)-YEAR($AA38))*12+MONTH(L$5)-MONTH($AA38))+1)&gt;=0)*(EDATE($AA38,MAX(0,(((YEAR(L$5)-YEAR($AA38))*12+MONTH(L$5)-MONTH($AA38))+1)))&gt;=L$5)*(EDATE($AA38,MAX(0,(((YEAR(L$5)-YEAR($AA38))*12+MONTH(L$5)-MONTH($AA38))+1)))&lt;=MIN(L$5+6,$AB38)),($AA38&gt;=L$5)*($AA38&lt;=L$5+6))))</f>
        <v/>
      </c>
      <c r="M38" s="21">
        <f>IF($X38&lt;&gt;1,0,$D38*IF($Y38&gt;0,MAX(0,INT((MIN(M$5+6,$AB38)-$AA38)/$Y38)-MAX(0,-INT(($AA38-M$5)/$Y38))+1),IF($Z38&gt;0,(MOD(((YEAR(M$5)-YEAR($AA38))*12+MONTH(M$5)-MONTH($AA38)),$Z38)=0)*(((YEAR(M$5)-YEAR($AA38))*12+MONTH(M$5)-MONTH($AA38))&gt;=0)*(EDATE($AA38,MAX(0,((YEAR(M$5)-YEAR($AA38))*12+MONTH(M$5)-MONTH($AA38))))&gt;=M$5)*(EDATE($AA38,MAX(0,((YEAR(M$5)-YEAR($AA38))*12+MONTH(M$5)-MONTH($AA38))))&lt;=MIN(M$5+6,$AB38))+(MOD((((YEAR(M$5)-YEAR($AA38))*12+MONTH(M$5)-MONTH($AA38))+1),$Z38)=0)*((((YEAR(M$5)-YEAR($AA38))*12+MONTH(M$5)-MONTH($AA38))+1)&gt;=0)*(EDATE($AA38,MAX(0,(((YEAR(M$5)-YEAR($AA38))*12+MONTH(M$5)-MONTH($AA38))+1)))&gt;=M$5)*(EDATE($AA38,MAX(0,(((YEAR(M$5)-YEAR($AA38))*12+MONTH(M$5)-MONTH($AA38))+1)))&lt;=MIN(M$5+6,$AB38)),($AA38&gt;=M$5)*($AA38&lt;=M$5+6))))</f>
        <v/>
      </c>
      <c r="N38" s="21">
        <f>IF($X38&lt;&gt;1,0,$D38*IF($Y38&gt;0,MAX(0,INT((MIN(N$5+6,$AB38)-$AA38)/$Y38)-MAX(0,-INT(($AA38-N$5)/$Y38))+1),IF($Z38&gt;0,(MOD(((YEAR(N$5)-YEAR($AA38))*12+MONTH(N$5)-MONTH($AA38)),$Z38)=0)*(((YEAR(N$5)-YEAR($AA38))*12+MONTH(N$5)-MONTH($AA38))&gt;=0)*(EDATE($AA38,MAX(0,((YEAR(N$5)-YEAR($AA38))*12+MONTH(N$5)-MONTH($AA38))))&gt;=N$5)*(EDATE($AA38,MAX(0,((YEAR(N$5)-YEAR($AA38))*12+MONTH(N$5)-MONTH($AA38))))&lt;=MIN(N$5+6,$AB38))+(MOD((((YEAR(N$5)-YEAR($AA38))*12+MONTH(N$5)-MONTH($AA38))+1),$Z38)=0)*((((YEAR(N$5)-YEAR($AA38))*12+MONTH(N$5)-MONTH($AA38))+1)&gt;=0)*(EDATE($AA38,MAX(0,(((YEAR(N$5)-YEAR($AA38))*12+MONTH(N$5)-MONTH($AA38))+1)))&gt;=N$5)*(EDATE($AA38,MAX(0,(((YEAR(N$5)-YEAR($AA38))*12+MONTH(N$5)-MONTH($AA38))+1)))&lt;=MIN(N$5+6,$AB38)),($AA38&gt;=N$5)*($AA38&lt;=N$5+6))))</f>
        <v/>
      </c>
      <c r="O38" s="21">
        <f>IF($X38&lt;&gt;1,0,$D38*IF($Y38&gt;0,MAX(0,INT((MIN(O$5+6,$AB38)-$AA38)/$Y38)-MAX(0,-INT(($AA38-O$5)/$Y38))+1),IF($Z38&gt;0,(MOD(((YEAR(O$5)-YEAR($AA38))*12+MONTH(O$5)-MONTH($AA38)),$Z38)=0)*(((YEAR(O$5)-YEAR($AA38))*12+MONTH(O$5)-MONTH($AA38))&gt;=0)*(EDATE($AA38,MAX(0,((YEAR(O$5)-YEAR($AA38))*12+MONTH(O$5)-MONTH($AA38))))&gt;=O$5)*(EDATE($AA38,MAX(0,((YEAR(O$5)-YEAR($AA38))*12+MONTH(O$5)-MONTH($AA38))))&lt;=MIN(O$5+6,$AB38))+(MOD((((YEAR(O$5)-YEAR($AA38))*12+MONTH(O$5)-MONTH($AA38))+1),$Z38)=0)*((((YEAR(O$5)-YEAR($AA38))*12+MONTH(O$5)-MONTH($AA38))+1)&gt;=0)*(EDATE($AA38,MAX(0,(((YEAR(O$5)-YEAR($AA38))*12+MONTH(O$5)-MONTH($AA38))+1)))&gt;=O$5)*(EDATE($AA38,MAX(0,(((YEAR(O$5)-YEAR($AA38))*12+MONTH(O$5)-MONTH($AA38))+1)))&lt;=MIN(O$5+6,$AB38)),($AA38&gt;=O$5)*($AA38&lt;=O$5+6))))</f>
        <v/>
      </c>
      <c r="P38" s="21">
        <f>IF($X38&lt;&gt;1,0,$D38*IF($Y38&gt;0,MAX(0,INT((MIN(P$5+6,$AB38)-$AA38)/$Y38)-MAX(0,-INT(($AA38-P$5)/$Y38))+1),IF($Z38&gt;0,(MOD(((YEAR(P$5)-YEAR($AA38))*12+MONTH(P$5)-MONTH($AA38)),$Z38)=0)*(((YEAR(P$5)-YEAR($AA38))*12+MONTH(P$5)-MONTH($AA38))&gt;=0)*(EDATE($AA38,MAX(0,((YEAR(P$5)-YEAR($AA38))*12+MONTH(P$5)-MONTH($AA38))))&gt;=P$5)*(EDATE($AA38,MAX(0,((YEAR(P$5)-YEAR($AA38))*12+MONTH(P$5)-MONTH($AA38))))&lt;=MIN(P$5+6,$AB38))+(MOD((((YEAR(P$5)-YEAR($AA38))*12+MONTH(P$5)-MONTH($AA38))+1),$Z38)=0)*((((YEAR(P$5)-YEAR($AA38))*12+MONTH(P$5)-MONTH($AA38))+1)&gt;=0)*(EDATE($AA38,MAX(0,(((YEAR(P$5)-YEAR($AA38))*12+MONTH(P$5)-MONTH($AA38))+1)))&gt;=P$5)*(EDATE($AA38,MAX(0,(((YEAR(P$5)-YEAR($AA38))*12+MONTH(P$5)-MONTH($AA38))+1)))&lt;=MIN(P$5+6,$AB38)),($AA38&gt;=P$5)*($AA38&lt;=P$5+6))))</f>
        <v/>
      </c>
      <c r="Q38" s="21">
        <f>IF($X38&lt;&gt;1,0,$D38*IF($Y38&gt;0,MAX(0,INT((MIN(Q$5+6,$AB38)-$AA38)/$Y38)-MAX(0,-INT(($AA38-Q$5)/$Y38))+1),IF($Z38&gt;0,(MOD(((YEAR(Q$5)-YEAR($AA38))*12+MONTH(Q$5)-MONTH($AA38)),$Z38)=0)*(((YEAR(Q$5)-YEAR($AA38))*12+MONTH(Q$5)-MONTH($AA38))&gt;=0)*(EDATE($AA38,MAX(0,((YEAR(Q$5)-YEAR($AA38))*12+MONTH(Q$5)-MONTH($AA38))))&gt;=Q$5)*(EDATE($AA38,MAX(0,((YEAR(Q$5)-YEAR($AA38))*12+MONTH(Q$5)-MONTH($AA38))))&lt;=MIN(Q$5+6,$AB38))+(MOD((((YEAR(Q$5)-YEAR($AA38))*12+MONTH(Q$5)-MONTH($AA38))+1),$Z38)=0)*((((YEAR(Q$5)-YEAR($AA38))*12+MONTH(Q$5)-MONTH($AA38))+1)&gt;=0)*(EDATE($AA38,MAX(0,(((YEAR(Q$5)-YEAR($AA38))*12+MONTH(Q$5)-MONTH($AA38))+1)))&gt;=Q$5)*(EDATE($AA38,MAX(0,(((YEAR(Q$5)-YEAR($AA38))*12+MONTH(Q$5)-MONTH($AA38))+1)))&lt;=MIN(Q$5+6,$AB38)),($AA38&gt;=Q$5)*($AA38&lt;=Q$5+6))))</f>
        <v/>
      </c>
      <c r="R38" s="21">
        <f>IF($X38&lt;&gt;1,0,$D38*IF($Y38&gt;0,MAX(0,INT((MIN(R$5+6,$AB38)-$AA38)/$Y38)-MAX(0,-INT(($AA38-R$5)/$Y38))+1),IF($Z38&gt;0,(MOD(((YEAR(R$5)-YEAR($AA38))*12+MONTH(R$5)-MONTH($AA38)),$Z38)=0)*(((YEAR(R$5)-YEAR($AA38))*12+MONTH(R$5)-MONTH($AA38))&gt;=0)*(EDATE($AA38,MAX(0,((YEAR(R$5)-YEAR($AA38))*12+MONTH(R$5)-MONTH($AA38))))&gt;=R$5)*(EDATE($AA38,MAX(0,((YEAR(R$5)-YEAR($AA38))*12+MONTH(R$5)-MONTH($AA38))))&lt;=MIN(R$5+6,$AB38))+(MOD((((YEAR(R$5)-YEAR($AA38))*12+MONTH(R$5)-MONTH($AA38))+1),$Z38)=0)*((((YEAR(R$5)-YEAR($AA38))*12+MONTH(R$5)-MONTH($AA38))+1)&gt;=0)*(EDATE($AA38,MAX(0,(((YEAR(R$5)-YEAR($AA38))*12+MONTH(R$5)-MONTH($AA38))+1)))&gt;=R$5)*(EDATE($AA38,MAX(0,(((YEAR(R$5)-YEAR($AA38))*12+MONTH(R$5)-MONTH($AA38))+1)))&lt;=MIN(R$5+6,$AB38)),($AA38&gt;=R$5)*($AA38&lt;=R$5+6))))</f>
        <v/>
      </c>
      <c r="S38" s="21">
        <f>IF($X38&lt;&gt;1,0,$D38*IF($Y38&gt;0,MAX(0,INT((MIN(S$5+6,$AB38)-$AA38)/$Y38)-MAX(0,-INT(($AA38-S$5)/$Y38))+1),IF($Z38&gt;0,(MOD(((YEAR(S$5)-YEAR($AA38))*12+MONTH(S$5)-MONTH($AA38)),$Z38)=0)*(((YEAR(S$5)-YEAR($AA38))*12+MONTH(S$5)-MONTH($AA38))&gt;=0)*(EDATE($AA38,MAX(0,((YEAR(S$5)-YEAR($AA38))*12+MONTH(S$5)-MONTH($AA38))))&gt;=S$5)*(EDATE($AA38,MAX(0,((YEAR(S$5)-YEAR($AA38))*12+MONTH(S$5)-MONTH($AA38))))&lt;=MIN(S$5+6,$AB38))+(MOD((((YEAR(S$5)-YEAR($AA38))*12+MONTH(S$5)-MONTH($AA38))+1),$Z38)=0)*((((YEAR(S$5)-YEAR($AA38))*12+MONTH(S$5)-MONTH($AA38))+1)&gt;=0)*(EDATE($AA38,MAX(0,(((YEAR(S$5)-YEAR($AA38))*12+MONTH(S$5)-MONTH($AA38))+1)))&gt;=S$5)*(EDATE($AA38,MAX(0,(((YEAR(S$5)-YEAR($AA38))*12+MONTH(S$5)-MONTH($AA38))+1)))&lt;=MIN(S$5+6,$AB38)),($AA38&gt;=S$5)*($AA38&lt;=S$5+6))))</f>
        <v/>
      </c>
      <c r="T38" s="21">
        <f>IF($X38&lt;&gt;1,0,$D38*IF($Y38&gt;0,MAX(0,INT((MIN(T$5+6,$AB38)-$AA38)/$Y38)-MAX(0,-INT(($AA38-T$5)/$Y38))+1),IF($Z38&gt;0,(MOD(((YEAR(T$5)-YEAR($AA38))*12+MONTH(T$5)-MONTH($AA38)),$Z38)=0)*(((YEAR(T$5)-YEAR($AA38))*12+MONTH(T$5)-MONTH($AA38))&gt;=0)*(EDATE($AA38,MAX(0,((YEAR(T$5)-YEAR($AA38))*12+MONTH(T$5)-MONTH($AA38))))&gt;=T$5)*(EDATE($AA38,MAX(0,((YEAR(T$5)-YEAR($AA38))*12+MONTH(T$5)-MONTH($AA38))))&lt;=MIN(T$5+6,$AB38))+(MOD((((YEAR(T$5)-YEAR($AA38))*12+MONTH(T$5)-MONTH($AA38))+1),$Z38)=0)*((((YEAR(T$5)-YEAR($AA38))*12+MONTH(T$5)-MONTH($AA38))+1)&gt;=0)*(EDATE($AA38,MAX(0,(((YEAR(T$5)-YEAR($AA38))*12+MONTH(T$5)-MONTH($AA38))+1)))&gt;=T$5)*(EDATE($AA38,MAX(0,(((YEAR(T$5)-YEAR($AA38))*12+MONTH(T$5)-MONTH($AA38))+1)))&lt;=MIN(T$5+6,$AB38)),($AA38&gt;=T$5)*($AA38&lt;=T$5+6))))</f>
        <v/>
      </c>
      <c r="U38" s="21">
        <f>IF($X38&lt;&gt;1,0,$D38*IF($Y38&gt;0,MAX(0,INT((MIN(U$5+6,$AB38)-$AA38)/$Y38)-MAX(0,-INT(($AA38-U$5)/$Y38))+1),IF($Z38&gt;0,(MOD(((YEAR(U$5)-YEAR($AA38))*12+MONTH(U$5)-MONTH($AA38)),$Z38)=0)*(((YEAR(U$5)-YEAR($AA38))*12+MONTH(U$5)-MONTH($AA38))&gt;=0)*(EDATE($AA38,MAX(0,((YEAR(U$5)-YEAR($AA38))*12+MONTH(U$5)-MONTH($AA38))))&gt;=U$5)*(EDATE($AA38,MAX(0,((YEAR(U$5)-YEAR($AA38))*12+MONTH(U$5)-MONTH($AA38))))&lt;=MIN(U$5+6,$AB38))+(MOD((((YEAR(U$5)-YEAR($AA38))*12+MONTH(U$5)-MONTH($AA38))+1),$Z38)=0)*((((YEAR(U$5)-YEAR($AA38))*12+MONTH(U$5)-MONTH($AA38))+1)&gt;=0)*(EDATE($AA38,MAX(0,(((YEAR(U$5)-YEAR($AA38))*12+MONTH(U$5)-MONTH($AA38))+1)))&gt;=U$5)*(EDATE($AA38,MAX(0,(((YEAR(U$5)-YEAR($AA38))*12+MONTH(U$5)-MONTH($AA38))+1)))&lt;=MIN(U$5+6,$AB38)),($AA38&gt;=U$5)*($AA38&lt;=U$5+6))))</f>
        <v/>
      </c>
      <c r="V38" s="21">
        <f>IF($X38&lt;&gt;1,0,$D38*IF($Y38&gt;0,MAX(0,INT((MIN(V$5+6,$AB38)-$AA38)/$Y38)-MAX(0,-INT(($AA38-V$5)/$Y38))+1),IF($Z38&gt;0,(MOD(((YEAR(V$5)-YEAR($AA38))*12+MONTH(V$5)-MONTH($AA38)),$Z38)=0)*(((YEAR(V$5)-YEAR($AA38))*12+MONTH(V$5)-MONTH($AA38))&gt;=0)*(EDATE($AA38,MAX(0,((YEAR(V$5)-YEAR($AA38))*12+MONTH(V$5)-MONTH($AA38))))&gt;=V$5)*(EDATE($AA38,MAX(0,((YEAR(V$5)-YEAR($AA38))*12+MONTH(V$5)-MONTH($AA38))))&lt;=MIN(V$5+6,$AB38))+(MOD((((YEAR(V$5)-YEAR($AA38))*12+MONTH(V$5)-MONTH($AA38))+1),$Z38)=0)*((((YEAR(V$5)-YEAR($AA38))*12+MONTH(V$5)-MONTH($AA38))+1)&gt;=0)*(EDATE($AA38,MAX(0,(((YEAR(V$5)-YEAR($AA38))*12+MONTH(V$5)-MONTH($AA38))+1)))&gt;=V$5)*(EDATE($AA38,MAX(0,(((YEAR(V$5)-YEAR($AA38))*12+MONTH(V$5)-MONTH($AA38))+1)))&lt;=MIN(V$5+6,$AB38)),($AA38&gt;=V$5)*($AA38&lt;=V$5+6))))</f>
        <v/>
      </c>
      <c r="W38" s="21">
        <f>IF($X38&lt;&gt;1,0,$D38*IF($Y38&gt;0,MAX(0,INT((MIN(W$5+6,$AB38)-$AA38)/$Y38)-MAX(0,-INT(($AA38-W$5)/$Y38))+1),IF($Z38&gt;0,(MOD(((YEAR(W$5)-YEAR($AA38))*12+MONTH(W$5)-MONTH($AA38)),$Z38)=0)*(((YEAR(W$5)-YEAR($AA38))*12+MONTH(W$5)-MONTH($AA38))&gt;=0)*(EDATE($AA38,MAX(0,((YEAR(W$5)-YEAR($AA38))*12+MONTH(W$5)-MONTH($AA38))))&gt;=W$5)*(EDATE($AA38,MAX(0,((YEAR(W$5)-YEAR($AA38))*12+MONTH(W$5)-MONTH($AA38))))&lt;=MIN(W$5+6,$AB38))+(MOD((((YEAR(W$5)-YEAR($AA38))*12+MONTH(W$5)-MONTH($AA38))+1),$Z38)=0)*((((YEAR(W$5)-YEAR($AA38))*12+MONTH(W$5)-MONTH($AA38))+1)&gt;=0)*(EDATE($AA38,MAX(0,(((YEAR(W$5)-YEAR($AA38))*12+MONTH(W$5)-MONTH($AA38))+1)))&gt;=W$5)*(EDATE($AA38,MAX(0,(((YEAR(W$5)-YEAR($AA38))*12+MONTH(W$5)-MONTH($AA38))+1)))&lt;=MIN(W$5+6,$AB38)),($AA38&gt;=W$5)*($AA38&lt;=W$5+6))))</f>
        <v/>
      </c>
      <c r="X38">
        <f>IF(COUNTA(A38:G38)=0,"",IF(AND(OR(B38="In",B38="Out"),ISNUMBER(D38),D38&gt;0,ISNUMBER(MATCH(E38,FreqName,0)),ISNUMBER(F38),OR(G38="",AND(ISNUMBER(G38),G38&gt;=F38))),1,0))</f>
        <v/>
      </c>
      <c r="Y38">
        <f>IF(X38&lt;&gt;1,0,INDEX(FreqDays,MATCH(E38,FreqName,0)))</f>
        <v/>
      </c>
      <c r="Z38">
        <f>IF(X38&lt;&gt;1,0,INDEX(FreqMonths,MATCH(E38,FreqName,0)))</f>
        <v/>
      </c>
      <c r="AA38">
        <f>IF(X38&lt;&gt;1,0,INT(F38))</f>
        <v/>
      </c>
      <c r="AB38">
        <f>IF(X38&lt;&gt;1,0,IF(ISNUMBER(G38),INT(G38),2958465))</f>
        <v/>
      </c>
    </row>
    <row r="39">
      <c r="A39" s="29" t="n"/>
      <c r="B39" s="29" t="n"/>
      <c r="C39" s="29" t="n"/>
      <c r="D39" s="34" t="n"/>
      <c r="E39" s="29" t="n"/>
      <c r="F39" s="24" t="n"/>
      <c r="G39" s="24" t="n"/>
      <c r="H39" s="10">
        <f>IF(X39="","",IF(X39=0,IF(AND(B39&lt;&gt;"In",B39&lt;&gt;"Out"),"Fix: choose In or Out",IF(OR(NOT(ISNUMBER(D39)),N(D39)&lt;=0),"Fix: amount must be a number above 0",IF(NOT(ISNUMBER(MATCH(E39,FreqName,0))),"Fix: choose a frequency",IF(NOT(ISNUMBER(F39)),"Fix: first date missing","Fix: end date must be a date on or after the first date")))),IF(AND(C39&lt;&gt;"",OR(AND(B39="In",ISNUMBER(MATCH(C39,InCats,0))),AND(B39="Out",ISNUMBER(MATCH(C39,OutCats,0))))),"OK","Category not on Settings (counted as Other)")))</f>
        <v/>
      </c>
      <c r="I39" s="35">
        <f>IF(X39&lt;&gt;1,"",ROUND(J39/D39,0))</f>
        <v/>
      </c>
      <c r="J39" s="36">
        <f>SUM(K39:W39)</f>
        <v/>
      </c>
      <c r="K39" s="21">
        <f>IF($X39&lt;&gt;1,0,$D39*IF($Y39&gt;0,MAX(0,INT((MIN(K$5+6,$AB39)-$AA39)/$Y39)-MAX(0,-INT(($AA39-K$5)/$Y39))+1),IF($Z39&gt;0,(MOD(((YEAR(K$5)-YEAR($AA39))*12+MONTH(K$5)-MONTH($AA39)),$Z39)=0)*(((YEAR(K$5)-YEAR($AA39))*12+MONTH(K$5)-MONTH($AA39))&gt;=0)*(EDATE($AA39,MAX(0,((YEAR(K$5)-YEAR($AA39))*12+MONTH(K$5)-MONTH($AA39))))&gt;=K$5)*(EDATE($AA39,MAX(0,((YEAR(K$5)-YEAR($AA39))*12+MONTH(K$5)-MONTH($AA39))))&lt;=MIN(K$5+6,$AB39))+(MOD((((YEAR(K$5)-YEAR($AA39))*12+MONTH(K$5)-MONTH($AA39))+1),$Z39)=0)*((((YEAR(K$5)-YEAR($AA39))*12+MONTH(K$5)-MONTH($AA39))+1)&gt;=0)*(EDATE($AA39,MAX(0,(((YEAR(K$5)-YEAR($AA39))*12+MONTH(K$5)-MONTH($AA39))+1)))&gt;=K$5)*(EDATE($AA39,MAX(0,(((YEAR(K$5)-YEAR($AA39))*12+MONTH(K$5)-MONTH($AA39))+1)))&lt;=MIN(K$5+6,$AB39)),($AA39&gt;=K$5)*($AA39&lt;=K$5+6))))</f>
        <v/>
      </c>
      <c r="L39" s="21">
        <f>IF($X39&lt;&gt;1,0,$D39*IF($Y39&gt;0,MAX(0,INT((MIN(L$5+6,$AB39)-$AA39)/$Y39)-MAX(0,-INT(($AA39-L$5)/$Y39))+1),IF($Z39&gt;0,(MOD(((YEAR(L$5)-YEAR($AA39))*12+MONTH(L$5)-MONTH($AA39)),$Z39)=0)*(((YEAR(L$5)-YEAR($AA39))*12+MONTH(L$5)-MONTH($AA39))&gt;=0)*(EDATE($AA39,MAX(0,((YEAR(L$5)-YEAR($AA39))*12+MONTH(L$5)-MONTH($AA39))))&gt;=L$5)*(EDATE($AA39,MAX(0,((YEAR(L$5)-YEAR($AA39))*12+MONTH(L$5)-MONTH($AA39))))&lt;=MIN(L$5+6,$AB39))+(MOD((((YEAR(L$5)-YEAR($AA39))*12+MONTH(L$5)-MONTH($AA39))+1),$Z39)=0)*((((YEAR(L$5)-YEAR($AA39))*12+MONTH(L$5)-MONTH($AA39))+1)&gt;=0)*(EDATE($AA39,MAX(0,(((YEAR(L$5)-YEAR($AA39))*12+MONTH(L$5)-MONTH($AA39))+1)))&gt;=L$5)*(EDATE($AA39,MAX(0,(((YEAR(L$5)-YEAR($AA39))*12+MONTH(L$5)-MONTH($AA39))+1)))&lt;=MIN(L$5+6,$AB39)),($AA39&gt;=L$5)*($AA39&lt;=L$5+6))))</f>
        <v/>
      </c>
      <c r="M39" s="21">
        <f>IF($X39&lt;&gt;1,0,$D39*IF($Y39&gt;0,MAX(0,INT((MIN(M$5+6,$AB39)-$AA39)/$Y39)-MAX(0,-INT(($AA39-M$5)/$Y39))+1),IF($Z39&gt;0,(MOD(((YEAR(M$5)-YEAR($AA39))*12+MONTH(M$5)-MONTH($AA39)),$Z39)=0)*(((YEAR(M$5)-YEAR($AA39))*12+MONTH(M$5)-MONTH($AA39))&gt;=0)*(EDATE($AA39,MAX(0,((YEAR(M$5)-YEAR($AA39))*12+MONTH(M$5)-MONTH($AA39))))&gt;=M$5)*(EDATE($AA39,MAX(0,((YEAR(M$5)-YEAR($AA39))*12+MONTH(M$5)-MONTH($AA39))))&lt;=MIN(M$5+6,$AB39))+(MOD((((YEAR(M$5)-YEAR($AA39))*12+MONTH(M$5)-MONTH($AA39))+1),$Z39)=0)*((((YEAR(M$5)-YEAR($AA39))*12+MONTH(M$5)-MONTH($AA39))+1)&gt;=0)*(EDATE($AA39,MAX(0,(((YEAR(M$5)-YEAR($AA39))*12+MONTH(M$5)-MONTH($AA39))+1)))&gt;=M$5)*(EDATE($AA39,MAX(0,(((YEAR(M$5)-YEAR($AA39))*12+MONTH(M$5)-MONTH($AA39))+1)))&lt;=MIN(M$5+6,$AB39)),($AA39&gt;=M$5)*($AA39&lt;=M$5+6))))</f>
        <v/>
      </c>
      <c r="N39" s="21">
        <f>IF($X39&lt;&gt;1,0,$D39*IF($Y39&gt;0,MAX(0,INT((MIN(N$5+6,$AB39)-$AA39)/$Y39)-MAX(0,-INT(($AA39-N$5)/$Y39))+1),IF($Z39&gt;0,(MOD(((YEAR(N$5)-YEAR($AA39))*12+MONTH(N$5)-MONTH($AA39)),$Z39)=0)*(((YEAR(N$5)-YEAR($AA39))*12+MONTH(N$5)-MONTH($AA39))&gt;=0)*(EDATE($AA39,MAX(0,((YEAR(N$5)-YEAR($AA39))*12+MONTH(N$5)-MONTH($AA39))))&gt;=N$5)*(EDATE($AA39,MAX(0,((YEAR(N$5)-YEAR($AA39))*12+MONTH(N$5)-MONTH($AA39))))&lt;=MIN(N$5+6,$AB39))+(MOD((((YEAR(N$5)-YEAR($AA39))*12+MONTH(N$5)-MONTH($AA39))+1),$Z39)=0)*((((YEAR(N$5)-YEAR($AA39))*12+MONTH(N$5)-MONTH($AA39))+1)&gt;=0)*(EDATE($AA39,MAX(0,(((YEAR(N$5)-YEAR($AA39))*12+MONTH(N$5)-MONTH($AA39))+1)))&gt;=N$5)*(EDATE($AA39,MAX(0,(((YEAR(N$5)-YEAR($AA39))*12+MONTH(N$5)-MONTH($AA39))+1)))&lt;=MIN(N$5+6,$AB39)),($AA39&gt;=N$5)*($AA39&lt;=N$5+6))))</f>
        <v/>
      </c>
      <c r="O39" s="21">
        <f>IF($X39&lt;&gt;1,0,$D39*IF($Y39&gt;0,MAX(0,INT((MIN(O$5+6,$AB39)-$AA39)/$Y39)-MAX(0,-INT(($AA39-O$5)/$Y39))+1),IF($Z39&gt;0,(MOD(((YEAR(O$5)-YEAR($AA39))*12+MONTH(O$5)-MONTH($AA39)),$Z39)=0)*(((YEAR(O$5)-YEAR($AA39))*12+MONTH(O$5)-MONTH($AA39))&gt;=0)*(EDATE($AA39,MAX(0,((YEAR(O$5)-YEAR($AA39))*12+MONTH(O$5)-MONTH($AA39))))&gt;=O$5)*(EDATE($AA39,MAX(0,((YEAR(O$5)-YEAR($AA39))*12+MONTH(O$5)-MONTH($AA39))))&lt;=MIN(O$5+6,$AB39))+(MOD((((YEAR(O$5)-YEAR($AA39))*12+MONTH(O$5)-MONTH($AA39))+1),$Z39)=0)*((((YEAR(O$5)-YEAR($AA39))*12+MONTH(O$5)-MONTH($AA39))+1)&gt;=0)*(EDATE($AA39,MAX(0,(((YEAR(O$5)-YEAR($AA39))*12+MONTH(O$5)-MONTH($AA39))+1)))&gt;=O$5)*(EDATE($AA39,MAX(0,(((YEAR(O$5)-YEAR($AA39))*12+MONTH(O$5)-MONTH($AA39))+1)))&lt;=MIN(O$5+6,$AB39)),($AA39&gt;=O$5)*($AA39&lt;=O$5+6))))</f>
        <v/>
      </c>
      <c r="P39" s="21">
        <f>IF($X39&lt;&gt;1,0,$D39*IF($Y39&gt;0,MAX(0,INT((MIN(P$5+6,$AB39)-$AA39)/$Y39)-MAX(0,-INT(($AA39-P$5)/$Y39))+1),IF($Z39&gt;0,(MOD(((YEAR(P$5)-YEAR($AA39))*12+MONTH(P$5)-MONTH($AA39)),$Z39)=0)*(((YEAR(P$5)-YEAR($AA39))*12+MONTH(P$5)-MONTH($AA39))&gt;=0)*(EDATE($AA39,MAX(0,((YEAR(P$5)-YEAR($AA39))*12+MONTH(P$5)-MONTH($AA39))))&gt;=P$5)*(EDATE($AA39,MAX(0,((YEAR(P$5)-YEAR($AA39))*12+MONTH(P$5)-MONTH($AA39))))&lt;=MIN(P$5+6,$AB39))+(MOD((((YEAR(P$5)-YEAR($AA39))*12+MONTH(P$5)-MONTH($AA39))+1),$Z39)=0)*((((YEAR(P$5)-YEAR($AA39))*12+MONTH(P$5)-MONTH($AA39))+1)&gt;=0)*(EDATE($AA39,MAX(0,(((YEAR(P$5)-YEAR($AA39))*12+MONTH(P$5)-MONTH($AA39))+1)))&gt;=P$5)*(EDATE($AA39,MAX(0,(((YEAR(P$5)-YEAR($AA39))*12+MONTH(P$5)-MONTH($AA39))+1)))&lt;=MIN(P$5+6,$AB39)),($AA39&gt;=P$5)*($AA39&lt;=P$5+6))))</f>
        <v/>
      </c>
      <c r="Q39" s="21">
        <f>IF($X39&lt;&gt;1,0,$D39*IF($Y39&gt;0,MAX(0,INT((MIN(Q$5+6,$AB39)-$AA39)/$Y39)-MAX(0,-INT(($AA39-Q$5)/$Y39))+1),IF($Z39&gt;0,(MOD(((YEAR(Q$5)-YEAR($AA39))*12+MONTH(Q$5)-MONTH($AA39)),$Z39)=0)*(((YEAR(Q$5)-YEAR($AA39))*12+MONTH(Q$5)-MONTH($AA39))&gt;=0)*(EDATE($AA39,MAX(0,((YEAR(Q$5)-YEAR($AA39))*12+MONTH(Q$5)-MONTH($AA39))))&gt;=Q$5)*(EDATE($AA39,MAX(0,((YEAR(Q$5)-YEAR($AA39))*12+MONTH(Q$5)-MONTH($AA39))))&lt;=MIN(Q$5+6,$AB39))+(MOD((((YEAR(Q$5)-YEAR($AA39))*12+MONTH(Q$5)-MONTH($AA39))+1),$Z39)=0)*((((YEAR(Q$5)-YEAR($AA39))*12+MONTH(Q$5)-MONTH($AA39))+1)&gt;=0)*(EDATE($AA39,MAX(0,(((YEAR(Q$5)-YEAR($AA39))*12+MONTH(Q$5)-MONTH($AA39))+1)))&gt;=Q$5)*(EDATE($AA39,MAX(0,(((YEAR(Q$5)-YEAR($AA39))*12+MONTH(Q$5)-MONTH($AA39))+1)))&lt;=MIN(Q$5+6,$AB39)),($AA39&gt;=Q$5)*($AA39&lt;=Q$5+6))))</f>
        <v/>
      </c>
      <c r="R39" s="21">
        <f>IF($X39&lt;&gt;1,0,$D39*IF($Y39&gt;0,MAX(0,INT((MIN(R$5+6,$AB39)-$AA39)/$Y39)-MAX(0,-INT(($AA39-R$5)/$Y39))+1),IF($Z39&gt;0,(MOD(((YEAR(R$5)-YEAR($AA39))*12+MONTH(R$5)-MONTH($AA39)),$Z39)=0)*(((YEAR(R$5)-YEAR($AA39))*12+MONTH(R$5)-MONTH($AA39))&gt;=0)*(EDATE($AA39,MAX(0,((YEAR(R$5)-YEAR($AA39))*12+MONTH(R$5)-MONTH($AA39))))&gt;=R$5)*(EDATE($AA39,MAX(0,((YEAR(R$5)-YEAR($AA39))*12+MONTH(R$5)-MONTH($AA39))))&lt;=MIN(R$5+6,$AB39))+(MOD((((YEAR(R$5)-YEAR($AA39))*12+MONTH(R$5)-MONTH($AA39))+1),$Z39)=0)*((((YEAR(R$5)-YEAR($AA39))*12+MONTH(R$5)-MONTH($AA39))+1)&gt;=0)*(EDATE($AA39,MAX(0,(((YEAR(R$5)-YEAR($AA39))*12+MONTH(R$5)-MONTH($AA39))+1)))&gt;=R$5)*(EDATE($AA39,MAX(0,(((YEAR(R$5)-YEAR($AA39))*12+MONTH(R$5)-MONTH($AA39))+1)))&lt;=MIN(R$5+6,$AB39)),($AA39&gt;=R$5)*($AA39&lt;=R$5+6))))</f>
        <v/>
      </c>
      <c r="S39" s="21">
        <f>IF($X39&lt;&gt;1,0,$D39*IF($Y39&gt;0,MAX(0,INT((MIN(S$5+6,$AB39)-$AA39)/$Y39)-MAX(0,-INT(($AA39-S$5)/$Y39))+1),IF($Z39&gt;0,(MOD(((YEAR(S$5)-YEAR($AA39))*12+MONTH(S$5)-MONTH($AA39)),$Z39)=0)*(((YEAR(S$5)-YEAR($AA39))*12+MONTH(S$5)-MONTH($AA39))&gt;=0)*(EDATE($AA39,MAX(0,((YEAR(S$5)-YEAR($AA39))*12+MONTH(S$5)-MONTH($AA39))))&gt;=S$5)*(EDATE($AA39,MAX(0,((YEAR(S$5)-YEAR($AA39))*12+MONTH(S$5)-MONTH($AA39))))&lt;=MIN(S$5+6,$AB39))+(MOD((((YEAR(S$5)-YEAR($AA39))*12+MONTH(S$5)-MONTH($AA39))+1),$Z39)=0)*((((YEAR(S$5)-YEAR($AA39))*12+MONTH(S$5)-MONTH($AA39))+1)&gt;=0)*(EDATE($AA39,MAX(0,(((YEAR(S$5)-YEAR($AA39))*12+MONTH(S$5)-MONTH($AA39))+1)))&gt;=S$5)*(EDATE($AA39,MAX(0,(((YEAR(S$5)-YEAR($AA39))*12+MONTH(S$5)-MONTH($AA39))+1)))&lt;=MIN(S$5+6,$AB39)),($AA39&gt;=S$5)*($AA39&lt;=S$5+6))))</f>
        <v/>
      </c>
      <c r="T39" s="21">
        <f>IF($X39&lt;&gt;1,0,$D39*IF($Y39&gt;0,MAX(0,INT((MIN(T$5+6,$AB39)-$AA39)/$Y39)-MAX(0,-INT(($AA39-T$5)/$Y39))+1),IF($Z39&gt;0,(MOD(((YEAR(T$5)-YEAR($AA39))*12+MONTH(T$5)-MONTH($AA39)),$Z39)=0)*(((YEAR(T$5)-YEAR($AA39))*12+MONTH(T$5)-MONTH($AA39))&gt;=0)*(EDATE($AA39,MAX(0,((YEAR(T$5)-YEAR($AA39))*12+MONTH(T$5)-MONTH($AA39))))&gt;=T$5)*(EDATE($AA39,MAX(0,((YEAR(T$5)-YEAR($AA39))*12+MONTH(T$5)-MONTH($AA39))))&lt;=MIN(T$5+6,$AB39))+(MOD((((YEAR(T$5)-YEAR($AA39))*12+MONTH(T$5)-MONTH($AA39))+1),$Z39)=0)*((((YEAR(T$5)-YEAR($AA39))*12+MONTH(T$5)-MONTH($AA39))+1)&gt;=0)*(EDATE($AA39,MAX(0,(((YEAR(T$5)-YEAR($AA39))*12+MONTH(T$5)-MONTH($AA39))+1)))&gt;=T$5)*(EDATE($AA39,MAX(0,(((YEAR(T$5)-YEAR($AA39))*12+MONTH(T$5)-MONTH($AA39))+1)))&lt;=MIN(T$5+6,$AB39)),($AA39&gt;=T$5)*($AA39&lt;=T$5+6))))</f>
        <v/>
      </c>
      <c r="U39" s="21">
        <f>IF($X39&lt;&gt;1,0,$D39*IF($Y39&gt;0,MAX(0,INT((MIN(U$5+6,$AB39)-$AA39)/$Y39)-MAX(0,-INT(($AA39-U$5)/$Y39))+1),IF($Z39&gt;0,(MOD(((YEAR(U$5)-YEAR($AA39))*12+MONTH(U$5)-MONTH($AA39)),$Z39)=0)*(((YEAR(U$5)-YEAR($AA39))*12+MONTH(U$5)-MONTH($AA39))&gt;=0)*(EDATE($AA39,MAX(0,((YEAR(U$5)-YEAR($AA39))*12+MONTH(U$5)-MONTH($AA39))))&gt;=U$5)*(EDATE($AA39,MAX(0,((YEAR(U$5)-YEAR($AA39))*12+MONTH(U$5)-MONTH($AA39))))&lt;=MIN(U$5+6,$AB39))+(MOD((((YEAR(U$5)-YEAR($AA39))*12+MONTH(U$5)-MONTH($AA39))+1),$Z39)=0)*((((YEAR(U$5)-YEAR($AA39))*12+MONTH(U$5)-MONTH($AA39))+1)&gt;=0)*(EDATE($AA39,MAX(0,(((YEAR(U$5)-YEAR($AA39))*12+MONTH(U$5)-MONTH($AA39))+1)))&gt;=U$5)*(EDATE($AA39,MAX(0,(((YEAR(U$5)-YEAR($AA39))*12+MONTH(U$5)-MONTH($AA39))+1)))&lt;=MIN(U$5+6,$AB39)),($AA39&gt;=U$5)*($AA39&lt;=U$5+6))))</f>
        <v/>
      </c>
      <c r="V39" s="21">
        <f>IF($X39&lt;&gt;1,0,$D39*IF($Y39&gt;0,MAX(0,INT((MIN(V$5+6,$AB39)-$AA39)/$Y39)-MAX(0,-INT(($AA39-V$5)/$Y39))+1),IF($Z39&gt;0,(MOD(((YEAR(V$5)-YEAR($AA39))*12+MONTH(V$5)-MONTH($AA39)),$Z39)=0)*(((YEAR(V$5)-YEAR($AA39))*12+MONTH(V$5)-MONTH($AA39))&gt;=0)*(EDATE($AA39,MAX(0,((YEAR(V$5)-YEAR($AA39))*12+MONTH(V$5)-MONTH($AA39))))&gt;=V$5)*(EDATE($AA39,MAX(0,((YEAR(V$5)-YEAR($AA39))*12+MONTH(V$5)-MONTH($AA39))))&lt;=MIN(V$5+6,$AB39))+(MOD((((YEAR(V$5)-YEAR($AA39))*12+MONTH(V$5)-MONTH($AA39))+1),$Z39)=0)*((((YEAR(V$5)-YEAR($AA39))*12+MONTH(V$5)-MONTH($AA39))+1)&gt;=0)*(EDATE($AA39,MAX(0,(((YEAR(V$5)-YEAR($AA39))*12+MONTH(V$5)-MONTH($AA39))+1)))&gt;=V$5)*(EDATE($AA39,MAX(0,(((YEAR(V$5)-YEAR($AA39))*12+MONTH(V$5)-MONTH($AA39))+1)))&lt;=MIN(V$5+6,$AB39)),($AA39&gt;=V$5)*($AA39&lt;=V$5+6))))</f>
        <v/>
      </c>
      <c r="W39" s="21">
        <f>IF($X39&lt;&gt;1,0,$D39*IF($Y39&gt;0,MAX(0,INT((MIN(W$5+6,$AB39)-$AA39)/$Y39)-MAX(0,-INT(($AA39-W$5)/$Y39))+1),IF($Z39&gt;0,(MOD(((YEAR(W$5)-YEAR($AA39))*12+MONTH(W$5)-MONTH($AA39)),$Z39)=0)*(((YEAR(W$5)-YEAR($AA39))*12+MONTH(W$5)-MONTH($AA39))&gt;=0)*(EDATE($AA39,MAX(0,((YEAR(W$5)-YEAR($AA39))*12+MONTH(W$5)-MONTH($AA39))))&gt;=W$5)*(EDATE($AA39,MAX(0,((YEAR(W$5)-YEAR($AA39))*12+MONTH(W$5)-MONTH($AA39))))&lt;=MIN(W$5+6,$AB39))+(MOD((((YEAR(W$5)-YEAR($AA39))*12+MONTH(W$5)-MONTH($AA39))+1),$Z39)=0)*((((YEAR(W$5)-YEAR($AA39))*12+MONTH(W$5)-MONTH($AA39))+1)&gt;=0)*(EDATE($AA39,MAX(0,(((YEAR(W$5)-YEAR($AA39))*12+MONTH(W$5)-MONTH($AA39))+1)))&gt;=W$5)*(EDATE($AA39,MAX(0,(((YEAR(W$5)-YEAR($AA39))*12+MONTH(W$5)-MONTH($AA39))+1)))&lt;=MIN(W$5+6,$AB39)),($AA39&gt;=W$5)*($AA39&lt;=W$5+6))))</f>
        <v/>
      </c>
      <c r="X39">
        <f>IF(COUNTA(A39:G39)=0,"",IF(AND(OR(B39="In",B39="Out"),ISNUMBER(D39),D39&gt;0,ISNUMBER(MATCH(E39,FreqName,0)),ISNUMBER(F39),OR(G39="",AND(ISNUMBER(G39),G39&gt;=F39))),1,0))</f>
        <v/>
      </c>
      <c r="Y39">
        <f>IF(X39&lt;&gt;1,0,INDEX(FreqDays,MATCH(E39,FreqName,0)))</f>
        <v/>
      </c>
      <c r="Z39">
        <f>IF(X39&lt;&gt;1,0,INDEX(FreqMonths,MATCH(E39,FreqName,0)))</f>
        <v/>
      </c>
      <c r="AA39">
        <f>IF(X39&lt;&gt;1,0,INT(F39))</f>
        <v/>
      </c>
      <c r="AB39">
        <f>IF(X39&lt;&gt;1,0,IF(ISNUMBER(G39),INT(G39),2958465))</f>
        <v/>
      </c>
    </row>
    <row r="40">
      <c r="A40" s="29" t="n"/>
      <c r="B40" s="29" t="n"/>
      <c r="C40" s="29" t="n"/>
      <c r="D40" s="34" t="n"/>
      <c r="E40" s="29" t="n"/>
      <c r="F40" s="24" t="n"/>
      <c r="G40" s="24" t="n"/>
      <c r="H40" s="10">
        <f>IF(X40="","",IF(X40=0,IF(AND(B40&lt;&gt;"In",B40&lt;&gt;"Out"),"Fix: choose In or Out",IF(OR(NOT(ISNUMBER(D40)),N(D40)&lt;=0),"Fix: amount must be a number above 0",IF(NOT(ISNUMBER(MATCH(E40,FreqName,0))),"Fix: choose a frequency",IF(NOT(ISNUMBER(F40)),"Fix: first date missing","Fix: end date must be a date on or after the first date")))),IF(AND(C40&lt;&gt;"",OR(AND(B40="In",ISNUMBER(MATCH(C40,InCats,0))),AND(B40="Out",ISNUMBER(MATCH(C40,OutCats,0))))),"OK","Category not on Settings (counted as Other)")))</f>
        <v/>
      </c>
      <c r="I40" s="35">
        <f>IF(X40&lt;&gt;1,"",ROUND(J40/D40,0))</f>
        <v/>
      </c>
      <c r="J40" s="36">
        <f>SUM(K40:W40)</f>
        <v/>
      </c>
      <c r="K40" s="21">
        <f>IF($X40&lt;&gt;1,0,$D40*IF($Y40&gt;0,MAX(0,INT((MIN(K$5+6,$AB40)-$AA40)/$Y40)-MAX(0,-INT(($AA40-K$5)/$Y40))+1),IF($Z40&gt;0,(MOD(((YEAR(K$5)-YEAR($AA40))*12+MONTH(K$5)-MONTH($AA40)),$Z40)=0)*(((YEAR(K$5)-YEAR($AA40))*12+MONTH(K$5)-MONTH($AA40))&gt;=0)*(EDATE($AA40,MAX(0,((YEAR(K$5)-YEAR($AA40))*12+MONTH(K$5)-MONTH($AA40))))&gt;=K$5)*(EDATE($AA40,MAX(0,((YEAR(K$5)-YEAR($AA40))*12+MONTH(K$5)-MONTH($AA40))))&lt;=MIN(K$5+6,$AB40))+(MOD((((YEAR(K$5)-YEAR($AA40))*12+MONTH(K$5)-MONTH($AA40))+1),$Z40)=0)*((((YEAR(K$5)-YEAR($AA40))*12+MONTH(K$5)-MONTH($AA40))+1)&gt;=0)*(EDATE($AA40,MAX(0,(((YEAR(K$5)-YEAR($AA40))*12+MONTH(K$5)-MONTH($AA40))+1)))&gt;=K$5)*(EDATE($AA40,MAX(0,(((YEAR(K$5)-YEAR($AA40))*12+MONTH(K$5)-MONTH($AA40))+1)))&lt;=MIN(K$5+6,$AB40)),($AA40&gt;=K$5)*($AA40&lt;=K$5+6))))</f>
        <v/>
      </c>
      <c r="L40" s="21">
        <f>IF($X40&lt;&gt;1,0,$D40*IF($Y40&gt;0,MAX(0,INT((MIN(L$5+6,$AB40)-$AA40)/$Y40)-MAX(0,-INT(($AA40-L$5)/$Y40))+1),IF($Z40&gt;0,(MOD(((YEAR(L$5)-YEAR($AA40))*12+MONTH(L$5)-MONTH($AA40)),$Z40)=0)*(((YEAR(L$5)-YEAR($AA40))*12+MONTH(L$5)-MONTH($AA40))&gt;=0)*(EDATE($AA40,MAX(0,((YEAR(L$5)-YEAR($AA40))*12+MONTH(L$5)-MONTH($AA40))))&gt;=L$5)*(EDATE($AA40,MAX(0,((YEAR(L$5)-YEAR($AA40))*12+MONTH(L$5)-MONTH($AA40))))&lt;=MIN(L$5+6,$AB40))+(MOD((((YEAR(L$5)-YEAR($AA40))*12+MONTH(L$5)-MONTH($AA40))+1),$Z40)=0)*((((YEAR(L$5)-YEAR($AA40))*12+MONTH(L$5)-MONTH($AA40))+1)&gt;=0)*(EDATE($AA40,MAX(0,(((YEAR(L$5)-YEAR($AA40))*12+MONTH(L$5)-MONTH($AA40))+1)))&gt;=L$5)*(EDATE($AA40,MAX(0,(((YEAR(L$5)-YEAR($AA40))*12+MONTH(L$5)-MONTH($AA40))+1)))&lt;=MIN(L$5+6,$AB40)),($AA40&gt;=L$5)*($AA40&lt;=L$5+6))))</f>
        <v/>
      </c>
      <c r="M40" s="21">
        <f>IF($X40&lt;&gt;1,0,$D40*IF($Y40&gt;0,MAX(0,INT((MIN(M$5+6,$AB40)-$AA40)/$Y40)-MAX(0,-INT(($AA40-M$5)/$Y40))+1),IF($Z40&gt;0,(MOD(((YEAR(M$5)-YEAR($AA40))*12+MONTH(M$5)-MONTH($AA40)),$Z40)=0)*(((YEAR(M$5)-YEAR($AA40))*12+MONTH(M$5)-MONTH($AA40))&gt;=0)*(EDATE($AA40,MAX(0,((YEAR(M$5)-YEAR($AA40))*12+MONTH(M$5)-MONTH($AA40))))&gt;=M$5)*(EDATE($AA40,MAX(0,((YEAR(M$5)-YEAR($AA40))*12+MONTH(M$5)-MONTH($AA40))))&lt;=MIN(M$5+6,$AB40))+(MOD((((YEAR(M$5)-YEAR($AA40))*12+MONTH(M$5)-MONTH($AA40))+1),$Z40)=0)*((((YEAR(M$5)-YEAR($AA40))*12+MONTH(M$5)-MONTH($AA40))+1)&gt;=0)*(EDATE($AA40,MAX(0,(((YEAR(M$5)-YEAR($AA40))*12+MONTH(M$5)-MONTH($AA40))+1)))&gt;=M$5)*(EDATE($AA40,MAX(0,(((YEAR(M$5)-YEAR($AA40))*12+MONTH(M$5)-MONTH($AA40))+1)))&lt;=MIN(M$5+6,$AB40)),($AA40&gt;=M$5)*($AA40&lt;=M$5+6))))</f>
        <v/>
      </c>
      <c r="N40" s="21">
        <f>IF($X40&lt;&gt;1,0,$D40*IF($Y40&gt;0,MAX(0,INT((MIN(N$5+6,$AB40)-$AA40)/$Y40)-MAX(0,-INT(($AA40-N$5)/$Y40))+1),IF($Z40&gt;0,(MOD(((YEAR(N$5)-YEAR($AA40))*12+MONTH(N$5)-MONTH($AA40)),$Z40)=0)*(((YEAR(N$5)-YEAR($AA40))*12+MONTH(N$5)-MONTH($AA40))&gt;=0)*(EDATE($AA40,MAX(0,((YEAR(N$5)-YEAR($AA40))*12+MONTH(N$5)-MONTH($AA40))))&gt;=N$5)*(EDATE($AA40,MAX(0,((YEAR(N$5)-YEAR($AA40))*12+MONTH(N$5)-MONTH($AA40))))&lt;=MIN(N$5+6,$AB40))+(MOD((((YEAR(N$5)-YEAR($AA40))*12+MONTH(N$5)-MONTH($AA40))+1),$Z40)=0)*((((YEAR(N$5)-YEAR($AA40))*12+MONTH(N$5)-MONTH($AA40))+1)&gt;=0)*(EDATE($AA40,MAX(0,(((YEAR(N$5)-YEAR($AA40))*12+MONTH(N$5)-MONTH($AA40))+1)))&gt;=N$5)*(EDATE($AA40,MAX(0,(((YEAR(N$5)-YEAR($AA40))*12+MONTH(N$5)-MONTH($AA40))+1)))&lt;=MIN(N$5+6,$AB40)),($AA40&gt;=N$5)*($AA40&lt;=N$5+6))))</f>
        <v/>
      </c>
      <c r="O40" s="21">
        <f>IF($X40&lt;&gt;1,0,$D40*IF($Y40&gt;0,MAX(0,INT((MIN(O$5+6,$AB40)-$AA40)/$Y40)-MAX(0,-INT(($AA40-O$5)/$Y40))+1),IF($Z40&gt;0,(MOD(((YEAR(O$5)-YEAR($AA40))*12+MONTH(O$5)-MONTH($AA40)),$Z40)=0)*(((YEAR(O$5)-YEAR($AA40))*12+MONTH(O$5)-MONTH($AA40))&gt;=0)*(EDATE($AA40,MAX(0,((YEAR(O$5)-YEAR($AA40))*12+MONTH(O$5)-MONTH($AA40))))&gt;=O$5)*(EDATE($AA40,MAX(0,((YEAR(O$5)-YEAR($AA40))*12+MONTH(O$5)-MONTH($AA40))))&lt;=MIN(O$5+6,$AB40))+(MOD((((YEAR(O$5)-YEAR($AA40))*12+MONTH(O$5)-MONTH($AA40))+1),$Z40)=0)*((((YEAR(O$5)-YEAR($AA40))*12+MONTH(O$5)-MONTH($AA40))+1)&gt;=0)*(EDATE($AA40,MAX(0,(((YEAR(O$5)-YEAR($AA40))*12+MONTH(O$5)-MONTH($AA40))+1)))&gt;=O$5)*(EDATE($AA40,MAX(0,(((YEAR(O$5)-YEAR($AA40))*12+MONTH(O$5)-MONTH($AA40))+1)))&lt;=MIN(O$5+6,$AB40)),($AA40&gt;=O$5)*($AA40&lt;=O$5+6))))</f>
        <v/>
      </c>
      <c r="P40" s="21">
        <f>IF($X40&lt;&gt;1,0,$D40*IF($Y40&gt;0,MAX(0,INT((MIN(P$5+6,$AB40)-$AA40)/$Y40)-MAX(0,-INT(($AA40-P$5)/$Y40))+1),IF($Z40&gt;0,(MOD(((YEAR(P$5)-YEAR($AA40))*12+MONTH(P$5)-MONTH($AA40)),$Z40)=0)*(((YEAR(P$5)-YEAR($AA40))*12+MONTH(P$5)-MONTH($AA40))&gt;=0)*(EDATE($AA40,MAX(0,((YEAR(P$5)-YEAR($AA40))*12+MONTH(P$5)-MONTH($AA40))))&gt;=P$5)*(EDATE($AA40,MAX(0,((YEAR(P$5)-YEAR($AA40))*12+MONTH(P$5)-MONTH($AA40))))&lt;=MIN(P$5+6,$AB40))+(MOD((((YEAR(P$5)-YEAR($AA40))*12+MONTH(P$5)-MONTH($AA40))+1),$Z40)=0)*((((YEAR(P$5)-YEAR($AA40))*12+MONTH(P$5)-MONTH($AA40))+1)&gt;=0)*(EDATE($AA40,MAX(0,(((YEAR(P$5)-YEAR($AA40))*12+MONTH(P$5)-MONTH($AA40))+1)))&gt;=P$5)*(EDATE($AA40,MAX(0,(((YEAR(P$5)-YEAR($AA40))*12+MONTH(P$5)-MONTH($AA40))+1)))&lt;=MIN(P$5+6,$AB40)),($AA40&gt;=P$5)*($AA40&lt;=P$5+6))))</f>
        <v/>
      </c>
      <c r="Q40" s="21">
        <f>IF($X40&lt;&gt;1,0,$D40*IF($Y40&gt;0,MAX(0,INT((MIN(Q$5+6,$AB40)-$AA40)/$Y40)-MAX(0,-INT(($AA40-Q$5)/$Y40))+1),IF($Z40&gt;0,(MOD(((YEAR(Q$5)-YEAR($AA40))*12+MONTH(Q$5)-MONTH($AA40)),$Z40)=0)*(((YEAR(Q$5)-YEAR($AA40))*12+MONTH(Q$5)-MONTH($AA40))&gt;=0)*(EDATE($AA40,MAX(0,((YEAR(Q$5)-YEAR($AA40))*12+MONTH(Q$5)-MONTH($AA40))))&gt;=Q$5)*(EDATE($AA40,MAX(0,((YEAR(Q$5)-YEAR($AA40))*12+MONTH(Q$5)-MONTH($AA40))))&lt;=MIN(Q$5+6,$AB40))+(MOD((((YEAR(Q$5)-YEAR($AA40))*12+MONTH(Q$5)-MONTH($AA40))+1),$Z40)=0)*((((YEAR(Q$5)-YEAR($AA40))*12+MONTH(Q$5)-MONTH($AA40))+1)&gt;=0)*(EDATE($AA40,MAX(0,(((YEAR(Q$5)-YEAR($AA40))*12+MONTH(Q$5)-MONTH($AA40))+1)))&gt;=Q$5)*(EDATE($AA40,MAX(0,(((YEAR(Q$5)-YEAR($AA40))*12+MONTH(Q$5)-MONTH($AA40))+1)))&lt;=MIN(Q$5+6,$AB40)),($AA40&gt;=Q$5)*($AA40&lt;=Q$5+6))))</f>
        <v/>
      </c>
      <c r="R40" s="21">
        <f>IF($X40&lt;&gt;1,0,$D40*IF($Y40&gt;0,MAX(0,INT((MIN(R$5+6,$AB40)-$AA40)/$Y40)-MAX(0,-INT(($AA40-R$5)/$Y40))+1),IF($Z40&gt;0,(MOD(((YEAR(R$5)-YEAR($AA40))*12+MONTH(R$5)-MONTH($AA40)),$Z40)=0)*(((YEAR(R$5)-YEAR($AA40))*12+MONTH(R$5)-MONTH($AA40))&gt;=0)*(EDATE($AA40,MAX(0,((YEAR(R$5)-YEAR($AA40))*12+MONTH(R$5)-MONTH($AA40))))&gt;=R$5)*(EDATE($AA40,MAX(0,((YEAR(R$5)-YEAR($AA40))*12+MONTH(R$5)-MONTH($AA40))))&lt;=MIN(R$5+6,$AB40))+(MOD((((YEAR(R$5)-YEAR($AA40))*12+MONTH(R$5)-MONTH($AA40))+1),$Z40)=0)*((((YEAR(R$5)-YEAR($AA40))*12+MONTH(R$5)-MONTH($AA40))+1)&gt;=0)*(EDATE($AA40,MAX(0,(((YEAR(R$5)-YEAR($AA40))*12+MONTH(R$5)-MONTH($AA40))+1)))&gt;=R$5)*(EDATE($AA40,MAX(0,(((YEAR(R$5)-YEAR($AA40))*12+MONTH(R$5)-MONTH($AA40))+1)))&lt;=MIN(R$5+6,$AB40)),($AA40&gt;=R$5)*($AA40&lt;=R$5+6))))</f>
        <v/>
      </c>
      <c r="S40" s="21">
        <f>IF($X40&lt;&gt;1,0,$D40*IF($Y40&gt;0,MAX(0,INT((MIN(S$5+6,$AB40)-$AA40)/$Y40)-MAX(0,-INT(($AA40-S$5)/$Y40))+1),IF($Z40&gt;0,(MOD(((YEAR(S$5)-YEAR($AA40))*12+MONTH(S$5)-MONTH($AA40)),$Z40)=0)*(((YEAR(S$5)-YEAR($AA40))*12+MONTH(S$5)-MONTH($AA40))&gt;=0)*(EDATE($AA40,MAX(0,((YEAR(S$5)-YEAR($AA40))*12+MONTH(S$5)-MONTH($AA40))))&gt;=S$5)*(EDATE($AA40,MAX(0,((YEAR(S$5)-YEAR($AA40))*12+MONTH(S$5)-MONTH($AA40))))&lt;=MIN(S$5+6,$AB40))+(MOD((((YEAR(S$5)-YEAR($AA40))*12+MONTH(S$5)-MONTH($AA40))+1),$Z40)=0)*((((YEAR(S$5)-YEAR($AA40))*12+MONTH(S$5)-MONTH($AA40))+1)&gt;=0)*(EDATE($AA40,MAX(0,(((YEAR(S$5)-YEAR($AA40))*12+MONTH(S$5)-MONTH($AA40))+1)))&gt;=S$5)*(EDATE($AA40,MAX(0,(((YEAR(S$5)-YEAR($AA40))*12+MONTH(S$5)-MONTH($AA40))+1)))&lt;=MIN(S$5+6,$AB40)),($AA40&gt;=S$5)*($AA40&lt;=S$5+6))))</f>
        <v/>
      </c>
      <c r="T40" s="21">
        <f>IF($X40&lt;&gt;1,0,$D40*IF($Y40&gt;0,MAX(0,INT((MIN(T$5+6,$AB40)-$AA40)/$Y40)-MAX(0,-INT(($AA40-T$5)/$Y40))+1),IF($Z40&gt;0,(MOD(((YEAR(T$5)-YEAR($AA40))*12+MONTH(T$5)-MONTH($AA40)),$Z40)=0)*(((YEAR(T$5)-YEAR($AA40))*12+MONTH(T$5)-MONTH($AA40))&gt;=0)*(EDATE($AA40,MAX(0,((YEAR(T$5)-YEAR($AA40))*12+MONTH(T$5)-MONTH($AA40))))&gt;=T$5)*(EDATE($AA40,MAX(0,((YEAR(T$5)-YEAR($AA40))*12+MONTH(T$5)-MONTH($AA40))))&lt;=MIN(T$5+6,$AB40))+(MOD((((YEAR(T$5)-YEAR($AA40))*12+MONTH(T$5)-MONTH($AA40))+1),$Z40)=0)*((((YEAR(T$5)-YEAR($AA40))*12+MONTH(T$5)-MONTH($AA40))+1)&gt;=0)*(EDATE($AA40,MAX(0,(((YEAR(T$5)-YEAR($AA40))*12+MONTH(T$5)-MONTH($AA40))+1)))&gt;=T$5)*(EDATE($AA40,MAX(0,(((YEAR(T$5)-YEAR($AA40))*12+MONTH(T$5)-MONTH($AA40))+1)))&lt;=MIN(T$5+6,$AB40)),($AA40&gt;=T$5)*($AA40&lt;=T$5+6))))</f>
        <v/>
      </c>
      <c r="U40" s="21">
        <f>IF($X40&lt;&gt;1,0,$D40*IF($Y40&gt;0,MAX(0,INT((MIN(U$5+6,$AB40)-$AA40)/$Y40)-MAX(0,-INT(($AA40-U$5)/$Y40))+1),IF($Z40&gt;0,(MOD(((YEAR(U$5)-YEAR($AA40))*12+MONTH(U$5)-MONTH($AA40)),$Z40)=0)*(((YEAR(U$5)-YEAR($AA40))*12+MONTH(U$5)-MONTH($AA40))&gt;=0)*(EDATE($AA40,MAX(0,((YEAR(U$5)-YEAR($AA40))*12+MONTH(U$5)-MONTH($AA40))))&gt;=U$5)*(EDATE($AA40,MAX(0,((YEAR(U$5)-YEAR($AA40))*12+MONTH(U$5)-MONTH($AA40))))&lt;=MIN(U$5+6,$AB40))+(MOD((((YEAR(U$5)-YEAR($AA40))*12+MONTH(U$5)-MONTH($AA40))+1),$Z40)=0)*((((YEAR(U$5)-YEAR($AA40))*12+MONTH(U$5)-MONTH($AA40))+1)&gt;=0)*(EDATE($AA40,MAX(0,(((YEAR(U$5)-YEAR($AA40))*12+MONTH(U$5)-MONTH($AA40))+1)))&gt;=U$5)*(EDATE($AA40,MAX(0,(((YEAR(U$5)-YEAR($AA40))*12+MONTH(U$5)-MONTH($AA40))+1)))&lt;=MIN(U$5+6,$AB40)),($AA40&gt;=U$5)*($AA40&lt;=U$5+6))))</f>
        <v/>
      </c>
      <c r="V40" s="21">
        <f>IF($X40&lt;&gt;1,0,$D40*IF($Y40&gt;0,MAX(0,INT((MIN(V$5+6,$AB40)-$AA40)/$Y40)-MAX(0,-INT(($AA40-V$5)/$Y40))+1),IF($Z40&gt;0,(MOD(((YEAR(V$5)-YEAR($AA40))*12+MONTH(V$5)-MONTH($AA40)),$Z40)=0)*(((YEAR(V$5)-YEAR($AA40))*12+MONTH(V$5)-MONTH($AA40))&gt;=0)*(EDATE($AA40,MAX(0,((YEAR(V$5)-YEAR($AA40))*12+MONTH(V$5)-MONTH($AA40))))&gt;=V$5)*(EDATE($AA40,MAX(0,((YEAR(V$5)-YEAR($AA40))*12+MONTH(V$5)-MONTH($AA40))))&lt;=MIN(V$5+6,$AB40))+(MOD((((YEAR(V$5)-YEAR($AA40))*12+MONTH(V$5)-MONTH($AA40))+1),$Z40)=0)*((((YEAR(V$5)-YEAR($AA40))*12+MONTH(V$5)-MONTH($AA40))+1)&gt;=0)*(EDATE($AA40,MAX(0,(((YEAR(V$5)-YEAR($AA40))*12+MONTH(V$5)-MONTH($AA40))+1)))&gt;=V$5)*(EDATE($AA40,MAX(0,(((YEAR(V$5)-YEAR($AA40))*12+MONTH(V$5)-MONTH($AA40))+1)))&lt;=MIN(V$5+6,$AB40)),($AA40&gt;=V$5)*($AA40&lt;=V$5+6))))</f>
        <v/>
      </c>
      <c r="W40" s="21">
        <f>IF($X40&lt;&gt;1,0,$D40*IF($Y40&gt;0,MAX(0,INT((MIN(W$5+6,$AB40)-$AA40)/$Y40)-MAX(0,-INT(($AA40-W$5)/$Y40))+1),IF($Z40&gt;0,(MOD(((YEAR(W$5)-YEAR($AA40))*12+MONTH(W$5)-MONTH($AA40)),$Z40)=0)*(((YEAR(W$5)-YEAR($AA40))*12+MONTH(W$5)-MONTH($AA40))&gt;=0)*(EDATE($AA40,MAX(0,((YEAR(W$5)-YEAR($AA40))*12+MONTH(W$5)-MONTH($AA40))))&gt;=W$5)*(EDATE($AA40,MAX(0,((YEAR(W$5)-YEAR($AA40))*12+MONTH(W$5)-MONTH($AA40))))&lt;=MIN(W$5+6,$AB40))+(MOD((((YEAR(W$5)-YEAR($AA40))*12+MONTH(W$5)-MONTH($AA40))+1),$Z40)=0)*((((YEAR(W$5)-YEAR($AA40))*12+MONTH(W$5)-MONTH($AA40))+1)&gt;=0)*(EDATE($AA40,MAX(0,(((YEAR(W$5)-YEAR($AA40))*12+MONTH(W$5)-MONTH($AA40))+1)))&gt;=W$5)*(EDATE($AA40,MAX(0,(((YEAR(W$5)-YEAR($AA40))*12+MONTH(W$5)-MONTH($AA40))+1)))&lt;=MIN(W$5+6,$AB40)),($AA40&gt;=W$5)*($AA40&lt;=W$5+6))))</f>
        <v/>
      </c>
      <c r="X40">
        <f>IF(COUNTA(A40:G40)=0,"",IF(AND(OR(B40="In",B40="Out"),ISNUMBER(D40),D40&gt;0,ISNUMBER(MATCH(E40,FreqName,0)),ISNUMBER(F40),OR(G40="",AND(ISNUMBER(G40),G40&gt;=F40))),1,0))</f>
        <v/>
      </c>
      <c r="Y40">
        <f>IF(X40&lt;&gt;1,0,INDEX(FreqDays,MATCH(E40,FreqName,0)))</f>
        <v/>
      </c>
      <c r="Z40">
        <f>IF(X40&lt;&gt;1,0,INDEX(FreqMonths,MATCH(E40,FreqName,0)))</f>
        <v/>
      </c>
      <c r="AA40">
        <f>IF(X40&lt;&gt;1,0,INT(F40))</f>
        <v/>
      </c>
      <c r="AB40">
        <f>IF(X40&lt;&gt;1,0,IF(ISNUMBER(G40),INT(G40),2958465))</f>
        <v/>
      </c>
    </row>
    <row r="41">
      <c r="A41" s="29" t="n"/>
      <c r="B41" s="29" t="n"/>
      <c r="C41" s="29" t="n"/>
      <c r="D41" s="34" t="n"/>
      <c r="E41" s="29" t="n"/>
      <c r="F41" s="24" t="n"/>
      <c r="G41" s="24" t="n"/>
      <c r="H41" s="10">
        <f>IF(X41="","",IF(X41=0,IF(AND(B41&lt;&gt;"In",B41&lt;&gt;"Out"),"Fix: choose In or Out",IF(OR(NOT(ISNUMBER(D41)),N(D41)&lt;=0),"Fix: amount must be a number above 0",IF(NOT(ISNUMBER(MATCH(E41,FreqName,0))),"Fix: choose a frequency",IF(NOT(ISNUMBER(F41)),"Fix: first date missing","Fix: end date must be a date on or after the first date")))),IF(AND(C41&lt;&gt;"",OR(AND(B41="In",ISNUMBER(MATCH(C41,InCats,0))),AND(B41="Out",ISNUMBER(MATCH(C41,OutCats,0))))),"OK","Category not on Settings (counted as Other)")))</f>
        <v/>
      </c>
      <c r="I41" s="35">
        <f>IF(X41&lt;&gt;1,"",ROUND(J41/D41,0))</f>
        <v/>
      </c>
      <c r="J41" s="36">
        <f>SUM(K41:W41)</f>
        <v/>
      </c>
      <c r="K41" s="21">
        <f>IF($X41&lt;&gt;1,0,$D41*IF($Y41&gt;0,MAX(0,INT((MIN(K$5+6,$AB41)-$AA41)/$Y41)-MAX(0,-INT(($AA41-K$5)/$Y41))+1),IF($Z41&gt;0,(MOD(((YEAR(K$5)-YEAR($AA41))*12+MONTH(K$5)-MONTH($AA41)),$Z41)=0)*(((YEAR(K$5)-YEAR($AA41))*12+MONTH(K$5)-MONTH($AA41))&gt;=0)*(EDATE($AA41,MAX(0,((YEAR(K$5)-YEAR($AA41))*12+MONTH(K$5)-MONTH($AA41))))&gt;=K$5)*(EDATE($AA41,MAX(0,((YEAR(K$5)-YEAR($AA41))*12+MONTH(K$5)-MONTH($AA41))))&lt;=MIN(K$5+6,$AB41))+(MOD((((YEAR(K$5)-YEAR($AA41))*12+MONTH(K$5)-MONTH($AA41))+1),$Z41)=0)*((((YEAR(K$5)-YEAR($AA41))*12+MONTH(K$5)-MONTH($AA41))+1)&gt;=0)*(EDATE($AA41,MAX(0,(((YEAR(K$5)-YEAR($AA41))*12+MONTH(K$5)-MONTH($AA41))+1)))&gt;=K$5)*(EDATE($AA41,MAX(0,(((YEAR(K$5)-YEAR($AA41))*12+MONTH(K$5)-MONTH($AA41))+1)))&lt;=MIN(K$5+6,$AB41)),($AA41&gt;=K$5)*($AA41&lt;=K$5+6))))</f>
        <v/>
      </c>
      <c r="L41" s="21">
        <f>IF($X41&lt;&gt;1,0,$D41*IF($Y41&gt;0,MAX(0,INT((MIN(L$5+6,$AB41)-$AA41)/$Y41)-MAX(0,-INT(($AA41-L$5)/$Y41))+1),IF($Z41&gt;0,(MOD(((YEAR(L$5)-YEAR($AA41))*12+MONTH(L$5)-MONTH($AA41)),$Z41)=0)*(((YEAR(L$5)-YEAR($AA41))*12+MONTH(L$5)-MONTH($AA41))&gt;=0)*(EDATE($AA41,MAX(0,((YEAR(L$5)-YEAR($AA41))*12+MONTH(L$5)-MONTH($AA41))))&gt;=L$5)*(EDATE($AA41,MAX(0,((YEAR(L$5)-YEAR($AA41))*12+MONTH(L$5)-MONTH($AA41))))&lt;=MIN(L$5+6,$AB41))+(MOD((((YEAR(L$5)-YEAR($AA41))*12+MONTH(L$5)-MONTH($AA41))+1),$Z41)=0)*((((YEAR(L$5)-YEAR($AA41))*12+MONTH(L$5)-MONTH($AA41))+1)&gt;=0)*(EDATE($AA41,MAX(0,(((YEAR(L$5)-YEAR($AA41))*12+MONTH(L$5)-MONTH($AA41))+1)))&gt;=L$5)*(EDATE($AA41,MAX(0,(((YEAR(L$5)-YEAR($AA41))*12+MONTH(L$5)-MONTH($AA41))+1)))&lt;=MIN(L$5+6,$AB41)),($AA41&gt;=L$5)*($AA41&lt;=L$5+6))))</f>
        <v/>
      </c>
      <c r="M41" s="21">
        <f>IF($X41&lt;&gt;1,0,$D41*IF($Y41&gt;0,MAX(0,INT((MIN(M$5+6,$AB41)-$AA41)/$Y41)-MAX(0,-INT(($AA41-M$5)/$Y41))+1),IF($Z41&gt;0,(MOD(((YEAR(M$5)-YEAR($AA41))*12+MONTH(M$5)-MONTH($AA41)),$Z41)=0)*(((YEAR(M$5)-YEAR($AA41))*12+MONTH(M$5)-MONTH($AA41))&gt;=0)*(EDATE($AA41,MAX(0,((YEAR(M$5)-YEAR($AA41))*12+MONTH(M$5)-MONTH($AA41))))&gt;=M$5)*(EDATE($AA41,MAX(0,((YEAR(M$5)-YEAR($AA41))*12+MONTH(M$5)-MONTH($AA41))))&lt;=MIN(M$5+6,$AB41))+(MOD((((YEAR(M$5)-YEAR($AA41))*12+MONTH(M$5)-MONTH($AA41))+1),$Z41)=0)*((((YEAR(M$5)-YEAR($AA41))*12+MONTH(M$5)-MONTH($AA41))+1)&gt;=0)*(EDATE($AA41,MAX(0,(((YEAR(M$5)-YEAR($AA41))*12+MONTH(M$5)-MONTH($AA41))+1)))&gt;=M$5)*(EDATE($AA41,MAX(0,(((YEAR(M$5)-YEAR($AA41))*12+MONTH(M$5)-MONTH($AA41))+1)))&lt;=MIN(M$5+6,$AB41)),($AA41&gt;=M$5)*($AA41&lt;=M$5+6))))</f>
        <v/>
      </c>
      <c r="N41" s="21">
        <f>IF($X41&lt;&gt;1,0,$D41*IF($Y41&gt;0,MAX(0,INT((MIN(N$5+6,$AB41)-$AA41)/$Y41)-MAX(0,-INT(($AA41-N$5)/$Y41))+1),IF($Z41&gt;0,(MOD(((YEAR(N$5)-YEAR($AA41))*12+MONTH(N$5)-MONTH($AA41)),$Z41)=0)*(((YEAR(N$5)-YEAR($AA41))*12+MONTH(N$5)-MONTH($AA41))&gt;=0)*(EDATE($AA41,MAX(0,((YEAR(N$5)-YEAR($AA41))*12+MONTH(N$5)-MONTH($AA41))))&gt;=N$5)*(EDATE($AA41,MAX(0,((YEAR(N$5)-YEAR($AA41))*12+MONTH(N$5)-MONTH($AA41))))&lt;=MIN(N$5+6,$AB41))+(MOD((((YEAR(N$5)-YEAR($AA41))*12+MONTH(N$5)-MONTH($AA41))+1),$Z41)=0)*((((YEAR(N$5)-YEAR($AA41))*12+MONTH(N$5)-MONTH($AA41))+1)&gt;=0)*(EDATE($AA41,MAX(0,(((YEAR(N$5)-YEAR($AA41))*12+MONTH(N$5)-MONTH($AA41))+1)))&gt;=N$5)*(EDATE($AA41,MAX(0,(((YEAR(N$5)-YEAR($AA41))*12+MONTH(N$5)-MONTH($AA41))+1)))&lt;=MIN(N$5+6,$AB41)),($AA41&gt;=N$5)*($AA41&lt;=N$5+6))))</f>
        <v/>
      </c>
      <c r="O41" s="21">
        <f>IF($X41&lt;&gt;1,0,$D41*IF($Y41&gt;0,MAX(0,INT((MIN(O$5+6,$AB41)-$AA41)/$Y41)-MAX(0,-INT(($AA41-O$5)/$Y41))+1),IF($Z41&gt;0,(MOD(((YEAR(O$5)-YEAR($AA41))*12+MONTH(O$5)-MONTH($AA41)),$Z41)=0)*(((YEAR(O$5)-YEAR($AA41))*12+MONTH(O$5)-MONTH($AA41))&gt;=0)*(EDATE($AA41,MAX(0,((YEAR(O$5)-YEAR($AA41))*12+MONTH(O$5)-MONTH($AA41))))&gt;=O$5)*(EDATE($AA41,MAX(0,((YEAR(O$5)-YEAR($AA41))*12+MONTH(O$5)-MONTH($AA41))))&lt;=MIN(O$5+6,$AB41))+(MOD((((YEAR(O$5)-YEAR($AA41))*12+MONTH(O$5)-MONTH($AA41))+1),$Z41)=0)*((((YEAR(O$5)-YEAR($AA41))*12+MONTH(O$5)-MONTH($AA41))+1)&gt;=0)*(EDATE($AA41,MAX(0,(((YEAR(O$5)-YEAR($AA41))*12+MONTH(O$5)-MONTH($AA41))+1)))&gt;=O$5)*(EDATE($AA41,MAX(0,(((YEAR(O$5)-YEAR($AA41))*12+MONTH(O$5)-MONTH($AA41))+1)))&lt;=MIN(O$5+6,$AB41)),($AA41&gt;=O$5)*($AA41&lt;=O$5+6))))</f>
        <v/>
      </c>
      <c r="P41" s="21">
        <f>IF($X41&lt;&gt;1,0,$D41*IF($Y41&gt;0,MAX(0,INT((MIN(P$5+6,$AB41)-$AA41)/$Y41)-MAX(0,-INT(($AA41-P$5)/$Y41))+1),IF($Z41&gt;0,(MOD(((YEAR(P$5)-YEAR($AA41))*12+MONTH(P$5)-MONTH($AA41)),$Z41)=0)*(((YEAR(P$5)-YEAR($AA41))*12+MONTH(P$5)-MONTH($AA41))&gt;=0)*(EDATE($AA41,MAX(0,((YEAR(P$5)-YEAR($AA41))*12+MONTH(P$5)-MONTH($AA41))))&gt;=P$5)*(EDATE($AA41,MAX(0,((YEAR(P$5)-YEAR($AA41))*12+MONTH(P$5)-MONTH($AA41))))&lt;=MIN(P$5+6,$AB41))+(MOD((((YEAR(P$5)-YEAR($AA41))*12+MONTH(P$5)-MONTH($AA41))+1),$Z41)=0)*((((YEAR(P$5)-YEAR($AA41))*12+MONTH(P$5)-MONTH($AA41))+1)&gt;=0)*(EDATE($AA41,MAX(0,(((YEAR(P$5)-YEAR($AA41))*12+MONTH(P$5)-MONTH($AA41))+1)))&gt;=P$5)*(EDATE($AA41,MAX(0,(((YEAR(P$5)-YEAR($AA41))*12+MONTH(P$5)-MONTH($AA41))+1)))&lt;=MIN(P$5+6,$AB41)),($AA41&gt;=P$5)*($AA41&lt;=P$5+6))))</f>
        <v/>
      </c>
      <c r="Q41" s="21">
        <f>IF($X41&lt;&gt;1,0,$D41*IF($Y41&gt;0,MAX(0,INT((MIN(Q$5+6,$AB41)-$AA41)/$Y41)-MAX(0,-INT(($AA41-Q$5)/$Y41))+1),IF($Z41&gt;0,(MOD(((YEAR(Q$5)-YEAR($AA41))*12+MONTH(Q$5)-MONTH($AA41)),$Z41)=0)*(((YEAR(Q$5)-YEAR($AA41))*12+MONTH(Q$5)-MONTH($AA41))&gt;=0)*(EDATE($AA41,MAX(0,((YEAR(Q$5)-YEAR($AA41))*12+MONTH(Q$5)-MONTH($AA41))))&gt;=Q$5)*(EDATE($AA41,MAX(0,((YEAR(Q$5)-YEAR($AA41))*12+MONTH(Q$5)-MONTH($AA41))))&lt;=MIN(Q$5+6,$AB41))+(MOD((((YEAR(Q$5)-YEAR($AA41))*12+MONTH(Q$5)-MONTH($AA41))+1),$Z41)=0)*((((YEAR(Q$5)-YEAR($AA41))*12+MONTH(Q$5)-MONTH($AA41))+1)&gt;=0)*(EDATE($AA41,MAX(0,(((YEAR(Q$5)-YEAR($AA41))*12+MONTH(Q$5)-MONTH($AA41))+1)))&gt;=Q$5)*(EDATE($AA41,MAX(0,(((YEAR(Q$5)-YEAR($AA41))*12+MONTH(Q$5)-MONTH($AA41))+1)))&lt;=MIN(Q$5+6,$AB41)),($AA41&gt;=Q$5)*($AA41&lt;=Q$5+6))))</f>
        <v/>
      </c>
      <c r="R41" s="21">
        <f>IF($X41&lt;&gt;1,0,$D41*IF($Y41&gt;0,MAX(0,INT((MIN(R$5+6,$AB41)-$AA41)/$Y41)-MAX(0,-INT(($AA41-R$5)/$Y41))+1),IF($Z41&gt;0,(MOD(((YEAR(R$5)-YEAR($AA41))*12+MONTH(R$5)-MONTH($AA41)),$Z41)=0)*(((YEAR(R$5)-YEAR($AA41))*12+MONTH(R$5)-MONTH($AA41))&gt;=0)*(EDATE($AA41,MAX(0,((YEAR(R$5)-YEAR($AA41))*12+MONTH(R$5)-MONTH($AA41))))&gt;=R$5)*(EDATE($AA41,MAX(0,((YEAR(R$5)-YEAR($AA41))*12+MONTH(R$5)-MONTH($AA41))))&lt;=MIN(R$5+6,$AB41))+(MOD((((YEAR(R$5)-YEAR($AA41))*12+MONTH(R$5)-MONTH($AA41))+1),$Z41)=0)*((((YEAR(R$5)-YEAR($AA41))*12+MONTH(R$5)-MONTH($AA41))+1)&gt;=0)*(EDATE($AA41,MAX(0,(((YEAR(R$5)-YEAR($AA41))*12+MONTH(R$5)-MONTH($AA41))+1)))&gt;=R$5)*(EDATE($AA41,MAX(0,(((YEAR(R$5)-YEAR($AA41))*12+MONTH(R$5)-MONTH($AA41))+1)))&lt;=MIN(R$5+6,$AB41)),($AA41&gt;=R$5)*($AA41&lt;=R$5+6))))</f>
        <v/>
      </c>
      <c r="S41" s="21">
        <f>IF($X41&lt;&gt;1,0,$D41*IF($Y41&gt;0,MAX(0,INT((MIN(S$5+6,$AB41)-$AA41)/$Y41)-MAX(0,-INT(($AA41-S$5)/$Y41))+1),IF($Z41&gt;0,(MOD(((YEAR(S$5)-YEAR($AA41))*12+MONTH(S$5)-MONTH($AA41)),$Z41)=0)*(((YEAR(S$5)-YEAR($AA41))*12+MONTH(S$5)-MONTH($AA41))&gt;=0)*(EDATE($AA41,MAX(0,((YEAR(S$5)-YEAR($AA41))*12+MONTH(S$5)-MONTH($AA41))))&gt;=S$5)*(EDATE($AA41,MAX(0,((YEAR(S$5)-YEAR($AA41))*12+MONTH(S$5)-MONTH($AA41))))&lt;=MIN(S$5+6,$AB41))+(MOD((((YEAR(S$5)-YEAR($AA41))*12+MONTH(S$5)-MONTH($AA41))+1),$Z41)=0)*((((YEAR(S$5)-YEAR($AA41))*12+MONTH(S$5)-MONTH($AA41))+1)&gt;=0)*(EDATE($AA41,MAX(0,(((YEAR(S$5)-YEAR($AA41))*12+MONTH(S$5)-MONTH($AA41))+1)))&gt;=S$5)*(EDATE($AA41,MAX(0,(((YEAR(S$5)-YEAR($AA41))*12+MONTH(S$5)-MONTH($AA41))+1)))&lt;=MIN(S$5+6,$AB41)),($AA41&gt;=S$5)*($AA41&lt;=S$5+6))))</f>
        <v/>
      </c>
      <c r="T41" s="21">
        <f>IF($X41&lt;&gt;1,0,$D41*IF($Y41&gt;0,MAX(0,INT((MIN(T$5+6,$AB41)-$AA41)/$Y41)-MAX(0,-INT(($AA41-T$5)/$Y41))+1),IF($Z41&gt;0,(MOD(((YEAR(T$5)-YEAR($AA41))*12+MONTH(T$5)-MONTH($AA41)),$Z41)=0)*(((YEAR(T$5)-YEAR($AA41))*12+MONTH(T$5)-MONTH($AA41))&gt;=0)*(EDATE($AA41,MAX(0,((YEAR(T$5)-YEAR($AA41))*12+MONTH(T$5)-MONTH($AA41))))&gt;=T$5)*(EDATE($AA41,MAX(0,((YEAR(T$5)-YEAR($AA41))*12+MONTH(T$5)-MONTH($AA41))))&lt;=MIN(T$5+6,$AB41))+(MOD((((YEAR(T$5)-YEAR($AA41))*12+MONTH(T$5)-MONTH($AA41))+1),$Z41)=0)*((((YEAR(T$5)-YEAR($AA41))*12+MONTH(T$5)-MONTH($AA41))+1)&gt;=0)*(EDATE($AA41,MAX(0,(((YEAR(T$5)-YEAR($AA41))*12+MONTH(T$5)-MONTH($AA41))+1)))&gt;=T$5)*(EDATE($AA41,MAX(0,(((YEAR(T$5)-YEAR($AA41))*12+MONTH(T$5)-MONTH($AA41))+1)))&lt;=MIN(T$5+6,$AB41)),($AA41&gt;=T$5)*($AA41&lt;=T$5+6))))</f>
        <v/>
      </c>
      <c r="U41" s="21">
        <f>IF($X41&lt;&gt;1,0,$D41*IF($Y41&gt;0,MAX(0,INT((MIN(U$5+6,$AB41)-$AA41)/$Y41)-MAX(0,-INT(($AA41-U$5)/$Y41))+1),IF($Z41&gt;0,(MOD(((YEAR(U$5)-YEAR($AA41))*12+MONTH(U$5)-MONTH($AA41)),$Z41)=0)*(((YEAR(U$5)-YEAR($AA41))*12+MONTH(U$5)-MONTH($AA41))&gt;=0)*(EDATE($AA41,MAX(0,((YEAR(U$5)-YEAR($AA41))*12+MONTH(U$5)-MONTH($AA41))))&gt;=U$5)*(EDATE($AA41,MAX(0,((YEAR(U$5)-YEAR($AA41))*12+MONTH(U$5)-MONTH($AA41))))&lt;=MIN(U$5+6,$AB41))+(MOD((((YEAR(U$5)-YEAR($AA41))*12+MONTH(U$5)-MONTH($AA41))+1),$Z41)=0)*((((YEAR(U$5)-YEAR($AA41))*12+MONTH(U$5)-MONTH($AA41))+1)&gt;=0)*(EDATE($AA41,MAX(0,(((YEAR(U$5)-YEAR($AA41))*12+MONTH(U$5)-MONTH($AA41))+1)))&gt;=U$5)*(EDATE($AA41,MAX(0,(((YEAR(U$5)-YEAR($AA41))*12+MONTH(U$5)-MONTH($AA41))+1)))&lt;=MIN(U$5+6,$AB41)),($AA41&gt;=U$5)*($AA41&lt;=U$5+6))))</f>
        <v/>
      </c>
      <c r="V41" s="21">
        <f>IF($X41&lt;&gt;1,0,$D41*IF($Y41&gt;0,MAX(0,INT((MIN(V$5+6,$AB41)-$AA41)/$Y41)-MAX(0,-INT(($AA41-V$5)/$Y41))+1),IF($Z41&gt;0,(MOD(((YEAR(V$5)-YEAR($AA41))*12+MONTH(V$5)-MONTH($AA41)),$Z41)=0)*(((YEAR(V$5)-YEAR($AA41))*12+MONTH(V$5)-MONTH($AA41))&gt;=0)*(EDATE($AA41,MAX(0,((YEAR(V$5)-YEAR($AA41))*12+MONTH(V$5)-MONTH($AA41))))&gt;=V$5)*(EDATE($AA41,MAX(0,((YEAR(V$5)-YEAR($AA41))*12+MONTH(V$5)-MONTH($AA41))))&lt;=MIN(V$5+6,$AB41))+(MOD((((YEAR(V$5)-YEAR($AA41))*12+MONTH(V$5)-MONTH($AA41))+1),$Z41)=0)*((((YEAR(V$5)-YEAR($AA41))*12+MONTH(V$5)-MONTH($AA41))+1)&gt;=0)*(EDATE($AA41,MAX(0,(((YEAR(V$5)-YEAR($AA41))*12+MONTH(V$5)-MONTH($AA41))+1)))&gt;=V$5)*(EDATE($AA41,MAX(0,(((YEAR(V$5)-YEAR($AA41))*12+MONTH(V$5)-MONTH($AA41))+1)))&lt;=MIN(V$5+6,$AB41)),($AA41&gt;=V$5)*($AA41&lt;=V$5+6))))</f>
        <v/>
      </c>
      <c r="W41" s="21">
        <f>IF($X41&lt;&gt;1,0,$D41*IF($Y41&gt;0,MAX(0,INT((MIN(W$5+6,$AB41)-$AA41)/$Y41)-MAX(0,-INT(($AA41-W$5)/$Y41))+1),IF($Z41&gt;0,(MOD(((YEAR(W$5)-YEAR($AA41))*12+MONTH(W$5)-MONTH($AA41)),$Z41)=0)*(((YEAR(W$5)-YEAR($AA41))*12+MONTH(W$5)-MONTH($AA41))&gt;=0)*(EDATE($AA41,MAX(0,((YEAR(W$5)-YEAR($AA41))*12+MONTH(W$5)-MONTH($AA41))))&gt;=W$5)*(EDATE($AA41,MAX(0,((YEAR(W$5)-YEAR($AA41))*12+MONTH(W$5)-MONTH($AA41))))&lt;=MIN(W$5+6,$AB41))+(MOD((((YEAR(W$5)-YEAR($AA41))*12+MONTH(W$5)-MONTH($AA41))+1),$Z41)=0)*((((YEAR(W$5)-YEAR($AA41))*12+MONTH(W$5)-MONTH($AA41))+1)&gt;=0)*(EDATE($AA41,MAX(0,(((YEAR(W$5)-YEAR($AA41))*12+MONTH(W$5)-MONTH($AA41))+1)))&gt;=W$5)*(EDATE($AA41,MAX(0,(((YEAR(W$5)-YEAR($AA41))*12+MONTH(W$5)-MONTH($AA41))+1)))&lt;=MIN(W$5+6,$AB41)),($AA41&gt;=W$5)*($AA41&lt;=W$5+6))))</f>
        <v/>
      </c>
      <c r="X41">
        <f>IF(COUNTA(A41:G41)=0,"",IF(AND(OR(B41="In",B41="Out"),ISNUMBER(D41),D41&gt;0,ISNUMBER(MATCH(E41,FreqName,0)),ISNUMBER(F41),OR(G41="",AND(ISNUMBER(G41),G41&gt;=F41))),1,0))</f>
        <v/>
      </c>
      <c r="Y41">
        <f>IF(X41&lt;&gt;1,0,INDEX(FreqDays,MATCH(E41,FreqName,0)))</f>
        <v/>
      </c>
      <c r="Z41">
        <f>IF(X41&lt;&gt;1,0,INDEX(FreqMonths,MATCH(E41,FreqName,0)))</f>
        <v/>
      </c>
      <c r="AA41">
        <f>IF(X41&lt;&gt;1,0,INT(F41))</f>
        <v/>
      </c>
      <c r="AB41">
        <f>IF(X41&lt;&gt;1,0,IF(ISNUMBER(G41),INT(G41),2958465))</f>
        <v/>
      </c>
    </row>
    <row r="42">
      <c r="A42" s="29" t="n"/>
      <c r="B42" s="29" t="n"/>
      <c r="C42" s="29" t="n"/>
      <c r="D42" s="34" t="n"/>
      <c r="E42" s="29" t="n"/>
      <c r="F42" s="24" t="n"/>
      <c r="G42" s="24" t="n"/>
      <c r="H42" s="10">
        <f>IF(X42="","",IF(X42=0,IF(AND(B42&lt;&gt;"In",B42&lt;&gt;"Out"),"Fix: choose In or Out",IF(OR(NOT(ISNUMBER(D42)),N(D42)&lt;=0),"Fix: amount must be a number above 0",IF(NOT(ISNUMBER(MATCH(E42,FreqName,0))),"Fix: choose a frequency",IF(NOT(ISNUMBER(F42)),"Fix: first date missing","Fix: end date must be a date on or after the first date")))),IF(AND(C42&lt;&gt;"",OR(AND(B42="In",ISNUMBER(MATCH(C42,InCats,0))),AND(B42="Out",ISNUMBER(MATCH(C42,OutCats,0))))),"OK","Category not on Settings (counted as Other)")))</f>
        <v/>
      </c>
      <c r="I42" s="35">
        <f>IF(X42&lt;&gt;1,"",ROUND(J42/D42,0))</f>
        <v/>
      </c>
      <c r="J42" s="36">
        <f>SUM(K42:W42)</f>
        <v/>
      </c>
      <c r="K42" s="21">
        <f>IF($X42&lt;&gt;1,0,$D42*IF($Y42&gt;0,MAX(0,INT((MIN(K$5+6,$AB42)-$AA42)/$Y42)-MAX(0,-INT(($AA42-K$5)/$Y42))+1),IF($Z42&gt;0,(MOD(((YEAR(K$5)-YEAR($AA42))*12+MONTH(K$5)-MONTH($AA42)),$Z42)=0)*(((YEAR(K$5)-YEAR($AA42))*12+MONTH(K$5)-MONTH($AA42))&gt;=0)*(EDATE($AA42,MAX(0,((YEAR(K$5)-YEAR($AA42))*12+MONTH(K$5)-MONTH($AA42))))&gt;=K$5)*(EDATE($AA42,MAX(0,((YEAR(K$5)-YEAR($AA42))*12+MONTH(K$5)-MONTH($AA42))))&lt;=MIN(K$5+6,$AB42))+(MOD((((YEAR(K$5)-YEAR($AA42))*12+MONTH(K$5)-MONTH($AA42))+1),$Z42)=0)*((((YEAR(K$5)-YEAR($AA42))*12+MONTH(K$5)-MONTH($AA42))+1)&gt;=0)*(EDATE($AA42,MAX(0,(((YEAR(K$5)-YEAR($AA42))*12+MONTH(K$5)-MONTH($AA42))+1)))&gt;=K$5)*(EDATE($AA42,MAX(0,(((YEAR(K$5)-YEAR($AA42))*12+MONTH(K$5)-MONTH($AA42))+1)))&lt;=MIN(K$5+6,$AB42)),($AA42&gt;=K$5)*($AA42&lt;=K$5+6))))</f>
        <v/>
      </c>
      <c r="L42" s="21">
        <f>IF($X42&lt;&gt;1,0,$D42*IF($Y42&gt;0,MAX(0,INT((MIN(L$5+6,$AB42)-$AA42)/$Y42)-MAX(0,-INT(($AA42-L$5)/$Y42))+1),IF($Z42&gt;0,(MOD(((YEAR(L$5)-YEAR($AA42))*12+MONTH(L$5)-MONTH($AA42)),$Z42)=0)*(((YEAR(L$5)-YEAR($AA42))*12+MONTH(L$5)-MONTH($AA42))&gt;=0)*(EDATE($AA42,MAX(0,((YEAR(L$5)-YEAR($AA42))*12+MONTH(L$5)-MONTH($AA42))))&gt;=L$5)*(EDATE($AA42,MAX(0,((YEAR(L$5)-YEAR($AA42))*12+MONTH(L$5)-MONTH($AA42))))&lt;=MIN(L$5+6,$AB42))+(MOD((((YEAR(L$5)-YEAR($AA42))*12+MONTH(L$5)-MONTH($AA42))+1),$Z42)=0)*((((YEAR(L$5)-YEAR($AA42))*12+MONTH(L$5)-MONTH($AA42))+1)&gt;=0)*(EDATE($AA42,MAX(0,(((YEAR(L$5)-YEAR($AA42))*12+MONTH(L$5)-MONTH($AA42))+1)))&gt;=L$5)*(EDATE($AA42,MAX(0,(((YEAR(L$5)-YEAR($AA42))*12+MONTH(L$5)-MONTH($AA42))+1)))&lt;=MIN(L$5+6,$AB42)),($AA42&gt;=L$5)*($AA42&lt;=L$5+6))))</f>
        <v/>
      </c>
      <c r="M42" s="21">
        <f>IF($X42&lt;&gt;1,0,$D42*IF($Y42&gt;0,MAX(0,INT((MIN(M$5+6,$AB42)-$AA42)/$Y42)-MAX(0,-INT(($AA42-M$5)/$Y42))+1),IF($Z42&gt;0,(MOD(((YEAR(M$5)-YEAR($AA42))*12+MONTH(M$5)-MONTH($AA42)),$Z42)=0)*(((YEAR(M$5)-YEAR($AA42))*12+MONTH(M$5)-MONTH($AA42))&gt;=0)*(EDATE($AA42,MAX(0,((YEAR(M$5)-YEAR($AA42))*12+MONTH(M$5)-MONTH($AA42))))&gt;=M$5)*(EDATE($AA42,MAX(0,((YEAR(M$5)-YEAR($AA42))*12+MONTH(M$5)-MONTH($AA42))))&lt;=MIN(M$5+6,$AB42))+(MOD((((YEAR(M$5)-YEAR($AA42))*12+MONTH(M$5)-MONTH($AA42))+1),$Z42)=0)*((((YEAR(M$5)-YEAR($AA42))*12+MONTH(M$5)-MONTH($AA42))+1)&gt;=0)*(EDATE($AA42,MAX(0,(((YEAR(M$5)-YEAR($AA42))*12+MONTH(M$5)-MONTH($AA42))+1)))&gt;=M$5)*(EDATE($AA42,MAX(0,(((YEAR(M$5)-YEAR($AA42))*12+MONTH(M$5)-MONTH($AA42))+1)))&lt;=MIN(M$5+6,$AB42)),($AA42&gt;=M$5)*($AA42&lt;=M$5+6))))</f>
        <v/>
      </c>
      <c r="N42" s="21">
        <f>IF($X42&lt;&gt;1,0,$D42*IF($Y42&gt;0,MAX(0,INT((MIN(N$5+6,$AB42)-$AA42)/$Y42)-MAX(0,-INT(($AA42-N$5)/$Y42))+1),IF($Z42&gt;0,(MOD(((YEAR(N$5)-YEAR($AA42))*12+MONTH(N$5)-MONTH($AA42)),$Z42)=0)*(((YEAR(N$5)-YEAR($AA42))*12+MONTH(N$5)-MONTH($AA42))&gt;=0)*(EDATE($AA42,MAX(0,((YEAR(N$5)-YEAR($AA42))*12+MONTH(N$5)-MONTH($AA42))))&gt;=N$5)*(EDATE($AA42,MAX(0,((YEAR(N$5)-YEAR($AA42))*12+MONTH(N$5)-MONTH($AA42))))&lt;=MIN(N$5+6,$AB42))+(MOD((((YEAR(N$5)-YEAR($AA42))*12+MONTH(N$5)-MONTH($AA42))+1),$Z42)=0)*((((YEAR(N$5)-YEAR($AA42))*12+MONTH(N$5)-MONTH($AA42))+1)&gt;=0)*(EDATE($AA42,MAX(0,(((YEAR(N$5)-YEAR($AA42))*12+MONTH(N$5)-MONTH($AA42))+1)))&gt;=N$5)*(EDATE($AA42,MAX(0,(((YEAR(N$5)-YEAR($AA42))*12+MONTH(N$5)-MONTH($AA42))+1)))&lt;=MIN(N$5+6,$AB42)),($AA42&gt;=N$5)*($AA42&lt;=N$5+6))))</f>
        <v/>
      </c>
      <c r="O42" s="21">
        <f>IF($X42&lt;&gt;1,0,$D42*IF($Y42&gt;0,MAX(0,INT((MIN(O$5+6,$AB42)-$AA42)/$Y42)-MAX(0,-INT(($AA42-O$5)/$Y42))+1),IF($Z42&gt;0,(MOD(((YEAR(O$5)-YEAR($AA42))*12+MONTH(O$5)-MONTH($AA42)),$Z42)=0)*(((YEAR(O$5)-YEAR($AA42))*12+MONTH(O$5)-MONTH($AA42))&gt;=0)*(EDATE($AA42,MAX(0,((YEAR(O$5)-YEAR($AA42))*12+MONTH(O$5)-MONTH($AA42))))&gt;=O$5)*(EDATE($AA42,MAX(0,((YEAR(O$5)-YEAR($AA42))*12+MONTH(O$5)-MONTH($AA42))))&lt;=MIN(O$5+6,$AB42))+(MOD((((YEAR(O$5)-YEAR($AA42))*12+MONTH(O$5)-MONTH($AA42))+1),$Z42)=0)*((((YEAR(O$5)-YEAR($AA42))*12+MONTH(O$5)-MONTH($AA42))+1)&gt;=0)*(EDATE($AA42,MAX(0,(((YEAR(O$5)-YEAR($AA42))*12+MONTH(O$5)-MONTH($AA42))+1)))&gt;=O$5)*(EDATE($AA42,MAX(0,(((YEAR(O$5)-YEAR($AA42))*12+MONTH(O$5)-MONTH($AA42))+1)))&lt;=MIN(O$5+6,$AB42)),($AA42&gt;=O$5)*($AA42&lt;=O$5+6))))</f>
        <v/>
      </c>
      <c r="P42" s="21">
        <f>IF($X42&lt;&gt;1,0,$D42*IF($Y42&gt;0,MAX(0,INT((MIN(P$5+6,$AB42)-$AA42)/$Y42)-MAX(0,-INT(($AA42-P$5)/$Y42))+1),IF($Z42&gt;0,(MOD(((YEAR(P$5)-YEAR($AA42))*12+MONTH(P$5)-MONTH($AA42)),$Z42)=0)*(((YEAR(P$5)-YEAR($AA42))*12+MONTH(P$5)-MONTH($AA42))&gt;=0)*(EDATE($AA42,MAX(0,((YEAR(P$5)-YEAR($AA42))*12+MONTH(P$5)-MONTH($AA42))))&gt;=P$5)*(EDATE($AA42,MAX(0,((YEAR(P$5)-YEAR($AA42))*12+MONTH(P$5)-MONTH($AA42))))&lt;=MIN(P$5+6,$AB42))+(MOD((((YEAR(P$5)-YEAR($AA42))*12+MONTH(P$5)-MONTH($AA42))+1),$Z42)=0)*((((YEAR(P$5)-YEAR($AA42))*12+MONTH(P$5)-MONTH($AA42))+1)&gt;=0)*(EDATE($AA42,MAX(0,(((YEAR(P$5)-YEAR($AA42))*12+MONTH(P$5)-MONTH($AA42))+1)))&gt;=P$5)*(EDATE($AA42,MAX(0,(((YEAR(P$5)-YEAR($AA42))*12+MONTH(P$5)-MONTH($AA42))+1)))&lt;=MIN(P$5+6,$AB42)),($AA42&gt;=P$5)*($AA42&lt;=P$5+6))))</f>
        <v/>
      </c>
      <c r="Q42" s="21">
        <f>IF($X42&lt;&gt;1,0,$D42*IF($Y42&gt;0,MAX(0,INT((MIN(Q$5+6,$AB42)-$AA42)/$Y42)-MAX(0,-INT(($AA42-Q$5)/$Y42))+1),IF($Z42&gt;0,(MOD(((YEAR(Q$5)-YEAR($AA42))*12+MONTH(Q$5)-MONTH($AA42)),$Z42)=0)*(((YEAR(Q$5)-YEAR($AA42))*12+MONTH(Q$5)-MONTH($AA42))&gt;=0)*(EDATE($AA42,MAX(0,((YEAR(Q$5)-YEAR($AA42))*12+MONTH(Q$5)-MONTH($AA42))))&gt;=Q$5)*(EDATE($AA42,MAX(0,((YEAR(Q$5)-YEAR($AA42))*12+MONTH(Q$5)-MONTH($AA42))))&lt;=MIN(Q$5+6,$AB42))+(MOD((((YEAR(Q$5)-YEAR($AA42))*12+MONTH(Q$5)-MONTH($AA42))+1),$Z42)=0)*((((YEAR(Q$5)-YEAR($AA42))*12+MONTH(Q$5)-MONTH($AA42))+1)&gt;=0)*(EDATE($AA42,MAX(0,(((YEAR(Q$5)-YEAR($AA42))*12+MONTH(Q$5)-MONTH($AA42))+1)))&gt;=Q$5)*(EDATE($AA42,MAX(0,(((YEAR(Q$5)-YEAR($AA42))*12+MONTH(Q$5)-MONTH($AA42))+1)))&lt;=MIN(Q$5+6,$AB42)),($AA42&gt;=Q$5)*($AA42&lt;=Q$5+6))))</f>
        <v/>
      </c>
      <c r="R42" s="21">
        <f>IF($X42&lt;&gt;1,0,$D42*IF($Y42&gt;0,MAX(0,INT((MIN(R$5+6,$AB42)-$AA42)/$Y42)-MAX(0,-INT(($AA42-R$5)/$Y42))+1),IF($Z42&gt;0,(MOD(((YEAR(R$5)-YEAR($AA42))*12+MONTH(R$5)-MONTH($AA42)),$Z42)=0)*(((YEAR(R$5)-YEAR($AA42))*12+MONTH(R$5)-MONTH($AA42))&gt;=0)*(EDATE($AA42,MAX(0,((YEAR(R$5)-YEAR($AA42))*12+MONTH(R$5)-MONTH($AA42))))&gt;=R$5)*(EDATE($AA42,MAX(0,((YEAR(R$5)-YEAR($AA42))*12+MONTH(R$5)-MONTH($AA42))))&lt;=MIN(R$5+6,$AB42))+(MOD((((YEAR(R$5)-YEAR($AA42))*12+MONTH(R$5)-MONTH($AA42))+1),$Z42)=0)*((((YEAR(R$5)-YEAR($AA42))*12+MONTH(R$5)-MONTH($AA42))+1)&gt;=0)*(EDATE($AA42,MAX(0,(((YEAR(R$5)-YEAR($AA42))*12+MONTH(R$5)-MONTH($AA42))+1)))&gt;=R$5)*(EDATE($AA42,MAX(0,(((YEAR(R$5)-YEAR($AA42))*12+MONTH(R$5)-MONTH($AA42))+1)))&lt;=MIN(R$5+6,$AB42)),($AA42&gt;=R$5)*($AA42&lt;=R$5+6))))</f>
        <v/>
      </c>
      <c r="S42" s="21">
        <f>IF($X42&lt;&gt;1,0,$D42*IF($Y42&gt;0,MAX(0,INT((MIN(S$5+6,$AB42)-$AA42)/$Y42)-MAX(0,-INT(($AA42-S$5)/$Y42))+1),IF($Z42&gt;0,(MOD(((YEAR(S$5)-YEAR($AA42))*12+MONTH(S$5)-MONTH($AA42)),$Z42)=0)*(((YEAR(S$5)-YEAR($AA42))*12+MONTH(S$5)-MONTH($AA42))&gt;=0)*(EDATE($AA42,MAX(0,((YEAR(S$5)-YEAR($AA42))*12+MONTH(S$5)-MONTH($AA42))))&gt;=S$5)*(EDATE($AA42,MAX(0,((YEAR(S$5)-YEAR($AA42))*12+MONTH(S$5)-MONTH($AA42))))&lt;=MIN(S$5+6,$AB42))+(MOD((((YEAR(S$5)-YEAR($AA42))*12+MONTH(S$5)-MONTH($AA42))+1),$Z42)=0)*((((YEAR(S$5)-YEAR($AA42))*12+MONTH(S$5)-MONTH($AA42))+1)&gt;=0)*(EDATE($AA42,MAX(0,(((YEAR(S$5)-YEAR($AA42))*12+MONTH(S$5)-MONTH($AA42))+1)))&gt;=S$5)*(EDATE($AA42,MAX(0,(((YEAR(S$5)-YEAR($AA42))*12+MONTH(S$5)-MONTH($AA42))+1)))&lt;=MIN(S$5+6,$AB42)),($AA42&gt;=S$5)*($AA42&lt;=S$5+6))))</f>
        <v/>
      </c>
      <c r="T42" s="21">
        <f>IF($X42&lt;&gt;1,0,$D42*IF($Y42&gt;0,MAX(0,INT((MIN(T$5+6,$AB42)-$AA42)/$Y42)-MAX(0,-INT(($AA42-T$5)/$Y42))+1),IF($Z42&gt;0,(MOD(((YEAR(T$5)-YEAR($AA42))*12+MONTH(T$5)-MONTH($AA42)),$Z42)=0)*(((YEAR(T$5)-YEAR($AA42))*12+MONTH(T$5)-MONTH($AA42))&gt;=0)*(EDATE($AA42,MAX(0,((YEAR(T$5)-YEAR($AA42))*12+MONTH(T$5)-MONTH($AA42))))&gt;=T$5)*(EDATE($AA42,MAX(0,((YEAR(T$5)-YEAR($AA42))*12+MONTH(T$5)-MONTH($AA42))))&lt;=MIN(T$5+6,$AB42))+(MOD((((YEAR(T$5)-YEAR($AA42))*12+MONTH(T$5)-MONTH($AA42))+1),$Z42)=0)*((((YEAR(T$5)-YEAR($AA42))*12+MONTH(T$5)-MONTH($AA42))+1)&gt;=0)*(EDATE($AA42,MAX(0,(((YEAR(T$5)-YEAR($AA42))*12+MONTH(T$5)-MONTH($AA42))+1)))&gt;=T$5)*(EDATE($AA42,MAX(0,(((YEAR(T$5)-YEAR($AA42))*12+MONTH(T$5)-MONTH($AA42))+1)))&lt;=MIN(T$5+6,$AB42)),($AA42&gt;=T$5)*($AA42&lt;=T$5+6))))</f>
        <v/>
      </c>
      <c r="U42" s="21">
        <f>IF($X42&lt;&gt;1,0,$D42*IF($Y42&gt;0,MAX(0,INT((MIN(U$5+6,$AB42)-$AA42)/$Y42)-MAX(0,-INT(($AA42-U$5)/$Y42))+1),IF($Z42&gt;0,(MOD(((YEAR(U$5)-YEAR($AA42))*12+MONTH(U$5)-MONTH($AA42)),$Z42)=0)*(((YEAR(U$5)-YEAR($AA42))*12+MONTH(U$5)-MONTH($AA42))&gt;=0)*(EDATE($AA42,MAX(0,((YEAR(U$5)-YEAR($AA42))*12+MONTH(U$5)-MONTH($AA42))))&gt;=U$5)*(EDATE($AA42,MAX(0,((YEAR(U$5)-YEAR($AA42))*12+MONTH(U$5)-MONTH($AA42))))&lt;=MIN(U$5+6,$AB42))+(MOD((((YEAR(U$5)-YEAR($AA42))*12+MONTH(U$5)-MONTH($AA42))+1),$Z42)=0)*((((YEAR(U$5)-YEAR($AA42))*12+MONTH(U$5)-MONTH($AA42))+1)&gt;=0)*(EDATE($AA42,MAX(0,(((YEAR(U$5)-YEAR($AA42))*12+MONTH(U$5)-MONTH($AA42))+1)))&gt;=U$5)*(EDATE($AA42,MAX(0,(((YEAR(U$5)-YEAR($AA42))*12+MONTH(U$5)-MONTH($AA42))+1)))&lt;=MIN(U$5+6,$AB42)),($AA42&gt;=U$5)*($AA42&lt;=U$5+6))))</f>
        <v/>
      </c>
      <c r="V42" s="21">
        <f>IF($X42&lt;&gt;1,0,$D42*IF($Y42&gt;0,MAX(0,INT((MIN(V$5+6,$AB42)-$AA42)/$Y42)-MAX(0,-INT(($AA42-V$5)/$Y42))+1),IF($Z42&gt;0,(MOD(((YEAR(V$5)-YEAR($AA42))*12+MONTH(V$5)-MONTH($AA42)),$Z42)=0)*(((YEAR(V$5)-YEAR($AA42))*12+MONTH(V$5)-MONTH($AA42))&gt;=0)*(EDATE($AA42,MAX(0,((YEAR(V$5)-YEAR($AA42))*12+MONTH(V$5)-MONTH($AA42))))&gt;=V$5)*(EDATE($AA42,MAX(0,((YEAR(V$5)-YEAR($AA42))*12+MONTH(V$5)-MONTH($AA42))))&lt;=MIN(V$5+6,$AB42))+(MOD((((YEAR(V$5)-YEAR($AA42))*12+MONTH(V$5)-MONTH($AA42))+1),$Z42)=0)*((((YEAR(V$5)-YEAR($AA42))*12+MONTH(V$5)-MONTH($AA42))+1)&gt;=0)*(EDATE($AA42,MAX(0,(((YEAR(V$5)-YEAR($AA42))*12+MONTH(V$5)-MONTH($AA42))+1)))&gt;=V$5)*(EDATE($AA42,MAX(0,(((YEAR(V$5)-YEAR($AA42))*12+MONTH(V$5)-MONTH($AA42))+1)))&lt;=MIN(V$5+6,$AB42)),($AA42&gt;=V$5)*($AA42&lt;=V$5+6))))</f>
        <v/>
      </c>
      <c r="W42" s="21">
        <f>IF($X42&lt;&gt;1,0,$D42*IF($Y42&gt;0,MAX(0,INT((MIN(W$5+6,$AB42)-$AA42)/$Y42)-MAX(0,-INT(($AA42-W$5)/$Y42))+1),IF($Z42&gt;0,(MOD(((YEAR(W$5)-YEAR($AA42))*12+MONTH(W$5)-MONTH($AA42)),$Z42)=0)*(((YEAR(W$5)-YEAR($AA42))*12+MONTH(W$5)-MONTH($AA42))&gt;=0)*(EDATE($AA42,MAX(0,((YEAR(W$5)-YEAR($AA42))*12+MONTH(W$5)-MONTH($AA42))))&gt;=W$5)*(EDATE($AA42,MAX(0,((YEAR(W$5)-YEAR($AA42))*12+MONTH(W$5)-MONTH($AA42))))&lt;=MIN(W$5+6,$AB42))+(MOD((((YEAR(W$5)-YEAR($AA42))*12+MONTH(W$5)-MONTH($AA42))+1),$Z42)=0)*((((YEAR(W$5)-YEAR($AA42))*12+MONTH(W$5)-MONTH($AA42))+1)&gt;=0)*(EDATE($AA42,MAX(0,(((YEAR(W$5)-YEAR($AA42))*12+MONTH(W$5)-MONTH($AA42))+1)))&gt;=W$5)*(EDATE($AA42,MAX(0,(((YEAR(W$5)-YEAR($AA42))*12+MONTH(W$5)-MONTH($AA42))+1)))&lt;=MIN(W$5+6,$AB42)),($AA42&gt;=W$5)*($AA42&lt;=W$5+6))))</f>
        <v/>
      </c>
      <c r="X42">
        <f>IF(COUNTA(A42:G42)=0,"",IF(AND(OR(B42="In",B42="Out"),ISNUMBER(D42),D42&gt;0,ISNUMBER(MATCH(E42,FreqName,0)),ISNUMBER(F42),OR(G42="",AND(ISNUMBER(G42),G42&gt;=F42))),1,0))</f>
        <v/>
      </c>
      <c r="Y42">
        <f>IF(X42&lt;&gt;1,0,INDEX(FreqDays,MATCH(E42,FreqName,0)))</f>
        <v/>
      </c>
      <c r="Z42">
        <f>IF(X42&lt;&gt;1,0,INDEX(FreqMonths,MATCH(E42,FreqName,0)))</f>
        <v/>
      </c>
      <c r="AA42">
        <f>IF(X42&lt;&gt;1,0,INT(F42))</f>
        <v/>
      </c>
      <c r="AB42">
        <f>IF(X42&lt;&gt;1,0,IF(ISNUMBER(G42),INT(G42),2958465))</f>
        <v/>
      </c>
    </row>
    <row r="43">
      <c r="A43" s="29" t="n"/>
      <c r="B43" s="29" t="n"/>
      <c r="C43" s="29" t="n"/>
      <c r="D43" s="34" t="n"/>
      <c r="E43" s="29" t="n"/>
      <c r="F43" s="24" t="n"/>
      <c r="G43" s="24" t="n"/>
      <c r="H43" s="10">
        <f>IF(X43="","",IF(X43=0,IF(AND(B43&lt;&gt;"In",B43&lt;&gt;"Out"),"Fix: choose In or Out",IF(OR(NOT(ISNUMBER(D43)),N(D43)&lt;=0),"Fix: amount must be a number above 0",IF(NOT(ISNUMBER(MATCH(E43,FreqName,0))),"Fix: choose a frequency",IF(NOT(ISNUMBER(F43)),"Fix: first date missing","Fix: end date must be a date on or after the first date")))),IF(AND(C43&lt;&gt;"",OR(AND(B43="In",ISNUMBER(MATCH(C43,InCats,0))),AND(B43="Out",ISNUMBER(MATCH(C43,OutCats,0))))),"OK","Category not on Settings (counted as Other)")))</f>
        <v/>
      </c>
      <c r="I43" s="35">
        <f>IF(X43&lt;&gt;1,"",ROUND(J43/D43,0))</f>
        <v/>
      </c>
      <c r="J43" s="36">
        <f>SUM(K43:W43)</f>
        <v/>
      </c>
      <c r="K43" s="21">
        <f>IF($X43&lt;&gt;1,0,$D43*IF($Y43&gt;0,MAX(0,INT((MIN(K$5+6,$AB43)-$AA43)/$Y43)-MAX(0,-INT(($AA43-K$5)/$Y43))+1),IF($Z43&gt;0,(MOD(((YEAR(K$5)-YEAR($AA43))*12+MONTH(K$5)-MONTH($AA43)),$Z43)=0)*(((YEAR(K$5)-YEAR($AA43))*12+MONTH(K$5)-MONTH($AA43))&gt;=0)*(EDATE($AA43,MAX(0,((YEAR(K$5)-YEAR($AA43))*12+MONTH(K$5)-MONTH($AA43))))&gt;=K$5)*(EDATE($AA43,MAX(0,((YEAR(K$5)-YEAR($AA43))*12+MONTH(K$5)-MONTH($AA43))))&lt;=MIN(K$5+6,$AB43))+(MOD((((YEAR(K$5)-YEAR($AA43))*12+MONTH(K$5)-MONTH($AA43))+1),$Z43)=0)*((((YEAR(K$5)-YEAR($AA43))*12+MONTH(K$5)-MONTH($AA43))+1)&gt;=0)*(EDATE($AA43,MAX(0,(((YEAR(K$5)-YEAR($AA43))*12+MONTH(K$5)-MONTH($AA43))+1)))&gt;=K$5)*(EDATE($AA43,MAX(0,(((YEAR(K$5)-YEAR($AA43))*12+MONTH(K$5)-MONTH($AA43))+1)))&lt;=MIN(K$5+6,$AB43)),($AA43&gt;=K$5)*($AA43&lt;=K$5+6))))</f>
        <v/>
      </c>
      <c r="L43" s="21">
        <f>IF($X43&lt;&gt;1,0,$D43*IF($Y43&gt;0,MAX(0,INT((MIN(L$5+6,$AB43)-$AA43)/$Y43)-MAX(0,-INT(($AA43-L$5)/$Y43))+1),IF($Z43&gt;0,(MOD(((YEAR(L$5)-YEAR($AA43))*12+MONTH(L$5)-MONTH($AA43)),$Z43)=0)*(((YEAR(L$5)-YEAR($AA43))*12+MONTH(L$5)-MONTH($AA43))&gt;=0)*(EDATE($AA43,MAX(0,((YEAR(L$5)-YEAR($AA43))*12+MONTH(L$5)-MONTH($AA43))))&gt;=L$5)*(EDATE($AA43,MAX(0,((YEAR(L$5)-YEAR($AA43))*12+MONTH(L$5)-MONTH($AA43))))&lt;=MIN(L$5+6,$AB43))+(MOD((((YEAR(L$5)-YEAR($AA43))*12+MONTH(L$5)-MONTH($AA43))+1),$Z43)=0)*((((YEAR(L$5)-YEAR($AA43))*12+MONTH(L$5)-MONTH($AA43))+1)&gt;=0)*(EDATE($AA43,MAX(0,(((YEAR(L$5)-YEAR($AA43))*12+MONTH(L$5)-MONTH($AA43))+1)))&gt;=L$5)*(EDATE($AA43,MAX(0,(((YEAR(L$5)-YEAR($AA43))*12+MONTH(L$5)-MONTH($AA43))+1)))&lt;=MIN(L$5+6,$AB43)),($AA43&gt;=L$5)*($AA43&lt;=L$5+6))))</f>
        <v/>
      </c>
      <c r="M43" s="21">
        <f>IF($X43&lt;&gt;1,0,$D43*IF($Y43&gt;0,MAX(0,INT((MIN(M$5+6,$AB43)-$AA43)/$Y43)-MAX(0,-INT(($AA43-M$5)/$Y43))+1),IF($Z43&gt;0,(MOD(((YEAR(M$5)-YEAR($AA43))*12+MONTH(M$5)-MONTH($AA43)),$Z43)=0)*(((YEAR(M$5)-YEAR($AA43))*12+MONTH(M$5)-MONTH($AA43))&gt;=0)*(EDATE($AA43,MAX(0,((YEAR(M$5)-YEAR($AA43))*12+MONTH(M$5)-MONTH($AA43))))&gt;=M$5)*(EDATE($AA43,MAX(0,((YEAR(M$5)-YEAR($AA43))*12+MONTH(M$5)-MONTH($AA43))))&lt;=MIN(M$5+6,$AB43))+(MOD((((YEAR(M$5)-YEAR($AA43))*12+MONTH(M$5)-MONTH($AA43))+1),$Z43)=0)*((((YEAR(M$5)-YEAR($AA43))*12+MONTH(M$5)-MONTH($AA43))+1)&gt;=0)*(EDATE($AA43,MAX(0,(((YEAR(M$5)-YEAR($AA43))*12+MONTH(M$5)-MONTH($AA43))+1)))&gt;=M$5)*(EDATE($AA43,MAX(0,(((YEAR(M$5)-YEAR($AA43))*12+MONTH(M$5)-MONTH($AA43))+1)))&lt;=MIN(M$5+6,$AB43)),($AA43&gt;=M$5)*($AA43&lt;=M$5+6))))</f>
        <v/>
      </c>
      <c r="N43" s="21">
        <f>IF($X43&lt;&gt;1,0,$D43*IF($Y43&gt;0,MAX(0,INT((MIN(N$5+6,$AB43)-$AA43)/$Y43)-MAX(0,-INT(($AA43-N$5)/$Y43))+1),IF($Z43&gt;0,(MOD(((YEAR(N$5)-YEAR($AA43))*12+MONTH(N$5)-MONTH($AA43)),$Z43)=0)*(((YEAR(N$5)-YEAR($AA43))*12+MONTH(N$5)-MONTH($AA43))&gt;=0)*(EDATE($AA43,MAX(0,((YEAR(N$5)-YEAR($AA43))*12+MONTH(N$5)-MONTH($AA43))))&gt;=N$5)*(EDATE($AA43,MAX(0,((YEAR(N$5)-YEAR($AA43))*12+MONTH(N$5)-MONTH($AA43))))&lt;=MIN(N$5+6,$AB43))+(MOD((((YEAR(N$5)-YEAR($AA43))*12+MONTH(N$5)-MONTH($AA43))+1),$Z43)=0)*((((YEAR(N$5)-YEAR($AA43))*12+MONTH(N$5)-MONTH($AA43))+1)&gt;=0)*(EDATE($AA43,MAX(0,(((YEAR(N$5)-YEAR($AA43))*12+MONTH(N$5)-MONTH($AA43))+1)))&gt;=N$5)*(EDATE($AA43,MAX(0,(((YEAR(N$5)-YEAR($AA43))*12+MONTH(N$5)-MONTH($AA43))+1)))&lt;=MIN(N$5+6,$AB43)),($AA43&gt;=N$5)*($AA43&lt;=N$5+6))))</f>
        <v/>
      </c>
      <c r="O43" s="21">
        <f>IF($X43&lt;&gt;1,0,$D43*IF($Y43&gt;0,MAX(0,INT((MIN(O$5+6,$AB43)-$AA43)/$Y43)-MAX(0,-INT(($AA43-O$5)/$Y43))+1),IF($Z43&gt;0,(MOD(((YEAR(O$5)-YEAR($AA43))*12+MONTH(O$5)-MONTH($AA43)),$Z43)=0)*(((YEAR(O$5)-YEAR($AA43))*12+MONTH(O$5)-MONTH($AA43))&gt;=0)*(EDATE($AA43,MAX(0,((YEAR(O$5)-YEAR($AA43))*12+MONTH(O$5)-MONTH($AA43))))&gt;=O$5)*(EDATE($AA43,MAX(0,((YEAR(O$5)-YEAR($AA43))*12+MONTH(O$5)-MONTH($AA43))))&lt;=MIN(O$5+6,$AB43))+(MOD((((YEAR(O$5)-YEAR($AA43))*12+MONTH(O$5)-MONTH($AA43))+1),$Z43)=0)*((((YEAR(O$5)-YEAR($AA43))*12+MONTH(O$5)-MONTH($AA43))+1)&gt;=0)*(EDATE($AA43,MAX(0,(((YEAR(O$5)-YEAR($AA43))*12+MONTH(O$5)-MONTH($AA43))+1)))&gt;=O$5)*(EDATE($AA43,MAX(0,(((YEAR(O$5)-YEAR($AA43))*12+MONTH(O$5)-MONTH($AA43))+1)))&lt;=MIN(O$5+6,$AB43)),($AA43&gt;=O$5)*($AA43&lt;=O$5+6))))</f>
        <v/>
      </c>
      <c r="P43" s="21">
        <f>IF($X43&lt;&gt;1,0,$D43*IF($Y43&gt;0,MAX(0,INT((MIN(P$5+6,$AB43)-$AA43)/$Y43)-MAX(0,-INT(($AA43-P$5)/$Y43))+1),IF($Z43&gt;0,(MOD(((YEAR(P$5)-YEAR($AA43))*12+MONTH(P$5)-MONTH($AA43)),$Z43)=0)*(((YEAR(P$5)-YEAR($AA43))*12+MONTH(P$5)-MONTH($AA43))&gt;=0)*(EDATE($AA43,MAX(0,((YEAR(P$5)-YEAR($AA43))*12+MONTH(P$5)-MONTH($AA43))))&gt;=P$5)*(EDATE($AA43,MAX(0,((YEAR(P$5)-YEAR($AA43))*12+MONTH(P$5)-MONTH($AA43))))&lt;=MIN(P$5+6,$AB43))+(MOD((((YEAR(P$5)-YEAR($AA43))*12+MONTH(P$5)-MONTH($AA43))+1),$Z43)=0)*((((YEAR(P$5)-YEAR($AA43))*12+MONTH(P$5)-MONTH($AA43))+1)&gt;=0)*(EDATE($AA43,MAX(0,(((YEAR(P$5)-YEAR($AA43))*12+MONTH(P$5)-MONTH($AA43))+1)))&gt;=P$5)*(EDATE($AA43,MAX(0,(((YEAR(P$5)-YEAR($AA43))*12+MONTH(P$5)-MONTH($AA43))+1)))&lt;=MIN(P$5+6,$AB43)),($AA43&gt;=P$5)*($AA43&lt;=P$5+6))))</f>
        <v/>
      </c>
      <c r="Q43" s="21">
        <f>IF($X43&lt;&gt;1,0,$D43*IF($Y43&gt;0,MAX(0,INT((MIN(Q$5+6,$AB43)-$AA43)/$Y43)-MAX(0,-INT(($AA43-Q$5)/$Y43))+1),IF($Z43&gt;0,(MOD(((YEAR(Q$5)-YEAR($AA43))*12+MONTH(Q$5)-MONTH($AA43)),$Z43)=0)*(((YEAR(Q$5)-YEAR($AA43))*12+MONTH(Q$5)-MONTH($AA43))&gt;=0)*(EDATE($AA43,MAX(0,((YEAR(Q$5)-YEAR($AA43))*12+MONTH(Q$5)-MONTH($AA43))))&gt;=Q$5)*(EDATE($AA43,MAX(0,((YEAR(Q$5)-YEAR($AA43))*12+MONTH(Q$5)-MONTH($AA43))))&lt;=MIN(Q$5+6,$AB43))+(MOD((((YEAR(Q$5)-YEAR($AA43))*12+MONTH(Q$5)-MONTH($AA43))+1),$Z43)=0)*((((YEAR(Q$5)-YEAR($AA43))*12+MONTH(Q$5)-MONTH($AA43))+1)&gt;=0)*(EDATE($AA43,MAX(0,(((YEAR(Q$5)-YEAR($AA43))*12+MONTH(Q$5)-MONTH($AA43))+1)))&gt;=Q$5)*(EDATE($AA43,MAX(0,(((YEAR(Q$5)-YEAR($AA43))*12+MONTH(Q$5)-MONTH($AA43))+1)))&lt;=MIN(Q$5+6,$AB43)),($AA43&gt;=Q$5)*($AA43&lt;=Q$5+6))))</f>
        <v/>
      </c>
      <c r="R43" s="21">
        <f>IF($X43&lt;&gt;1,0,$D43*IF($Y43&gt;0,MAX(0,INT((MIN(R$5+6,$AB43)-$AA43)/$Y43)-MAX(0,-INT(($AA43-R$5)/$Y43))+1),IF($Z43&gt;0,(MOD(((YEAR(R$5)-YEAR($AA43))*12+MONTH(R$5)-MONTH($AA43)),$Z43)=0)*(((YEAR(R$5)-YEAR($AA43))*12+MONTH(R$5)-MONTH($AA43))&gt;=0)*(EDATE($AA43,MAX(0,((YEAR(R$5)-YEAR($AA43))*12+MONTH(R$5)-MONTH($AA43))))&gt;=R$5)*(EDATE($AA43,MAX(0,((YEAR(R$5)-YEAR($AA43))*12+MONTH(R$5)-MONTH($AA43))))&lt;=MIN(R$5+6,$AB43))+(MOD((((YEAR(R$5)-YEAR($AA43))*12+MONTH(R$5)-MONTH($AA43))+1),$Z43)=0)*((((YEAR(R$5)-YEAR($AA43))*12+MONTH(R$5)-MONTH($AA43))+1)&gt;=0)*(EDATE($AA43,MAX(0,(((YEAR(R$5)-YEAR($AA43))*12+MONTH(R$5)-MONTH($AA43))+1)))&gt;=R$5)*(EDATE($AA43,MAX(0,(((YEAR(R$5)-YEAR($AA43))*12+MONTH(R$5)-MONTH($AA43))+1)))&lt;=MIN(R$5+6,$AB43)),($AA43&gt;=R$5)*($AA43&lt;=R$5+6))))</f>
        <v/>
      </c>
      <c r="S43" s="21">
        <f>IF($X43&lt;&gt;1,0,$D43*IF($Y43&gt;0,MAX(0,INT((MIN(S$5+6,$AB43)-$AA43)/$Y43)-MAX(0,-INT(($AA43-S$5)/$Y43))+1),IF($Z43&gt;0,(MOD(((YEAR(S$5)-YEAR($AA43))*12+MONTH(S$5)-MONTH($AA43)),$Z43)=0)*(((YEAR(S$5)-YEAR($AA43))*12+MONTH(S$5)-MONTH($AA43))&gt;=0)*(EDATE($AA43,MAX(0,((YEAR(S$5)-YEAR($AA43))*12+MONTH(S$5)-MONTH($AA43))))&gt;=S$5)*(EDATE($AA43,MAX(0,((YEAR(S$5)-YEAR($AA43))*12+MONTH(S$5)-MONTH($AA43))))&lt;=MIN(S$5+6,$AB43))+(MOD((((YEAR(S$5)-YEAR($AA43))*12+MONTH(S$5)-MONTH($AA43))+1),$Z43)=0)*((((YEAR(S$5)-YEAR($AA43))*12+MONTH(S$5)-MONTH($AA43))+1)&gt;=0)*(EDATE($AA43,MAX(0,(((YEAR(S$5)-YEAR($AA43))*12+MONTH(S$5)-MONTH($AA43))+1)))&gt;=S$5)*(EDATE($AA43,MAX(0,(((YEAR(S$5)-YEAR($AA43))*12+MONTH(S$5)-MONTH($AA43))+1)))&lt;=MIN(S$5+6,$AB43)),($AA43&gt;=S$5)*($AA43&lt;=S$5+6))))</f>
        <v/>
      </c>
      <c r="T43" s="21">
        <f>IF($X43&lt;&gt;1,0,$D43*IF($Y43&gt;0,MAX(0,INT((MIN(T$5+6,$AB43)-$AA43)/$Y43)-MAX(0,-INT(($AA43-T$5)/$Y43))+1),IF($Z43&gt;0,(MOD(((YEAR(T$5)-YEAR($AA43))*12+MONTH(T$5)-MONTH($AA43)),$Z43)=0)*(((YEAR(T$5)-YEAR($AA43))*12+MONTH(T$5)-MONTH($AA43))&gt;=0)*(EDATE($AA43,MAX(0,((YEAR(T$5)-YEAR($AA43))*12+MONTH(T$5)-MONTH($AA43))))&gt;=T$5)*(EDATE($AA43,MAX(0,((YEAR(T$5)-YEAR($AA43))*12+MONTH(T$5)-MONTH($AA43))))&lt;=MIN(T$5+6,$AB43))+(MOD((((YEAR(T$5)-YEAR($AA43))*12+MONTH(T$5)-MONTH($AA43))+1),$Z43)=0)*((((YEAR(T$5)-YEAR($AA43))*12+MONTH(T$5)-MONTH($AA43))+1)&gt;=0)*(EDATE($AA43,MAX(0,(((YEAR(T$5)-YEAR($AA43))*12+MONTH(T$5)-MONTH($AA43))+1)))&gt;=T$5)*(EDATE($AA43,MAX(0,(((YEAR(T$5)-YEAR($AA43))*12+MONTH(T$5)-MONTH($AA43))+1)))&lt;=MIN(T$5+6,$AB43)),($AA43&gt;=T$5)*($AA43&lt;=T$5+6))))</f>
        <v/>
      </c>
      <c r="U43" s="21">
        <f>IF($X43&lt;&gt;1,0,$D43*IF($Y43&gt;0,MAX(0,INT((MIN(U$5+6,$AB43)-$AA43)/$Y43)-MAX(0,-INT(($AA43-U$5)/$Y43))+1),IF($Z43&gt;0,(MOD(((YEAR(U$5)-YEAR($AA43))*12+MONTH(U$5)-MONTH($AA43)),$Z43)=0)*(((YEAR(U$5)-YEAR($AA43))*12+MONTH(U$5)-MONTH($AA43))&gt;=0)*(EDATE($AA43,MAX(0,((YEAR(U$5)-YEAR($AA43))*12+MONTH(U$5)-MONTH($AA43))))&gt;=U$5)*(EDATE($AA43,MAX(0,((YEAR(U$5)-YEAR($AA43))*12+MONTH(U$5)-MONTH($AA43))))&lt;=MIN(U$5+6,$AB43))+(MOD((((YEAR(U$5)-YEAR($AA43))*12+MONTH(U$5)-MONTH($AA43))+1),$Z43)=0)*((((YEAR(U$5)-YEAR($AA43))*12+MONTH(U$5)-MONTH($AA43))+1)&gt;=0)*(EDATE($AA43,MAX(0,(((YEAR(U$5)-YEAR($AA43))*12+MONTH(U$5)-MONTH($AA43))+1)))&gt;=U$5)*(EDATE($AA43,MAX(0,(((YEAR(U$5)-YEAR($AA43))*12+MONTH(U$5)-MONTH($AA43))+1)))&lt;=MIN(U$5+6,$AB43)),($AA43&gt;=U$5)*($AA43&lt;=U$5+6))))</f>
        <v/>
      </c>
      <c r="V43" s="21">
        <f>IF($X43&lt;&gt;1,0,$D43*IF($Y43&gt;0,MAX(0,INT((MIN(V$5+6,$AB43)-$AA43)/$Y43)-MAX(0,-INT(($AA43-V$5)/$Y43))+1),IF($Z43&gt;0,(MOD(((YEAR(V$5)-YEAR($AA43))*12+MONTH(V$5)-MONTH($AA43)),$Z43)=0)*(((YEAR(V$5)-YEAR($AA43))*12+MONTH(V$5)-MONTH($AA43))&gt;=0)*(EDATE($AA43,MAX(0,((YEAR(V$5)-YEAR($AA43))*12+MONTH(V$5)-MONTH($AA43))))&gt;=V$5)*(EDATE($AA43,MAX(0,((YEAR(V$5)-YEAR($AA43))*12+MONTH(V$5)-MONTH($AA43))))&lt;=MIN(V$5+6,$AB43))+(MOD((((YEAR(V$5)-YEAR($AA43))*12+MONTH(V$5)-MONTH($AA43))+1),$Z43)=0)*((((YEAR(V$5)-YEAR($AA43))*12+MONTH(V$5)-MONTH($AA43))+1)&gt;=0)*(EDATE($AA43,MAX(0,(((YEAR(V$5)-YEAR($AA43))*12+MONTH(V$5)-MONTH($AA43))+1)))&gt;=V$5)*(EDATE($AA43,MAX(0,(((YEAR(V$5)-YEAR($AA43))*12+MONTH(V$5)-MONTH($AA43))+1)))&lt;=MIN(V$5+6,$AB43)),($AA43&gt;=V$5)*($AA43&lt;=V$5+6))))</f>
        <v/>
      </c>
      <c r="W43" s="21">
        <f>IF($X43&lt;&gt;1,0,$D43*IF($Y43&gt;0,MAX(0,INT((MIN(W$5+6,$AB43)-$AA43)/$Y43)-MAX(0,-INT(($AA43-W$5)/$Y43))+1),IF($Z43&gt;0,(MOD(((YEAR(W$5)-YEAR($AA43))*12+MONTH(W$5)-MONTH($AA43)),$Z43)=0)*(((YEAR(W$5)-YEAR($AA43))*12+MONTH(W$5)-MONTH($AA43))&gt;=0)*(EDATE($AA43,MAX(0,((YEAR(W$5)-YEAR($AA43))*12+MONTH(W$5)-MONTH($AA43))))&gt;=W$5)*(EDATE($AA43,MAX(0,((YEAR(W$5)-YEAR($AA43))*12+MONTH(W$5)-MONTH($AA43))))&lt;=MIN(W$5+6,$AB43))+(MOD((((YEAR(W$5)-YEAR($AA43))*12+MONTH(W$5)-MONTH($AA43))+1),$Z43)=0)*((((YEAR(W$5)-YEAR($AA43))*12+MONTH(W$5)-MONTH($AA43))+1)&gt;=0)*(EDATE($AA43,MAX(0,(((YEAR(W$5)-YEAR($AA43))*12+MONTH(W$5)-MONTH($AA43))+1)))&gt;=W$5)*(EDATE($AA43,MAX(0,(((YEAR(W$5)-YEAR($AA43))*12+MONTH(W$5)-MONTH($AA43))+1)))&lt;=MIN(W$5+6,$AB43)),($AA43&gt;=W$5)*($AA43&lt;=W$5+6))))</f>
        <v/>
      </c>
      <c r="X43">
        <f>IF(COUNTA(A43:G43)=0,"",IF(AND(OR(B43="In",B43="Out"),ISNUMBER(D43),D43&gt;0,ISNUMBER(MATCH(E43,FreqName,0)),ISNUMBER(F43),OR(G43="",AND(ISNUMBER(G43),G43&gt;=F43))),1,0))</f>
        <v/>
      </c>
      <c r="Y43">
        <f>IF(X43&lt;&gt;1,0,INDEX(FreqDays,MATCH(E43,FreqName,0)))</f>
        <v/>
      </c>
      <c r="Z43">
        <f>IF(X43&lt;&gt;1,0,INDEX(FreqMonths,MATCH(E43,FreqName,0)))</f>
        <v/>
      </c>
      <c r="AA43">
        <f>IF(X43&lt;&gt;1,0,INT(F43))</f>
        <v/>
      </c>
      <c r="AB43">
        <f>IF(X43&lt;&gt;1,0,IF(ISNUMBER(G43),INT(G43),2958465))</f>
        <v/>
      </c>
    </row>
    <row r="44">
      <c r="A44" s="29" t="n"/>
      <c r="B44" s="29" t="n"/>
      <c r="C44" s="29" t="n"/>
      <c r="D44" s="34" t="n"/>
      <c r="E44" s="29" t="n"/>
      <c r="F44" s="24" t="n"/>
      <c r="G44" s="24" t="n"/>
      <c r="H44" s="10">
        <f>IF(X44="","",IF(X44=0,IF(AND(B44&lt;&gt;"In",B44&lt;&gt;"Out"),"Fix: choose In or Out",IF(OR(NOT(ISNUMBER(D44)),N(D44)&lt;=0),"Fix: amount must be a number above 0",IF(NOT(ISNUMBER(MATCH(E44,FreqName,0))),"Fix: choose a frequency",IF(NOT(ISNUMBER(F44)),"Fix: first date missing","Fix: end date must be a date on or after the first date")))),IF(AND(C44&lt;&gt;"",OR(AND(B44="In",ISNUMBER(MATCH(C44,InCats,0))),AND(B44="Out",ISNUMBER(MATCH(C44,OutCats,0))))),"OK","Category not on Settings (counted as Other)")))</f>
        <v/>
      </c>
      <c r="I44" s="35">
        <f>IF(X44&lt;&gt;1,"",ROUND(J44/D44,0))</f>
        <v/>
      </c>
      <c r="J44" s="36">
        <f>SUM(K44:W44)</f>
        <v/>
      </c>
      <c r="K44" s="21">
        <f>IF($X44&lt;&gt;1,0,$D44*IF($Y44&gt;0,MAX(0,INT((MIN(K$5+6,$AB44)-$AA44)/$Y44)-MAX(0,-INT(($AA44-K$5)/$Y44))+1),IF($Z44&gt;0,(MOD(((YEAR(K$5)-YEAR($AA44))*12+MONTH(K$5)-MONTH($AA44)),$Z44)=0)*(((YEAR(K$5)-YEAR($AA44))*12+MONTH(K$5)-MONTH($AA44))&gt;=0)*(EDATE($AA44,MAX(0,((YEAR(K$5)-YEAR($AA44))*12+MONTH(K$5)-MONTH($AA44))))&gt;=K$5)*(EDATE($AA44,MAX(0,((YEAR(K$5)-YEAR($AA44))*12+MONTH(K$5)-MONTH($AA44))))&lt;=MIN(K$5+6,$AB44))+(MOD((((YEAR(K$5)-YEAR($AA44))*12+MONTH(K$5)-MONTH($AA44))+1),$Z44)=0)*((((YEAR(K$5)-YEAR($AA44))*12+MONTH(K$5)-MONTH($AA44))+1)&gt;=0)*(EDATE($AA44,MAX(0,(((YEAR(K$5)-YEAR($AA44))*12+MONTH(K$5)-MONTH($AA44))+1)))&gt;=K$5)*(EDATE($AA44,MAX(0,(((YEAR(K$5)-YEAR($AA44))*12+MONTH(K$5)-MONTH($AA44))+1)))&lt;=MIN(K$5+6,$AB44)),($AA44&gt;=K$5)*($AA44&lt;=K$5+6))))</f>
        <v/>
      </c>
      <c r="L44" s="21">
        <f>IF($X44&lt;&gt;1,0,$D44*IF($Y44&gt;0,MAX(0,INT((MIN(L$5+6,$AB44)-$AA44)/$Y44)-MAX(0,-INT(($AA44-L$5)/$Y44))+1),IF($Z44&gt;0,(MOD(((YEAR(L$5)-YEAR($AA44))*12+MONTH(L$5)-MONTH($AA44)),$Z44)=0)*(((YEAR(L$5)-YEAR($AA44))*12+MONTH(L$5)-MONTH($AA44))&gt;=0)*(EDATE($AA44,MAX(0,((YEAR(L$5)-YEAR($AA44))*12+MONTH(L$5)-MONTH($AA44))))&gt;=L$5)*(EDATE($AA44,MAX(0,((YEAR(L$5)-YEAR($AA44))*12+MONTH(L$5)-MONTH($AA44))))&lt;=MIN(L$5+6,$AB44))+(MOD((((YEAR(L$5)-YEAR($AA44))*12+MONTH(L$5)-MONTH($AA44))+1),$Z44)=0)*((((YEAR(L$5)-YEAR($AA44))*12+MONTH(L$5)-MONTH($AA44))+1)&gt;=0)*(EDATE($AA44,MAX(0,(((YEAR(L$5)-YEAR($AA44))*12+MONTH(L$5)-MONTH($AA44))+1)))&gt;=L$5)*(EDATE($AA44,MAX(0,(((YEAR(L$5)-YEAR($AA44))*12+MONTH(L$5)-MONTH($AA44))+1)))&lt;=MIN(L$5+6,$AB44)),($AA44&gt;=L$5)*($AA44&lt;=L$5+6))))</f>
        <v/>
      </c>
      <c r="M44" s="21">
        <f>IF($X44&lt;&gt;1,0,$D44*IF($Y44&gt;0,MAX(0,INT((MIN(M$5+6,$AB44)-$AA44)/$Y44)-MAX(0,-INT(($AA44-M$5)/$Y44))+1),IF($Z44&gt;0,(MOD(((YEAR(M$5)-YEAR($AA44))*12+MONTH(M$5)-MONTH($AA44)),$Z44)=0)*(((YEAR(M$5)-YEAR($AA44))*12+MONTH(M$5)-MONTH($AA44))&gt;=0)*(EDATE($AA44,MAX(0,((YEAR(M$5)-YEAR($AA44))*12+MONTH(M$5)-MONTH($AA44))))&gt;=M$5)*(EDATE($AA44,MAX(0,((YEAR(M$5)-YEAR($AA44))*12+MONTH(M$5)-MONTH($AA44))))&lt;=MIN(M$5+6,$AB44))+(MOD((((YEAR(M$5)-YEAR($AA44))*12+MONTH(M$5)-MONTH($AA44))+1),$Z44)=0)*((((YEAR(M$5)-YEAR($AA44))*12+MONTH(M$5)-MONTH($AA44))+1)&gt;=0)*(EDATE($AA44,MAX(0,(((YEAR(M$5)-YEAR($AA44))*12+MONTH(M$5)-MONTH($AA44))+1)))&gt;=M$5)*(EDATE($AA44,MAX(0,(((YEAR(M$5)-YEAR($AA44))*12+MONTH(M$5)-MONTH($AA44))+1)))&lt;=MIN(M$5+6,$AB44)),($AA44&gt;=M$5)*($AA44&lt;=M$5+6))))</f>
        <v/>
      </c>
      <c r="N44" s="21">
        <f>IF($X44&lt;&gt;1,0,$D44*IF($Y44&gt;0,MAX(0,INT((MIN(N$5+6,$AB44)-$AA44)/$Y44)-MAX(0,-INT(($AA44-N$5)/$Y44))+1),IF($Z44&gt;0,(MOD(((YEAR(N$5)-YEAR($AA44))*12+MONTH(N$5)-MONTH($AA44)),$Z44)=0)*(((YEAR(N$5)-YEAR($AA44))*12+MONTH(N$5)-MONTH($AA44))&gt;=0)*(EDATE($AA44,MAX(0,((YEAR(N$5)-YEAR($AA44))*12+MONTH(N$5)-MONTH($AA44))))&gt;=N$5)*(EDATE($AA44,MAX(0,((YEAR(N$5)-YEAR($AA44))*12+MONTH(N$5)-MONTH($AA44))))&lt;=MIN(N$5+6,$AB44))+(MOD((((YEAR(N$5)-YEAR($AA44))*12+MONTH(N$5)-MONTH($AA44))+1),$Z44)=0)*((((YEAR(N$5)-YEAR($AA44))*12+MONTH(N$5)-MONTH($AA44))+1)&gt;=0)*(EDATE($AA44,MAX(0,(((YEAR(N$5)-YEAR($AA44))*12+MONTH(N$5)-MONTH($AA44))+1)))&gt;=N$5)*(EDATE($AA44,MAX(0,(((YEAR(N$5)-YEAR($AA44))*12+MONTH(N$5)-MONTH($AA44))+1)))&lt;=MIN(N$5+6,$AB44)),($AA44&gt;=N$5)*($AA44&lt;=N$5+6))))</f>
        <v/>
      </c>
      <c r="O44" s="21">
        <f>IF($X44&lt;&gt;1,0,$D44*IF($Y44&gt;0,MAX(0,INT((MIN(O$5+6,$AB44)-$AA44)/$Y44)-MAX(0,-INT(($AA44-O$5)/$Y44))+1),IF($Z44&gt;0,(MOD(((YEAR(O$5)-YEAR($AA44))*12+MONTH(O$5)-MONTH($AA44)),$Z44)=0)*(((YEAR(O$5)-YEAR($AA44))*12+MONTH(O$5)-MONTH($AA44))&gt;=0)*(EDATE($AA44,MAX(0,((YEAR(O$5)-YEAR($AA44))*12+MONTH(O$5)-MONTH($AA44))))&gt;=O$5)*(EDATE($AA44,MAX(0,((YEAR(O$5)-YEAR($AA44))*12+MONTH(O$5)-MONTH($AA44))))&lt;=MIN(O$5+6,$AB44))+(MOD((((YEAR(O$5)-YEAR($AA44))*12+MONTH(O$5)-MONTH($AA44))+1),$Z44)=0)*((((YEAR(O$5)-YEAR($AA44))*12+MONTH(O$5)-MONTH($AA44))+1)&gt;=0)*(EDATE($AA44,MAX(0,(((YEAR(O$5)-YEAR($AA44))*12+MONTH(O$5)-MONTH($AA44))+1)))&gt;=O$5)*(EDATE($AA44,MAX(0,(((YEAR(O$5)-YEAR($AA44))*12+MONTH(O$5)-MONTH($AA44))+1)))&lt;=MIN(O$5+6,$AB44)),($AA44&gt;=O$5)*($AA44&lt;=O$5+6))))</f>
        <v/>
      </c>
      <c r="P44" s="21">
        <f>IF($X44&lt;&gt;1,0,$D44*IF($Y44&gt;0,MAX(0,INT((MIN(P$5+6,$AB44)-$AA44)/$Y44)-MAX(0,-INT(($AA44-P$5)/$Y44))+1),IF($Z44&gt;0,(MOD(((YEAR(P$5)-YEAR($AA44))*12+MONTH(P$5)-MONTH($AA44)),$Z44)=0)*(((YEAR(P$5)-YEAR($AA44))*12+MONTH(P$5)-MONTH($AA44))&gt;=0)*(EDATE($AA44,MAX(0,((YEAR(P$5)-YEAR($AA44))*12+MONTH(P$5)-MONTH($AA44))))&gt;=P$5)*(EDATE($AA44,MAX(0,((YEAR(P$5)-YEAR($AA44))*12+MONTH(P$5)-MONTH($AA44))))&lt;=MIN(P$5+6,$AB44))+(MOD((((YEAR(P$5)-YEAR($AA44))*12+MONTH(P$5)-MONTH($AA44))+1),$Z44)=0)*((((YEAR(P$5)-YEAR($AA44))*12+MONTH(P$5)-MONTH($AA44))+1)&gt;=0)*(EDATE($AA44,MAX(0,(((YEAR(P$5)-YEAR($AA44))*12+MONTH(P$5)-MONTH($AA44))+1)))&gt;=P$5)*(EDATE($AA44,MAX(0,(((YEAR(P$5)-YEAR($AA44))*12+MONTH(P$5)-MONTH($AA44))+1)))&lt;=MIN(P$5+6,$AB44)),($AA44&gt;=P$5)*($AA44&lt;=P$5+6))))</f>
        <v/>
      </c>
      <c r="Q44" s="21">
        <f>IF($X44&lt;&gt;1,0,$D44*IF($Y44&gt;0,MAX(0,INT((MIN(Q$5+6,$AB44)-$AA44)/$Y44)-MAX(0,-INT(($AA44-Q$5)/$Y44))+1),IF($Z44&gt;0,(MOD(((YEAR(Q$5)-YEAR($AA44))*12+MONTH(Q$5)-MONTH($AA44)),$Z44)=0)*(((YEAR(Q$5)-YEAR($AA44))*12+MONTH(Q$5)-MONTH($AA44))&gt;=0)*(EDATE($AA44,MAX(0,((YEAR(Q$5)-YEAR($AA44))*12+MONTH(Q$5)-MONTH($AA44))))&gt;=Q$5)*(EDATE($AA44,MAX(0,((YEAR(Q$5)-YEAR($AA44))*12+MONTH(Q$5)-MONTH($AA44))))&lt;=MIN(Q$5+6,$AB44))+(MOD((((YEAR(Q$5)-YEAR($AA44))*12+MONTH(Q$5)-MONTH($AA44))+1),$Z44)=0)*((((YEAR(Q$5)-YEAR($AA44))*12+MONTH(Q$5)-MONTH($AA44))+1)&gt;=0)*(EDATE($AA44,MAX(0,(((YEAR(Q$5)-YEAR($AA44))*12+MONTH(Q$5)-MONTH($AA44))+1)))&gt;=Q$5)*(EDATE($AA44,MAX(0,(((YEAR(Q$5)-YEAR($AA44))*12+MONTH(Q$5)-MONTH($AA44))+1)))&lt;=MIN(Q$5+6,$AB44)),($AA44&gt;=Q$5)*($AA44&lt;=Q$5+6))))</f>
        <v/>
      </c>
      <c r="R44" s="21">
        <f>IF($X44&lt;&gt;1,0,$D44*IF($Y44&gt;0,MAX(0,INT((MIN(R$5+6,$AB44)-$AA44)/$Y44)-MAX(0,-INT(($AA44-R$5)/$Y44))+1),IF($Z44&gt;0,(MOD(((YEAR(R$5)-YEAR($AA44))*12+MONTH(R$5)-MONTH($AA44)),$Z44)=0)*(((YEAR(R$5)-YEAR($AA44))*12+MONTH(R$5)-MONTH($AA44))&gt;=0)*(EDATE($AA44,MAX(0,((YEAR(R$5)-YEAR($AA44))*12+MONTH(R$5)-MONTH($AA44))))&gt;=R$5)*(EDATE($AA44,MAX(0,((YEAR(R$5)-YEAR($AA44))*12+MONTH(R$5)-MONTH($AA44))))&lt;=MIN(R$5+6,$AB44))+(MOD((((YEAR(R$5)-YEAR($AA44))*12+MONTH(R$5)-MONTH($AA44))+1),$Z44)=0)*((((YEAR(R$5)-YEAR($AA44))*12+MONTH(R$5)-MONTH($AA44))+1)&gt;=0)*(EDATE($AA44,MAX(0,(((YEAR(R$5)-YEAR($AA44))*12+MONTH(R$5)-MONTH($AA44))+1)))&gt;=R$5)*(EDATE($AA44,MAX(0,(((YEAR(R$5)-YEAR($AA44))*12+MONTH(R$5)-MONTH($AA44))+1)))&lt;=MIN(R$5+6,$AB44)),($AA44&gt;=R$5)*($AA44&lt;=R$5+6))))</f>
        <v/>
      </c>
      <c r="S44" s="21">
        <f>IF($X44&lt;&gt;1,0,$D44*IF($Y44&gt;0,MAX(0,INT((MIN(S$5+6,$AB44)-$AA44)/$Y44)-MAX(0,-INT(($AA44-S$5)/$Y44))+1),IF($Z44&gt;0,(MOD(((YEAR(S$5)-YEAR($AA44))*12+MONTH(S$5)-MONTH($AA44)),$Z44)=0)*(((YEAR(S$5)-YEAR($AA44))*12+MONTH(S$5)-MONTH($AA44))&gt;=0)*(EDATE($AA44,MAX(0,((YEAR(S$5)-YEAR($AA44))*12+MONTH(S$5)-MONTH($AA44))))&gt;=S$5)*(EDATE($AA44,MAX(0,((YEAR(S$5)-YEAR($AA44))*12+MONTH(S$5)-MONTH($AA44))))&lt;=MIN(S$5+6,$AB44))+(MOD((((YEAR(S$5)-YEAR($AA44))*12+MONTH(S$5)-MONTH($AA44))+1),$Z44)=0)*((((YEAR(S$5)-YEAR($AA44))*12+MONTH(S$5)-MONTH($AA44))+1)&gt;=0)*(EDATE($AA44,MAX(0,(((YEAR(S$5)-YEAR($AA44))*12+MONTH(S$5)-MONTH($AA44))+1)))&gt;=S$5)*(EDATE($AA44,MAX(0,(((YEAR(S$5)-YEAR($AA44))*12+MONTH(S$5)-MONTH($AA44))+1)))&lt;=MIN(S$5+6,$AB44)),($AA44&gt;=S$5)*($AA44&lt;=S$5+6))))</f>
        <v/>
      </c>
      <c r="T44" s="21">
        <f>IF($X44&lt;&gt;1,0,$D44*IF($Y44&gt;0,MAX(0,INT((MIN(T$5+6,$AB44)-$AA44)/$Y44)-MAX(0,-INT(($AA44-T$5)/$Y44))+1),IF($Z44&gt;0,(MOD(((YEAR(T$5)-YEAR($AA44))*12+MONTH(T$5)-MONTH($AA44)),$Z44)=0)*(((YEAR(T$5)-YEAR($AA44))*12+MONTH(T$5)-MONTH($AA44))&gt;=0)*(EDATE($AA44,MAX(0,((YEAR(T$5)-YEAR($AA44))*12+MONTH(T$5)-MONTH($AA44))))&gt;=T$5)*(EDATE($AA44,MAX(0,((YEAR(T$5)-YEAR($AA44))*12+MONTH(T$5)-MONTH($AA44))))&lt;=MIN(T$5+6,$AB44))+(MOD((((YEAR(T$5)-YEAR($AA44))*12+MONTH(T$5)-MONTH($AA44))+1),$Z44)=0)*((((YEAR(T$5)-YEAR($AA44))*12+MONTH(T$5)-MONTH($AA44))+1)&gt;=0)*(EDATE($AA44,MAX(0,(((YEAR(T$5)-YEAR($AA44))*12+MONTH(T$5)-MONTH($AA44))+1)))&gt;=T$5)*(EDATE($AA44,MAX(0,(((YEAR(T$5)-YEAR($AA44))*12+MONTH(T$5)-MONTH($AA44))+1)))&lt;=MIN(T$5+6,$AB44)),($AA44&gt;=T$5)*($AA44&lt;=T$5+6))))</f>
        <v/>
      </c>
      <c r="U44" s="21">
        <f>IF($X44&lt;&gt;1,0,$D44*IF($Y44&gt;0,MAX(0,INT((MIN(U$5+6,$AB44)-$AA44)/$Y44)-MAX(0,-INT(($AA44-U$5)/$Y44))+1),IF($Z44&gt;0,(MOD(((YEAR(U$5)-YEAR($AA44))*12+MONTH(U$5)-MONTH($AA44)),$Z44)=0)*(((YEAR(U$5)-YEAR($AA44))*12+MONTH(U$5)-MONTH($AA44))&gt;=0)*(EDATE($AA44,MAX(0,((YEAR(U$5)-YEAR($AA44))*12+MONTH(U$5)-MONTH($AA44))))&gt;=U$5)*(EDATE($AA44,MAX(0,((YEAR(U$5)-YEAR($AA44))*12+MONTH(U$5)-MONTH($AA44))))&lt;=MIN(U$5+6,$AB44))+(MOD((((YEAR(U$5)-YEAR($AA44))*12+MONTH(U$5)-MONTH($AA44))+1),$Z44)=0)*((((YEAR(U$5)-YEAR($AA44))*12+MONTH(U$5)-MONTH($AA44))+1)&gt;=0)*(EDATE($AA44,MAX(0,(((YEAR(U$5)-YEAR($AA44))*12+MONTH(U$5)-MONTH($AA44))+1)))&gt;=U$5)*(EDATE($AA44,MAX(0,(((YEAR(U$5)-YEAR($AA44))*12+MONTH(U$5)-MONTH($AA44))+1)))&lt;=MIN(U$5+6,$AB44)),($AA44&gt;=U$5)*($AA44&lt;=U$5+6))))</f>
        <v/>
      </c>
      <c r="V44" s="21">
        <f>IF($X44&lt;&gt;1,0,$D44*IF($Y44&gt;0,MAX(0,INT((MIN(V$5+6,$AB44)-$AA44)/$Y44)-MAX(0,-INT(($AA44-V$5)/$Y44))+1),IF($Z44&gt;0,(MOD(((YEAR(V$5)-YEAR($AA44))*12+MONTH(V$5)-MONTH($AA44)),$Z44)=0)*(((YEAR(V$5)-YEAR($AA44))*12+MONTH(V$5)-MONTH($AA44))&gt;=0)*(EDATE($AA44,MAX(0,((YEAR(V$5)-YEAR($AA44))*12+MONTH(V$5)-MONTH($AA44))))&gt;=V$5)*(EDATE($AA44,MAX(0,((YEAR(V$5)-YEAR($AA44))*12+MONTH(V$5)-MONTH($AA44))))&lt;=MIN(V$5+6,$AB44))+(MOD((((YEAR(V$5)-YEAR($AA44))*12+MONTH(V$5)-MONTH($AA44))+1),$Z44)=0)*((((YEAR(V$5)-YEAR($AA44))*12+MONTH(V$5)-MONTH($AA44))+1)&gt;=0)*(EDATE($AA44,MAX(0,(((YEAR(V$5)-YEAR($AA44))*12+MONTH(V$5)-MONTH($AA44))+1)))&gt;=V$5)*(EDATE($AA44,MAX(0,(((YEAR(V$5)-YEAR($AA44))*12+MONTH(V$5)-MONTH($AA44))+1)))&lt;=MIN(V$5+6,$AB44)),($AA44&gt;=V$5)*($AA44&lt;=V$5+6))))</f>
        <v/>
      </c>
      <c r="W44" s="21">
        <f>IF($X44&lt;&gt;1,0,$D44*IF($Y44&gt;0,MAX(0,INT((MIN(W$5+6,$AB44)-$AA44)/$Y44)-MAX(0,-INT(($AA44-W$5)/$Y44))+1),IF($Z44&gt;0,(MOD(((YEAR(W$5)-YEAR($AA44))*12+MONTH(W$5)-MONTH($AA44)),$Z44)=0)*(((YEAR(W$5)-YEAR($AA44))*12+MONTH(W$5)-MONTH($AA44))&gt;=0)*(EDATE($AA44,MAX(0,((YEAR(W$5)-YEAR($AA44))*12+MONTH(W$5)-MONTH($AA44))))&gt;=W$5)*(EDATE($AA44,MAX(0,((YEAR(W$5)-YEAR($AA44))*12+MONTH(W$5)-MONTH($AA44))))&lt;=MIN(W$5+6,$AB44))+(MOD((((YEAR(W$5)-YEAR($AA44))*12+MONTH(W$5)-MONTH($AA44))+1),$Z44)=0)*((((YEAR(W$5)-YEAR($AA44))*12+MONTH(W$5)-MONTH($AA44))+1)&gt;=0)*(EDATE($AA44,MAX(0,(((YEAR(W$5)-YEAR($AA44))*12+MONTH(W$5)-MONTH($AA44))+1)))&gt;=W$5)*(EDATE($AA44,MAX(0,(((YEAR(W$5)-YEAR($AA44))*12+MONTH(W$5)-MONTH($AA44))+1)))&lt;=MIN(W$5+6,$AB44)),($AA44&gt;=W$5)*($AA44&lt;=W$5+6))))</f>
        <v/>
      </c>
      <c r="X44">
        <f>IF(COUNTA(A44:G44)=0,"",IF(AND(OR(B44="In",B44="Out"),ISNUMBER(D44),D44&gt;0,ISNUMBER(MATCH(E44,FreqName,0)),ISNUMBER(F44),OR(G44="",AND(ISNUMBER(G44),G44&gt;=F44))),1,0))</f>
        <v/>
      </c>
      <c r="Y44">
        <f>IF(X44&lt;&gt;1,0,INDEX(FreqDays,MATCH(E44,FreqName,0)))</f>
        <v/>
      </c>
      <c r="Z44">
        <f>IF(X44&lt;&gt;1,0,INDEX(FreqMonths,MATCH(E44,FreqName,0)))</f>
        <v/>
      </c>
      <c r="AA44">
        <f>IF(X44&lt;&gt;1,0,INT(F44))</f>
        <v/>
      </c>
      <c r="AB44">
        <f>IF(X44&lt;&gt;1,0,IF(ISNUMBER(G44),INT(G44),2958465))</f>
        <v/>
      </c>
    </row>
    <row r="45">
      <c r="A45" s="29" t="n"/>
      <c r="B45" s="29" t="n"/>
      <c r="C45" s="29" t="n"/>
      <c r="D45" s="34" t="n"/>
      <c r="E45" s="29" t="n"/>
      <c r="F45" s="24" t="n"/>
      <c r="G45" s="24" t="n"/>
      <c r="H45" s="10">
        <f>IF(X45="","",IF(X45=0,IF(AND(B45&lt;&gt;"In",B45&lt;&gt;"Out"),"Fix: choose In or Out",IF(OR(NOT(ISNUMBER(D45)),N(D45)&lt;=0),"Fix: amount must be a number above 0",IF(NOT(ISNUMBER(MATCH(E45,FreqName,0))),"Fix: choose a frequency",IF(NOT(ISNUMBER(F45)),"Fix: first date missing","Fix: end date must be a date on or after the first date")))),IF(AND(C45&lt;&gt;"",OR(AND(B45="In",ISNUMBER(MATCH(C45,InCats,0))),AND(B45="Out",ISNUMBER(MATCH(C45,OutCats,0))))),"OK","Category not on Settings (counted as Other)")))</f>
        <v/>
      </c>
      <c r="I45" s="35">
        <f>IF(X45&lt;&gt;1,"",ROUND(J45/D45,0))</f>
        <v/>
      </c>
      <c r="J45" s="36">
        <f>SUM(K45:W45)</f>
        <v/>
      </c>
      <c r="K45" s="21">
        <f>IF($X45&lt;&gt;1,0,$D45*IF($Y45&gt;0,MAX(0,INT((MIN(K$5+6,$AB45)-$AA45)/$Y45)-MAX(0,-INT(($AA45-K$5)/$Y45))+1),IF($Z45&gt;0,(MOD(((YEAR(K$5)-YEAR($AA45))*12+MONTH(K$5)-MONTH($AA45)),$Z45)=0)*(((YEAR(K$5)-YEAR($AA45))*12+MONTH(K$5)-MONTH($AA45))&gt;=0)*(EDATE($AA45,MAX(0,((YEAR(K$5)-YEAR($AA45))*12+MONTH(K$5)-MONTH($AA45))))&gt;=K$5)*(EDATE($AA45,MAX(0,((YEAR(K$5)-YEAR($AA45))*12+MONTH(K$5)-MONTH($AA45))))&lt;=MIN(K$5+6,$AB45))+(MOD((((YEAR(K$5)-YEAR($AA45))*12+MONTH(K$5)-MONTH($AA45))+1),$Z45)=0)*((((YEAR(K$5)-YEAR($AA45))*12+MONTH(K$5)-MONTH($AA45))+1)&gt;=0)*(EDATE($AA45,MAX(0,(((YEAR(K$5)-YEAR($AA45))*12+MONTH(K$5)-MONTH($AA45))+1)))&gt;=K$5)*(EDATE($AA45,MAX(0,(((YEAR(K$5)-YEAR($AA45))*12+MONTH(K$5)-MONTH($AA45))+1)))&lt;=MIN(K$5+6,$AB45)),($AA45&gt;=K$5)*($AA45&lt;=K$5+6))))</f>
        <v/>
      </c>
      <c r="L45" s="21">
        <f>IF($X45&lt;&gt;1,0,$D45*IF($Y45&gt;0,MAX(0,INT((MIN(L$5+6,$AB45)-$AA45)/$Y45)-MAX(0,-INT(($AA45-L$5)/$Y45))+1),IF($Z45&gt;0,(MOD(((YEAR(L$5)-YEAR($AA45))*12+MONTH(L$5)-MONTH($AA45)),$Z45)=0)*(((YEAR(L$5)-YEAR($AA45))*12+MONTH(L$5)-MONTH($AA45))&gt;=0)*(EDATE($AA45,MAX(0,((YEAR(L$5)-YEAR($AA45))*12+MONTH(L$5)-MONTH($AA45))))&gt;=L$5)*(EDATE($AA45,MAX(0,((YEAR(L$5)-YEAR($AA45))*12+MONTH(L$5)-MONTH($AA45))))&lt;=MIN(L$5+6,$AB45))+(MOD((((YEAR(L$5)-YEAR($AA45))*12+MONTH(L$5)-MONTH($AA45))+1),$Z45)=0)*((((YEAR(L$5)-YEAR($AA45))*12+MONTH(L$5)-MONTH($AA45))+1)&gt;=0)*(EDATE($AA45,MAX(0,(((YEAR(L$5)-YEAR($AA45))*12+MONTH(L$5)-MONTH($AA45))+1)))&gt;=L$5)*(EDATE($AA45,MAX(0,(((YEAR(L$5)-YEAR($AA45))*12+MONTH(L$5)-MONTH($AA45))+1)))&lt;=MIN(L$5+6,$AB45)),($AA45&gt;=L$5)*($AA45&lt;=L$5+6))))</f>
        <v/>
      </c>
      <c r="M45" s="21">
        <f>IF($X45&lt;&gt;1,0,$D45*IF($Y45&gt;0,MAX(0,INT((MIN(M$5+6,$AB45)-$AA45)/$Y45)-MAX(0,-INT(($AA45-M$5)/$Y45))+1),IF($Z45&gt;0,(MOD(((YEAR(M$5)-YEAR($AA45))*12+MONTH(M$5)-MONTH($AA45)),$Z45)=0)*(((YEAR(M$5)-YEAR($AA45))*12+MONTH(M$5)-MONTH($AA45))&gt;=0)*(EDATE($AA45,MAX(0,((YEAR(M$5)-YEAR($AA45))*12+MONTH(M$5)-MONTH($AA45))))&gt;=M$5)*(EDATE($AA45,MAX(0,((YEAR(M$5)-YEAR($AA45))*12+MONTH(M$5)-MONTH($AA45))))&lt;=MIN(M$5+6,$AB45))+(MOD((((YEAR(M$5)-YEAR($AA45))*12+MONTH(M$5)-MONTH($AA45))+1),$Z45)=0)*((((YEAR(M$5)-YEAR($AA45))*12+MONTH(M$5)-MONTH($AA45))+1)&gt;=0)*(EDATE($AA45,MAX(0,(((YEAR(M$5)-YEAR($AA45))*12+MONTH(M$5)-MONTH($AA45))+1)))&gt;=M$5)*(EDATE($AA45,MAX(0,(((YEAR(M$5)-YEAR($AA45))*12+MONTH(M$5)-MONTH($AA45))+1)))&lt;=MIN(M$5+6,$AB45)),($AA45&gt;=M$5)*($AA45&lt;=M$5+6))))</f>
        <v/>
      </c>
      <c r="N45" s="21">
        <f>IF($X45&lt;&gt;1,0,$D45*IF($Y45&gt;0,MAX(0,INT((MIN(N$5+6,$AB45)-$AA45)/$Y45)-MAX(0,-INT(($AA45-N$5)/$Y45))+1),IF($Z45&gt;0,(MOD(((YEAR(N$5)-YEAR($AA45))*12+MONTH(N$5)-MONTH($AA45)),$Z45)=0)*(((YEAR(N$5)-YEAR($AA45))*12+MONTH(N$5)-MONTH($AA45))&gt;=0)*(EDATE($AA45,MAX(0,((YEAR(N$5)-YEAR($AA45))*12+MONTH(N$5)-MONTH($AA45))))&gt;=N$5)*(EDATE($AA45,MAX(0,((YEAR(N$5)-YEAR($AA45))*12+MONTH(N$5)-MONTH($AA45))))&lt;=MIN(N$5+6,$AB45))+(MOD((((YEAR(N$5)-YEAR($AA45))*12+MONTH(N$5)-MONTH($AA45))+1),$Z45)=0)*((((YEAR(N$5)-YEAR($AA45))*12+MONTH(N$5)-MONTH($AA45))+1)&gt;=0)*(EDATE($AA45,MAX(0,(((YEAR(N$5)-YEAR($AA45))*12+MONTH(N$5)-MONTH($AA45))+1)))&gt;=N$5)*(EDATE($AA45,MAX(0,(((YEAR(N$5)-YEAR($AA45))*12+MONTH(N$5)-MONTH($AA45))+1)))&lt;=MIN(N$5+6,$AB45)),($AA45&gt;=N$5)*($AA45&lt;=N$5+6))))</f>
        <v/>
      </c>
      <c r="O45" s="21">
        <f>IF($X45&lt;&gt;1,0,$D45*IF($Y45&gt;0,MAX(0,INT((MIN(O$5+6,$AB45)-$AA45)/$Y45)-MAX(0,-INT(($AA45-O$5)/$Y45))+1),IF($Z45&gt;0,(MOD(((YEAR(O$5)-YEAR($AA45))*12+MONTH(O$5)-MONTH($AA45)),$Z45)=0)*(((YEAR(O$5)-YEAR($AA45))*12+MONTH(O$5)-MONTH($AA45))&gt;=0)*(EDATE($AA45,MAX(0,((YEAR(O$5)-YEAR($AA45))*12+MONTH(O$5)-MONTH($AA45))))&gt;=O$5)*(EDATE($AA45,MAX(0,((YEAR(O$5)-YEAR($AA45))*12+MONTH(O$5)-MONTH($AA45))))&lt;=MIN(O$5+6,$AB45))+(MOD((((YEAR(O$5)-YEAR($AA45))*12+MONTH(O$5)-MONTH($AA45))+1),$Z45)=0)*((((YEAR(O$5)-YEAR($AA45))*12+MONTH(O$5)-MONTH($AA45))+1)&gt;=0)*(EDATE($AA45,MAX(0,(((YEAR(O$5)-YEAR($AA45))*12+MONTH(O$5)-MONTH($AA45))+1)))&gt;=O$5)*(EDATE($AA45,MAX(0,(((YEAR(O$5)-YEAR($AA45))*12+MONTH(O$5)-MONTH($AA45))+1)))&lt;=MIN(O$5+6,$AB45)),($AA45&gt;=O$5)*($AA45&lt;=O$5+6))))</f>
        <v/>
      </c>
      <c r="P45" s="21">
        <f>IF($X45&lt;&gt;1,0,$D45*IF($Y45&gt;0,MAX(0,INT((MIN(P$5+6,$AB45)-$AA45)/$Y45)-MAX(0,-INT(($AA45-P$5)/$Y45))+1),IF($Z45&gt;0,(MOD(((YEAR(P$5)-YEAR($AA45))*12+MONTH(P$5)-MONTH($AA45)),$Z45)=0)*(((YEAR(P$5)-YEAR($AA45))*12+MONTH(P$5)-MONTH($AA45))&gt;=0)*(EDATE($AA45,MAX(0,((YEAR(P$5)-YEAR($AA45))*12+MONTH(P$5)-MONTH($AA45))))&gt;=P$5)*(EDATE($AA45,MAX(0,((YEAR(P$5)-YEAR($AA45))*12+MONTH(P$5)-MONTH($AA45))))&lt;=MIN(P$5+6,$AB45))+(MOD((((YEAR(P$5)-YEAR($AA45))*12+MONTH(P$5)-MONTH($AA45))+1),$Z45)=0)*((((YEAR(P$5)-YEAR($AA45))*12+MONTH(P$5)-MONTH($AA45))+1)&gt;=0)*(EDATE($AA45,MAX(0,(((YEAR(P$5)-YEAR($AA45))*12+MONTH(P$5)-MONTH($AA45))+1)))&gt;=P$5)*(EDATE($AA45,MAX(0,(((YEAR(P$5)-YEAR($AA45))*12+MONTH(P$5)-MONTH($AA45))+1)))&lt;=MIN(P$5+6,$AB45)),($AA45&gt;=P$5)*($AA45&lt;=P$5+6))))</f>
        <v/>
      </c>
      <c r="Q45" s="21">
        <f>IF($X45&lt;&gt;1,0,$D45*IF($Y45&gt;0,MAX(0,INT((MIN(Q$5+6,$AB45)-$AA45)/$Y45)-MAX(0,-INT(($AA45-Q$5)/$Y45))+1),IF($Z45&gt;0,(MOD(((YEAR(Q$5)-YEAR($AA45))*12+MONTH(Q$5)-MONTH($AA45)),$Z45)=0)*(((YEAR(Q$5)-YEAR($AA45))*12+MONTH(Q$5)-MONTH($AA45))&gt;=0)*(EDATE($AA45,MAX(0,((YEAR(Q$5)-YEAR($AA45))*12+MONTH(Q$5)-MONTH($AA45))))&gt;=Q$5)*(EDATE($AA45,MAX(0,((YEAR(Q$5)-YEAR($AA45))*12+MONTH(Q$5)-MONTH($AA45))))&lt;=MIN(Q$5+6,$AB45))+(MOD((((YEAR(Q$5)-YEAR($AA45))*12+MONTH(Q$5)-MONTH($AA45))+1),$Z45)=0)*((((YEAR(Q$5)-YEAR($AA45))*12+MONTH(Q$5)-MONTH($AA45))+1)&gt;=0)*(EDATE($AA45,MAX(0,(((YEAR(Q$5)-YEAR($AA45))*12+MONTH(Q$5)-MONTH($AA45))+1)))&gt;=Q$5)*(EDATE($AA45,MAX(0,(((YEAR(Q$5)-YEAR($AA45))*12+MONTH(Q$5)-MONTH($AA45))+1)))&lt;=MIN(Q$5+6,$AB45)),($AA45&gt;=Q$5)*($AA45&lt;=Q$5+6))))</f>
        <v/>
      </c>
      <c r="R45" s="21">
        <f>IF($X45&lt;&gt;1,0,$D45*IF($Y45&gt;0,MAX(0,INT((MIN(R$5+6,$AB45)-$AA45)/$Y45)-MAX(0,-INT(($AA45-R$5)/$Y45))+1),IF($Z45&gt;0,(MOD(((YEAR(R$5)-YEAR($AA45))*12+MONTH(R$5)-MONTH($AA45)),$Z45)=0)*(((YEAR(R$5)-YEAR($AA45))*12+MONTH(R$5)-MONTH($AA45))&gt;=0)*(EDATE($AA45,MAX(0,((YEAR(R$5)-YEAR($AA45))*12+MONTH(R$5)-MONTH($AA45))))&gt;=R$5)*(EDATE($AA45,MAX(0,((YEAR(R$5)-YEAR($AA45))*12+MONTH(R$5)-MONTH($AA45))))&lt;=MIN(R$5+6,$AB45))+(MOD((((YEAR(R$5)-YEAR($AA45))*12+MONTH(R$5)-MONTH($AA45))+1),$Z45)=0)*((((YEAR(R$5)-YEAR($AA45))*12+MONTH(R$5)-MONTH($AA45))+1)&gt;=0)*(EDATE($AA45,MAX(0,(((YEAR(R$5)-YEAR($AA45))*12+MONTH(R$5)-MONTH($AA45))+1)))&gt;=R$5)*(EDATE($AA45,MAX(0,(((YEAR(R$5)-YEAR($AA45))*12+MONTH(R$5)-MONTH($AA45))+1)))&lt;=MIN(R$5+6,$AB45)),($AA45&gt;=R$5)*($AA45&lt;=R$5+6))))</f>
        <v/>
      </c>
      <c r="S45" s="21">
        <f>IF($X45&lt;&gt;1,0,$D45*IF($Y45&gt;0,MAX(0,INT((MIN(S$5+6,$AB45)-$AA45)/$Y45)-MAX(0,-INT(($AA45-S$5)/$Y45))+1),IF($Z45&gt;0,(MOD(((YEAR(S$5)-YEAR($AA45))*12+MONTH(S$5)-MONTH($AA45)),$Z45)=0)*(((YEAR(S$5)-YEAR($AA45))*12+MONTH(S$5)-MONTH($AA45))&gt;=0)*(EDATE($AA45,MAX(0,((YEAR(S$5)-YEAR($AA45))*12+MONTH(S$5)-MONTH($AA45))))&gt;=S$5)*(EDATE($AA45,MAX(0,((YEAR(S$5)-YEAR($AA45))*12+MONTH(S$5)-MONTH($AA45))))&lt;=MIN(S$5+6,$AB45))+(MOD((((YEAR(S$5)-YEAR($AA45))*12+MONTH(S$5)-MONTH($AA45))+1),$Z45)=0)*((((YEAR(S$5)-YEAR($AA45))*12+MONTH(S$5)-MONTH($AA45))+1)&gt;=0)*(EDATE($AA45,MAX(0,(((YEAR(S$5)-YEAR($AA45))*12+MONTH(S$5)-MONTH($AA45))+1)))&gt;=S$5)*(EDATE($AA45,MAX(0,(((YEAR(S$5)-YEAR($AA45))*12+MONTH(S$5)-MONTH($AA45))+1)))&lt;=MIN(S$5+6,$AB45)),($AA45&gt;=S$5)*($AA45&lt;=S$5+6))))</f>
        <v/>
      </c>
      <c r="T45" s="21">
        <f>IF($X45&lt;&gt;1,0,$D45*IF($Y45&gt;0,MAX(0,INT((MIN(T$5+6,$AB45)-$AA45)/$Y45)-MAX(0,-INT(($AA45-T$5)/$Y45))+1),IF($Z45&gt;0,(MOD(((YEAR(T$5)-YEAR($AA45))*12+MONTH(T$5)-MONTH($AA45)),$Z45)=0)*(((YEAR(T$5)-YEAR($AA45))*12+MONTH(T$5)-MONTH($AA45))&gt;=0)*(EDATE($AA45,MAX(0,((YEAR(T$5)-YEAR($AA45))*12+MONTH(T$5)-MONTH($AA45))))&gt;=T$5)*(EDATE($AA45,MAX(0,((YEAR(T$5)-YEAR($AA45))*12+MONTH(T$5)-MONTH($AA45))))&lt;=MIN(T$5+6,$AB45))+(MOD((((YEAR(T$5)-YEAR($AA45))*12+MONTH(T$5)-MONTH($AA45))+1),$Z45)=0)*((((YEAR(T$5)-YEAR($AA45))*12+MONTH(T$5)-MONTH($AA45))+1)&gt;=0)*(EDATE($AA45,MAX(0,(((YEAR(T$5)-YEAR($AA45))*12+MONTH(T$5)-MONTH($AA45))+1)))&gt;=T$5)*(EDATE($AA45,MAX(0,(((YEAR(T$5)-YEAR($AA45))*12+MONTH(T$5)-MONTH($AA45))+1)))&lt;=MIN(T$5+6,$AB45)),($AA45&gt;=T$5)*($AA45&lt;=T$5+6))))</f>
        <v/>
      </c>
      <c r="U45" s="21">
        <f>IF($X45&lt;&gt;1,0,$D45*IF($Y45&gt;0,MAX(0,INT((MIN(U$5+6,$AB45)-$AA45)/$Y45)-MAX(0,-INT(($AA45-U$5)/$Y45))+1),IF($Z45&gt;0,(MOD(((YEAR(U$5)-YEAR($AA45))*12+MONTH(U$5)-MONTH($AA45)),$Z45)=0)*(((YEAR(U$5)-YEAR($AA45))*12+MONTH(U$5)-MONTH($AA45))&gt;=0)*(EDATE($AA45,MAX(0,((YEAR(U$5)-YEAR($AA45))*12+MONTH(U$5)-MONTH($AA45))))&gt;=U$5)*(EDATE($AA45,MAX(0,((YEAR(U$5)-YEAR($AA45))*12+MONTH(U$5)-MONTH($AA45))))&lt;=MIN(U$5+6,$AB45))+(MOD((((YEAR(U$5)-YEAR($AA45))*12+MONTH(U$5)-MONTH($AA45))+1),$Z45)=0)*((((YEAR(U$5)-YEAR($AA45))*12+MONTH(U$5)-MONTH($AA45))+1)&gt;=0)*(EDATE($AA45,MAX(0,(((YEAR(U$5)-YEAR($AA45))*12+MONTH(U$5)-MONTH($AA45))+1)))&gt;=U$5)*(EDATE($AA45,MAX(0,(((YEAR(U$5)-YEAR($AA45))*12+MONTH(U$5)-MONTH($AA45))+1)))&lt;=MIN(U$5+6,$AB45)),($AA45&gt;=U$5)*($AA45&lt;=U$5+6))))</f>
        <v/>
      </c>
      <c r="V45" s="21">
        <f>IF($X45&lt;&gt;1,0,$D45*IF($Y45&gt;0,MAX(0,INT((MIN(V$5+6,$AB45)-$AA45)/$Y45)-MAX(0,-INT(($AA45-V$5)/$Y45))+1),IF($Z45&gt;0,(MOD(((YEAR(V$5)-YEAR($AA45))*12+MONTH(V$5)-MONTH($AA45)),$Z45)=0)*(((YEAR(V$5)-YEAR($AA45))*12+MONTH(V$5)-MONTH($AA45))&gt;=0)*(EDATE($AA45,MAX(0,((YEAR(V$5)-YEAR($AA45))*12+MONTH(V$5)-MONTH($AA45))))&gt;=V$5)*(EDATE($AA45,MAX(0,((YEAR(V$5)-YEAR($AA45))*12+MONTH(V$5)-MONTH($AA45))))&lt;=MIN(V$5+6,$AB45))+(MOD((((YEAR(V$5)-YEAR($AA45))*12+MONTH(V$5)-MONTH($AA45))+1),$Z45)=0)*((((YEAR(V$5)-YEAR($AA45))*12+MONTH(V$5)-MONTH($AA45))+1)&gt;=0)*(EDATE($AA45,MAX(0,(((YEAR(V$5)-YEAR($AA45))*12+MONTH(V$5)-MONTH($AA45))+1)))&gt;=V$5)*(EDATE($AA45,MAX(0,(((YEAR(V$5)-YEAR($AA45))*12+MONTH(V$5)-MONTH($AA45))+1)))&lt;=MIN(V$5+6,$AB45)),($AA45&gt;=V$5)*($AA45&lt;=V$5+6))))</f>
        <v/>
      </c>
      <c r="W45" s="21">
        <f>IF($X45&lt;&gt;1,0,$D45*IF($Y45&gt;0,MAX(0,INT((MIN(W$5+6,$AB45)-$AA45)/$Y45)-MAX(0,-INT(($AA45-W$5)/$Y45))+1),IF($Z45&gt;0,(MOD(((YEAR(W$5)-YEAR($AA45))*12+MONTH(W$5)-MONTH($AA45)),$Z45)=0)*(((YEAR(W$5)-YEAR($AA45))*12+MONTH(W$5)-MONTH($AA45))&gt;=0)*(EDATE($AA45,MAX(0,((YEAR(W$5)-YEAR($AA45))*12+MONTH(W$5)-MONTH($AA45))))&gt;=W$5)*(EDATE($AA45,MAX(0,((YEAR(W$5)-YEAR($AA45))*12+MONTH(W$5)-MONTH($AA45))))&lt;=MIN(W$5+6,$AB45))+(MOD((((YEAR(W$5)-YEAR($AA45))*12+MONTH(W$5)-MONTH($AA45))+1),$Z45)=0)*((((YEAR(W$5)-YEAR($AA45))*12+MONTH(W$5)-MONTH($AA45))+1)&gt;=0)*(EDATE($AA45,MAX(0,(((YEAR(W$5)-YEAR($AA45))*12+MONTH(W$5)-MONTH($AA45))+1)))&gt;=W$5)*(EDATE($AA45,MAX(0,(((YEAR(W$5)-YEAR($AA45))*12+MONTH(W$5)-MONTH($AA45))+1)))&lt;=MIN(W$5+6,$AB45)),($AA45&gt;=W$5)*($AA45&lt;=W$5+6))))</f>
        <v/>
      </c>
      <c r="X45">
        <f>IF(COUNTA(A45:G45)=0,"",IF(AND(OR(B45="In",B45="Out"),ISNUMBER(D45),D45&gt;0,ISNUMBER(MATCH(E45,FreqName,0)),ISNUMBER(F45),OR(G45="",AND(ISNUMBER(G45),G45&gt;=F45))),1,0))</f>
        <v/>
      </c>
      <c r="Y45">
        <f>IF(X45&lt;&gt;1,0,INDEX(FreqDays,MATCH(E45,FreqName,0)))</f>
        <v/>
      </c>
      <c r="Z45">
        <f>IF(X45&lt;&gt;1,0,INDEX(FreqMonths,MATCH(E45,FreqName,0)))</f>
        <v/>
      </c>
      <c r="AA45">
        <f>IF(X45&lt;&gt;1,0,INT(F45))</f>
        <v/>
      </c>
      <c r="AB45">
        <f>IF(X45&lt;&gt;1,0,IF(ISNUMBER(G45),INT(G45),2958465))</f>
        <v/>
      </c>
    </row>
    <row r="46">
      <c r="A46" s="29" t="n"/>
      <c r="B46" s="29" t="n"/>
      <c r="C46" s="29" t="n"/>
      <c r="D46" s="34" t="n"/>
      <c r="E46" s="29" t="n"/>
      <c r="F46" s="24" t="n"/>
      <c r="G46" s="24" t="n"/>
      <c r="H46" s="10">
        <f>IF(X46="","",IF(X46=0,IF(AND(B46&lt;&gt;"In",B46&lt;&gt;"Out"),"Fix: choose In or Out",IF(OR(NOT(ISNUMBER(D46)),N(D46)&lt;=0),"Fix: amount must be a number above 0",IF(NOT(ISNUMBER(MATCH(E46,FreqName,0))),"Fix: choose a frequency",IF(NOT(ISNUMBER(F46)),"Fix: first date missing","Fix: end date must be a date on or after the first date")))),IF(AND(C46&lt;&gt;"",OR(AND(B46="In",ISNUMBER(MATCH(C46,InCats,0))),AND(B46="Out",ISNUMBER(MATCH(C46,OutCats,0))))),"OK","Category not on Settings (counted as Other)")))</f>
        <v/>
      </c>
      <c r="I46" s="35">
        <f>IF(X46&lt;&gt;1,"",ROUND(J46/D46,0))</f>
        <v/>
      </c>
      <c r="J46" s="36">
        <f>SUM(K46:W46)</f>
        <v/>
      </c>
      <c r="K46" s="21">
        <f>IF($X46&lt;&gt;1,0,$D46*IF($Y46&gt;0,MAX(0,INT((MIN(K$5+6,$AB46)-$AA46)/$Y46)-MAX(0,-INT(($AA46-K$5)/$Y46))+1),IF($Z46&gt;0,(MOD(((YEAR(K$5)-YEAR($AA46))*12+MONTH(K$5)-MONTH($AA46)),$Z46)=0)*(((YEAR(K$5)-YEAR($AA46))*12+MONTH(K$5)-MONTH($AA46))&gt;=0)*(EDATE($AA46,MAX(0,((YEAR(K$5)-YEAR($AA46))*12+MONTH(K$5)-MONTH($AA46))))&gt;=K$5)*(EDATE($AA46,MAX(0,((YEAR(K$5)-YEAR($AA46))*12+MONTH(K$5)-MONTH($AA46))))&lt;=MIN(K$5+6,$AB46))+(MOD((((YEAR(K$5)-YEAR($AA46))*12+MONTH(K$5)-MONTH($AA46))+1),$Z46)=0)*((((YEAR(K$5)-YEAR($AA46))*12+MONTH(K$5)-MONTH($AA46))+1)&gt;=0)*(EDATE($AA46,MAX(0,(((YEAR(K$5)-YEAR($AA46))*12+MONTH(K$5)-MONTH($AA46))+1)))&gt;=K$5)*(EDATE($AA46,MAX(0,(((YEAR(K$5)-YEAR($AA46))*12+MONTH(K$5)-MONTH($AA46))+1)))&lt;=MIN(K$5+6,$AB46)),($AA46&gt;=K$5)*($AA46&lt;=K$5+6))))</f>
        <v/>
      </c>
      <c r="L46" s="21">
        <f>IF($X46&lt;&gt;1,0,$D46*IF($Y46&gt;0,MAX(0,INT((MIN(L$5+6,$AB46)-$AA46)/$Y46)-MAX(0,-INT(($AA46-L$5)/$Y46))+1),IF($Z46&gt;0,(MOD(((YEAR(L$5)-YEAR($AA46))*12+MONTH(L$5)-MONTH($AA46)),$Z46)=0)*(((YEAR(L$5)-YEAR($AA46))*12+MONTH(L$5)-MONTH($AA46))&gt;=0)*(EDATE($AA46,MAX(0,((YEAR(L$5)-YEAR($AA46))*12+MONTH(L$5)-MONTH($AA46))))&gt;=L$5)*(EDATE($AA46,MAX(0,((YEAR(L$5)-YEAR($AA46))*12+MONTH(L$5)-MONTH($AA46))))&lt;=MIN(L$5+6,$AB46))+(MOD((((YEAR(L$5)-YEAR($AA46))*12+MONTH(L$5)-MONTH($AA46))+1),$Z46)=0)*((((YEAR(L$5)-YEAR($AA46))*12+MONTH(L$5)-MONTH($AA46))+1)&gt;=0)*(EDATE($AA46,MAX(0,(((YEAR(L$5)-YEAR($AA46))*12+MONTH(L$5)-MONTH($AA46))+1)))&gt;=L$5)*(EDATE($AA46,MAX(0,(((YEAR(L$5)-YEAR($AA46))*12+MONTH(L$5)-MONTH($AA46))+1)))&lt;=MIN(L$5+6,$AB46)),($AA46&gt;=L$5)*($AA46&lt;=L$5+6))))</f>
        <v/>
      </c>
      <c r="M46" s="21">
        <f>IF($X46&lt;&gt;1,0,$D46*IF($Y46&gt;0,MAX(0,INT((MIN(M$5+6,$AB46)-$AA46)/$Y46)-MAX(0,-INT(($AA46-M$5)/$Y46))+1),IF($Z46&gt;0,(MOD(((YEAR(M$5)-YEAR($AA46))*12+MONTH(M$5)-MONTH($AA46)),$Z46)=0)*(((YEAR(M$5)-YEAR($AA46))*12+MONTH(M$5)-MONTH($AA46))&gt;=0)*(EDATE($AA46,MAX(0,((YEAR(M$5)-YEAR($AA46))*12+MONTH(M$5)-MONTH($AA46))))&gt;=M$5)*(EDATE($AA46,MAX(0,((YEAR(M$5)-YEAR($AA46))*12+MONTH(M$5)-MONTH($AA46))))&lt;=MIN(M$5+6,$AB46))+(MOD((((YEAR(M$5)-YEAR($AA46))*12+MONTH(M$5)-MONTH($AA46))+1),$Z46)=0)*((((YEAR(M$5)-YEAR($AA46))*12+MONTH(M$5)-MONTH($AA46))+1)&gt;=0)*(EDATE($AA46,MAX(0,(((YEAR(M$5)-YEAR($AA46))*12+MONTH(M$5)-MONTH($AA46))+1)))&gt;=M$5)*(EDATE($AA46,MAX(0,(((YEAR(M$5)-YEAR($AA46))*12+MONTH(M$5)-MONTH($AA46))+1)))&lt;=MIN(M$5+6,$AB46)),($AA46&gt;=M$5)*($AA46&lt;=M$5+6))))</f>
        <v/>
      </c>
      <c r="N46" s="21">
        <f>IF($X46&lt;&gt;1,0,$D46*IF($Y46&gt;0,MAX(0,INT((MIN(N$5+6,$AB46)-$AA46)/$Y46)-MAX(0,-INT(($AA46-N$5)/$Y46))+1),IF($Z46&gt;0,(MOD(((YEAR(N$5)-YEAR($AA46))*12+MONTH(N$5)-MONTH($AA46)),$Z46)=0)*(((YEAR(N$5)-YEAR($AA46))*12+MONTH(N$5)-MONTH($AA46))&gt;=0)*(EDATE($AA46,MAX(0,((YEAR(N$5)-YEAR($AA46))*12+MONTH(N$5)-MONTH($AA46))))&gt;=N$5)*(EDATE($AA46,MAX(0,((YEAR(N$5)-YEAR($AA46))*12+MONTH(N$5)-MONTH($AA46))))&lt;=MIN(N$5+6,$AB46))+(MOD((((YEAR(N$5)-YEAR($AA46))*12+MONTH(N$5)-MONTH($AA46))+1),$Z46)=0)*((((YEAR(N$5)-YEAR($AA46))*12+MONTH(N$5)-MONTH($AA46))+1)&gt;=0)*(EDATE($AA46,MAX(0,(((YEAR(N$5)-YEAR($AA46))*12+MONTH(N$5)-MONTH($AA46))+1)))&gt;=N$5)*(EDATE($AA46,MAX(0,(((YEAR(N$5)-YEAR($AA46))*12+MONTH(N$5)-MONTH($AA46))+1)))&lt;=MIN(N$5+6,$AB46)),($AA46&gt;=N$5)*($AA46&lt;=N$5+6))))</f>
        <v/>
      </c>
      <c r="O46" s="21">
        <f>IF($X46&lt;&gt;1,0,$D46*IF($Y46&gt;0,MAX(0,INT((MIN(O$5+6,$AB46)-$AA46)/$Y46)-MAX(0,-INT(($AA46-O$5)/$Y46))+1),IF($Z46&gt;0,(MOD(((YEAR(O$5)-YEAR($AA46))*12+MONTH(O$5)-MONTH($AA46)),$Z46)=0)*(((YEAR(O$5)-YEAR($AA46))*12+MONTH(O$5)-MONTH($AA46))&gt;=0)*(EDATE($AA46,MAX(0,((YEAR(O$5)-YEAR($AA46))*12+MONTH(O$5)-MONTH($AA46))))&gt;=O$5)*(EDATE($AA46,MAX(0,((YEAR(O$5)-YEAR($AA46))*12+MONTH(O$5)-MONTH($AA46))))&lt;=MIN(O$5+6,$AB46))+(MOD((((YEAR(O$5)-YEAR($AA46))*12+MONTH(O$5)-MONTH($AA46))+1),$Z46)=0)*((((YEAR(O$5)-YEAR($AA46))*12+MONTH(O$5)-MONTH($AA46))+1)&gt;=0)*(EDATE($AA46,MAX(0,(((YEAR(O$5)-YEAR($AA46))*12+MONTH(O$5)-MONTH($AA46))+1)))&gt;=O$5)*(EDATE($AA46,MAX(0,(((YEAR(O$5)-YEAR($AA46))*12+MONTH(O$5)-MONTH($AA46))+1)))&lt;=MIN(O$5+6,$AB46)),($AA46&gt;=O$5)*($AA46&lt;=O$5+6))))</f>
        <v/>
      </c>
      <c r="P46" s="21">
        <f>IF($X46&lt;&gt;1,0,$D46*IF($Y46&gt;0,MAX(0,INT((MIN(P$5+6,$AB46)-$AA46)/$Y46)-MAX(0,-INT(($AA46-P$5)/$Y46))+1),IF($Z46&gt;0,(MOD(((YEAR(P$5)-YEAR($AA46))*12+MONTH(P$5)-MONTH($AA46)),$Z46)=0)*(((YEAR(P$5)-YEAR($AA46))*12+MONTH(P$5)-MONTH($AA46))&gt;=0)*(EDATE($AA46,MAX(0,((YEAR(P$5)-YEAR($AA46))*12+MONTH(P$5)-MONTH($AA46))))&gt;=P$5)*(EDATE($AA46,MAX(0,((YEAR(P$5)-YEAR($AA46))*12+MONTH(P$5)-MONTH($AA46))))&lt;=MIN(P$5+6,$AB46))+(MOD((((YEAR(P$5)-YEAR($AA46))*12+MONTH(P$5)-MONTH($AA46))+1),$Z46)=0)*((((YEAR(P$5)-YEAR($AA46))*12+MONTH(P$5)-MONTH($AA46))+1)&gt;=0)*(EDATE($AA46,MAX(0,(((YEAR(P$5)-YEAR($AA46))*12+MONTH(P$5)-MONTH($AA46))+1)))&gt;=P$5)*(EDATE($AA46,MAX(0,(((YEAR(P$5)-YEAR($AA46))*12+MONTH(P$5)-MONTH($AA46))+1)))&lt;=MIN(P$5+6,$AB46)),($AA46&gt;=P$5)*($AA46&lt;=P$5+6))))</f>
        <v/>
      </c>
      <c r="Q46" s="21">
        <f>IF($X46&lt;&gt;1,0,$D46*IF($Y46&gt;0,MAX(0,INT((MIN(Q$5+6,$AB46)-$AA46)/$Y46)-MAX(0,-INT(($AA46-Q$5)/$Y46))+1),IF($Z46&gt;0,(MOD(((YEAR(Q$5)-YEAR($AA46))*12+MONTH(Q$5)-MONTH($AA46)),$Z46)=0)*(((YEAR(Q$5)-YEAR($AA46))*12+MONTH(Q$5)-MONTH($AA46))&gt;=0)*(EDATE($AA46,MAX(0,((YEAR(Q$5)-YEAR($AA46))*12+MONTH(Q$5)-MONTH($AA46))))&gt;=Q$5)*(EDATE($AA46,MAX(0,((YEAR(Q$5)-YEAR($AA46))*12+MONTH(Q$5)-MONTH($AA46))))&lt;=MIN(Q$5+6,$AB46))+(MOD((((YEAR(Q$5)-YEAR($AA46))*12+MONTH(Q$5)-MONTH($AA46))+1),$Z46)=0)*((((YEAR(Q$5)-YEAR($AA46))*12+MONTH(Q$5)-MONTH($AA46))+1)&gt;=0)*(EDATE($AA46,MAX(0,(((YEAR(Q$5)-YEAR($AA46))*12+MONTH(Q$5)-MONTH($AA46))+1)))&gt;=Q$5)*(EDATE($AA46,MAX(0,(((YEAR(Q$5)-YEAR($AA46))*12+MONTH(Q$5)-MONTH($AA46))+1)))&lt;=MIN(Q$5+6,$AB46)),($AA46&gt;=Q$5)*($AA46&lt;=Q$5+6))))</f>
        <v/>
      </c>
      <c r="R46" s="21">
        <f>IF($X46&lt;&gt;1,0,$D46*IF($Y46&gt;0,MAX(0,INT((MIN(R$5+6,$AB46)-$AA46)/$Y46)-MAX(0,-INT(($AA46-R$5)/$Y46))+1),IF($Z46&gt;0,(MOD(((YEAR(R$5)-YEAR($AA46))*12+MONTH(R$5)-MONTH($AA46)),$Z46)=0)*(((YEAR(R$5)-YEAR($AA46))*12+MONTH(R$5)-MONTH($AA46))&gt;=0)*(EDATE($AA46,MAX(0,((YEAR(R$5)-YEAR($AA46))*12+MONTH(R$5)-MONTH($AA46))))&gt;=R$5)*(EDATE($AA46,MAX(0,((YEAR(R$5)-YEAR($AA46))*12+MONTH(R$5)-MONTH($AA46))))&lt;=MIN(R$5+6,$AB46))+(MOD((((YEAR(R$5)-YEAR($AA46))*12+MONTH(R$5)-MONTH($AA46))+1),$Z46)=0)*((((YEAR(R$5)-YEAR($AA46))*12+MONTH(R$5)-MONTH($AA46))+1)&gt;=0)*(EDATE($AA46,MAX(0,(((YEAR(R$5)-YEAR($AA46))*12+MONTH(R$5)-MONTH($AA46))+1)))&gt;=R$5)*(EDATE($AA46,MAX(0,(((YEAR(R$5)-YEAR($AA46))*12+MONTH(R$5)-MONTH($AA46))+1)))&lt;=MIN(R$5+6,$AB46)),($AA46&gt;=R$5)*($AA46&lt;=R$5+6))))</f>
        <v/>
      </c>
      <c r="S46" s="21">
        <f>IF($X46&lt;&gt;1,0,$D46*IF($Y46&gt;0,MAX(0,INT((MIN(S$5+6,$AB46)-$AA46)/$Y46)-MAX(0,-INT(($AA46-S$5)/$Y46))+1),IF($Z46&gt;0,(MOD(((YEAR(S$5)-YEAR($AA46))*12+MONTH(S$5)-MONTH($AA46)),$Z46)=0)*(((YEAR(S$5)-YEAR($AA46))*12+MONTH(S$5)-MONTH($AA46))&gt;=0)*(EDATE($AA46,MAX(0,((YEAR(S$5)-YEAR($AA46))*12+MONTH(S$5)-MONTH($AA46))))&gt;=S$5)*(EDATE($AA46,MAX(0,((YEAR(S$5)-YEAR($AA46))*12+MONTH(S$5)-MONTH($AA46))))&lt;=MIN(S$5+6,$AB46))+(MOD((((YEAR(S$5)-YEAR($AA46))*12+MONTH(S$5)-MONTH($AA46))+1),$Z46)=0)*((((YEAR(S$5)-YEAR($AA46))*12+MONTH(S$5)-MONTH($AA46))+1)&gt;=0)*(EDATE($AA46,MAX(0,(((YEAR(S$5)-YEAR($AA46))*12+MONTH(S$5)-MONTH($AA46))+1)))&gt;=S$5)*(EDATE($AA46,MAX(0,(((YEAR(S$5)-YEAR($AA46))*12+MONTH(S$5)-MONTH($AA46))+1)))&lt;=MIN(S$5+6,$AB46)),($AA46&gt;=S$5)*($AA46&lt;=S$5+6))))</f>
        <v/>
      </c>
      <c r="T46" s="21">
        <f>IF($X46&lt;&gt;1,0,$D46*IF($Y46&gt;0,MAX(0,INT((MIN(T$5+6,$AB46)-$AA46)/$Y46)-MAX(0,-INT(($AA46-T$5)/$Y46))+1),IF($Z46&gt;0,(MOD(((YEAR(T$5)-YEAR($AA46))*12+MONTH(T$5)-MONTH($AA46)),$Z46)=0)*(((YEAR(T$5)-YEAR($AA46))*12+MONTH(T$5)-MONTH($AA46))&gt;=0)*(EDATE($AA46,MAX(0,((YEAR(T$5)-YEAR($AA46))*12+MONTH(T$5)-MONTH($AA46))))&gt;=T$5)*(EDATE($AA46,MAX(0,((YEAR(T$5)-YEAR($AA46))*12+MONTH(T$5)-MONTH($AA46))))&lt;=MIN(T$5+6,$AB46))+(MOD((((YEAR(T$5)-YEAR($AA46))*12+MONTH(T$5)-MONTH($AA46))+1),$Z46)=0)*((((YEAR(T$5)-YEAR($AA46))*12+MONTH(T$5)-MONTH($AA46))+1)&gt;=0)*(EDATE($AA46,MAX(0,(((YEAR(T$5)-YEAR($AA46))*12+MONTH(T$5)-MONTH($AA46))+1)))&gt;=T$5)*(EDATE($AA46,MAX(0,(((YEAR(T$5)-YEAR($AA46))*12+MONTH(T$5)-MONTH($AA46))+1)))&lt;=MIN(T$5+6,$AB46)),($AA46&gt;=T$5)*($AA46&lt;=T$5+6))))</f>
        <v/>
      </c>
      <c r="U46" s="21">
        <f>IF($X46&lt;&gt;1,0,$D46*IF($Y46&gt;0,MAX(0,INT((MIN(U$5+6,$AB46)-$AA46)/$Y46)-MAX(0,-INT(($AA46-U$5)/$Y46))+1),IF($Z46&gt;0,(MOD(((YEAR(U$5)-YEAR($AA46))*12+MONTH(U$5)-MONTH($AA46)),$Z46)=0)*(((YEAR(U$5)-YEAR($AA46))*12+MONTH(U$5)-MONTH($AA46))&gt;=0)*(EDATE($AA46,MAX(0,((YEAR(U$5)-YEAR($AA46))*12+MONTH(U$5)-MONTH($AA46))))&gt;=U$5)*(EDATE($AA46,MAX(0,((YEAR(U$5)-YEAR($AA46))*12+MONTH(U$5)-MONTH($AA46))))&lt;=MIN(U$5+6,$AB46))+(MOD((((YEAR(U$5)-YEAR($AA46))*12+MONTH(U$5)-MONTH($AA46))+1),$Z46)=0)*((((YEAR(U$5)-YEAR($AA46))*12+MONTH(U$5)-MONTH($AA46))+1)&gt;=0)*(EDATE($AA46,MAX(0,(((YEAR(U$5)-YEAR($AA46))*12+MONTH(U$5)-MONTH($AA46))+1)))&gt;=U$5)*(EDATE($AA46,MAX(0,(((YEAR(U$5)-YEAR($AA46))*12+MONTH(U$5)-MONTH($AA46))+1)))&lt;=MIN(U$5+6,$AB46)),($AA46&gt;=U$5)*($AA46&lt;=U$5+6))))</f>
        <v/>
      </c>
      <c r="V46" s="21">
        <f>IF($X46&lt;&gt;1,0,$D46*IF($Y46&gt;0,MAX(0,INT((MIN(V$5+6,$AB46)-$AA46)/$Y46)-MAX(0,-INT(($AA46-V$5)/$Y46))+1),IF($Z46&gt;0,(MOD(((YEAR(V$5)-YEAR($AA46))*12+MONTH(V$5)-MONTH($AA46)),$Z46)=0)*(((YEAR(V$5)-YEAR($AA46))*12+MONTH(V$5)-MONTH($AA46))&gt;=0)*(EDATE($AA46,MAX(0,((YEAR(V$5)-YEAR($AA46))*12+MONTH(V$5)-MONTH($AA46))))&gt;=V$5)*(EDATE($AA46,MAX(0,((YEAR(V$5)-YEAR($AA46))*12+MONTH(V$5)-MONTH($AA46))))&lt;=MIN(V$5+6,$AB46))+(MOD((((YEAR(V$5)-YEAR($AA46))*12+MONTH(V$5)-MONTH($AA46))+1),$Z46)=0)*((((YEAR(V$5)-YEAR($AA46))*12+MONTH(V$5)-MONTH($AA46))+1)&gt;=0)*(EDATE($AA46,MAX(0,(((YEAR(V$5)-YEAR($AA46))*12+MONTH(V$5)-MONTH($AA46))+1)))&gt;=V$5)*(EDATE($AA46,MAX(0,(((YEAR(V$5)-YEAR($AA46))*12+MONTH(V$5)-MONTH($AA46))+1)))&lt;=MIN(V$5+6,$AB46)),($AA46&gt;=V$5)*($AA46&lt;=V$5+6))))</f>
        <v/>
      </c>
      <c r="W46" s="21">
        <f>IF($X46&lt;&gt;1,0,$D46*IF($Y46&gt;0,MAX(0,INT((MIN(W$5+6,$AB46)-$AA46)/$Y46)-MAX(0,-INT(($AA46-W$5)/$Y46))+1),IF($Z46&gt;0,(MOD(((YEAR(W$5)-YEAR($AA46))*12+MONTH(W$5)-MONTH($AA46)),$Z46)=0)*(((YEAR(W$5)-YEAR($AA46))*12+MONTH(W$5)-MONTH($AA46))&gt;=0)*(EDATE($AA46,MAX(0,((YEAR(W$5)-YEAR($AA46))*12+MONTH(W$5)-MONTH($AA46))))&gt;=W$5)*(EDATE($AA46,MAX(0,((YEAR(W$5)-YEAR($AA46))*12+MONTH(W$5)-MONTH($AA46))))&lt;=MIN(W$5+6,$AB46))+(MOD((((YEAR(W$5)-YEAR($AA46))*12+MONTH(W$5)-MONTH($AA46))+1),$Z46)=0)*((((YEAR(W$5)-YEAR($AA46))*12+MONTH(W$5)-MONTH($AA46))+1)&gt;=0)*(EDATE($AA46,MAX(0,(((YEAR(W$5)-YEAR($AA46))*12+MONTH(W$5)-MONTH($AA46))+1)))&gt;=W$5)*(EDATE($AA46,MAX(0,(((YEAR(W$5)-YEAR($AA46))*12+MONTH(W$5)-MONTH($AA46))+1)))&lt;=MIN(W$5+6,$AB46)),($AA46&gt;=W$5)*($AA46&lt;=W$5+6))))</f>
        <v/>
      </c>
      <c r="X46">
        <f>IF(COUNTA(A46:G46)=0,"",IF(AND(OR(B46="In",B46="Out"),ISNUMBER(D46),D46&gt;0,ISNUMBER(MATCH(E46,FreqName,0)),ISNUMBER(F46),OR(G46="",AND(ISNUMBER(G46),G46&gt;=F46))),1,0))</f>
        <v/>
      </c>
      <c r="Y46">
        <f>IF(X46&lt;&gt;1,0,INDEX(FreqDays,MATCH(E46,FreqName,0)))</f>
        <v/>
      </c>
      <c r="Z46">
        <f>IF(X46&lt;&gt;1,0,INDEX(FreqMonths,MATCH(E46,FreqName,0)))</f>
        <v/>
      </c>
      <c r="AA46">
        <f>IF(X46&lt;&gt;1,0,INT(F46))</f>
        <v/>
      </c>
      <c r="AB46">
        <f>IF(X46&lt;&gt;1,0,IF(ISNUMBER(G46),INT(G46),2958465))</f>
        <v/>
      </c>
    </row>
    <row r="47">
      <c r="A47" s="29" t="n"/>
      <c r="B47" s="29" t="n"/>
      <c r="C47" s="29" t="n"/>
      <c r="D47" s="34" t="n"/>
      <c r="E47" s="29" t="n"/>
      <c r="F47" s="24" t="n"/>
      <c r="G47" s="24" t="n"/>
      <c r="H47" s="10">
        <f>IF(X47="","",IF(X47=0,IF(AND(B47&lt;&gt;"In",B47&lt;&gt;"Out"),"Fix: choose In or Out",IF(OR(NOT(ISNUMBER(D47)),N(D47)&lt;=0),"Fix: amount must be a number above 0",IF(NOT(ISNUMBER(MATCH(E47,FreqName,0))),"Fix: choose a frequency",IF(NOT(ISNUMBER(F47)),"Fix: first date missing","Fix: end date must be a date on or after the first date")))),IF(AND(C47&lt;&gt;"",OR(AND(B47="In",ISNUMBER(MATCH(C47,InCats,0))),AND(B47="Out",ISNUMBER(MATCH(C47,OutCats,0))))),"OK","Category not on Settings (counted as Other)")))</f>
        <v/>
      </c>
      <c r="I47" s="35">
        <f>IF(X47&lt;&gt;1,"",ROUND(J47/D47,0))</f>
        <v/>
      </c>
      <c r="J47" s="36">
        <f>SUM(K47:W47)</f>
        <v/>
      </c>
      <c r="K47" s="21">
        <f>IF($X47&lt;&gt;1,0,$D47*IF($Y47&gt;0,MAX(0,INT((MIN(K$5+6,$AB47)-$AA47)/$Y47)-MAX(0,-INT(($AA47-K$5)/$Y47))+1),IF($Z47&gt;0,(MOD(((YEAR(K$5)-YEAR($AA47))*12+MONTH(K$5)-MONTH($AA47)),$Z47)=0)*(((YEAR(K$5)-YEAR($AA47))*12+MONTH(K$5)-MONTH($AA47))&gt;=0)*(EDATE($AA47,MAX(0,((YEAR(K$5)-YEAR($AA47))*12+MONTH(K$5)-MONTH($AA47))))&gt;=K$5)*(EDATE($AA47,MAX(0,((YEAR(K$5)-YEAR($AA47))*12+MONTH(K$5)-MONTH($AA47))))&lt;=MIN(K$5+6,$AB47))+(MOD((((YEAR(K$5)-YEAR($AA47))*12+MONTH(K$5)-MONTH($AA47))+1),$Z47)=0)*((((YEAR(K$5)-YEAR($AA47))*12+MONTH(K$5)-MONTH($AA47))+1)&gt;=0)*(EDATE($AA47,MAX(0,(((YEAR(K$5)-YEAR($AA47))*12+MONTH(K$5)-MONTH($AA47))+1)))&gt;=K$5)*(EDATE($AA47,MAX(0,(((YEAR(K$5)-YEAR($AA47))*12+MONTH(K$5)-MONTH($AA47))+1)))&lt;=MIN(K$5+6,$AB47)),($AA47&gt;=K$5)*($AA47&lt;=K$5+6))))</f>
        <v/>
      </c>
      <c r="L47" s="21">
        <f>IF($X47&lt;&gt;1,0,$D47*IF($Y47&gt;0,MAX(0,INT((MIN(L$5+6,$AB47)-$AA47)/$Y47)-MAX(0,-INT(($AA47-L$5)/$Y47))+1),IF($Z47&gt;0,(MOD(((YEAR(L$5)-YEAR($AA47))*12+MONTH(L$5)-MONTH($AA47)),$Z47)=0)*(((YEAR(L$5)-YEAR($AA47))*12+MONTH(L$5)-MONTH($AA47))&gt;=0)*(EDATE($AA47,MAX(0,((YEAR(L$5)-YEAR($AA47))*12+MONTH(L$5)-MONTH($AA47))))&gt;=L$5)*(EDATE($AA47,MAX(0,((YEAR(L$5)-YEAR($AA47))*12+MONTH(L$5)-MONTH($AA47))))&lt;=MIN(L$5+6,$AB47))+(MOD((((YEAR(L$5)-YEAR($AA47))*12+MONTH(L$5)-MONTH($AA47))+1),$Z47)=0)*((((YEAR(L$5)-YEAR($AA47))*12+MONTH(L$5)-MONTH($AA47))+1)&gt;=0)*(EDATE($AA47,MAX(0,(((YEAR(L$5)-YEAR($AA47))*12+MONTH(L$5)-MONTH($AA47))+1)))&gt;=L$5)*(EDATE($AA47,MAX(0,(((YEAR(L$5)-YEAR($AA47))*12+MONTH(L$5)-MONTH($AA47))+1)))&lt;=MIN(L$5+6,$AB47)),($AA47&gt;=L$5)*($AA47&lt;=L$5+6))))</f>
        <v/>
      </c>
      <c r="M47" s="21">
        <f>IF($X47&lt;&gt;1,0,$D47*IF($Y47&gt;0,MAX(0,INT((MIN(M$5+6,$AB47)-$AA47)/$Y47)-MAX(0,-INT(($AA47-M$5)/$Y47))+1),IF($Z47&gt;0,(MOD(((YEAR(M$5)-YEAR($AA47))*12+MONTH(M$5)-MONTH($AA47)),$Z47)=0)*(((YEAR(M$5)-YEAR($AA47))*12+MONTH(M$5)-MONTH($AA47))&gt;=0)*(EDATE($AA47,MAX(0,((YEAR(M$5)-YEAR($AA47))*12+MONTH(M$5)-MONTH($AA47))))&gt;=M$5)*(EDATE($AA47,MAX(0,((YEAR(M$5)-YEAR($AA47))*12+MONTH(M$5)-MONTH($AA47))))&lt;=MIN(M$5+6,$AB47))+(MOD((((YEAR(M$5)-YEAR($AA47))*12+MONTH(M$5)-MONTH($AA47))+1),$Z47)=0)*((((YEAR(M$5)-YEAR($AA47))*12+MONTH(M$5)-MONTH($AA47))+1)&gt;=0)*(EDATE($AA47,MAX(0,(((YEAR(M$5)-YEAR($AA47))*12+MONTH(M$5)-MONTH($AA47))+1)))&gt;=M$5)*(EDATE($AA47,MAX(0,(((YEAR(M$5)-YEAR($AA47))*12+MONTH(M$5)-MONTH($AA47))+1)))&lt;=MIN(M$5+6,$AB47)),($AA47&gt;=M$5)*($AA47&lt;=M$5+6))))</f>
        <v/>
      </c>
      <c r="N47" s="21">
        <f>IF($X47&lt;&gt;1,0,$D47*IF($Y47&gt;0,MAX(0,INT((MIN(N$5+6,$AB47)-$AA47)/$Y47)-MAX(0,-INT(($AA47-N$5)/$Y47))+1),IF($Z47&gt;0,(MOD(((YEAR(N$5)-YEAR($AA47))*12+MONTH(N$5)-MONTH($AA47)),$Z47)=0)*(((YEAR(N$5)-YEAR($AA47))*12+MONTH(N$5)-MONTH($AA47))&gt;=0)*(EDATE($AA47,MAX(0,((YEAR(N$5)-YEAR($AA47))*12+MONTH(N$5)-MONTH($AA47))))&gt;=N$5)*(EDATE($AA47,MAX(0,((YEAR(N$5)-YEAR($AA47))*12+MONTH(N$5)-MONTH($AA47))))&lt;=MIN(N$5+6,$AB47))+(MOD((((YEAR(N$5)-YEAR($AA47))*12+MONTH(N$5)-MONTH($AA47))+1),$Z47)=0)*((((YEAR(N$5)-YEAR($AA47))*12+MONTH(N$5)-MONTH($AA47))+1)&gt;=0)*(EDATE($AA47,MAX(0,(((YEAR(N$5)-YEAR($AA47))*12+MONTH(N$5)-MONTH($AA47))+1)))&gt;=N$5)*(EDATE($AA47,MAX(0,(((YEAR(N$5)-YEAR($AA47))*12+MONTH(N$5)-MONTH($AA47))+1)))&lt;=MIN(N$5+6,$AB47)),($AA47&gt;=N$5)*($AA47&lt;=N$5+6))))</f>
        <v/>
      </c>
      <c r="O47" s="21">
        <f>IF($X47&lt;&gt;1,0,$D47*IF($Y47&gt;0,MAX(0,INT((MIN(O$5+6,$AB47)-$AA47)/$Y47)-MAX(0,-INT(($AA47-O$5)/$Y47))+1),IF($Z47&gt;0,(MOD(((YEAR(O$5)-YEAR($AA47))*12+MONTH(O$5)-MONTH($AA47)),$Z47)=0)*(((YEAR(O$5)-YEAR($AA47))*12+MONTH(O$5)-MONTH($AA47))&gt;=0)*(EDATE($AA47,MAX(0,((YEAR(O$5)-YEAR($AA47))*12+MONTH(O$5)-MONTH($AA47))))&gt;=O$5)*(EDATE($AA47,MAX(0,((YEAR(O$5)-YEAR($AA47))*12+MONTH(O$5)-MONTH($AA47))))&lt;=MIN(O$5+6,$AB47))+(MOD((((YEAR(O$5)-YEAR($AA47))*12+MONTH(O$5)-MONTH($AA47))+1),$Z47)=0)*((((YEAR(O$5)-YEAR($AA47))*12+MONTH(O$5)-MONTH($AA47))+1)&gt;=0)*(EDATE($AA47,MAX(0,(((YEAR(O$5)-YEAR($AA47))*12+MONTH(O$5)-MONTH($AA47))+1)))&gt;=O$5)*(EDATE($AA47,MAX(0,(((YEAR(O$5)-YEAR($AA47))*12+MONTH(O$5)-MONTH($AA47))+1)))&lt;=MIN(O$5+6,$AB47)),($AA47&gt;=O$5)*($AA47&lt;=O$5+6))))</f>
        <v/>
      </c>
      <c r="P47" s="21">
        <f>IF($X47&lt;&gt;1,0,$D47*IF($Y47&gt;0,MAX(0,INT((MIN(P$5+6,$AB47)-$AA47)/$Y47)-MAX(0,-INT(($AA47-P$5)/$Y47))+1),IF($Z47&gt;0,(MOD(((YEAR(P$5)-YEAR($AA47))*12+MONTH(P$5)-MONTH($AA47)),$Z47)=0)*(((YEAR(P$5)-YEAR($AA47))*12+MONTH(P$5)-MONTH($AA47))&gt;=0)*(EDATE($AA47,MAX(0,((YEAR(P$5)-YEAR($AA47))*12+MONTH(P$5)-MONTH($AA47))))&gt;=P$5)*(EDATE($AA47,MAX(0,((YEAR(P$5)-YEAR($AA47))*12+MONTH(P$5)-MONTH($AA47))))&lt;=MIN(P$5+6,$AB47))+(MOD((((YEAR(P$5)-YEAR($AA47))*12+MONTH(P$5)-MONTH($AA47))+1),$Z47)=0)*((((YEAR(P$5)-YEAR($AA47))*12+MONTH(P$5)-MONTH($AA47))+1)&gt;=0)*(EDATE($AA47,MAX(0,(((YEAR(P$5)-YEAR($AA47))*12+MONTH(P$5)-MONTH($AA47))+1)))&gt;=P$5)*(EDATE($AA47,MAX(0,(((YEAR(P$5)-YEAR($AA47))*12+MONTH(P$5)-MONTH($AA47))+1)))&lt;=MIN(P$5+6,$AB47)),($AA47&gt;=P$5)*($AA47&lt;=P$5+6))))</f>
        <v/>
      </c>
      <c r="Q47" s="21">
        <f>IF($X47&lt;&gt;1,0,$D47*IF($Y47&gt;0,MAX(0,INT((MIN(Q$5+6,$AB47)-$AA47)/$Y47)-MAX(0,-INT(($AA47-Q$5)/$Y47))+1),IF($Z47&gt;0,(MOD(((YEAR(Q$5)-YEAR($AA47))*12+MONTH(Q$5)-MONTH($AA47)),$Z47)=0)*(((YEAR(Q$5)-YEAR($AA47))*12+MONTH(Q$5)-MONTH($AA47))&gt;=0)*(EDATE($AA47,MAX(0,((YEAR(Q$5)-YEAR($AA47))*12+MONTH(Q$5)-MONTH($AA47))))&gt;=Q$5)*(EDATE($AA47,MAX(0,((YEAR(Q$5)-YEAR($AA47))*12+MONTH(Q$5)-MONTH($AA47))))&lt;=MIN(Q$5+6,$AB47))+(MOD((((YEAR(Q$5)-YEAR($AA47))*12+MONTH(Q$5)-MONTH($AA47))+1),$Z47)=0)*((((YEAR(Q$5)-YEAR($AA47))*12+MONTH(Q$5)-MONTH($AA47))+1)&gt;=0)*(EDATE($AA47,MAX(0,(((YEAR(Q$5)-YEAR($AA47))*12+MONTH(Q$5)-MONTH($AA47))+1)))&gt;=Q$5)*(EDATE($AA47,MAX(0,(((YEAR(Q$5)-YEAR($AA47))*12+MONTH(Q$5)-MONTH($AA47))+1)))&lt;=MIN(Q$5+6,$AB47)),($AA47&gt;=Q$5)*($AA47&lt;=Q$5+6))))</f>
        <v/>
      </c>
      <c r="R47" s="21">
        <f>IF($X47&lt;&gt;1,0,$D47*IF($Y47&gt;0,MAX(0,INT((MIN(R$5+6,$AB47)-$AA47)/$Y47)-MAX(0,-INT(($AA47-R$5)/$Y47))+1),IF($Z47&gt;0,(MOD(((YEAR(R$5)-YEAR($AA47))*12+MONTH(R$5)-MONTH($AA47)),$Z47)=0)*(((YEAR(R$5)-YEAR($AA47))*12+MONTH(R$5)-MONTH($AA47))&gt;=0)*(EDATE($AA47,MAX(0,((YEAR(R$5)-YEAR($AA47))*12+MONTH(R$5)-MONTH($AA47))))&gt;=R$5)*(EDATE($AA47,MAX(0,((YEAR(R$5)-YEAR($AA47))*12+MONTH(R$5)-MONTH($AA47))))&lt;=MIN(R$5+6,$AB47))+(MOD((((YEAR(R$5)-YEAR($AA47))*12+MONTH(R$5)-MONTH($AA47))+1),$Z47)=0)*((((YEAR(R$5)-YEAR($AA47))*12+MONTH(R$5)-MONTH($AA47))+1)&gt;=0)*(EDATE($AA47,MAX(0,(((YEAR(R$5)-YEAR($AA47))*12+MONTH(R$5)-MONTH($AA47))+1)))&gt;=R$5)*(EDATE($AA47,MAX(0,(((YEAR(R$5)-YEAR($AA47))*12+MONTH(R$5)-MONTH($AA47))+1)))&lt;=MIN(R$5+6,$AB47)),($AA47&gt;=R$5)*($AA47&lt;=R$5+6))))</f>
        <v/>
      </c>
      <c r="S47" s="21">
        <f>IF($X47&lt;&gt;1,0,$D47*IF($Y47&gt;0,MAX(0,INT((MIN(S$5+6,$AB47)-$AA47)/$Y47)-MAX(0,-INT(($AA47-S$5)/$Y47))+1),IF($Z47&gt;0,(MOD(((YEAR(S$5)-YEAR($AA47))*12+MONTH(S$5)-MONTH($AA47)),$Z47)=0)*(((YEAR(S$5)-YEAR($AA47))*12+MONTH(S$5)-MONTH($AA47))&gt;=0)*(EDATE($AA47,MAX(0,((YEAR(S$5)-YEAR($AA47))*12+MONTH(S$5)-MONTH($AA47))))&gt;=S$5)*(EDATE($AA47,MAX(0,((YEAR(S$5)-YEAR($AA47))*12+MONTH(S$5)-MONTH($AA47))))&lt;=MIN(S$5+6,$AB47))+(MOD((((YEAR(S$5)-YEAR($AA47))*12+MONTH(S$5)-MONTH($AA47))+1),$Z47)=0)*((((YEAR(S$5)-YEAR($AA47))*12+MONTH(S$5)-MONTH($AA47))+1)&gt;=0)*(EDATE($AA47,MAX(0,(((YEAR(S$5)-YEAR($AA47))*12+MONTH(S$5)-MONTH($AA47))+1)))&gt;=S$5)*(EDATE($AA47,MAX(0,(((YEAR(S$5)-YEAR($AA47))*12+MONTH(S$5)-MONTH($AA47))+1)))&lt;=MIN(S$5+6,$AB47)),($AA47&gt;=S$5)*($AA47&lt;=S$5+6))))</f>
        <v/>
      </c>
      <c r="T47" s="21">
        <f>IF($X47&lt;&gt;1,0,$D47*IF($Y47&gt;0,MAX(0,INT((MIN(T$5+6,$AB47)-$AA47)/$Y47)-MAX(0,-INT(($AA47-T$5)/$Y47))+1),IF($Z47&gt;0,(MOD(((YEAR(T$5)-YEAR($AA47))*12+MONTH(T$5)-MONTH($AA47)),$Z47)=0)*(((YEAR(T$5)-YEAR($AA47))*12+MONTH(T$5)-MONTH($AA47))&gt;=0)*(EDATE($AA47,MAX(0,((YEAR(T$5)-YEAR($AA47))*12+MONTH(T$5)-MONTH($AA47))))&gt;=T$5)*(EDATE($AA47,MAX(0,((YEAR(T$5)-YEAR($AA47))*12+MONTH(T$5)-MONTH($AA47))))&lt;=MIN(T$5+6,$AB47))+(MOD((((YEAR(T$5)-YEAR($AA47))*12+MONTH(T$5)-MONTH($AA47))+1),$Z47)=0)*((((YEAR(T$5)-YEAR($AA47))*12+MONTH(T$5)-MONTH($AA47))+1)&gt;=0)*(EDATE($AA47,MAX(0,(((YEAR(T$5)-YEAR($AA47))*12+MONTH(T$5)-MONTH($AA47))+1)))&gt;=T$5)*(EDATE($AA47,MAX(0,(((YEAR(T$5)-YEAR($AA47))*12+MONTH(T$5)-MONTH($AA47))+1)))&lt;=MIN(T$5+6,$AB47)),($AA47&gt;=T$5)*($AA47&lt;=T$5+6))))</f>
        <v/>
      </c>
      <c r="U47" s="21">
        <f>IF($X47&lt;&gt;1,0,$D47*IF($Y47&gt;0,MAX(0,INT((MIN(U$5+6,$AB47)-$AA47)/$Y47)-MAX(0,-INT(($AA47-U$5)/$Y47))+1),IF($Z47&gt;0,(MOD(((YEAR(U$5)-YEAR($AA47))*12+MONTH(U$5)-MONTH($AA47)),$Z47)=0)*(((YEAR(U$5)-YEAR($AA47))*12+MONTH(U$5)-MONTH($AA47))&gt;=0)*(EDATE($AA47,MAX(0,((YEAR(U$5)-YEAR($AA47))*12+MONTH(U$5)-MONTH($AA47))))&gt;=U$5)*(EDATE($AA47,MAX(0,((YEAR(U$5)-YEAR($AA47))*12+MONTH(U$5)-MONTH($AA47))))&lt;=MIN(U$5+6,$AB47))+(MOD((((YEAR(U$5)-YEAR($AA47))*12+MONTH(U$5)-MONTH($AA47))+1),$Z47)=0)*((((YEAR(U$5)-YEAR($AA47))*12+MONTH(U$5)-MONTH($AA47))+1)&gt;=0)*(EDATE($AA47,MAX(0,(((YEAR(U$5)-YEAR($AA47))*12+MONTH(U$5)-MONTH($AA47))+1)))&gt;=U$5)*(EDATE($AA47,MAX(0,(((YEAR(U$5)-YEAR($AA47))*12+MONTH(U$5)-MONTH($AA47))+1)))&lt;=MIN(U$5+6,$AB47)),($AA47&gt;=U$5)*($AA47&lt;=U$5+6))))</f>
        <v/>
      </c>
      <c r="V47" s="21">
        <f>IF($X47&lt;&gt;1,0,$D47*IF($Y47&gt;0,MAX(0,INT((MIN(V$5+6,$AB47)-$AA47)/$Y47)-MAX(0,-INT(($AA47-V$5)/$Y47))+1),IF($Z47&gt;0,(MOD(((YEAR(V$5)-YEAR($AA47))*12+MONTH(V$5)-MONTH($AA47)),$Z47)=0)*(((YEAR(V$5)-YEAR($AA47))*12+MONTH(V$5)-MONTH($AA47))&gt;=0)*(EDATE($AA47,MAX(0,((YEAR(V$5)-YEAR($AA47))*12+MONTH(V$5)-MONTH($AA47))))&gt;=V$5)*(EDATE($AA47,MAX(0,((YEAR(V$5)-YEAR($AA47))*12+MONTH(V$5)-MONTH($AA47))))&lt;=MIN(V$5+6,$AB47))+(MOD((((YEAR(V$5)-YEAR($AA47))*12+MONTH(V$5)-MONTH($AA47))+1),$Z47)=0)*((((YEAR(V$5)-YEAR($AA47))*12+MONTH(V$5)-MONTH($AA47))+1)&gt;=0)*(EDATE($AA47,MAX(0,(((YEAR(V$5)-YEAR($AA47))*12+MONTH(V$5)-MONTH($AA47))+1)))&gt;=V$5)*(EDATE($AA47,MAX(0,(((YEAR(V$5)-YEAR($AA47))*12+MONTH(V$5)-MONTH($AA47))+1)))&lt;=MIN(V$5+6,$AB47)),($AA47&gt;=V$5)*($AA47&lt;=V$5+6))))</f>
        <v/>
      </c>
      <c r="W47" s="21">
        <f>IF($X47&lt;&gt;1,0,$D47*IF($Y47&gt;0,MAX(0,INT((MIN(W$5+6,$AB47)-$AA47)/$Y47)-MAX(0,-INT(($AA47-W$5)/$Y47))+1),IF($Z47&gt;0,(MOD(((YEAR(W$5)-YEAR($AA47))*12+MONTH(W$5)-MONTH($AA47)),$Z47)=0)*(((YEAR(W$5)-YEAR($AA47))*12+MONTH(W$5)-MONTH($AA47))&gt;=0)*(EDATE($AA47,MAX(0,((YEAR(W$5)-YEAR($AA47))*12+MONTH(W$5)-MONTH($AA47))))&gt;=W$5)*(EDATE($AA47,MAX(0,((YEAR(W$5)-YEAR($AA47))*12+MONTH(W$5)-MONTH($AA47))))&lt;=MIN(W$5+6,$AB47))+(MOD((((YEAR(W$5)-YEAR($AA47))*12+MONTH(W$5)-MONTH($AA47))+1),$Z47)=0)*((((YEAR(W$5)-YEAR($AA47))*12+MONTH(W$5)-MONTH($AA47))+1)&gt;=0)*(EDATE($AA47,MAX(0,(((YEAR(W$5)-YEAR($AA47))*12+MONTH(W$5)-MONTH($AA47))+1)))&gt;=W$5)*(EDATE($AA47,MAX(0,(((YEAR(W$5)-YEAR($AA47))*12+MONTH(W$5)-MONTH($AA47))+1)))&lt;=MIN(W$5+6,$AB47)),($AA47&gt;=W$5)*($AA47&lt;=W$5+6))))</f>
        <v/>
      </c>
      <c r="X47">
        <f>IF(COUNTA(A47:G47)=0,"",IF(AND(OR(B47="In",B47="Out"),ISNUMBER(D47),D47&gt;0,ISNUMBER(MATCH(E47,FreqName,0)),ISNUMBER(F47),OR(G47="",AND(ISNUMBER(G47),G47&gt;=F47))),1,0))</f>
        <v/>
      </c>
      <c r="Y47">
        <f>IF(X47&lt;&gt;1,0,INDEX(FreqDays,MATCH(E47,FreqName,0)))</f>
        <v/>
      </c>
      <c r="Z47">
        <f>IF(X47&lt;&gt;1,0,INDEX(FreqMonths,MATCH(E47,FreqName,0)))</f>
        <v/>
      </c>
      <c r="AA47">
        <f>IF(X47&lt;&gt;1,0,INT(F47))</f>
        <v/>
      </c>
      <c r="AB47">
        <f>IF(X47&lt;&gt;1,0,IF(ISNUMBER(G47),INT(G47),2958465))</f>
        <v/>
      </c>
    </row>
    <row r="48">
      <c r="A48" s="29" t="n"/>
      <c r="B48" s="29" t="n"/>
      <c r="C48" s="29" t="n"/>
      <c r="D48" s="34" t="n"/>
      <c r="E48" s="29" t="n"/>
      <c r="F48" s="24" t="n"/>
      <c r="G48" s="24" t="n"/>
      <c r="H48" s="10">
        <f>IF(X48="","",IF(X48=0,IF(AND(B48&lt;&gt;"In",B48&lt;&gt;"Out"),"Fix: choose In or Out",IF(OR(NOT(ISNUMBER(D48)),N(D48)&lt;=0),"Fix: amount must be a number above 0",IF(NOT(ISNUMBER(MATCH(E48,FreqName,0))),"Fix: choose a frequency",IF(NOT(ISNUMBER(F48)),"Fix: first date missing","Fix: end date must be a date on or after the first date")))),IF(AND(C48&lt;&gt;"",OR(AND(B48="In",ISNUMBER(MATCH(C48,InCats,0))),AND(B48="Out",ISNUMBER(MATCH(C48,OutCats,0))))),"OK","Category not on Settings (counted as Other)")))</f>
        <v/>
      </c>
      <c r="I48" s="35">
        <f>IF(X48&lt;&gt;1,"",ROUND(J48/D48,0))</f>
        <v/>
      </c>
      <c r="J48" s="36">
        <f>SUM(K48:W48)</f>
        <v/>
      </c>
      <c r="K48" s="21">
        <f>IF($X48&lt;&gt;1,0,$D48*IF($Y48&gt;0,MAX(0,INT((MIN(K$5+6,$AB48)-$AA48)/$Y48)-MAX(0,-INT(($AA48-K$5)/$Y48))+1),IF($Z48&gt;0,(MOD(((YEAR(K$5)-YEAR($AA48))*12+MONTH(K$5)-MONTH($AA48)),$Z48)=0)*(((YEAR(K$5)-YEAR($AA48))*12+MONTH(K$5)-MONTH($AA48))&gt;=0)*(EDATE($AA48,MAX(0,((YEAR(K$5)-YEAR($AA48))*12+MONTH(K$5)-MONTH($AA48))))&gt;=K$5)*(EDATE($AA48,MAX(0,((YEAR(K$5)-YEAR($AA48))*12+MONTH(K$5)-MONTH($AA48))))&lt;=MIN(K$5+6,$AB48))+(MOD((((YEAR(K$5)-YEAR($AA48))*12+MONTH(K$5)-MONTH($AA48))+1),$Z48)=0)*((((YEAR(K$5)-YEAR($AA48))*12+MONTH(K$5)-MONTH($AA48))+1)&gt;=0)*(EDATE($AA48,MAX(0,(((YEAR(K$5)-YEAR($AA48))*12+MONTH(K$5)-MONTH($AA48))+1)))&gt;=K$5)*(EDATE($AA48,MAX(0,(((YEAR(K$5)-YEAR($AA48))*12+MONTH(K$5)-MONTH($AA48))+1)))&lt;=MIN(K$5+6,$AB48)),($AA48&gt;=K$5)*($AA48&lt;=K$5+6))))</f>
        <v/>
      </c>
      <c r="L48" s="21">
        <f>IF($X48&lt;&gt;1,0,$D48*IF($Y48&gt;0,MAX(0,INT((MIN(L$5+6,$AB48)-$AA48)/$Y48)-MAX(0,-INT(($AA48-L$5)/$Y48))+1),IF($Z48&gt;0,(MOD(((YEAR(L$5)-YEAR($AA48))*12+MONTH(L$5)-MONTH($AA48)),$Z48)=0)*(((YEAR(L$5)-YEAR($AA48))*12+MONTH(L$5)-MONTH($AA48))&gt;=0)*(EDATE($AA48,MAX(0,((YEAR(L$5)-YEAR($AA48))*12+MONTH(L$5)-MONTH($AA48))))&gt;=L$5)*(EDATE($AA48,MAX(0,((YEAR(L$5)-YEAR($AA48))*12+MONTH(L$5)-MONTH($AA48))))&lt;=MIN(L$5+6,$AB48))+(MOD((((YEAR(L$5)-YEAR($AA48))*12+MONTH(L$5)-MONTH($AA48))+1),$Z48)=0)*((((YEAR(L$5)-YEAR($AA48))*12+MONTH(L$5)-MONTH($AA48))+1)&gt;=0)*(EDATE($AA48,MAX(0,(((YEAR(L$5)-YEAR($AA48))*12+MONTH(L$5)-MONTH($AA48))+1)))&gt;=L$5)*(EDATE($AA48,MAX(0,(((YEAR(L$5)-YEAR($AA48))*12+MONTH(L$5)-MONTH($AA48))+1)))&lt;=MIN(L$5+6,$AB48)),($AA48&gt;=L$5)*($AA48&lt;=L$5+6))))</f>
        <v/>
      </c>
      <c r="M48" s="21">
        <f>IF($X48&lt;&gt;1,0,$D48*IF($Y48&gt;0,MAX(0,INT((MIN(M$5+6,$AB48)-$AA48)/$Y48)-MAX(0,-INT(($AA48-M$5)/$Y48))+1),IF($Z48&gt;0,(MOD(((YEAR(M$5)-YEAR($AA48))*12+MONTH(M$5)-MONTH($AA48)),$Z48)=0)*(((YEAR(M$5)-YEAR($AA48))*12+MONTH(M$5)-MONTH($AA48))&gt;=0)*(EDATE($AA48,MAX(0,((YEAR(M$5)-YEAR($AA48))*12+MONTH(M$5)-MONTH($AA48))))&gt;=M$5)*(EDATE($AA48,MAX(0,((YEAR(M$5)-YEAR($AA48))*12+MONTH(M$5)-MONTH($AA48))))&lt;=MIN(M$5+6,$AB48))+(MOD((((YEAR(M$5)-YEAR($AA48))*12+MONTH(M$5)-MONTH($AA48))+1),$Z48)=0)*((((YEAR(M$5)-YEAR($AA48))*12+MONTH(M$5)-MONTH($AA48))+1)&gt;=0)*(EDATE($AA48,MAX(0,(((YEAR(M$5)-YEAR($AA48))*12+MONTH(M$5)-MONTH($AA48))+1)))&gt;=M$5)*(EDATE($AA48,MAX(0,(((YEAR(M$5)-YEAR($AA48))*12+MONTH(M$5)-MONTH($AA48))+1)))&lt;=MIN(M$5+6,$AB48)),($AA48&gt;=M$5)*($AA48&lt;=M$5+6))))</f>
        <v/>
      </c>
      <c r="N48" s="21">
        <f>IF($X48&lt;&gt;1,0,$D48*IF($Y48&gt;0,MAX(0,INT((MIN(N$5+6,$AB48)-$AA48)/$Y48)-MAX(0,-INT(($AA48-N$5)/$Y48))+1),IF($Z48&gt;0,(MOD(((YEAR(N$5)-YEAR($AA48))*12+MONTH(N$5)-MONTH($AA48)),$Z48)=0)*(((YEAR(N$5)-YEAR($AA48))*12+MONTH(N$5)-MONTH($AA48))&gt;=0)*(EDATE($AA48,MAX(0,((YEAR(N$5)-YEAR($AA48))*12+MONTH(N$5)-MONTH($AA48))))&gt;=N$5)*(EDATE($AA48,MAX(0,((YEAR(N$5)-YEAR($AA48))*12+MONTH(N$5)-MONTH($AA48))))&lt;=MIN(N$5+6,$AB48))+(MOD((((YEAR(N$5)-YEAR($AA48))*12+MONTH(N$5)-MONTH($AA48))+1),$Z48)=0)*((((YEAR(N$5)-YEAR($AA48))*12+MONTH(N$5)-MONTH($AA48))+1)&gt;=0)*(EDATE($AA48,MAX(0,(((YEAR(N$5)-YEAR($AA48))*12+MONTH(N$5)-MONTH($AA48))+1)))&gt;=N$5)*(EDATE($AA48,MAX(0,(((YEAR(N$5)-YEAR($AA48))*12+MONTH(N$5)-MONTH($AA48))+1)))&lt;=MIN(N$5+6,$AB48)),($AA48&gt;=N$5)*($AA48&lt;=N$5+6))))</f>
        <v/>
      </c>
      <c r="O48" s="21">
        <f>IF($X48&lt;&gt;1,0,$D48*IF($Y48&gt;0,MAX(0,INT((MIN(O$5+6,$AB48)-$AA48)/$Y48)-MAX(0,-INT(($AA48-O$5)/$Y48))+1),IF($Z48&gt;0,(MOD(((YEAR(O$5)-YEAR($AA48))*12+MONTH(O$5)-MONTH($AA48)),$Z48)=0)*(((YEAR(O$5)-YEAR($AA48))*12+MONTH(O$5)-MONTH($AA48))&gt;=0)*(EDATE($AA48,MAX(0,((YEAR(O$5)-YEAR($AA48))*12+MONTH(O$5)-MONTH($AA48))))&gt;=O$5)*(EDATE($AA48,MAX(0,((YEAR(O$5)-YEAR($AA48))*12+MONTH(O$5)-MONTH($AA48))))&lt;=MIN(O$5+6,$AB48))+(MOD((((YEAR(O$5)-YEAR($AA48))*12+MONTH(O$5)-MONTH($AA48))+1),$Z48)=0)*((((YEAR(O$5)-YEAR($AA48))*12+MONTH(O$5)-MONTH($AA48))+1)&gt;=0)*(EDATE($AA48,MAX(0,(((YEAR(O$5)-YEAR($AA48))*12+MONTH(O$5)-MONTH($AA48))+1)))&gt;=O$5)*(EDATE($AA48,MAX(0,(((YEAR(O$5)-YEAR($AA48))*12+MONTH(O$5)-MONTH($AA48))+1)))&lt;=MIN(O$5+6,$AB48)),($AA48&gt;=O$5)*($AA48&lt;=O$5+6))))</f>
        <v/>
      </c>
      <c r="P48" s="21">
        <f>IF($X48&lt;&gt;1,0,$D48*IF($Y48&gt;0,MAX(0,INT((MIN(P$5+6,$AB48)-$AA48)/$Y48)-MAX(0,-INT(($AA48-P$5)/$Y48))+1),IF($Z48&gt;0,(MOD(((YEAR(P$5)-YEAR($AA48))*12+MONTH(P$5)-MONTH($AA48)),$Z48)=0)*(((YEAR(P$5)-YEAR($AA48))*12+MONTH(P$5)-MONTH($AA48))&gt;=0)*(EDATE($AA48,MAX(0,((YEAR(P$5)-YEAR($AA48))*12+MONTH(P$5)-MONTH($AA48))))&gt;=P$5)*(EDATE($AA48,MAX(0,((YEAR(P$5)-YEAR($AA48))*12+MONTH(P$5)-MONTH($AA48))))&lt;=MIN(P$5+6,$AB48))+(MOD((((YEAR(P$5)-YEAR($AA48))*12+MONTH(P$5)-MONTH($AA48))+1),$Z48)=0)*((((YEAR(P$5)-YEAR($AA48))*12+MONTH(P$5)-MONTH($AA48))+1)&gt;=0)*(EDATE($AA48,MAX(0,(((YEAR(P$5)-YEAR($AA48))*12+MONTH(P$5)-MONTH($AA48))+1)))&gt;=P$5)*(EDATE($AA48,MAX(0,(((YEAR(P$5)-YEAR($AA48))*12+MONTH(P$5)-MONTH($AA48))+1)))&lt;=MIN(P$5+6,$AB48)),($AA48&gt;=P$5)*($AA48&lt;=P$5+6))))</f>
        <v/>
      </c>
      <c r="Q48" s="21">
        <f>IF($X48&lt;&gt;1,0,$D48*IF($Y48&gt;0,MAX(0,INT((MIN(Q$5+6,$AB48)-$AA48)/$Y48)-MAX(0,-INT(($AA48-Q$5)/$Y48))+1),IF($Z48&gt;0,(MOD(((YEAR(Q$5)-YEAR($AA48))*12+MONTH(Q$5)-MONTH($AA48)),$Z48)=0)*(((YEAR(Q$5)-YEAR($AA48))*12+MONTH(Q$5)-MONTH($AA48))&gt;=0)*(EDATE($AA48,MAX(0,((YEAR(Q$5)-YEAR($AA48))*12+MONTH(Q$5)-MONTH($AA48))))&gt;=Q$5)*(EDATE($AA48,MAX(0,((YEAR(Q$5)-YEAR($AA48))*12+MONTH(Q$5)-MONTH($AA48))))&lt;=MIN(Q$5+6,$AB48))+(MOD((((YEAR(Q$5)-YEAR($AA48))*12+MONTH(Q$5)-MONTH($AA48))+1),$Z48)=0)*((((YEAR(Q$5)-YEAR($AA48))*12+MONTH(Q$5)-MONTH($AA48))+1)&gt;=0)*(EDATE($AA48,MAX(0,(((YEAR(Q$5)-YEAR($AA48))*12+MONTH(Q$5)-MONTH($AA48))+1)))&gt;=Q$5)*(EDATE($AA48,MAX(0,(((YEAR(Q$5)-YEAR($AA48))*12+MONTH(Q$5)-MONTH($AA48))+1)))&lt;=MIN(Q$5+6,$AB48)),($AA48&gt;=Q$5)*($AA48&lt;=Q$5+6))))</f>
        <v/>
      </c>
      <c r="R48" s="21">
        <f>IF($X48&lt;&gt;1,0,$D48*IF($Y48&gt;0,MAX(0,INT((MIN(R$5+6,$AB48)-$AA48)/$Y48)-MAX(0,-INT(($AA48-R$5)/$Y48))+1),IF($Z48&gt;0,(MOD(((YEAR(R$5)-YEAR($AA48))*12+MONTH(R$5)-MONTH($AA48)),$Z48)=0)*(((YEAR(R$5)-YEAR($AA48))*12+MONTH(R$5)-MONTH($AA48))&gt;=0)*(EDATE($AA48,MAX(0,((YEAR(R$5)-YEAR($AA48))*12+MONTH(R$5)-MONTH($AA48))))&gt;=R$5)*(EDATE($AA48,MAX(0,((YEAR(R$5)-YEAR($AA48))*12+MONTH(R$5)-MONTH($AA48))))&lt;=MIN(R$5+6,$AB48))+(MOD((((YEAR(R$5)-YEAR($AA48))*12+MONTH(R$5)-MONTH($AA48))+1),$Z48)=0)*((((YEAR(R$5)-YEAR($AA48))*12+MONTH(R$5)-MONTH($AA48))+1)&gt;=0)*(EDATE($AA48,MAX(0,(((YEAR(R$5)-YEAR($AA48))*12+MONTH(R$5)-MONTH($AA48))+1)))&gt;=R$5)*(EDATE($AA48,MAX(0,(((YEAR(R$5)-YEAR($AA48))*12+MONTH(R$5)-MONTH($AA48))+1)))&lt;=MIN(R$5+6,$AB48)),($AA48&gt;=R$5)*($AA48&lt;=R$5+6))))</f>
        <v/>
      </c>
      <c r="S48" s="21">
        <f>IF($X48&lt;&gt;1,0,$D48*IF($Y48&gt;0,MAX(0,INT((MIN(S$5+6,$AB48)-$AA48)/$Y48)-MAX(0,-INT(($AA48-S$5)/$Y48))+1),IF($Z48&gt;0,(MOD(((YEAR(S$5)-YEAR($AA48))*12+MONTH(S$5)-MONTH($AA48)),$Z48)=0)*(((YEAR(S$5)-YEAR($AA48))*12+MONTH(S$5)-MONTH($AA48))&gt;=0)*(EDATE($AA48,MAX(0,((YEAR(S$5)-YEAR($AA48))*12+MONTH(S$5)-MONTH($AA48))))&gt;=S$5)*(EDATE($AA48,MAX(0,((YEAR(S$5)-YEAR($AA48))*12+MONTH(S$5)-MONTH($AA48))))&lt;=MIN(S$5+6,$AB48))+(MOD((((YEAR(S$5)-YEAR($AA48))*12+MONTH(S$5)-MONTH($AA48))+1),$Z48)=0)*((((YEAR(S$5)-YEAR($AA48))*12+MONTH(S$5)-MONTH($AA48))+1)&gt;=0)*(EDATE($AA48,MAX(0,(((YEAR(S$5)-YEAR($AA48))*12+MONTH(S$5)-MONTH($AA48))+1)))&gt;=S$5)*(EDATE($AA48,MAX(0,(((YEAR(S$5)-YEAR($AA48))*12+MONTH(S$5)-MONTH($AA48))+1)))&lt;=MIN(S$5+6,$AB48)),($AA48&gt;=S$5)*($AA48&lt;=S$5+6))))</f>
        <v/>
      </c>
      <c r="T48" s="21">
        <f>IF($X48&lt;&gt;1,0,$D48*IF($Y48&gt;0,MAX(0,INT((MIN(T$5+6,$AB48)-$AA48)/$Y48)-MAX(0,-INT(($AA48-T$5)/$Y48))+1),IF($Z48&gt;0,(MOD(((YEAR(T$5)-YEAR($AA48))*12+MONTH(T$5)-MONTH($AA48)),$Z48)=0)*(((YEAR(T$5)-YEAR($AA48))*12+MONTH(T$5)-MONTH($AA48))&gt;=0)*(EDATE($AA48,MAX(0,((YEAR(T$5)-YEAR($AA48))*12+MONTH(T$5)-MONTH($AA48))))&gt;=T$5)*(EDATE($AA48,MAX(0,((YEAR(T$5)-YEAR($AA48))*12+MONTH(T$5)-MONTH($AA48))))&lt;=MIN(T$5+6,$AB48))+(MOD((((YEAR(T$5)-YEAR($AA48))*12+MONTH(T$5)-MONTH($AA48))+1),$Z48)=0)*((((YEAR(T$5)-YEAR($AA48))*12+MONTH(T$5)-MONTH($AA48))+1)&gt;=0)*(EDATE($AA48,MAX(0,(((YEAR(T$5)-YEAR($AA48))*12+MONTH(T$5)-MONTH($AA48))+1)))&gt;=T$5)*(EDATE($AA48,MAX(0,(((YEAR(T$5)-YEAR($AA48))*12+MONTH(T$5)-MONTH($AA48))+1)))&lt;=MIN(T$5+6,$AB48)),($AA48&gt;=T$5)*($AA48&lt;=T$5+6))))</f>
        <v/>
      </c>
      <c r="U48" s="21">
        <f>IF($X48&lt;&gt;1,0,$D48*IF($Y48&gt;0,MAX(0,INT((MIN(U$5+6,$AB48)-$AA48)/$Y48)-MAX(0,-INT(($AA48-U$5)/$Y48))+1),IF($Z48&gt;0,(MOD(((YEAR(U$5)-YEAR($AA48))*12+MONTH(U$5)-MONTH($AA48)),$Z48)=0)*(((YEAR(U$5)-YEAR($AA48))*12+MONTH(U$5)-MONTH($AA48))&gt;=0)*(EDATE($AA48,MAX(0,((YEAR(U$5)-YEAR($AA48))*12+MONTH(U$5)-MONTH($AA48))))&gt;=U$5)*(EDATE($AA48,MAX(0,((YEAR(U$5)-YEAR($AA48))*12+MONTH(U$5)-MONTH($AA48))))&lt;=MIN(U$5+6,$AB48))+(MOD((((YEAR(U$5)-YEAR($AA48))*12+MONTH(U$5)-MONTH($AA48))+1),$Z48)=0)*((((YEAR(U$5)-YEAR($AA48))*12+MONTH(U$5)-MONTH($AA48))+1)&gt;=0)*(EDATE($AA48,MAX(0,(((YEAR(U$5)-YEAR($AA48))*12+MONTH(U$5)-MONTH($AA48))+1)))&gt;=U$5)*(EDATE($AA48,MAX(0,(((YEAR(U$5)-YEAR($AA48))*12+MONTH(U$5)-MONTH($AA48))+1)))&lt;=MIN(U$5+6,$AB48)),($AA48&gt;=U$5)*($AA48&lt;=U$5+6))))</f>
        <v/>
      </c>
      <c r="V48" s="21">
        <f>IF($X48&lt;&gt;1,0,$D48*IF($Y48&gt;0,MAX(0,INT((MIN(V$5+6,$AB48)-$AA48)/$Y48)-MAX(0,-INT(($AA48-V$5)/$Y48))+1),IF($Z48&gt;0,(MOD(((YEAR(V$5)-YEAR($AA48))*12+MONTH(V$5)-MONTH($AA48)),$Z48)=0)*(((YEAR(V$5)-YEAR($AA48))*12+MONTH(V$5)-MONTH($AA48))&gt;=0)*(EDATE($AA48,MAX(0,((YEAR(V$5)-YEAR($AA48))*12+MONTH(V$5)-MONTH($AA48))))&gt;=V$5)*(EDATE($AA48,MAX(0,((YEAR(V$5)-YEAR($AA48))*12+MONTH(V$5)-MONTH($AA48))))&lt;=MIN(V$5+6,$AB48))+(MOD((((YEAR(V$5)-YEAR($AA48))*12+MONTH(V$5)-MONTH($AA48))+1),$Z48)=0)*((((YEAR(V$5)-YEAR($AA48))*12+MONTH(V$5)-MONTH($AA48))+1)&gt;=0)*(EDATE($AA48,MAX(0,(((YEAR(V$5)-YEAR($AA48))*12+MONTH(V$5)-MONTH($AA48))+1)))&gt;=V$5)*(EDATE($AA48,MAX(0,(((YEAR(V$5)-YEAR($AA48))*12+MONTH(V$5)-MONTH($AA48))+1)))&lt;=MIN(V$5+6,$AB48)),($AA48&gt;=V$5)*($AA48&lt;=V$5+6))))</f>
        <v/>
      </c>
      <c r="W48" s="21">
        <f>IF($X48&lt;&gt;1,0,$D48*IF($Y48&gt;0,MAX(0,INT((MIN(W$5+6,$AB48)-$AA48)/$Y48)-MAX(0,-INT(($AA48-W$5)/$Y48))+1),IF($Z48&gt;0,(MOD(((YEAR(W$5)-YEAR($AA48))*12+MONTH(W$5)-MONTH($AA48)),$Z48)=0)*(((YEAR(W$5)-YEAR($AA48))*12+MONTH(W$5)-MONTH($AA48))&gt;=0)*(EDATE($AA48,MAX(0,((YEAR(W$5)-YEAR($AA48))*12+MONTH(W$5)-MONTH($AA48))))&gt;=W$5)*(EDATE($AA48,MAX(0,((YEAR(W$5)-YEAR($AA48))*12+MONTH(W$5)-MONTH($AA48))))&lt;=MIN(W$5+6,$AB48))+(MOD((((YEAR(W$5)-YEAR($AA48))*12+MONTH(W$5)-MONTH($AA48))+1),$Z48)=0)*((((YEAR(W$5)-YEAR($AA48))*12+MONTH(W$5)-MONTH($AA48))+1)&gt;=0)*(EDATE($AA48,MAX(0,(((YEAR(W$5)-YEAR($AA48))*12+MONTH(W$5)-MONTH($AA48))+1)))&gt;=W$5)*(EDATE($AA48,MAX(0,(((YEAR(W$5)-YEAR($AA48))*12+MONTH(W$5)-MONTH($AA48))+1)))&lt;=MIN(W$5+6,$AB48)),($AA48&gt;=W$5)*($AA48&lt;=W$5+6))))</f>
        <v/>
      </c>
      <c r="X48">
        <f>IF(COUNTA(A48:G48)=0,"",IF(AND(OR(B48="In",B48="Out"),ISNUMBER(D48),D48&gt;0,ISNUMBER(MATCH(E48,FreqName,0)),ISNUMBER(F48),OR(G48="",AND(ISNUMBER(G48),G48&gt;=F48))),1,0))</f>
        <v/>
      </c>
      <c r="Y48">
        <f>IF(X48&lt;&gt;1,0,INDEX(FreqDays,MATCH(E48,FreqName,0)))</f>
        <v/>
      </c>
      <c r="Z48">
        <f>IF(X48&lt;&gt;1,0,INDEX(FreqMonths,MATCH(E48,FreqName,0)))</f>
        <v/>
      </c>
      <c r="AA48">
        <f>IF(X48&lt;&gt;1,0,INT(F48))</f>
        <v/>
      </c>
      <c r="AB48">
        <f>IF(X48&lt;&gt;1,0,IF(ISNUMBER(G48),INT(G48),2958465))</f>
        <v/>
      </c>
    </row>
    <row r="49">
      <c r="A49" s="29" t="n"/>
      <c r="B49" s="29" t="n"/>
      <c r="C49" s="29" t="n"/>
      <c r="D49" s="34" t="n"/>
      <c r="E49" s="29" t="n"/>
      <c r="F49" s="24" t="n"/>
      <c r="G49" s="24" t="n"/>
      <c r="H49" s="10">
        <f>IF(X49="","",IF(X49=0,IF(AND(B49&lt;&gt;"In",B49&lt;&gt;"Out"),"Fix: choose In or Out",IF(OR(NOT(ISNUMBER(D49)),N(D49)&lt;=0),"Fix: amount must be a number above 0",IF(NOT(ISNUMBER(MATCH(E49,FreqName,0))),"Fix: choose a frequency",IF(NOT(ISNUMBER(F49)),"Fix: first date missing","Fix: end date must be a date on or after the first date")))),IF(AND(C49&lt;&gt;"",OR(AND(B49="In",ISNUMBER(MATCH(C49,InCats,0))),AND(B49="Out",ISNUMBER(MATCH(C49,OutCats,0))))),"OK","Category not on Settings (counted as Other)")))</f>
        <v/>
      </c>
      <c r="I49" s="35">
        <f>IF(X49&lt;&gt;1,"",ROUND(J49/D49,0))</f>
        <v/>
      </c>
      <c r="J49" s="36">
        <f>SUM(K49:W49)</f>
        <v/>
      </c>
      <c r="K49" s="21">
        <f>IF($X49&lt;&gt;1,0,$D49*IF($Y49&gt;0,MAX(0,INT((MIN(K$5+6,$AB49)-$AA49)/$Y49)-MAX(0,-INT(($AA49-K$5)/$Y49))+1),IF($Z49&gt;0,(MOD(((YEAR(K$5)-YEAR($AA49))*12+MONTH(K$5)-MONTH($AA49)),$Z49)=0)*(((YEAR(K$5)-YEAR($AA49))*12+MONTH(K$5)-MONTH($AA49))&gt;=0)*(EDATE($AA49,MAX(0,((YEAR(K$5)-YEAR($AA49))*12+MONTH(K$5)-MONTH($AA49))))&gt;=K$5)*(EDATE($AA49,MAX(0,((YEAR(K$5)-YEAR($AA49))*12+MONTH(K$5)-MONTH($AA49))))&lt;=MIN(K$5+6,$AB49))+(MOD((((YEAR(K$5)-YEAR($AA49))*12+MONTH(K$5)-MONTH($AA49))+1),$Z49)=0)*((((YEAR(K$5)-YEAR($AA49))*12+MONTH(K$5)-MONTH($AA49))+1)&gt;=0)*(EDATE($AA49,MAX(0,(((YEAR(K$5)-YEAR($AA49))*12+MONTH(K$5)-MONTH($AA49))+1)))&gt;=K$5)*(EDATE($AA49,MAX(0,(((YEAR(K$5)-YEAR($AA49))*12+MONTH(K$5)-MONTH($AA49))+1)))&lt;=MIN(K$5+6,$AB49)),($AA49&gt;=K$5)*($AA49&lt;=K$5+6))))</f>
        <v/>
      </c>
      <c r="L49" s="21">
        <f>IF($X49&lt;&gt;1,0,$D49*IF($Y49&gt;0,MAX(0,INT((MIN(L$5+6,$AB49)-$AA49)/$Y49)-MAX(0,-INT(($AA49-L$5)/$Y49))+1),IF($Z49&gt;0,(MOD(((YEAR(L$5)-YEAR($AA49))*12+MONTH(L$5)-MONTH($AA49)),$Z49)=0)*(((YEAR(L$5)-YEAR($AA49))*12+MONTH(L$5)-MONTH($AA49))&gt;=0)*(EDATE($AA49,MAX(0,((YEAR(L$5)-YEAR($AA49))*12+MONTH(L$5)-MONTH($AA49))))&gt;=L$5)*(EDATE($AA49,MAX(0,((YEAR(L$5)-YEAR($AA49))*12+MONTH(L$5)-MONTH($AA49))))&lt;=MIN(L$5+6,$AB49))+(MOD((((YEAR(L$5)-YEAR($AA49))*12+MONTH(L$5)-MONTH($AA49))+1),$Z49)=0)*((((YEAR(L$5)-YEAR($AA49))*12+MONTH(L$5)-MONTH($AA49))+1)&gt;=0)*(EDATE($AA49,MAX(0,(((YEAR(L$5)-YEAR($AA49))*12+MONTH(L$5)-MONTH($AA49))+1)))&gt;=L$5)*(EDATE($AA49,MAX(0,(((YEAR(L$5)-YEAR($AA49))*12+MONTH(L$5)-MONTH($AA49))+1)))&lt;=MIN(L$5+6,$AB49)),($AA49&gt;=L$5)*($AA49&lt;=L$5+6))))</f>
        <v/>
      </c>
      <c r="M49" s="21">
        <f>IF($X49&lt;&gt;1,0,$D49*IF($Y49&gt;0,MAX(0,INT((MIN(M$5+6,$AB49)-$AA49)/$Y49)-MAX(0,-INT(($AA49-M$5)/$Y49))+1),IF($Z49&gt;0,(MOD(((YEAR(M$5)-YEAR($AA49))*12+MONTH(M$5)-MONTH($AA49)),$Z49)=0)*(((YEAR(M$5)-YEAR($AA49))*12+MONTH(M$5)-MONTH($AA49))&gt;=0)*(EDATE($AA49,MAX(0,((YEAR(M$5)-YEAR($AA49))*12+MONTH(M$5)-MONTH($AA49))))&gt;=M$5)*(EDATE($AA49,MAX(0,((YEAR(M$5)-YEAR($AA49))*12+MONTH(M$5)-MONTH($AA49))))&lt;=MIN(M$5+6,$AB49))+(MOD((((YEAR(M$5)-YEAR($AA49))*12+MONTH(M$5)-MONTH($AA49))+1),$Z49)=0)*((((YEAR(M$5)-YEAR($AA49))*12+MONTH(M$5)-MONTH($AA49))+1)&gt;=0)*(EDATE($AA49,MAX(0,(((YEAR(M$5)-YEAR($AA49))*12+MONTH(M$5)-MONTH($AA49))+1)))&gt;=M$5)*(EDATE($AA49,MAX(0,(((YEAR(M$5)-YEAR($AA49))*12+MONTH(M$5)-MONTH($AA49))+1)))&lt;=MIN(M$5+6,$AB49)),($AA49&gt;=M$5)*($AA49&lt;=M$5+6))))</f>
        <v/>
      </c>
      <c r="N49" s="21">
        <f>IF($X49&lt;&gt;1,0,$D49*IF($Y49&gt;0,MAX(0,INT((MIN(N$5+6,$AB49)-$AA49)/$Y49)-MAX(0,-INT(($AA49-N$5)/$Y49))+1),IF($Z49&gt;0,(MOD(((YEAR(N$5)-YEAR($AA49))*12+MONTH(N$5)-MONTH($AA49)),$Z49)=0)*(((YEAR(N$5)-YEAR($AA49))*12+MONTH(N$5)-MONTH($AA49))&gt;=0)*(EDATE($AA49,MAX(0,((YEAR(N$5)-YEAR($AA49))*12+MONTH(N$5)-MONTH($AA49))))&gt;=N$5)*(EDATE($AA49,MAX(0,((YEAR(N$5)-YEAR($AA49))*12+MONTH(N$5)-MONTH($AA49))))&lt;=MIN(N$5+6,$AB49))+(MOD((((YEAR(N$5)-YEAR($AA49))*12+MONTH(N$5)-MONTH($AA49))+1),$Z49)=0)*((((YEAR(N$5)-YEAR($AA49))*12+MONTH(N$5)-MONTH($AA49))+1)&gt;=0)*(EDATE($AA49,MAX(0,(((YEAR(N$5)-YEAR($AA49))*12+MONTH(N$5)-MONTH($AA49))+1)))&gt;=N$5)*(EDATE($AA49,MAX(0,(((YEAR(N$5)-YEAR($AA49))*12+MONTH(N$5)-MONTH($AA49))+1)))&lt;=MIN(N$5+6,$AB49)),($AA49&gt;=N$5)*($AA49&lt;=N$5+6))))</f>
        <v/>
      </c>
      <c r="O49" s="21">
        <f>IF($X49&lt;&gt;1,0,$D49*IF($Y49&gt;0,MAX(0,INT((MIN(O$5+6,$AB49)-$AA49)/$Y49)-MAX(0,-INT(($AA49-O$5)/$Y49))+1),IF($Z49&gt;0,(MOD(((YEAR(O$5)-YEAR($AA49))*12+MONTH(O$5)-MONTH($AA49)),$Z49)=0)*(((YEAR(O$5)-YEAR($AA49))*12+MONTH(O$5)-MONTH($AA49))&gt;=0)*(EDATE($AA49,MAX(0,((YEAR(O$5)-YEAR($AA49))*12+MONTH(O$5)-MONTH($AA49))))&gt;=O$5)*(EDATE($AA49,MAX(0,((YEAR(O$5)-YEAR($AA49))*12+MONTH(O$5)-MONTH($AA49))))&lt;=MIN(O$5+6,$AB49))+(MOD((((YEAR(O$5)-YEAR($AA49))*12+MONTH(O$5)-MONTH($AA49))+1),$Z49)=0)*((((YEAR(O$5)-YEAR($AA49))*12+MONTH(O$5)-MONTH($AA49))+1)&gt;=0)*(EDATE($AA49,MAX(0,(((YEAR(O$5)-YEAR($AA49))*12+MONTH(O$5)-MONTH($AA49))+1)))&gt;=O$5)*(EDATE($AA49,MAX(0,(((YEAR(O$5)-YEAR($AA49))*12+MONTH(O$5)-MONTH($AA49))+1)))&lt;=MIN(O$5+6,$AB49)),($AA49&gt;=O$5)*($AA49&lt;=O$5+6))))</f>
        <v/>
      </c>
      <c r="P49" s="21">
        <f>IF($X49&lt;&gt;1,0,$D49*IF($Y49&gt;0,MAX(0,INT((MIN(P$5+6,$AB49)-$AA49)/$Y49)-MAX(0,-INT(($AA49-P$5)/$Y49))+1),IF($Z49&gt;0,(MOD(((YEAR(P$5)-YEAR($AA49))*12+MONTH(P$5)-MONTH($AA49)),$Z49)=0)*(((YEAR(P$5)-YEAR($AA49))*12+MONTH(P$5)-MONTH($AA49))&gt;=0)*(EDATE($AA49,MAX(0,((YEAR(P$5)-YEAR($AA49))*12+MONTH(P$5)-MONTH($AA49))))&gt;=P$5)*(EDATE($AA49,MAX(0,((YEAR(P$5)-YEAR($AA49))*12+MONTH(P$5)-MONTH($AA49))))&lt;=MIN(P$5+6,$AB49))+(MOD((((YEAR(P$5)-YEAR($AA49))*12+MONTH(P$5)-MONTH($AA49))+1),$Z49)=0)*((((YEAR(P$5)-YEAR($AA49))*12+MONTH(P$5)-MONTH($AA49))+1)&gt;=0)*(EDATE($AA49,MAX(0,(((YEAR(P$5)-YEAR($AA49))*12+MONTH(P$5)-MONTH($AA49))+1)))&gt;=P$5)*(EDATE($AA49,MAX(0,(((YEAR(P$5)-YEAR($AA49))*12+MONTH(P$5)-MONTH($AA49))+1)))&lt;=MIN(P$5+6,$AB49)),($AA49&gt;=P$5)*($AA49&lt;=P$5+6))))</f>
        <v/>
      </c>
      <c r="Q49" s="21">
        <f>IF($X49&lt;&gt;1,0,$D49*IF($Y49&gt;0,MAX(0,INT((MIN(Q$5+6,$AB49)-$AA49)/$Y49)-MAX(0,-INT(($AA49-Q$5)/$Y49))+1),IF($Z49&gt;0,(MOD(((YEAR(Q$5)-YEAR($AA49))*12+MONTH(Q$5)-MONTH($AA49)),$Z49)=0)*(((YEAR(Q$5)-YEAR($AA49))*12+MONTH(Q$5)-MONTH($AA49))&gt;=0)*(EDATE($AA49,MAX(0,((YEAR(Q$5)-YEAR($AA49))*12+MONTH(Q$5)-MONTH($AA49))))&gt;=Q$5)*(EDATE($AA49,MAX(0,((YEAR(Q$5)-YEAR($AA49))*12+MONTH(Q$5)-MONTH($AA49))))&lt;=MIN(Q$5+6,$AB49))+(MOD((((YEAR(Q$5)-YEAR($AA49))*12+MONTH(Q$5)-MONTH($AA49))+1),$Z49)=0)*((((YEAR(Q$5)-YEAR($AA49))*12+MONTH(Q$5)-MONTH($AA49))+1)&gt;=0)*(EDATE($AA49,MAX(0,(((YEAR(Q$5)-YEAR($AA49))*12+MONTH(Q$5)-MONTH($AA49))+1)))&gt;=Q$5)*(EDATE($AA49,MAX(0,(((YEAR(Q$5)-YEAR($AA49))*12+MONTH(Q$5)-MONTH($AA49))+1)))&lt;=MIN(Q$5+6,$AB49)),($AA49&gt;=Q$5)*($AA49&lt;=Q$5+6))))</f>
        <v/>
      </c>
      <c r="R49" s="21">
        <f>IF($X49&lt;&gt;1,0,$D49*IF($Y49&gt;0,MAX(0,INT((MIN(R$5+6,$AB49)-$AA49)/$Y49)-MAX(0,-INT(($AA49-R$5)/$Y49))+1),IF($Z49&gt;0,(MOD(((YEAR(R$5)-YEAR($AA49))*12+MONTH(R$5)-MONTH($AA49)),$Z49)=0)*(((YEAR(R$5)-YEAR($AA49))*12+MONTH(R$5)-MONTH($AA49))&gt;=0)*(EDATE($AA49,MAX(0,((YEAR(R$5)-YEAR($AA49))*12+MONTH(R$5)-MONTH($AA49))))&gt;=R$5)*(EDATE($AA49,MAX(0,((YEAR(R$5)-YEAR($AA49))*12+MONTH(R$5)-MONTH($AA49))))&lt;=MIN(R$5+6,$AB49))+(MOD((((YEAR(R$5)-YEAR($AA49))*12+MONTH(R$5)-MONTH($AA49))+1),$Z49)=0)*((((YEAR(R$5)-YEAR($AA49))*12+MONTH(R$5)-MONTH($AA49))+1)&gt;=0)*(EDATE($AA49,MAX(0,(((YEAR(R$5)-YEAR($AA49))*12+MONTH(R$5)-MONTH($AA49))+1)))&gt;=R$5)*(EDATE($AA49,MAX(0,(((YEAR(R$5)-YEAR($AA49))*12+MONTH(R$5)-MONTH($AA49))+1)))&lt;=MIN(R$5+6,$AB49)),($AA49&gt;=R$5)*($AA49&lt;=R$5+6))))</f>
        <v/>
      </c>
      <c r="S49" s="21">
        <f>IF($X49&lt;&gt;1,0,$D49*IF($Y49&gt;0,MAX(0,INT((MIN(S$5+6,$AB49)-$AA49)/$Y49)-MAX(0,-INT(($AA49-S$5)/$Y49))+1),IF($Z49&gt;0,(MOD(((YEAR(S$5)-YEAR($AA49))*12+MONTH(S$5)-MONTH($AA49)),$Z49)=0)*(((YEAR(S$5)-YEAR($AA49))*12+MONTH(S$5)-MONTH($AA49))&gt;=0)*(EDATE($AA49,MAX(0,((YEAR(S$5)-YEAR($AA49))*12+MONTH(S$5)-MONTH($AA49))))&gt;=S$5)*(EDATE($AA49,MAX(0,((YEAR(S$5)-YEAR($AA49))*12+MONTH(S$5)-MONTH($AA49))))&lt;=MIN(S$5+6,$AB49))+(MOD((((YEAR(S$5)-YEAR($AA49))*12+MONTH(S$5)-MONTH($AA49))+1),$Z49)=0)*((((YEAR(S$5)-YEAR($AA49))*12+MONTH(S$5)-MONTH($AA49))+1)&gt;=0)*(EDATE($AA49,MAX(0,(((YEAR(S$5)-YEAR($AA49))*12+MONTH(S$5)-MONTH($AA49))+1)))&gt;=S$5)*(EDATE($AA49,MAX(0,(((YEAR(S$5)-YEAR($AA49))*12+MONTH(S$5)-MONTH($AA49))+1)))&lt;=MIN(S$5+6,$AB49)),($AA49&gt;=S$5)*($AA49&lt;=S$5+6))))</f>
        <v/>
      </c>
      <c r="T49" s="21">
        <f>IF($X49&lt;&gt;1,0,$D49*IF($Y49&gt;0,MAX(0,INT((MIN(T$5+6,$AB49)-$AA49)/$Y49)-MAX(0,-INT(($AA49-T$5)/$Y49))+1),IF($Z49&gt;0,(MOD(((YEAR(T$5)-YEAR($AA49))*12+MONTH(T$5)-MONTH($AA49)),$Z49)=0)*(((YEAR(T$5)-YEAR($AA49))*12+MONTH(T$5)-MONTH($AA49))&gt;=0)*(EDATE($AA49,MAX(0,((YEAR(T$5)-YEAR($AA49))*12+MONTH(T$5)-MONTH($AA49))))&gt;=T$5)*(EDATE($AA49,MAX(0,((YEAR(T$5)-YEAR($AA49))*12+MONTH(T$5)-MONTH($AA49))))&lt;=MIN(T$5+6,$AB49))+(MOD((((YEAR(T$5)-YEAR($AA49))*12+MONTH(T$5)-MONTH($AA49))+1),$Z49)=0)*((((YEAR(T$5)-YEAR($AA49))*12+MONTH(T$5)-MONTH($AA49))+1)&gt;=0)*(EDATE($AA49,MAX(0,(((YEAR(T$5)-YEAR($AA49))*12+MONTH(T$5)-MONTH($AA49))+1)))&gt;=T$5)*(EDATE($AA49,MAX(0,(((YEAR(T$5)-YEAR($AA49))*12+MONTH(T$5)-MONTH($AA49))+1)))&lt;=MIN(T$5+6,$AB49)),($AA49&gt;=T$5)*($AA49&lt;=T$5+6))))</f>
        <v/>
      </c>
      <c r="U49" s="21">
        <f>IF($X49&lt;&gt;1,0,$D49*IF($Y49&gt;0,MAX(0,INT((MIN(U$5+6,$AB49)-$AA49)/$Y49)-MAX(0,-INT(($AA49-U$5)/$Y49))+1),IF($Z49&gt;0,(MOD(((YEAR(U$5)-YEAR($AA49))*12+MONTH(U$5)-MONTH($AA49)),$Z49)=0)*(((YEAR(U$5)-YEAR($AA49))*12+MONTH(U$5)-MONTH($AA49))&gt;=0)*(EDATE($AA49,MAX(0,((YEAR(U$5)-YEAR($AA49))*12+MONTH(U$5)-MONTH($AA49))))&gt;=U$5)*(EDATE($AA49,MAX(0,((YEAR(U$5)-YEAR($AA49))*12+MONTH(U$5)-MONTH($AA49))))&lt;=MIN(U$5+6,$AB49))+(MOD((((YEAR(U$5)-YEAR($AA49))*12+MONTH(U$5)-MONTH($AA49))+1),$Z49)=0)*((((YEAR(U$5)-YEAR($AA49))*12+MONTH(U$5)-MONTH($AA49))+1)&gt;=0)*(EDATE($AA49,MAX(0,(((YEAR(U$5)-YEAR($AA49))*12+MONTH(U$5)-MONTH($AA49))+1)))&gt;=U$5)*(EDATE($AA49,MAX(0,(((YEAR(U$5)-YEAR($AA49))*12+MONTH(U$5)-MONTH($AA49))+1)))&lt;=MIN(U$5+6,$AB49)),($AA49&gt;=U$5)*($AA49&lt;=U$5+6))))</f>
        <v/>
      </c>
      <c r="V49" s="21">
        <f>IF($X49&lt;&gt;1,0,$D49*IF($Y49&gt;0,MAX(0,INT((MIN(V$5+6,$AB49)-$AA49)/$Y49)-MAX(0,-INT(($AA49-V$5)/$Y49))+1),IF($Z49&gt;0,(MOD(((YEAR(V$5)-YEAR($AA49))*12+MONTH(V$5)-MONTH($AA49)),$Z49)=0)*(((YEAR(V$5)-YEAR($AA49))*12+MONTH(V$5)-MONTH($AA49))&gt;=0)*(EDATE($AA49,MAX(0,((YEAR(V$5)-YEAR($AA49))*12+MONTH(V$5)-MONTH($AA49))))&gt;=V$5)*(EDATE($AA49,MAX(0,((YEAR(V$5)-YEAR($AA49))*12+MONTH(V$5)-MONTH($AA49))))&lt;=MIN(V$5+6,$AB49))+(MOD((((YEAR(V$5)-YEAR($AA49))*12+MONTH(V$5)-MONTH($AA49))+1),$Z49)=0)*((((YEAR(V$5)-YEAR($AA49))*12+MONTH(V$5)-MONTH($AA49))+1)&gt;=0)*(EDATE($AA49,MAX(0,(((YEAR(V$5)-YEAR($AA49))*12+MONTH(V$5)-MONTH($AA49))+1)))&gt;=V$5)*(EDATE($AA49,MAX(0,(((YEAR(V$5)-YEAR($AA49))*12+MONTH(V$5)-MONTH($AA49))+1)))&lt;=MIN(V$5+6,$AB49)),($AA49&gt;=V$5)*($AA49&lt;=V$5+6))))</f>
        <v/>
      </c>
      <c r="W49" s="21">
        <f>IF($X49&lt;&gt;1,0,$D49*IF($Y49&gt;0,MAX(0,INT((MIN(W$5+6,$AB49)-$AA49)/$Y49)-MAX(0,-INT(($AA49-W$5)/$Y49))+1),IF($Z49&gt;0,(MOD(((YEAR(W$5)-YEAR($AA49))*12+MONTH(W$5)-MONTH($AA49)),$Z49)=0)*(((YEAR(W$5)-YEAR($AA49))*12+MONTH(W$5)-MONTH($AA49))&gt;=0)*(EDATE($AA49,MAX(0,((YEAR(W$5)-YEAR($AA49))*12+MONTH(W$5)-MONTH($AA49))))&gt;=W$5)*(EDATE($AA49,MAX(0,((YEAR(W$5)-YEAR($AA49))*12+MONTH(W$5)-MONTH($AA49))))&lt;=MIN(W$5+6,$AB49))+(MOD((((YEAR(W$5)-YEAR($AA49))*12+MONTH(W$5)-MONTH($AA49))+1),$Z49)=0)*((((YEAR(W$5)-YEAR($AA49))*12+MONTH(W$5)-MONTH($AA49))+1)&gt;=0)*(EDATE($AA49,MAX(0,(((YEAR(W$5)-YEAR($AA49))*12+MONTH(W$5)-MONTH($AA49))+1)))&gt;=W$5)*(EDATE($AA49,MAX(0,(((YEAR(W$5)-YEAR($AA49))*12+MONTH(W$5)-MONTH($AA49))+1)))&lt;=MIN(W$5+6,$AB49)),($AA49&gt;=W$5)*($AA49&lt;=W$5+6))))</f>
        <v/>
      </c>
      <c r="X49">
        <f>IF(COUNTA(A49:G49)=0,"",IF(AND(OR(B49="In",B49="Out"),ISNUMBER(D49),D49&gt;0,ISNUMBER(MATCH(E49,FreqName,0)),ISNUMBER(F49),OR(G49="",AND(ISNUMBER(G49),G49&gt;=F49))),1,0))</f>
        <v/>
      </c>
      <c r="Y49">
        <f>IF(X49&lt;&gt;1,0,INDEX(FreqDays,MATCH(E49,FreqName,0)))</f>
        <v/>
      </c>
      <c r="Z49">
        <f>IF(X49&lt;&gt;1,0,INDEX(FreqMonths,MATCH(E49,FreqName,0)))</f>
        <v/>
      </c>
      <c r="AA49">
        <f>IF(X49&lt;&gt;1,0,INT(F49))</f>
        <v/>
      </c>
      <c r="AB49">
        <f>IF(X49&lt;&gt;1,0,IF(ISNUMBER(G49),INT(G49),2958465))</f>
        <v/>
      </c>
    </row>
    <row r="50">
      <c r="A50" s="29" t="n"/>
      <c r="B50" s="29" t="n"/>
      <c r="C50" s="29" t="n"/>
      <c r="D50" s="34" t="n"/>
      <c r="E50" s="29" t="n"/>
      <c r="F50" s="24" t="n"/>
      <c r="G50" s="24" t="n"/>
      <c r="H50" s="10">
        <f>IF(X50="","",IF(X50=0,IF(AND(B50&lt;&gt;"In",B50&lt;&gt;"Out"),"Fix: choose In or Out",IF(OR(NOT(ISNUMBER(D50)),N(D50)&lt;=0),"Fix: amount must be a number above 0",IF(NOT(ISNUMBER(MATCH(E50,FreqName,0))),"Fix: choose a frequency",IF(NOT(ISNUMBER(F50)),"Fix: first date missing","Fix: end date must be a date on or after the first date")))),IF(AND(C50&lt;&gt;"",OR(AND(B50="In",ISNUMBER(MATCH(C50,InCats,0))),AND(B50="Out",ISNUMBER(MATCH(C50,OutCats,0))))),"OK","Category not on Settings (counted as Other)")))</f>
        <v/>
      </c>
      <c r="I50" s="35">
        <f>IF(X50&lt;&gt;1,"",ROUND(J50/D50,0))</f>
        <v/>
      </c>
      <c r="J50" s="36">
        <f>SUM(K50:W50)</f>
        <v/>
      </c>
      <c r="K50" s="21">
        <f>IF($X50&lt;&gt;1,0,$D50*IF($Y50&gt;0,MAX(0,INT((MIN(K$5+6,$AB50)-$AA50)/$Y50)-MAX(0,-INT(($AA50-K$5)/$Y50))+1),IF($Z50&gt;0,(MOD(((YEAR(K$5)-YEAR($AA50))*12+MONTH(K$5)-MONTH($AA50)),$Z50)=0)*(((YEAR(K$5)-YEAR($AA50))*12+MONTH(K$5)-MONTH($AA50))&gt;=0)*(EDATE($AA50,MAX(0,((YEAR(K$5)-YEAR($AA50))*12+MONTH(K$5)-MONTH($AA50))))&gt;=K$5)*(EDATE($AA50,MAX(0,((YEAR(K$5)-YEAR($AA50))*12+MONTH(K$5)-MONTH($AA50))))&lt;=MIN(K$5+6,$AB50))+(MOD((((YEAR(K$5)-YEAR($AA50))*12+MONTH(K$5)-MONTH($AA50))+1),$Z50)=0)*((((YEAR(K$5)-YEAR($AA50))*12+MONTH(K$5)-MONTH($AA50))+1)&gt;=0)*(EDATE($AA50,MAX(0,(((YEAR(K$5)-YEAR($AA50))*12+MONTH(K$5)-MONTH($AA50))+1)))&gt;=K$5)*(EDATE($AA50,MAX(0,(((YEAR(K$5)-YEAR($AA50))*12+MONTH(K$5)-MONTH($AA50))+1)))&lt;=MIN(K$5+6,$AB50)),($AA50&gt;=K$5)*($AA50&lt;=K$5+6))))</f>
        <v/>
      </c>
      <c r="L50" s="21">
        <f>IF($X50&lt;&gt;1,0,$D50*IF($Y50&gt;0,MAX(0,INT((MIN(L$5+6,$AB50)-$AA50)/$Y50)-MAX(0,-INT(($AA50-L$5)/$Y50))+1),IF($Z50&gt;0,(MOD(((YEAR(L$5)-YEAR($AA50))*12+MONTH(L$5)-MONTH($AA50)),$Z50)=0)*(((YEAR(L$5)-YEAR($AA50))*12+MONTH(L$5)-MONTH($AA50))&gt;=0)*(EDATE($AA50,MAX(0,((YEAR(L$5)-YEAR($AA50))*12+MONTH(L$5)-MONTH($AA50))))&gt;=L$5)*(EDATE($AA50,MAX(0,((YEAR(L$5)-YEAR($AA50))*12+MONTH(L$5)-MONTH($AA50))))&lt;=MIN(L$5+6,$AB50))+(MOD((((YEAR(L$5)-YEAR($AA50))*12+MONTH(L$5)-MONTH($AA50))+1),$Z50)=0)*((((YEAR(L$5)-YEAR($AA50))*12+MONTH(L$5)-MONTH($AA50))+1)&gt;=0)*(EDATE($AA50,MAX(0,(((YEAR(L$5)-YEAR($AA50))*12+MONTH(L$5)-MONTH($AA50))+1)))&gt;=L$5)*(EDATE($AA50,MAX(0,(((YEAR(L$5)-YEAR($AA50))*12+MONTH(L$5)-MONTH($AA50))+1)))&lt;=MIN(L$5+6,$AB50)),($AA50&gt;=L$5)*($AA50&lt;=L$5+6))))</f>
        <v/>
      </c>
      <c r="M50" s="21">
        <f>IF($X50&lt;&gt;1,0,$D50*IF($Y50&gt;0,MAX(0,INT((MIN(M$5+6,$AB50)-$AA50)/$Y50)-MAX(0,-INT(($AA50-M$5)/$Y50))+1),IF($Z50&gt;0,(MOD(((YEAR(M$5)-YEAR($AA50))*12+MONTH(M$5)-MONTH($AA50)),$Z50)=0)*(((YEAR(M$5)-YEAR($AA50))*12+MONTH(M$5)-MONTH($AA50))&gt;=0)*(EDATE($AA50,MAX(0,((YEAR(M$5)-YEAR($AA50))*12+MONTH(M$5)-MONTH($AA50))))&gt;=M$5)*(EDATE($AA50,MAX(0,((YEAR(M$5)-YEAR($AA50))*12+MONTH(M$5)-MONTH($AA50))))&lt;=MIN(M$5+6,$AB50))+(MOD((((YEAR(M$5)-YEAR($AA50))*12+MONTH(M$5)-MONTH($AA50))+1),$Z50)=0)*((((YEAR(M$5)-YEAR($AA50))*12+MONTH(M$5)-MONTH($AA50))+1)&gt;=0)*(EDATE($AA50,MAX(0,(((YEAR(M$5)-YEAR($AA50))*12+MONTH(M$5)-MONTH($AA50))+1)))&gt;=M$5)*(EDATE($AA50,MAX(0,(((YEAR(M$5)-YEAR($AA50))*12+MONTH(M$5)-MONTH($AA50))+1)))&lt;=MIN(M$5+6,$AB50)),($AA50&gt;=M$5)*($AA50&lt;=M$5+6))))</f>
        <v/>
      </c>
      <c r="N50" s="21">
        <f>IF($X50&lt;&gt;1,0,$D50*IF($Y50&gt;0,MAX(0,INT((MIN(N$5+6,$AB50)-$AA50)/$Y50)-MAX(0,-INT(($AA50-N$5)/$Y50))+1),IF($Z50&gt;0,(MOD(((YEAR(N$5)-YEAR($AA50))*12+MONTH(N$5)-MONTH($AA50)),$Z50)=0)*(((YEAR(N$5)-YEAR($AA50))*12+MONTH(N$5)-MONTH($AA50))&gt;=0)*(EDATE($AA50,MAX(0,((YEAR(N$5)-YEAR($AA50))*12+MONTH(N$5)-MONTH($AA50))))&gt;=N$5)*(EDATE($AA50,MAX(0,((YEAR(N$5)-YEAR($AA50))*12+MONTH(N$5)-MONTH($AA50))))&lt;=MIN(N$5+6,$AB50))+(MOD((((YEAR(N$5)-YEAR($AA50))*12+MONTH(N$5)-MONTH($AA50))+1),$Z50)=0)*((((YEAR(N$5)-YEAR($AA50))*12+MONTH(N$5)-MONTH($AA50))+1)&gt;=0)*(EDATE($AA50,MAX(0,(((YEAR(N$5)-YEAR($AA50))*12+MONTH(N$5)-MONTH($AA50))+1)))&gt;=N$5)*(EDATE($AA50,MAX(0,(((YEAR(N$5)-YEAR($AA50))*12+MONTH(N$5)-MONTH($AA50))+1)))&lt;=MIN(N$5+6,$AB50)),($AA50&gt;=N$5)*($AA50&lt;=N$5+6))))</f>
        <v/>
      </c>
      <c r="O50" s="21">
        <f>IF($X50&lt;&gt;1,0,$D50*IF($Y50&gt;0,MAX(0,INT((MIN(O$5+6,$AB50)-$AA50)/$Y50)-MAX(0,-INT(($AA50-O$5)/$Y50))+1),IF($Z50&gt;0,(MOD(((YEAR(O$5)-YEAR($AA50))*12+MONTH(O$5)-MONTH($AA50)),$Z50)=0)*(((YEAR(O$5)-YEAR($AA50))*12+MONTH(O$5)-MONTH($AA50))&gt;=0)*(EDATE($AA50,MAX(0,((YEAR(O$5)-YEAR($AA50))*12+MONTH(O$5)-MONTH($AA50))))&gt;=O$5)*(EDATE($AA50,MAX(0,((YEAR(O$5)-YEAR($AA50))*12+MONTH(O$5)-MONTH($AA50))))&lt;=MIN(O$5+6,$AB50))+(MOD((((YEAR(O$5)-YEAR($AA50))*12+MONTH(O$5)-MONTH($AA50))+1),$Z50)=0)*((((YEAR(O$5)-YEAR($AA50))*12+MONTH(O$5)-MONTH($AA50))+1)&gt;=0)*(EDATE($AA50,MAX(0,(((YEAR(O$5)-YEAR($AA50))*12+MONTH(O$5)-MONTH($AA50))+1)))&gt;=O$5)*(EDATE($AA50,MAX(0,(((YEAR(O$5)-YEAR($AA50))*12+MONTH(O$5)-MONTH($AA50))+1)))&lt;=MIN(O$5+6,$AB50)),($AA50&gt;=O$5)*($AA50&lt;=O$5+6))))</f>
        <v/>
      </c>
      <c r="P50" s="21">
        <f>IF($X50&lt;&gt;1,0,$D50*IF($Y50&gt;0,MAX(0,INT((MIN(P$5+6,$AB50)-$AA50)/$Y50)-MAX(0,-INT(($AA50-P$5)/$Y50))+1),IF($Z50&gt;0,(MOD(((YEAR(P$5)-YEAR($AA50))*12+MONTH(P$5)-MONTH($AA50)),$Z50)=0)*(((YEAR(P$5)-YEAR($AA50))*12+MONTH(P$5)-MONTH($AA50))&gt;=0)*(EDATE($AA50,MAX(0,((YEAR(P$5)-YEAR($AA50))*12+MONTH(P$5)-MONTH($AA50))))&gt;=P$5)*(EDATE($AA50,MAX(0,((YEAR(P$5)-YEAR($AA50))*12+MONTH(P$5)-MONTH($AA50))))&lt;=MIN(P$5+6,$AB50))+(MOD((((YEAR(P$5)-YEAR($AA50))*12+MONTH(P$5)-MONTH($AA50))+1),$Z50)=0)*((((YEAR(P$5)-YEAR($AA50))*12+MONTH(P$5)-MONTH($AA50))+1)&gt;=0)*(EDATE($AA50,MAX(0,(((YEAR(P$5)-YEAR($AA50))*12+MONTH(P$5)-MONTH($AA50))+1)))&gt;=P$5)*(EDATE($AA50,MAX(0,(((YEAR(P$5)-YEAR($AA50))*12+MONTH(P$5)-MONTH($AA50))+1)))&lt;=MIN(P$5+6,$AB50)),($AA50&gt;=P$5)*($AA50&lt;=P$5+6))))</f>
        <v/>
      </c>
      <c r="Q50" s="21">
        <f>IF($X50&lt;&gt;1,0,$D50*IF($Y50&gt;0,MAX(0,INT((MIN(Q$5+6,$AB50)-$AA50)/$Y50)-MAX(0,-INT(($AA50-Q$5)/$Y50))+1),IF($Z50&gt;0,(MOD(((YEAR(Q$5)-YEAR($AA50))*12+MONTH(Q$5)-MONTH($AA50)),$Z50)=0)*(((YEAR(Q$5)-YEAR($AA50))*12+MONTH(Q$5)-MONTH($AA50))&gt;=0)*(EDATE($AA50,MAX(0,((YEAR(Q$5)-YEAR($AA50))*12+MONTH(Q$5)-MONTH($AA50))))&gt;=Q$5)*(EDATE($AA50,MAX(0,((YEAR(Q$5)-YEAR($AA50))*12+MONTH(Q$5)-MONTH($AA50))))&lt;=MIN(Q$5+6,$AB50))+(MOD((((YEAR(Q$5)-YEAR($AA50))*12+MONTH(Q$5)-MONTH($AA50))+1),$Z50)=0)*((((YEAR(Q$5)-YEAR($AA50))*12+MONTH(Q$5)-MONTH($AA50))+1)&gt;=0)*(EDATE($AA50,MAX(0,(((YEAR(Q$5)-YEAR($AA50))*12+MONTH(Q$5)-MONTH($AA50))+1)))&gt;=Q$5)*(EDATE($AA50,MAX(0,(((YEAR(Q$5)-YEAR($AA50))*12+MONTH(Q$5)-MONTH($AA50))+1)))&lt;=MIN(Q$5+6,$AB50)),($AA50&gt;=Q$5)*($AA50&lt;=Q$5+6))))</f>
        <v/>
      </c>
      <c r="R50" s="21">
        <f>IF($X50&lt;&gt;1,0,$D50*IF($Y50&gt;0,MAX(0,INT((MIN(R$5+6,$AB50)-$AA50)/$Y50)-MAX(0,-INT(($AA50-R$5)/$Y50))+1),IF($Z50&gt;0,(MOD(((YEAR(R$5)-YEAR($AA50))*12+MONTH(R$5)-MONTH($AA50)),$Z50)=0)*(((YEAR(R$5)-YEAR($AA50))*12+MONTH(R$5)-MONTH($AA50))&gt;=0)*(EDATE($AA50,MAX(0,((YEAR(R$5)-YEAR($AA50))*12+MONTH(R$5)-MONTH($AA50))))&gt;=R$5)*(EDATE($AA50,MAX(0,((YEAR(R$5)-YEAR($AA50))*12+MONTH(R$5)-MONTH($AA50))))&lt;=MIN(R$5+6,$AB50))+(MOD((((YEAR(R$5)-YEAR($AA50))*12+MONTH(R$5)-MONTH($AA50))+1),$Z50)=0)*((((YEAR(R$5)-YEAR($AA50))*12+MONTH(R$5)-MONTH($AA50))+1)&gt;=0)*(EDATE($AA50,MAX(0,(((YEAR(R$5)-YEAR($AA50))*12+MONTH(R$5)-MONTH($AA50))+1)))&gt;=R$5)*(EDATE($AA50,MAX(0,(((YEAR(R$5)-YEAR($AA50))*12+MONTH(R$5)-MONTH($AA50))+1)))&lt;=MIN(R$5+6,$AB50)),($AA50&gt;=R$5)*($AA50&lt;=R$5+6))))</f>
        <v/>
      </c>
      <c r="S50" s="21">
        <f>IF($X50&lt;&gt;1,0,$D50*IF($Y50&gt;0,MAX(0,INT((MIN(S$5+6,$AB50)-$AA50)/$Y50)-MAX(0,-INT(($AA50-S$5)/$Y50))+1),IF($Z50&gt;0,(MOD(((YEAR(S$5)-YEAR($AA50))*12+MONTH(S$5)-MONTH($AA50)),$Z50)=0)*(((YEAR(S$5)-YEAR($AA50))*12+MONTH(S$5)-MONTH($AA50))&gt;=0)*(EDATE($AA50,MAX(0,((YEAR(S$5)-YEAR($AA50))*12+MONTH(S$5)-MONTH($AA50))))&gt;=S$5)*(EDATE($AA50,MAX(0,((YEAR(S$5)-YEAR($AA50))*12+MONTH(S$5)-MONTH($AA50))))&lt;=MIN(S$5+6,$AB50))+(MOD((((YEAR(S$5)-YEAR($AA50))*12+MONTH(S$5)-MONTH($AA50))+1),$Z50)=0)*((((YEAR(S$5)-YEAR($AA50))*12+MONTH(S$5)-MONTH($AA50))+1)&gt;=0)*(EDATE($AA50,MAX(0,(((YEAR(S$5)-YEAR($AA50))*12+MONTH(S$5)-MONTH($AA50))+1)))&gt;=S$5)*(EDATE($AA50,MAX(0,(((YEAR(S$5)-YEAR($AA50))*12+MONTH(S$5)-MONTH($AA50))+1)))&lt;=MIN(S$5+6,$AB50)),($AA50&gt;=S$5)*($AA50&lt;=S$5+6))))</f>
        <v/>
      </c>
      <c r="T50" s="21">
        <f>IF($X50&lt;&gt;1,0,$D50*IF($Y50&gt;0,MAX(0,INT((MIN(T$5+6,$AB50)-$AA50)/$Y50)-MAX(0,-INT(($AA50-T$5)/$Y50))+1),IF($Z50&gt;0,(MOD(((YEAR(T$5)-YEAR($AA50))*12+MONTH(T$5)-MONTH($AA50)),$Z50)=0)*(((YEAR(T$5)-YEAR($AA50))*12+MONTH(T$5)-MONTH($AA50))&gt;=0)*(EDATE($AA50,MAX(0,((YEAR(T$5)-YEAR($AA50))*12+MONTH(T$5)-MONTH($AA50))))&gt;=T$5)*(EDATE($AA50,MAX(0,((YEAR(T$5)-YEAR($AA50))*12+MONTH(T$5)-MONTH($AA50))))&lt;=MIN(T$5+6,$AB50))+(MOD((((YEAR(T$5)-YEAR($AA50))*12+MONTH(T$5)-MONTH($AA50))+1),$Z50)=0)*((((YEAR(T$5)-YEAR($AA50))*12+MONTH(T$5)-MONTH($AA50))+1)&gt;=0)*(EDATE($AA50,MAX(0,(((YEAR(T$5)-YEAR($AA50))*12+MONTH(T$5)-MONTH($AA50))+1)))&gt;=T$5)*(EDATE($AA50,MAX(0,(((YEAR(T$5)-YEAR($AA50))*12+MONTH(T$5)-MONTH($AA50))+1)))&lt;=MIN(T$5+6,$AB50)),($AA50&gt;=T$5)*($AA50&lt;=T$5+6))))</f>
        <v/>
      </c>
      <c r="U50" s="21">
        <f>IF($X50&lt;&gt;1,0,$D50*IF($Y50&gt;0,MAX(0,INT((MIN(U$5+6,$AB50)-$AA50)/$Y50)-MAX(0,-INT(($AA50-U$5)/$Y50))+1),IF($Z50&gt;0,(MOD(((YEAR(U$5)-YEAR($AA50))*12+MONTH(U$5)-MONTH($AA50)),$Z50)=0)*(((YEAR(U$5)-YEAR($AA50))*12+MONTH(U$5)-MONTH($AA50))&gt;=0)*(EDATE($AA50,MAX(0,((YEAR(U$5)-YEAR($AA50))*12+MONTH(U$5)-MONTH($AA50))))&gt;=U$5)*(EDATE($AA50,MAX(0,((YEAR(U$5)-YEAR($AA50))*12+MONTH(U$5)-MONTH($AA50))))&lt;=MIN(U$5+6,$AB50))+(MOD((((YEAR(U$5)-YEAR($AA50))*12+MONTH(U$5)-MONTH($AA50))+1),$Z50)=0)*((((YEAR(U$5)-YEAR($AA50))*12+MONTH(U$5)-MONTH($AA50))+1)&gt;=0)*(EDATE($AA50,MAX(0,(((YEAR(U$5)-YEAR($AA50))*12+MONTH(U$5)-MONTH($AA50))+1)))&gt;=U$5)*(EDATE($AA50,MAX(0,(((YEAR(U$5)-YEAR($AA50))*12+MONTH(U$5)-MONTH($AA50))+1)))&lt;=MIN(U$5+6,$AB50)),($AA50&gt;=U$5)*($AA50&lt;=U$5+6))))</f>
        <v/>
      </c>
      <c r="V50" s="21">
        <f>IF($X50&lt;&gt;1,0,$D50*IF($Y50&gt;0,MAX(0,INT((MIN(V$5+6,$AB50)-$AA50)/$Y50)-MAX(0,-INT(($AA50-V$5)/$Y50))+1),IF($Z50&gt;0,(MOD(((YEAR(V$5)-YEAR($AA50))*12+MONTH(V$5)-MONTH($AA50)),$Z50)=0)*(((YEAR(V$5)-YEAR($AA50))*12+MONTH(V$5)-MONTH($AA50))&gt;=0)*(EDATE($AA50,MAX(0,((YEAR(V$5)-YEAR($AA50))*12+MONTH(V$5)-MONTH($AA50))))&gt;=V$5)*(EDATE($AA50,MAX(0,((YEAR(V$5)-YEAR($AA50))*12+MONTH(V$5)-MONTH($AA50))))&lt;=MIN(V$5+6,$AB50))+(MOD((((YEAR(V$5)-YEAR($AA50))*12+MONTH(V$5)-MONTH($AA50))+1),$Z50)=0)*((((YEAR(V$5)-YEAR($AA50))*12+MONTH(V$5)-MONTH($AA50))+1)&gt;=0)*(EDATE($AA50,MAX(0,(((YEAR(V$5)-YEAR($AA50))*12+MONTH(V$5)-MONTH($AA50))+1)))&gt;=V$5)*(EDATE($AA50,MAX(0,(((YEAR(V$5)-YEAR($AA50))*12+MONTH(V$5)-MONTH($AA50))+1)))&lt;=MIN(V$5+6,$AB50)),($AA50&gt;=V$5)*($AA50&lt;=V$5+6))))</f>
        <v/>
      </c>
      <c r="W50" s="21">
        <f>IF($X50&lt;&gt;1,0,$D50*IF($Y50&gt;0,MAX(0,INT((MIN(W$5+6,$AB50)-$AA50)/$Y50)-MAX(0,-INT(($AA50-W$5)/$Y50))+1),IF($Z50&gt;0,(MOD(((YEAR(W$5)-YEAR($AA50))*12+MONTH(W$5)-MONTH($AA50)),$Z50)=0)*(((YEAR(W$5)-YEAR($AA50))*12+MONTH(W$5)-MONTH($AA50))&gt;=0)*(EDATE($AA50,MAX(0,((YEAR(W$5)-YEAR($AA50))*12+MONTH(W$5)-MONTH($AA50))))&gt;=W$5)*(EDATE($AA50,MAX(0,((YEAR(W$5)-YEAR($AA50))*12+MONTH(W$5)-MONTH($AA50))))&lt;=MIN(W$5+6,$AB50))+(MOD((((YEAR(W$5)-YEAR($AA50))*12+MONTH(W$5)-MONTH($AA50))+1),$Z50)=0)*((((YEAR(W$5)-YEAR($AA50))*12+MONTH(W$5)-MONTH($AA50))+1)&gt;=0)*(EDATE($AA50,MAX(0,(((YEAR(W$5)-YEAR($AA50))*12+MONTH(W$5)-MONTH($AA50))+1)))&gt;=W$5)*(EDATE($AA50,MAX(0,(((YEAR(W$5)-YEAR($AA50))*12+MONTH(W$5)-MONTH($AA50))+1)))&lt;=MIN(W$5+6,$AB50)),($AA50&gt;=W$5)*($AA50&lt;=W$5+6))))</f>
        <v/>
      </c>
      <c r="X50">
        <f>IF(COUNTA(A50:G50)=0,"",IF(AND(OR(B50="In",B50="Out"),ISNUMBER(D50),D50&gt;0,ISNUMBER(MATCH(E50,FreqName,0)),ISNUMBER(F50),OR(G50="",AND(ISNUMBER(G50),G50&gt;=F50))),1,0))</f>
        <v/>
      </c>
      <c r="Y50">
        <f>IF(X50&lt;&gt;1,0,INDEX(FreqDays,MATCH(E50,FreqName,0)))</f>
        <v/>
      </c>
      <c r="Z50">
        <f>IF(X50&lt;&gt;1,0,INDEX(FreqMonths,MATCH(E50,FreqName,0)))</f>
        <v/>
      </c>
      <c r="AA50">
        <f>IF(X50&lt;&gt;1,0,INT(F50))</f>
        <v/>
      </c>
      <c r="AB50">
        <f>IF(X50&lt;&gt;1,0,IF(ISNUMBER(G50),INT(G50),2958465))</f>
        <v/>
      </c>
    </row>
    <row r="51">
      <c r="A51" s="29" t="n"/>
      <c r="B51" s="29" t="n"/>
      <c r="C51" s="29" t="n"/>
      <c r="D51" s="34" t="n"/>
      <c r="E51" s="29" t="n"/>
      <c r="F51" s="24" t="n"/>
      <c r="G51" s="24" t="n"/>
      <c r="H51" s="10">
        <f>IF(X51="","",IF(X51=0,IF(AND(B51&lt;&gt;"In",B51&lt;&gt;"Out"),"Fix: choose In or Out",IF(OR(NOT(ISNUMBER(D51)),N(D51)&lt;=0),"Fix: amount must be a number above 0",IF(NOT(ISNUMBER(MATCH(E51,FreqName,0))),"Fix: choose a frequency",IF(NOT(ISNUMBER(F51)),"Fix: first date missing","Fix: end date must be a date on or after the first date")))),IF(AND(C51&lt;&gt;"",OR(AND(B51="In",ISNUMBER(MATCH(C51,InCats,0))),AND(B51="Out",ISNUMBER(MATCH(C51,OutCats,0))))),"OK","Category not on Settings (counted as Other)")))</f>
        <v/>
      </c>
      <c r="I51" s="35">
        <f>IF(X51&lt;&gt;1,"",ROUND(J51/D51,0))</f>
        <v/>
      </c>
      <c r="J51" s="36">
        <f>SUM(K51:W51)</f>
        <v/>
      </c>
      <c r="K51" s="21">
        <f>IF($X51&lt;&gt;1,0,$D51*IF($Y51&gt;0,MAX(0,INT((MIN(K$5+6,$AB51)-$AA51)/$Y51)-MAX(0,-INT(($AA51-K$5)/$Y51))+1),IF($Z51&gt;0,(MOD(((YEAR(K$5)-YEAR($AA51))*12+MONTH(K$5)-MONTH($AA51)),$Z51)=0)*(((YEAR(K$5)-YEAR($AA51))*12+MONTH(K$5)-MONTH($AA51))&gt;=0)*(EDATE($AA51,MAX(0,((YEAR(K$5)-YEAR($AA51))*12+MONTH(K$5)-MONTH($AA51))))&gt;=K$5)*(EDATE($AA51,MAX(0,((YEAR(K$5)-YEAR($AA51))*12+MONTH(K$5)-MONTH($AA51))))&lt;=MIN(K$5+6,$AB51))+(MOD((((YEAR(K$5)-YEAR($AA51))*12+MONTH(K$5)-MONTH($AA51))+1),$Z51)=0)*((((YEAR(K$5)-YEAR($AA51))*12+MONTH(K$5)-MONTH($AA51))+1)&gt;=0)*(EDATE($AA51,MAX(0,(((YEAR(K$5)-YEAR($AA51))*12+MONTH(K$5)-MONTH($AA51))+1)))&gt;=K$5)*(EDATE($AA51,MAX(0,(((YEAR(K$5)-YEAR($AA51))*12+MONTH(K$5)-MONTH($AA51))+1)))&lt;=MIN(K$5+6,$AB51)),($AA51&gt;=K$5)*($AA51&lt;=K$5+6))))</f>
        <v/>
      </c>
      <c r="L51" s="21">
        <f>IF($X51&lt;&gt;1,0,$D51*IF($Y51&gt;0,MAX(0,INT((MIN(L$5+6,$AB51)-$AA51)/$Y51)-MAX(0,-INT(($AA51-L$5)/$Y51))+1),IF($Z51&gt;0,(MOD(((YEAR(L$5)-YEAR($AA51))*12+MONTH(L$5)-MONTH($AA51)),$Z51)=0)*(((YEAR(L$5)-YEAR($AA51))*12+MONTH(L$5)-MONTH($AA51))&gt;=0)*(EDATE($AA51,MAX(0,((YEAR(L$5)-YEAR($AA51))*12+MONTH(L$5)-MONTH($AA51))))&gt;=L$5)*(EDATE($AA51,MAX(0,((YEAR(L$5)-YEAR($AA51))*12+MONTH(L$5)-MONTH($AA51))))&lt;=MIN(L$5+6,$AB51))+(MOD((((YEAR(L$5)-YEAR($AA51))*12+MONTH(L$5)-MONTH($AA51))+1),$Z51)=0)*((((YEAR(L$5)-YEAR($AA51))*12+MONTH(L$5)-MONTH($AA51))+1)&gt;=0)*(EDATE($AA51,MAX(0,(((YEAR(L$5)-YEAR($AA51))*12+MONTH(L$5)-MONTH($AA51))+1)))&gt;=L$5)*(EDATE($AA51,MAX(0,(((YEAR(L$5)-YEAR($AA51))*12+MONTH(L$5)-MONTH($AA51))+1)))&lt;=MIN(L$5+6,$AB51)),($AA51&gt;=L$5)*($AA51&lt;=L$5+6))))</f>
        <v/>
      </c>
      <c r="M51" s="21">
        <f>IF($X51&lt;&gt;1,0,$D51*IF($Y51&gt;0,MAX(0,INT((MIN(M$5+6,$AB51)-$AA51)/$Y51)-MAX(0,-INT(($AA51-M$5)/$Y51))+1),IF($Z51&gt;0,(MOD(((YEAR(M$5)-YEAR($AA51))*12+MONTH(M$5)-MONTH($AA51)),$Z51)=0)*(((YEAR(M$5)-YEAR($AA51))*12+MONTH(M$5)-MONTH($AA51))&gt;=0)*(EDATE($AA51,MAX(0,((YEAR(M$5)-YEAR($AA51))*12+MONTH(M$5)-MONTH($AA51))))&gt;=M$5)*(EDATE($AA51,MAX(0,((YEAR(M$5)-YEAR($AA51))*12+MONTH(M$5)-MONTH($AA51))))&lt;=MIN(M$5+6,$AB51))+(MOD((((YEAR(M$5)-YEAR($AA51))*12+MONTH(M$5)-MONTH($AA51))+1),$Z51)=0)*((((YEAR(M$5)-YEAR($AA51))*12+MONTH(M$5)-MONTH($AA51))+1)&gt;=0)*(EDATE($AA51,MAX(0,(((YEAR(M$5)-YEAR($AA51))*12+MONTH(M$5)-MONTH($AA51))+1)))&gt;=M$5)*(EDATE($AA51,MAX(0,(((YEAR(M$5)-YEAR($AA51))*12+MONTH(M$5)-MONTH($AA51))+1)))&lt;=MIN(M$5+6,$AB51)),($AA51&gt;=M$5)*($AA51&lt;=M$5+6))))</f>
        <v/>
      </c>
      <c r="N51" s="21">
        <f>IF($X51&lt;&gt;1,0,$D51*IF($Y51&gt;0,MAX(0,INT((MIN(N$5+6,$AB51)-$AA51)/$Y51)-MAX(0,-INT(($AA51-N$5)/$Y51))+1),IF($Z51&gt;0,(MOD(((YEAR(N$5)-YEAR($AA51))*12+MONTH(N$5)-MONTH($AA51)),$Z51)=0)*(((YEAR(N$5)-YEAR($AA51))*12+MONTH(N$5)-MONTH($AA51))&gt;=0)*(EDATE($AA51,MAX(0,((YEAR(N$5)-YEAR($AA51))*12+MONTH(N$5)-MONTH($AA51))))&gt;=N$5)*(EDATE($AA51,MAX(0,((YEAR(N$5)-YEAR($AA51))*12+MONTH(N$5)-MONTH($AA51))))&lt;=MIN(N$5+6,$AB51))+(MOD((((YEAR(N$5)-YEAR($AA51))*12+MONTH(N$5)-MONTH($AA51))+1),$Z51)=0)*((((YEAR(N$5)-YEAR($AA51))*12+MONTH(N$5)-MONTH($AA51))+1)&gt;=0)*(EDATE($AA51,MAX(0,(((YEAR(N$5)-YEAR($AA51))*12+MONTH(N$5)-MONTH($AA51))+1)))&gt;=N$5)*(EDATE($AA51,MAX(0,(((YEAR(N$5)-YEAR($AA51))*12+MONTH(N$5)-MONTH($AA51))+1)))&lt;=MIN(N$5+6,$AB51)),($AA51&gt;=N$5)*($AA51&lt;=N$5+6))))</f>
        <v/>
      </c>
      <c r="O51" s="21">
        <f>IF($X51&lt;&gt;1,0,$D51*IF($Y51&gt;0,MAX(0,INT((MIN(O$5+6,$AB51)-$AA51)/$Y51)-MAX(0,-INT(($AA51-O$5)/$Y51))+1),IF($Z51&gt;0,(MOD(((YEAR(O$5)-YEAR($AA51))*12+MONTH(O$5)-MONTH($AA51)),$Z51)=0)*(((YEAR(O$5)-YEAR($AA51))*12+MONTH(O$5)-MONTH($AA51))&gt;=0)*(EDATE($AA51,MAX(0,((YEAR(O$5)-YEAR($AA51))*12+MONTH(O$5)-MONTH($AA51))))&gt;=O$5)*(EDATE($AA51,MAX(0,((YEAR(O$5)-YEAR($AA51))*12+MONTH(O$5)-MONTH($AA51))))&lt;=MIN(O$5+6,$AB51))+(MOD((((YEAR(O$5)-YEAR($AA51))*12+MONTH(O$5)-MONTH($AA51))+1),$Z51)=0)*((((YEAR(O$5)-YEAR($AA51))*12+MONTH(O$5)-MONTH($AA51))+1)&gt;=0)*(EDATE($AA51,MAX(0,(((YEAR(O$5)-YEAR($AA51))*12+MONTH(O$5)-MONTH($AA51))+1)))&gt;=O$5)*(EDATE($AA51,MAX(0,(((YEAR(O$5)-YEAR($AA51))*12+MONTH(O$5)-MONTH($AA51))+1)))&lt;=MIN(O$5+6,$AB51)),($AA51&gt;=O$5)*($AA51&lt;=O$5+6))))</f>
        <v/>
      </c>
      <c r="P51" s="21">
        <f>IF($X51&lt;&gt;1,0,$D51*IF($Y51&gt;0,MAX(0,INT((MIN(P$5+6,$AB51)-$AA51)/$Y51)-MAX(0,-INT(($AA51-P$5)/$Y51))+1),IF($Z51&gt;0,(MOD(((YEAR(P$5)-YEAR($AA51))*12+MONTH(P$5)-MONTH($AA51)),$Z51)=0)*(((YEAR(P$5)-YEAR($AA51))*12+MONTH(P$5)-MONTH($AA51))&gt;=0)*(EDATE($AA51,MAX(0,((YEAR(P$5)-YEAR($AA51))*12+MONTH(P$5)-MONTH($AA51))))&gt;=P$5)*(EDATE($AA51,MAX(0,((YEAR(P$5)-YEAR($AA51))*12+MONTH(P$5)-MONTH($AA51))))&lt;=MIN(P$5+6,$AB51))+(MOD((((YEAR(P$5)-YEAR($AA51))*12+MONTH(P$5)-MONTH($AA51))+1),$Z51)=0)*((((YEAR(P$5)-YEAR($AA51))*12+MONTH(P$5)-MONTH($AA51))+1)&gt;=0)*(EDATE($AA51,MAX(0,(((YEAR(P$5)-YEAR($AA51))*12+MONTH(P$5)-MONTH($AA51))+1)))&gt;=P$5)*(EDATE($AA51,MAX(0,(((YEAR(P$5)-YEAR($AA51))*12+MONTH(P$5)-MONTH($AA51))+1)))&lt;=MIN(P$5+6,$AB51)),($AA51&gt;=P$5)*($AA51&lt;=P$5+6))))</f>
        <v/>
      </c>
      <c r="Q51" s="21">
        <f>IF($X51&lt;&gt;1,0,$D51*IF($Y51&gt;0,MAX(0,INT((MIN(Q$5+6,$AB51)-$AA51)/$Y51)-MAX(0,-INT(($AA51-Q$5)/$Y51))+1),IF($Z51&gt;0,(MOD(((YEAR(Q$5)-YEAR($AA51))*12+MONTH(Q$5)-MONTH($AA51)),$Z51)=0)*(((YEAR(Q$5)-YEAR($AA51))*12+MONTH(Q$5)-MONTH($AA51))&gt;=0)*(EDATE($AA51,MAX(0,((YEAR(Q$5)-YEAR($AA51))*12+MONTH(Q$5)-MONTH($AA51))))&gt;=Q$5)*(EDATE($AA51,MAX(0,((YEAR(Q$5)-YEAR($AA51))*12+MONTH(Q$5)-MONTH($AA51))))&lt;=MIN(Q$5+6,$AB51))+(MOD((((YEAR(Q$5)-YEAR($AA51))*12+MONTH(Q$5)-MONTH($AA51))+1),$Z51)=0)*((((YEAR(Q$5)-YEAR($AA51))*12+MONTH(Q$5)-MONTH($AA51))+1)&gt;=0)*(EDATE($AA51,MAX(0,(((YEAR(Q$5)-YEAR($AA51))*12+MONTH(Q$5)-MONTH($AA51))+1)))&gt;=Q$5)*(EDATE($AA51,MAX(0,(((YEAR(Q$5)-YEAR($AA51))*12+MONTH(Q$5)-MONTH($AA51))+1)))&lt;=MIN(Q$5+6,$AB51)),($AA51&gt;=Q$5)*($AA51&lt;=Q$5+6))))</f>
        <v/>
      </c>
      <c r="R51" s="21">
        <f>IF($X51&lt;&gt;1,0,$D51*IF($Y51&gt;0,MAX(0,INT((MIN(R$5+6,$AB51)-$AA51)/$Y51)-MAX(0,-INT(($AA51-R$5)/$Y51))+1),IF($Z51&gt;0,(MOD(((YEAR(R$5)-YEAR($AA51))*12+MONTH(R$5)-MONTH($AA51)),$Z51)=0)*(((YEAR(R$5)-YEAR($AA51))*12+MONTH(R$5)-MONTH($AA51))&gt;=0)*(EDATE($AA51,MAX(0,((YEAR(R$5)-YEAR($AA51))*12+MONTH(R$5)-MONTH($AA51))))&gt;=R$5)*(EDATE($AA51,MAX(0,((YEAR(R$5)-YEAR($AA51))*12+MONTH(R$5)-MONTH($AA51))))&lt;=MIN(R$5+6,$AB51))+(MOD((((YEAR(R$5)-YEAR($AA51))*12+MONTH(R$5)-MONTH($AA51))+1),$Z51)=0)*((((YEAR(R$5)-YEAR($AA51))*12+MONTH(R$5)-MONTH($AA51))+1)&gt;=0)*(EDATE($AA51,MAX(0,(((YEAR(R$5)-YEAR($AA51))*12+MONTH(R$5)-MONTH($AA51))+1)))&gt;=R$5)*(EDATE($AA51,MAX(0,(((YEAR(R$5)-YEAR($AA51))*12+MONTH(R$5)-MONTH($AA51))+1)))&lt;=MIN(R$5+6,$AB51)),($AA51&gt;=R$5)*($AA51&lt;=R$5+6))))</f>
        <v/>
      </c>
      <c r="S51" s="21">
        <f>IF($X51&lt;&gt;1,0,$D51*IF($Y51&gt;0,MAX(0,INT((MIN(S$5+6,$AB51)-$AA51)/$Y51)-MAX(0,-INT(($AA51-S$5)/$Y51))+1),IF($Z51&gt;0,(MOD(((YEAR(S$5)-YEAR($AA51))*12+MONTH(S$5)-MONTH($AA51)),$Z51)=0)*(((YEAR(S$5)-YEAR($AA51))*12+MONTH(S$5)-MONTH($AA51))&gt;=0)*(EDATE($AA51,MAX(0,((YEAR(S$5)-YEAR($AA51))*12+MONTH(S$5)-MONTH($AA51))))&gt;=S$5)*(EDATE($AA51,MAX(0,((YEAR(S$5)-YEAR($AA51))*12+MONTH(S$5)-MONTH($AA51))))&lt;=MIN(S$5+6,$AB51))+(MOD((((YEAR(S$5)-YEAR($AA51))*12+MONTH(S$5)-MONTH($AA51))+1),$Z51)=0)*((((YEAR(S$5)-YEAR($AA51))*12+MONTH(S$5)-MONTH($AA51))+1)&gt;=0)*(EDATE($AA51,MAX(0,(((YEAR(S$5)-YEAR($AA51))*12+MONTH(S$5)-MONTH($AA51))+1)))&gt;=S$5)*(EDATE($AA51,MAX(0,(((YEAR(S$5)-YEAR($AA51))*12+MONTH(S$5)-MONTH($AA51))+1)))&lt;=MIN(S$5+6,$AB51)),($AA51&gt;=S$5)*($AA51&lt;=S$5+6))))</f>
        <v/>
      </c>
      <c r="T51" s="21">
        <f>IF($X51&lt;&gt;1,0,$D51*IF($Y51&gt;0,MAX(0,INT((MIN(T$5+6,$AB51)-$AA51)/$Y51)-MAX(0,-INT(($AA51-T$5)/$Y51))+1),IF($Z51&gt;0,(MOD(((YEAR(T$5)-YEAR($AA51))*12+MONTH(T$5)-MONTH($AA51)),$Z51)=0)*(((YEAR(T$5)-YEAR($AA51))*12+MONTH(T$5)-MONTH($AA51))&gt;=0)*(EDATE($AA51,MAX(0,((YEAR(T$5)-YEAR($AA51))*12+MONTH(T$5)-MONTH($AA51))))&gt;=T$5)*(EDATE($AA51,MAX(0,((YEAR(T$5)-YEAR($AA51))*12+MONTH(T$5)-MONTH($AA51))))&lt;=MIN(T$5+6,$AB51))+(MOD((((YEAR(T$5)-YEAR($AA51))*12+MONTH(T$5)-MONTH($AA51))+1),$Z51)=0)*((((YEAR(T$5)-YEAR($AA51))*12+MONTH(T$5)-MONTH($AA51))+1)&gt;=0)*(EDATE($AA51,MAX(0,(((YEAR(T$5)-YEAR($AA51))*12+MONTH(T$5)-MONTH($AA51))+1)))&gt;=T$5)*(EDATE($AA51,MAX(0,(((YEAR(T$5)-YEAR($AA51))*12+MONTH(T$5)-MONTH($AA51))+1)))&lt;=MIN(T$5+6,$AB51)),($AA51&gt;=T$5)*($AA51&lt;=T$5+6))))</f>
        <v/>
      </c>
      <c r="U51" s="21">
        <f>IF($X51&lt;&gt;1,0,$D51*IF($Y51&gt;0,MAX(0,INT((MIN(U$5+6,$AB51)-$AA51)/$Y51)-MAX(0,-INT(($AA51-U$5)/$Y51))+1),IF($Z51&gt;0,(MOD(((YEAR(U$5)-YEAR($AA51))*12+MONTH(U$5)-MONTH($AA51)),$Z51)=0)*(((YEAR(U$5)-YEAR($AA51))*12+MONTH(U$5)-MONTH($AA51))&gt;=0)*(EDATE($AA51,MAX(0,((YEAR(U$5)-YEAR($AA51))*12+MONTH(U$5)-MONTH($AA51))))&gt;=U$5)*(EDATE($AA51,MAX(0,((YEAR(U$5)-YEAR($AA51))*12+MONTH(U$5)-MONTH($AA51))))&lt;=MIN(U$5+6,$AB51))+(MOD((((YEAR(U$5)-YEAR($AA51))*12+MONTH(U$5)-MONTH($AA51))+1),$Z51)=0)*((((YEAR(U$5)-YEAR($AA51))*12+MONTH(U$5)-MONTH($AA51))+1)&gt;=0)*(EDATE($AA51,MAX(0,(((YEAR(U$5)-YEAR($AA51))*12+MONTH(U$5)-MONTH($AA51))+1)))&gt;=U$5)*(EDATE($AA51,MAX(0,(((YEAR(U$5)-YEAR($AA51))*12+MONTH(U$5)-MONTH($AA51))+1)))&lt;=MIN(U$5+6,$AB51)),($AA51&gt;=U$5)*($AA51&lt;=U$5+6))))</f>
        <v/>
      </c>
      <c r="V51" s="21">
        <f>IF($X51&lt;&gt;1,0,$D51*IF($Y51&gt;0,MAX(0,INT((MIN(V$5+6,$AB51)-$AA51)/$Y51)-MAX(0,-INT(($AA51-V$5)/$Y51))+1),IF($Z51&gt;0,(MOD(((YEAR(V$5)-YEAR($AA51))*12+MONTH(V$5)-MONTH($AA51)),$Z51)=0)*(((YEAR(V$5)-YEAR($AA51))*12+MONTH(V$5)-MONTH($AA51))&gt;=0)*(EDATE($AA51,MAX(0,((YEAR(V$5)-YEAR($AA51))*12+MONTH(V$5)-MONTH($AA51))))&gt;=V$5)*(EDATE($AA51,MAX(0,((YEAR(V$5)-YEAR($AA51))*12+MONTH(V$5)-MONTH($AA51))))&lt;=MIN(V$5+6,$AB51))+(MOD((((YEAR(V$5)-YEAR($AA51))*12+MONTH(V$5)-MONTH($AA51))+1),$Z51)=0)*((((YEAR(V$5)-YEAR($AA51))*12+MONTH(V$5)-MONTH($AA51))+1)&gt;=0)*(EDATE($AA51,MAX(0,(((YEAR(V$5)-YEAR($AA51))*12+MONTH(V$5)-MONTH($AA51))+1)))&gt;=V$5)*(EDATE($AA51,MAX(0,(((YEAR(V$5)-YEAR($AA51))*12+MONTH(V$5)-MONTH($AA51))+1)))&lt;=MIN(V$5+6,$AB51)),($AA51&gt;=V$5)*($AA51&lt;=V$5+6))))</f>
        <v/>
      </c>
      <c r="W51" s="21">
        <f>IF($X51&lt;&gt;1,0,$D51*IF($Y51&gt;0,MAX(0,INT((MIN(W$5+6,$AB51)-$AA51)/$Y51)-MAX(0,-INT(($AA51-W$5)/$Y51))+1),IF($Z51&gt;0,(MOD(((YEAR(W$5)-YEAR($AA51))*12+MONTH(W$5)-MONTH($AA51)),$Z51)=0)*(((YEAR(W$5)-YEAR($AA51))*12+MONTH(W$5)-MONTH($AA51))&gt;=0)*(EDATE($AA51,MAX(0,((YEAR(W$5)-YEAR($AA51))*12+MONTH(W$5)-MONTH($AA51))))&gt;=W$5)*(EDATE($AA51,MAX(0,((YEAR(W$5)-YEAR($AA51))*12+MONTH(W$5)-MONTH($AA51))))&lt;=MIN(W$5+6,$AB51))+(MOD((((YEAR(W$5)-YEAR($AA51))*12+MONTH(W$5)-MONTH($AA51))+1),$Z51)=0)*((((YEAR(W$5)-YEAR($AA51))*12+MONTH(W$5)-MONTH($AA51))+1)&gt;=0)*(EDATE($AA51,MAX(0,(((YEAR(W$5)-YEAR($AA51))*12+MONTH(W$5)-MONTH($AA51))+1)))&gt;=W$5)*(EDATE($AA51,MAX(0,(((YEAR(W$5)-YEAR($AA51))*12+MONTH(W$5)-MONTH($AA51))+1)))&lt;=MIN(W$5+6,$AB51)),($AA51&gt;=W$5)*($AA51&lt;=W$5+6))))</f>
        <v/>
      </c>
      <c r="X51">
        <f>IF(COUNTA(A51:G51)=0,"",IF(AND(OR(B51="In",B51="Out"),ISNUMBER(D51),D51&gt;0,ISNUMBER(MATCH(E51,FreqName,0)),ISNUMBER(F51),OR(G51="",AND(ISNUMBER(G51),G51&gt;=F51))),1,0))</f>
        <v/>
      </c>
      <c r="Y51">
        <f>IF(X51&lt;&gt;1,0,INDEX(FreqDays,MATCH(E51,FreqName,0)))</f>
        <v/>
      </c>
      <c r="Z51">
        <f>IF(X51&lt;&gt;1,0,INDEX(FreqMonths,MATCH(E51,FreqName,0)))</f>
        <v/>
      </c>
      <c r="AA51">
        <f>IF(X51&lt;&gt;1,0,INT(F51))</f>
        <v/>
      </c>
      <c r="AB51">
        <f>IF(X51&lt;&gt;1,0,IF(ISNUMBER(G51),INT(G51),2958465))</f>
        <v/>
      </c>
    </row>
    <row r="52">
      <c r="A52" s="29" t="n"/>
      <c r="B52" s="29" t="n"/>
      <c r="C52" s="29" t="n"/>
      <c r="D52" s="34" t="n"/>
      <c r="E52" s="29" t="n"/>
      <c r="F52" s="24" t="n"/>
      <c r="G52" s="24" t="n"/>
      <c r="H52" s="10">
        <f>IF(X52="","",IF(X52=0,IF(AND(B52&lt;&gt;"In",B52&lt;&gt;"Out"),"Fix: choose In or Out",IF(OR(NOT(ISNUMBER(D52)),N(D52)&lt;=0),"Fix: amount must be a number above 0",IF(NOT(ISNUMBER(MATCH(E52,FreqName,0))),"Fix: choose a frequency",IF(NOT(ISNUMBER(F52)),"Fix: first date missing","Fix: end date must be a date on or after the first date")))),IF(AND(C52&lt;&gt;"",OR(AND(B52="In",ISNUMBER(MATCH(C52,InCats,0))),AND(B52="Out",ISNUMBER(MATCH(C52,OutCats,0))))),"OK","Category not on Settings (counted as Other)")))</f>
        <v/>
      </c>
      <c r="I52" s="35">
        <f>IF(X52&lt;&gt;1,"",ROUND(J52/D52,0))</f>
        <v/>
      </c>
      <c r="J52" s="36">
        <f>SUM(K52:W52)</f>
        <v/>
      </c>
      <c r="K52" s="21">
        <f>IF($X52&lt;&gt;1,0,$D52*IF($Y52&gt;0,MAX(0,INT((MIN(K$5+6,$AB52)-$AA52)/$Y52)-MAX(0,-INT(($AA52-K$5)/$Y52))+1),IF($Z52&gt;0,(MOD(((YEAR(K$5)-YEAR($AA52))*12+MONTH(K$5)-MONTH($AA52)),$Z52)=0)*(((YEAR(K$5)-YEAR($AA52))*12+MONTH(K$5)-MONTH($AA52))&gt;=0)*(EDATE($AA52,MAX(0,((YEAR(K$5)-YEAR($AA52))*12+MONTH(K$5)-MONTH($AA52))))&gt;=K$5)*(EDATE($AA52,MAX(0,((YEAR(K$5)-YEAR($AA52))*12+MONTH(K$5)-MONTH($AA52))))&lt;=MIN(K$5+6,$AB52))+(MOD((((YEAR(K$5)-YEAR($AA52))*12+MONTH(K$5)-MONTH($AA52))+1),$Z52)=0)*((((YEAR(K$5)-YEAR($AA52))*12+MONTH(K$5)-MONTH($AA52))+1)&gt;=0)*(EDATE($AA52,MAX(0,(((YEAR(K$5)-YEAR($AA52))*12+MONTH(K$5)-MONTH($AA52))+1)))&gt;=K$5)*(EDATE($AA52,MAX(0,(((YEAR(K$5)-YEAR($AA52))*12+MONTH(K$5)-MONTH($AA52))+1)))&lt;=MIN(K$5+6,$AB52)),($AA52&gt;=K$5)*($AA52&lt;=K$5+6))))</f>
        <v/>
      </c>
      <c r="L52" s="21">
        <f>IF($X52&lt;&gt;1,0,$D52*IF($Y52&gt;0,MAX(0,INT((MIN(L$5+6,$AB52)-$AA52)/$Y52)-MAX(0,-INT(($AA52-L$5)/$Y52))+1),IF($Z52&gt;0,(MOD(((YEAR(L$5)-YEAR($AA52))*12+MONTH(L$5)-MONTH($AA52)),$Z52)=0)*(((YEAR(L$5)-YEAR($AA52))*12+MONTH(L$5)-MONTH($AA52))&gt;=0)*(EDATE($AA52,MAX(0,((YEAR(L$5)-YEAR($AA52))*12+MONTH(L$5)-MONTH($AA52))))&gt;=L$5)*(EDATE($AA52,MAX(0,((YEAR(L$5)-YEAR($AA52))*12+MONTH(L$5)-MONTH($AA52))))&lt;=MIN(L$5+6,$AB52))+(MOD((((YEAR(L$5)-YEAR($AA52))*12+MONTH(L$5)-MONTH($AA52))+1),$Z52)=0)*((((YEAR(L$5)-YEAR($AA52))*12+MONTH(L$5)-MONTH($AA52))+1)&gt;=0)*(EDATE($AA52,MAX(0,(((YEAR(L$5)-YEAR($AA52))*12+MONTH(L$5)-MONTH($AA52))+1)))&gt;=L$5)*(EDATE($AA52,MAX(0,(((YEAR(L$5)-YEAR($AA52))*12+MONTH(L$5)-MONTH($AA52))+1)))&lt;=MIN(L$5+6,$AB52)),($AA52&gt;=L$5)*($AA52&lt;=L$5+6))))</f>
        <v/>
      </c>
      <c r="M52" s="21">
        <f>IF($X52&lt;&gt;1,0,$D52*IF($Y52&gt;0,MAX(0,INT((MIN(M$5+6,$AB52)-$AA52)/$Y52)-MAX(0,-INT(($AA52-M$5)/$Y52))+1),IF($Z52&gt;0,(MOD(((YEAR(M$5)-YEAR($AA52))*12+MONTH(M$5)-MONTH($AA52)),$Z52)=0)*(((YEAR(M$5)-YEAR($AA52))*12+MONTH(M$5)-MONTH($AA52))&gt;=0)*(EDATE($AA52,MAX(0,((YEAR(M$5)-YEAR($AA52))*12+MONTH(M$5)-MONTH($AA52))))&gt;=M$5)*(EDATE($AA52,MAX(0,((YEAR(M$5)-YEAR($AA52))*12+MONTH(M$5)-MONTH($AA52))))&lt;=MIN(M$5+6,$AB52))+(MOD((((YEAR(M$5)-YEAR($AA52))*12+MONTH(M$5)-MONTH($AA52))+1),$Z52)=0)*((((YEAR(M$5)-YEAR($AA52))*12+MONTH(M$5)-MONTH($AA52))+1)&gt;=0)*(EDATE($AA52,MAX(0,(((YEAR(M$5)-YEAR($AA52))*12+MONTH(M$5)-MONTH($AA52))+1)))&gt;=M$5)*(EDATE($AA52,MAX(0,(((YEAR(M$5)-YEAR($AA52))*12+MONTH(M$5)-MONTH($AA52))+1)))&lt;=MIN(M$5+6,$AB52)),($AA52&gt;=M$5)*($AA52&lt;=M$5+6))))</f>
        <v/>
      </c>
      <c r="N52" s="21">
        <f>IF($X52&lt;&gt;1,0,$D52*IF($Y52&gt;0,MAX(0,INT((MIN(N$5+6,$AB52)-$AA52)/$Y52)-MAX(0,-INT(($AA52-N$5)/$Y52))+1),IF($Z52&gt;0,(MOD(((YEAR(N$5)-YEAR($AA52))*12+MONTH(N$5)-MONTH($AA52)),$Z52)=0)*(((YEAR(N$5)-YEAR($AA52))*12+MONTH(N$5)-MONTH($AA52))&gt;=0)*(EDATE($AA52,MAX(0,((YEAR(N$5)-YEAR($AA52))*12+MONTH(N$5)-MONTH($AA52))))&gt;=N$5)*(EDATE($AA52,MAX(0,((YEAR(N$5)-YEAR($AA52))*12+MONTH(N$5)-MONTH($AA52))))&lt;=MIN(N$5+6,$AB52))+(MOD((((YEAR(N$5)-YEAR($AA52))*12+MONTH(N$5)-MONTH($AA52))+1),$Z52)=0)*((((YEAR(N$5)-YEAR($AA52))*12+MONTH(N$5)-MONTH($AA52))+1)&gt;=0)*(EDATE($AA52,MAX(0,(((YEAR(N$5)-YEAR($AA52))*12+MONTH(N$5)-MONTH($AA52))+1)))&gt;=N$5)*(EDATE($AA52,MAX(0,(((YEAR(N$5)-YEAR($AA52))*12+MONTH(N$5)-MONTH($AA52))+1)))&lt;=MIN(N$5+6,$AB52)),($AA52&gt;=N$5)*($AA52&lt;=N$5+6))))</f>
        <v/>
      </c>
      <c r="O52" s="21">
        <f>IF($X52&lt;&gt;1,0,$D52*IF($Y52&gt;0,MAX(0,INT((MIN(O$5+6,$AB52)-$AA52)/$Y52)-MAX(0,-INT(($AA52-O$5)/$Y52))+1),IF($Z52&gt;0,(MOD(((YEAR(O$5)-YEAR($AA52))*12+MONTH(O$5)-MONTH($AA52)),$Z52)=0)*(((YEAR(O$5)-YEAR($AA52))*12+MONTH(O$5)-MONTH($AA52))&gt;=0)*(EDATE($AA52,MAX(0,((YEAR(O$5)-YEAR($AA52))*12+MONTH(O$5)-MONTH($AA52))))&gt;=O$5)*(EDATE($AA52,MAX(0,((YEAR(O$5)-YEAR($AA52))*12+MONTH(O$5)-MONTH($AA52))))&lt;=MIN(O$5+6,$AB52))+(MOD((((YEAR(O$5)-YEAR($AA52))*12+MONTH(O$5)-MONTH($AA52))+1),$Z52)=0)*((((YEAR(O$5)-YEAR($AA52))*12+MONTH(O$5)-MONTH($AA52))+1)&gt;=0)*(EDATE($AA52,MAX(0,(((YEAR(O$5)-YEAR($AA52))*12+MONTH(O$5)-MONTH($AA52))+1)))&gt;=O$5)*(EDATE($AA52,MAX(0,(((YEAR(O$5)-YEAR($AA52))*12+MONTH(O$5)-MONTH($AA52))+1)))&lt;=MIN(O$5+6,$AB52)),($AA52&gt;=O$5)*($AA52&lt;=O$5+6))))</f>
        <v/>
      </c>
      <c r="P52" s="21">
        <f>IF($X52&lt;&gt;1,0,$D52*IF($Y52&gt;0,MAX(0,INT((MIN(P$5+6,$AB52)-$AA52)/$Y52)-MAX(0,-INT(($AA52-P$5)/$Y52))+1),IF($Z52&gt;0,(MOD(((YEAR(P$5)-YEAR($AA52))*12+MONTH(P$5)-MONTH($AA52)),$Z52)=0)*(((YEAR(P$5)-YEAR($AA52))*12+MONTH(P$5)-MONTH($AA52))&gt;=0)*(EDATE($AA52,MAX(0,((YEAR(P$5)-YEAR($AA52))*12+MONTH(P$5)-MONTH($AA52))))&gt;=P$5)*(EDATE($AA52,MAX(0,((YEAR(P$5)-YEAR($AA52))*12+MONTH(P$5)-MONTH($AA52))))&lt;=MIN(P$5+6,$AB52))+(MOD((((YEAR(P$5)-YEAR($AA52))*12+MONTH(P$5)-MONTH($AA52))+1),$Z52)=0)*((((YEAR(P$5)-YEAR($AA52))*12+MONTH(P$5)-MONTH($AA52))+1)&gt;=0)*(EDATE($AA52,MAX(0,(((YEAR(P$5)-YEAR($AA52))*12+MONTH(P$5)-MONTH($AA52))+1)))&gt;=P$5)*(EDATE($AA52,MAX(0,(((YEAR(P$5)-YEAR($AA52))*12+MONTH(P$5)-MONTH($AA52))+1)))&lt;=MIN(P$5+6,$AB52)),($AA52&gt;=P$5)*($AA52&lt;=P$5+6))))</f>
        <v/>
      </c>
      <c r="Q52" s="21">
        <f>IF($X52&lt;&gt;1,0,$D52*IF($Y52&gt;0,MAX(0,INT((MIN(Q$5+6,$AB52)-$AA52)/$Y52)-MAX(0,-INT(($AA52-Q$5)/$Y52))+1),IF($Z52&gt;0,(MOD(((YEAR(Q$5)-YEAR($AA52))*12+MONTH(Q$5)-MONTH($AA52)),$Z52)=0)*(((YEAR(Q$5)-YEAR($AA52))*12+MONTH(Q$5)-MONTH($AA52))&gt;=0)*(EDATE($AA52,MAX(0,((YEAR(Q$5)-YEAR($AA52))*12+MONTH(Q$5)-MONTH($AA52))))&gt;=Q$5)*(EDATE($AA52,MAX(0,((YEAR(Q$5)-YEAR($AA52))*12+MONTH(Q$5)-MONTH($AA52))))&lt;=MIN(Q$5+6,$AB52))+(MOD((((YEAR(Q$5)-YEAR($AA52))*12+MONTH(Q$5)-MONTH($AA52))+1),$Z52)=0)*((((YEAR(Q$5)-YEAR($AA52))*12+MONTH(Q$5)-MONTH($AA52))+1)&gt;=0)*(EDATE($AA52,MAX(0,(((YEAR(Q$5)-YEAR($AA52))*12+MONTH(Q$5)-MONTH($AA52))+1)))&gt;=Q$5)*(EDATE($AA52,MAX(0,(((YEAR(Q$5)-YEAR($AA52))*12+MONTH(Q$5)-MONTH($AA52))+1)))&lt;=MIN(Q$5+6,$AB52)),($AA52&gt;=Q$5)*($AA52&lt;=Q$5+6))))</f>
        <v/>
      </c>
      <c r="R52" s="21">
        <f>IF($X52&lt;&gt;1,0,$D52*IF($Y52&gt;0,MAX(0,INT((MIN(R$5+6,$AB52)-$AA52)/$Y52)-MAX(0,-INT(($AA52-R$5)/$Y52))+1),IF($Z52&gt;0,(MOD(((YEAR(R$5)-YEAR($AA52))*12+MONTH(R$5)-MONTH($AA52)),$Z52)=0)*(((YEAR(R$5)-YEAR($AA52))*12+MONTH(R$5)-MONTH($AA52))&gt;=0)*(EDATE($AA52,MAX(0,((YEAR(R$5)-YEAR($AA52))*12+MONTH(R$5)-MONTH($AA52))))&gt;=R$5)*(EDATE($AA52,MAX(0,((YEAR(R$5)-YEAR($AA52))*12+MONTH(R$5)-MONTH($AA52))))&lt;=MIN(R$5+6,$AB52))+(MOD((((YEAR(R$5)-YEAR($AA52))*12+MONTH(R$5)-MONTH($AA52))+1),$Z52)=0)*((((YEAR(R$5)-YEAR($AA52))*12+MONTH(R$5)-MONTH($AA52))+1)&gt;=0)*(EDATE($AA52,MAX(0,(((YEAR(R$5)-YEAR($AA52))*12+MONTH(R$5)-MONTH($AA52))+1)))&gt;=R$5)*(EDATE($AA52,MAX(0,(((YEAR(R$5)-YEAR($AA52))*12+MONTH(R$5)-MONTH($AA52))+1)))&lt;=MIN(R$5+6,$AB52)),($AA52&gt;=R$5)*($AA52&lt;=R$5+6))))</f>
        <v/>
      </c>
      <c r="S52" s="21">
        <f>IF($X52&lt;&gt;1,0,$D52*IF($Y52&gt;0,MAX(0,INT((MIN(S$5+6,$AB52)-$AA52)/$Y52)-MAX(0,-INT(($AA52-S$5)/$Y52))+1),IF($Z52&gt;0,(MOD(((YEAR(S$5)-YEAR($AA52))*12+MONTH(S$5)-MONTH($AA52)),$Z52)=0)*(((YEAR(S$5)-YEAR($AA52))*12+MONTH(S$5)-MONTH($AA52))&gt;=0)*(EDATE($AA52,MAX(0,((YEAR(S$5)-YEAR($AA52))*12+MONTH(S$5)-MONTH($AA52))))&gt;=S$5)*(EDATE($AA52,MAX(0,((YEAR(S$5)-YEAR($AA52))*12+MONTH(S$5)-MONTH($AA52))))&lt;=MIN(S$5+6,$AB52))+(MOD((((YEAR(S$5)-YEAR($AA52))*12+MONTH(S$5)-MONTH($AA52))+1),$Z52)=0)*((((YEAR(S$5)-YEAR($AA52))*12+MONTH(S$5)-MONTH($AA52))+1)&gt;=0)*(EDATE($AA52,MAX(0,(((YEAR(S$5)-YEAR($AA52))*12+MONTH(S$5)-MONTH($AA52))+1)))&gt;=S$5)*(EDATE($AA52,MAX(0,(((YEAR(S$5)-YEAR($AA52))*12+MONTH(S$5)-MONTH($AA52))+1)))&lt;=MIN(S$5+6,$AB52)),($AA52&gt;=S$5)*($AA52&lt;=S$5+6))))</f>
        <v/>
      </c>
      <c r="T52" s="21">
        <f>IF($X52&lt;&gt;1,0,$D52*IF($Y52&gt;0,MAX(0,INT((MIN(T$5+6,$AB52)-$AA52)/$Y52)-MAX(0,-INT(($AA52-T$5)/$Y52))+1),IF($Z52&gt;0,(MOD(((YEAR(T$5)-YEAR($AA52))*12+MONTH(T$5)-MONTH($AA52)),$Z52)=0)*(((YEAR(T$5)-YEAR($AA52))*12+MONTH(T$5)-MONTH($AA52))&gt;=0)*(EDATE($AA52,MAX(0,((YEAR(T$5)-YEAR($AA52))*12+MONTH(T$5)-MONTH($AA52))))&gt;=T$5)*(EDATE($AA52,MAX(0,((YEAR(T$5)-YEAR($AA52))*12+MONTH(T$5)-MONTH($AA52))))&lt;=MIN(T$5+6,$AB52))+(MOD((((YEAR(T$5)-YEAR($AA52))*12+MONTH(T$5)-MONTH($AA52))+1),$Z52)=0)*((((YEAR(T$5)-YEAR($AA52))*12+MONTH(T$5)-MONTH($AA52))+1)&gt;=0)*(EDATE($AA52,MAX(0,(((YEAR(T$5)-YEAR($AA52))*12+MONTH(T$5)-MONTH($AA52))+1)))&gt;=T$5)*(EDATE($AA52,MAX(0,(((YEAR(T$5)-YEAR($AA52))*12+MONTH(T$5)-MONTH($AA52))+1)))&lt;=MIN(T$5+6,$AB52)),($AA52&gt;=T$5)*($AA52&lt;=T$5+6))))</f>
        <v/>
      </c>
      <c r="U52" s="21">
        <f>IF($X52&lt;&gt;1,0,$D52*IF($Y52&gt;0,MAX(0,INT((MIN(U$5+6,$AB52)-$AA52)/$Y52)-MAX(0,-INT(($AA52-U$5)/$Y52))+1),IF($Z52&gt;0,(MOD(((YEAR(U$5)-YEAR($AA52))*12+MONTH(U$5)-MONTH($AA52)),$Z52)=0)*(((YEAR(U$5)-YEAR($AA52))*12+MONTH(U$5)-MONTH($AA52))&gt;=0)*(EDATE($AA52,MAX(0,((YEAR(U$5)-YEAR($AA52))*12+MONTH(U$5)-MONTH($AA52))))&gt;=U$5)*(EDATE($AA52,MAX(0,((YEAR(U$5)-YEAR($AA52))*12+MONTH(U$5)-MONTH($AA52))))&lt;=MIN(U$5+6,$AB52))+(MOD((((YEAR(U$5)-YEAR($AA52))*12+MONTH(U$5)-MONTH($AA52))+1),$Z52)=0)*((((YEAR(U$5)-YEAR($AA52))*12+MONTH(U$5)-MONTH($AA52))+1)&gt;=0)*(EDATE($AA52,MAX(0,(((YEAR(U$5)-YEAR($AA52))*12+MONTH(U$5)-MONTH($AA52))+1)))&gt;=U$5)*(EDATE($AA52,MAX(0,(((YEAR(U$5)-YEAR($AA52))*12+MONTH(U$5)-MONTH($AA52))+1)))&lt;=MIN(U$5+6,$AB52)),($AA52&gt;=U$5)*($AA52&lt;=U$5+6))))</f>
        <v/>
      </c>
      <c r="V52" s="21">
        <f>IF($X52&lt;&gt;1,0,$D52*IF($Y52&gt;0,MAX(0,INT((MIN(V$5+6,$AB52)-$AA52)/$Y52)-MAX(0,-INT(($AA52-V$5)/$Y52))+1),IF($Z52&gt;0,(MOD(((YEAR(V$5)-YEAR($AA52))*12+MONTH(V$5)-MONTH($AA52)),$Z52)=0)*(((YEAR(V$5)-YEAR($AA52))*12+MONTH(V$5)-MONTH($AA52))&gt;=0)*(EDATE($AA52,MAX(0,((YEAR(V$5)-YEAR($AA52))*12+MONTH(V$5)-MONTH($AA52))))&gt;=V$5)*(EDATE($AA52,MAX(0,((YEAR(V$5)-YEAR($AA52))*12+MONTH(V$5)-MONTH($AA52))))&lt;=MIN(V$5+6,$AB52))+(MOD((((YEAR(V$5)-YEAR($AA52))*12+MONTH(V$5)-MONTH($AA52))+1),$Z52)=0)*((((YEAR(V$5)-YEAR($AA52))*12+MONTH(V$5)-MONTH($AA52))+1)&gt;=0)*(EDATE($AA52,MAX(0,(((YEAR(V$5)-YEAR($AA52))*12+MONTH(V$5)-MONTH($AA52))+1)))&gt;=V$5)*(EDATE($AA52,MAX(0,(((YEAR(V$5)-YEAR($AA52))*12+MONTH(V$5)-MONTH($AA52))+1)))&lt;=MIN(V$5+6,$AB52)),($AA52&gt;=V$5)*($AA52&lt;=V$5+6))))</f>
        <v/>
      </c>
      <c r="W52" s="21">
        <f>IF($X52&lt;&gt;1,0,$D52*IF($Y52&gt;0,MAX(0,INT((MIN(W$5+6,$AB52)-$AA52)/$Y52)-MAX(0,-INT(($AA52-W$5)/$Y52))+1),IF($Z52&gt;0,(MOD(((YEAR(W$5)-YEAR($AA52))*12+MONTH(W$5)-MONTH($AA52)),$Z52)=0)*(((YEAR(W$5)-YEAR($AA52))*12+MONTH(W$5)-MONTH($AA52))&gt;=0)*(EDATE($AA52,MAX(0,((YEAR(W$5)-YEAR($AA52))*12+MONTH(W$5)-MONTH($AA52))))&gt;=W$5)*(EDATE($AA52,MAX(0,((YEAR(W$5)-YEAR($AA52))*12+MONTH(W$5)-MONTH($AA52))))&lt;=MIN(W$5+6,$AB52))+(MOD((((YEAR(W$5)-YEAR($AA52))*12+MONTH(W$5)-MONTH($AA52))+1),$Z52)=0)*((((YEAR(W$5)-YEAR($AA52))*12+MONTH(W$5)-MONTH($AA52))+1)&gt;=0)*(EDATE($AA52,MAX(0,(((YEAR(W$5)-YEAR($AA52))*12+MONTH(W$5)-MONTH($AA52))+1)))&gt;=W$5)*(EDATE($AA52,MAX(0,(((YEAR(W$5)-YEAR($AA52))*12+MONTH(W$5)-MONTH($AA52))+1)))&lt;=MIN(W$5+6,$AB52)),($AA52&gt;=W$5)*($AA52&lt;=W$5+6))))</f>
        <v/>
      </c>
      <c r="X52">
        <f>IF(COUNTA(A52:G52)=0,"",IF(AND(OR(B52="In",B52="Out"),ISNUMBER(D52),D52&gt;0,ISNUMBER(MATCH(E52,FreqName,0)),ISNUMBER(F52),OR(G52="",AND(ISNUMBER(G52),G52&gt;=F52))),1,0))</f>
        <v/>
      </c>
      <c r="Y52">
        <f>IF(X52&lt;&gt;1,0,INDEX(FreqDays,MATCH(E52,FreqName,0)))</f>
        <v/>
      </c>
      <c r="Z52">
        <f>IF(X52&lt;&gt;1,0,INDEX(FreqMonths,MATCH(E52,FreqName,0)))</f>
        <v/>
      </c>
      <c r="AA52">
        <f>IF(X52&lt;&gt;1,0,INT(F52))</f>
        <v/>
      </c>
      <c r="AB52">
        <f>IF(X52&lt;&gt;1,0,IF(ISNUMBER(G52),INT(G52),2958465))</f>
        <v/>
      </c>
    </row>
    <row r="53">
      <c r="A53" s="29" t="n"/>
      <c r="B53" s="29" t="n"/>
      <c r="C53" s="29" t="n"/>
      <c r="D53" s="34" t="n"/>
      <c r="E53" s="29" t="n"/>
      <c r="F53" s="24" t="n"/>
      <c r="G53" s="24" t="n"/>
      <c r="H53" s="10">
        <f>IF(X53="","",IF(X53=0,IF(AND(B53&lt;&gt;"In",B53&lt;&gt;"Out"),"Fix: choose In or Out",IF(OR(NOT(ISNUMBER(D53)),N(D53)&lt;=0),"Fix: amount must be a number above 0",IF(NOT(ISNUMBER(MATCH(E53,FreqName,0))),"Fix: choose a frequency",IF(NOT(ISNUMBER(F53)),"Fix: first date missing","Fix: end date must be a date on or after the first date")))),IF(AND(C53&lt;&gt;"",OR(AND(B53="In",ISNUMBER(MATCH(C53,InCats,0))),AND(B53="Out",ISNUMBER(MATCH(C53,OutCats,0))))),"OK","Category not on Settings (counted as Other)")))</f>
        <v/>
      </c>
      <c r="I53" s="35">
        <f>IF(X53&lt;&gt;1,"",ROUND(J53/D53,0))</f>
        <v/>
      </c>
      <c r="J53" s="36">
        <f>SUM(K53:W53)</f>
        <v/>
      </c>
      <c r="K53" s="21">
        <f>IF($X53&lt;&gt;1,0,$D53*IF($Y53&gt;0,MAX(0,INT((MIN(K$5+6,$AB53)-$AA53)/$Y53)-MAX(0,-INT(($AA53-K$5)/$Y53))+1),IF($Z53&gt;0,(MOD(((YEAR(K$5)-YEAR($AA53))*12+MONTH(K$5)-MONTH($AA53)),$Z53)=0)*(((YEAR(K$5)-YEAR($AA53))*12+MONTH(K$5)-MONTH($AA53))&gt;=0)*(EDATE($AA53,MAX(0,((YEAR(K$5)-YEAR($AA53))*12+MONTH(K$5)-MONTH($AA53))))&gt;=K$5)*(EDATE($AA53,MAX(0,((YEAR(K$5)-YEAR($AA53))*12+MONTH(K$5)-MONTH($AA53))))&lt;=MIN(K$5+6,$AB53))+(MOD((((YEAR(K$5)-YEAR($AA53))*12+MONTH(K$5)-MONTH($AA53))+1),$Z53)=0)*((((YEAR(K$5)-YEAR($AA53))*12+MONTH(K$5)-MONTH($AA53))+1)&gt;=0)*(EDATE($AA53,MAX(0,(((YEAR(K$5)-YEAR($AA53))*12+MONTH(K$5)-MONTH($AA53))+1)))&gt;=K$5)*(EDATE($AA53,MAX(0,(((YEAR(K$5)-YEAR($AA53))*12+MONTH(K$5)-MONTH($AA53))+1)))&lt;=MIN(K$5+6,$AB53)),($AA53&gt;=K$5)*($AA53&lt;=K$5+6))))</f>
        <v/>
      </c>
      <c r="L53" s="21">
        <f>IF($X53&lt;&gt;1,0,$D53*IF($Y53&gt;0,MAX(0,INT((MIN(L$5+6,$AB53)-$AA53)/$Y53)-MAX(0,-INT(($AA53-L$5)/$Y53))+1),IF($Z53&gt;0,(MOD(((YEAR(L$5)-YEAR($AA53))*12+MONTH(L$5)-MONTH($AA53)),$Z53)=0)*(((YEAR(L$5)-YEAR($AA53))*12+MONTH(L$5)-MONTH($AA53))&gt;=0)*(EDATE($AA53,MAX(0,((YEAR(L$5)-YEAR($AA53))*12+MONTH(L$5)-MONTH($AA53))))&gt;=L$5)*(EDATE($AA53,MAX(0,((YEAR(L$5)-YEAR($AA53))*12+MONTH(L$5)-MONTH($AA53))))&lt;=MIN(L$5+6,$AB53))+(MOD((((YEAR(L$5)-YEAR($AA53))*12+MONTH(L$5)-MONTH($AA53))+1),$Z53)=0)*((((YEAR(L$5)-YEAR($AA53))*12+MONTH(L$5)-MONTH($AA53))+1)&gt;=0)*(EDATE($AA53,MAX(0,(((YEAR(L$5)-YEAR($AA53))*12+MONTH(L$5)-MONTH($AA53))+1)))&gt;=L$5)*(EDATE($AA53,MAX(0,(((YEAR(L$5)-YEAR($AA53))*12+MONTH(L$5)-MONTH($AA53))+1)))&lt;=MIN(L$5+6,$AB53)),($AA53&gt;=L$5)*($AA53&lt;=L$5+6))))</f>
        <v/>
      </c>
      <c r="M53" s="21">
        <f>IF($X53&lt;&gt;1,0,$D53*IF($Y53&gt;0,MAX(0,INT((MIN(M$5+6,$AB53)-$AA53)/$Y53)-MAX(0,-INT(($AA53-M$5)/$Y53))+1),IF($Z53&gt;0,(MOD(((YEAR(M$5)-YEAR($AA53))*12+MONTH(M$5)-MONTH($AA53)),$Z53)=0)*(((YEAR(M$5)-YEAR($AA53))*12+MONTH(M$5)-MONTH($AA53))&gt;=0)*(EDATE($AA53,MAX(0,((YEAR(M$5)-YEAR($AA53))*12+MONTH(M$5)-MONTH($AA53))))&gt;=M$5)*(EDATE($AA53,MAX(0,((YEAR(M$5)-YEAR($AA53))*12+MONTH(M$5)-MONTH($AA53))))&lt;=MIN(M$5+6,$AB53))+(MOD((((YEAR(M$5)-YEAR($AA53))*12+MONTH(M$5)-MONTH($AA53))+1),$Z53)=0)*((((YEAR(M$5)-YEAR($AA53))*12+MONTH(M$5)-MONTH($AA53))+1)&gt;=0)*(EDATE($AA53,MAX(0,(((YEAR(M$5)-YEAR($AA53))*12+MONTH(M$5)-MONTH($AA53))+1)))&gt;=M$5)*(EDATE($AA53,MAX(0,(((YEAR(M$5)-YEAR($AA53))*12+MONTH(M$5)-MONTH($AA53))+1)))&lt;=MIN(M$5+6,$AB53)),($AA53&gt;=M$5)*($AA53&lt;=M$5+6))))</f>
        <v/>
      </c>
      <c r="N53" s="21">
        <f>IF($X53&lt;&gt;1,0,$D53*IF($Y53&gt;0,MAX(0,INT((MIN(N$5+6,$AB53)-$AA53)/$Y53)-MAX(0,-INT(($AA53-N$5)/$Y53))+1),IF($Z53&gt;0,(MOD(((YEAR(N$5)-YEAR($AA53))*12+MONTH(N$5)-MONTH($AA53)),$Z53)=0)*(((YEAR(N$5)-YEAR($AA53))*12+MONTH(N$5)-MONTH($AA53))&gt;=0)*(EDATE($AA53,MAX(0,((YEAR(N$5)-YEAR($AA53))*12+MONTH(N$5)-MONTH($AA53))))&gt;=N$5)*(EDATE($AA53,MAX(0,((YEAR(N$5)-YEAR($AA53))*12+MONTH(N$5)-MONTH($AA53))))&lt;=MIN(N$5+6,$AB53))+(MOD((((YEAR(N$5)-YEAR($AA53))*12+MONTH(N$5)-MONTH($AA53))+1),$Z53)=0)*((((YEAR(N$5)-YEAR($AA53))*12+MONTH(N$5)-MONTH($AA53))+1)&gt;=0)*(EDATE($AA53,MAX(0,(((YEAR(N$5)-YEAR($AA53))*12+MONTH(N$5)-MONTH($AA53))+1)))&gt;=N$5)*(EDATE($AA53,MAX(0,(((YEAR(N$5)-YEAR($AA53))*12+MONTH(N$5)-MONTH($AA53))+1)))&lt;=MIN(N$5+6,$AB53)),($AA53&gt;=N$5)*($AA53&lt;=N$5+6))))</f>
        <v/>
      </c>
      <c r="O53" s="21">
        <f>IF($X53&lt;&gt;1,0,$D53*IF($Y53&gt;0,MAX(0,INT((MIN(O$5+6,$AB53)-$AA53)/$Y53)-MAX(0,-INT(($AA53-O$5)/$Y53))+1),IF($Z53&gt;0,(MOD(((YEAR(O$5)-YEAR($AA53))*12+MONTH(O$5)-MONTH($AA53)),$Z53)=0)*(((YEAR(O$5)-YEAR($AA53))*12+MONTH(O$5)-MONTH($AA53))&gt;=0)*(EDATE($AA53,MAX(0,((YEAR(O$5)-YEAR($AA53))*12+MONTH(O$5)-MONTH($AA53))))&gt;=O$5)*(EDATE($AA53,MAX(0,((YEAR(O$5)-YEAR($AA53))*12+MONTH(O$5)-MONTH($AA53))))&lt;=MIN(O$5+6,$AB53))+(MOD((((YEAR(O$5)-YEAR($AA53))*12+MONTH(O$5)-MONTH($AA53))+1),$Z53)=0)*((((YEAR(O$5)-YEAR($AA53))*12+MONTH(O$5)-MONTH($AA53))+1)&gt;=0)*(EDATE($AA53,MAX(0,(((YEAR(O$5)-YEAR($AA53))*12+MONTH(O$5)-MONTH($AA53))+1)))&gt;=O$5)*(EDATE($AA53,MAX(0,(((YEAR(O$5)-YEAR($AA53))*12+MONTH(O$5)-MONTH($AA53))+1)))&lt;=MIN(O$5+6,$AB53)),($AA53&gt;=O$5)*($AA53&lt;=O$5+6))))</f>
        <v/>
      </c>
      <c r="P53" s="21">
        <f>IF($X53&lt;&gt;1,0,$D53*IF($Y53&gt;0,MAX(0,INT((MIN(P$5+6,$AB53)-$AA53)/$Y53)-MAX(0,-INT(($AA53-P$5)/$Y53))+1),IF($Z53&gt;0,(MOD(((YEAR(P$5)-YEAR($AA53))*12+MONTH(P$5)-MONTH($AA53)),$Z53)=0)*(((YEAR(P$5)-YEAR($AA53))*12+MONTH(P$5)-MONTH($AA53))&gt;=0)*(EDATE($AA53,MAX(0,((YEAR(P$5)-YEAR($AA53))*12+MONTH(P$5)-MONTH($AA53))))&gt;=P$5)*(EDATE($AA53,MAX(0,((YEAR(P$5)-YEAR($AA53))*12+MONTH(P$5)-MONTH($AA53))))&lt;=MIN(P$5+6,$AB53))+(MOD((((YEAR(P$5)-YEAR($AA53))*12+MONTH(P$5)-MONTH($AA53))+1),$Z53)=0)*((((YEAR(P$5)-YEAR($AA53))*12+MONTH(P$5)-MONTH($AA53))+1)&gt;=0)*(EDATE($AA53,MAX(0,(((YEAR(P$5)-YEAR($AA53))*12+MONTH(P$5)-MONTH($AA53))+1)))&gt;=P$5)*(EDATE($AA53,MAX(0,(((YEAR(P$5)-YEAR($AA53))*12+MONTH(P$5)-MONTH($AA53))+1)))&lt;=MIN(P$5+6,$AB53)),($AA53&gt;=P$5)*($AA53&lt;=P$5+6))))</f>
        <v/>
      </c>
      <c r="Q53" s="21">
        <f>IF($X53&lt;&gt;1,0,$D53*IF($Y53&gt;0,MAX(0,INT((MIN(Q$5+6,$AB53)-$AA53)/$Y53)-MAX(0,-INT(($AA53-Q$5)/$Y53))+1),IF($Z53&gt;0,(MOD(((YEAR(Q$5)-YEAR($AA53))*12+MONTH(Q$5)-MONTH($AA53)),$Z53)=0)*(((YEAR(Q$5)-YEAR($AA53))*12+MONTH(Q$5)-MONTH($AA53))&gt;=0)*(EDATE($AA53,MAX(0,((YEAR(Q$5)-YEAR($AA53))*12+MONTH(Q$5)-MONTH($AA53))))&gt;=Q$5)*(EDATE($AA53,MAX(0,((YEAR(Q$5)-YEAR($AA53))*12+MONTH(Q$5)-MONTH($AA53))))&lt;=MIN(Q$5+6,$AB53))+(MOD((((YEAR(Q$5)-YEAR($AA53))*12+MONTH(Q$5)-MONTH($AA53))+1),$Z53)=0)*((((YEAR(Q$5)-YEAR($AA53))*12+MONTH(Q$5)-MONTH($AA53))+1)&gt;=0)*(EDATE($AA53,MAX(0,(((YEAR(Q$5)-YEAR($AA53))*12+MONTH(Q$5)-MONTH($AA53))+1)))&gt;=Q$5)*(EDATE($AA53,MAX(0,(((YEAR(Q$5)-YEAR($AA53))*12+MONTH(Q$5)-MONTH($AA53))+1)))&lt;=MIN(Q$5+6,$AB53)),($AA53&gt;=Q$5)*($AA53&lt;=Q$5+6))))</f>
        <v/>
      </c>
      <c r="R53" s="21">
        <f>IF($X53&lt;&gt;1,0,$D53*IF($Y53&gt;0,MAX(0,INT((MIN(R$5+6,$AB53)-$AA53)/$Y53)-MAX(0,-INT(($AA53-R$5)/$Y53))+1),IF($Z53&gt;0,(MOD(((YEAR(R$5)-YEAR($AA53))*12+MONTH(R$5)-MONTH($AA53)),$Z53)=0)*(((YEAR(R$5)-YEAR($AA53))*12+MONTH(R$5)-MONTH($AA53))&gt;=0)*(EDATE($AA53,MAX(0,((YEAR(R$5)-YEAR($AA53))*12+MONTH(R$5)-MONTH($AA53))))&gt;=R$5)*(EDATE($AA53,MAX(0,((YEAR(R$5)-YEAR($AA53))*12+MONTH(R$5)-MONTH($AA53))))&lt;=MIN(R$5+6,$AB53))+(MOD((((YEAR(R$5)-YEAR($AA53))*12+MONTH(R$5)-MONTH($AA53))+1),$Z53)=0)*((((YEAR(R$5)-YEAR($AA53))*12+MONTH(R$5)-MONTH($AA53))+1)&gt;=0)*(EDATE($AA53,MAX(0,(((YEAR(R$5)-YEAR($AA53))*12+MONTH(R$5)-MONTH($AA53))+1)))&gt;=R$5)*(EDATE($AA53,MAX(0,(((YEAR(R$5)-YEAR($AA53))*12+MONTH(R$5)-MONTH($AA53))+1)))&lt;=MIN(R$5+6,$AB53)),($AA53&gt;=R$5)*($AA53&lt;=R$5+6))))</f>
        <v/>
      </c>
      <c r="S53" s="21">
        <f>IF($X53&lt;&gt;1,0,$D53*IF($Y53&gt;0,MAX(0,INT((MIN(S$5+6,$AB53)-$AA53)/$Y53)-MAX(0,-INT(($AA53-S$5)/$Y53))+1),IF($Z53&gt;0,(MOD(((YEAR(S$5)-YEAR($AA53))*12+MONTH(S$5)-MONTH($AA53)),$Z53)=0)*(((YEAR(S$5)-YEAR($AA53))*12+MONTH(S$5)-MONTH($AA53))&gt;=0)*(EDATE($AA53,MAX(0,((YEAR(S$5)-YEAR($AA53))*12+MONTH(S$5)-MONTH($AA53))))&gt;=S$5)*(EDATE($AA53,MAX(0,((YEAR(S$5)-YEAR($AA53))*12+MONTH(S$5)-MONTH($AA53))))&lt;=MIN(S$5+6,$AB53))+(MOD((((YEAR(S$5)-YEAR($AA53))*12+MONTH(S$5)-MONTH($AA53))+1),$Z53)=0)*((((YEAR(S$5)-YEAR($AA53))*12+MONTH(S$5)-MONTH($AA53))+1)&gt;=0)*(EDATE($AA53,MAX(0,(((YEAR(S$5)-YEAR($AA53))*12+MONTH(S$5)-MONTH($AA53))+1)))&gt;=S$5)*(EDATE($AA53,MAX(0,(((YEAR(S$5)-YEAR($AA53))*12+MONTH(S$5)-MONTH($AA53))+1)))&lt;=MIN(S$5+6,$AB53)),($AA53&gt;=S$5)*($AA53&lt;=S$5+6))))</f>
        <v/>
      </c>
      <c r="T53" s="21">
        <f>IF($X53&lt;&gt;1,0,$D53*IF($Y53&gt;0,MAX(0,INT((MIN(T$5+6,$AB53)-$AA53)/$Y53)-MAX(0,-INT(($AA53-T$5)/$Y53))+1),IF($Z53&gt;0,(MOD(((YEAR(T$5)-YEAR($AA53))*12+MONTH(T$5)-MONTH($AA53)),$Z53)=0)*(((YEAR(T$5)-YEAR($AA53))*12+MONTH(T$5)-MONTH($AA53))&gt;=0)*(EDATE($AA53,MAX(0,((YEAR(T$5)-YEAR($AA53))*12+MONTH(T$5)-MONTH($AA53))))&gt;=T$5)*(EDATE($AA53,MAX(0,((YEAR(T$5)-YEAR($AA53))*12+MONTH(T$5)-MONTH($AA53))))&lt;=MIN(T$5+6,$AB53))+(MOD((((YEAR(T$5)-YEAR($AA53))*12+MONTH(T$5)-MONTH($AA53))+1),$Z53)=0)*((((YEAR(T$5)-YEAR($AA53))*12+MONTH(T$5)-MONTH($AA53))+1)&gt;=0)*(EDATE($AA53,MAX(0,(((YEAR(T$5)-YEAR($AA53))*12+MONTH(T$5)-MONTH($AA53))+1)))&gt;=T$5)*(EDATE($AA53,MAX(0,(((YEAR(T$5)-YEAR($AA53))*12+MONTH(T$5)-MONTH($AA53))+1)))&lt;=MIN(T$5+6,$AB53)),($AA53&gt;=T$5)*($AA53&lt;=T$5+6))))</f>
        <v/>
      </c>
      <c r="U53" s="21">
        <f>IF($X53&lt;&gt;1,0,$D53*IF($Y53&gt;0,MAX(0,INT((MIN(U$5+6,$AB53)-$AA53)/$Y53)-MAX(0,-INT(($AA53-U$5)/$Y53))+1),IF($Z53&gt;0,(MOD(((YEAR(U$5)-YEAR($AA53))*12+MONTH(U$5)-MONTH($AA53)),$Z53)=0)*(((YEAR(U$5)-YEAR($AA53))*12+MONTH(U$5)-MONTH($AA53))&gt;=0)*(EDATE($AA53,MAX(0,((YEAR(U$5)-YEAR($AA53))*12+MONTH(U$5)-MONTH($AA53))))&gt;=U$5)*(EDATE($AA53,MAX(0,((YEAR(U$5)-YEAR($AA53))*12+MONTH(U$5)-MONTH($AA53))))&lt;=MIN(U$5+6,$AB53))+(MOD((((YEAR(U$5)-YEAR($AA53))*12+MONTH(U$5)-MONTH($AA53))+1),$Z53)=0)*((((YEAR(U$5)-YEAR($AA53))*12+MONTH(U$5)-MONTH($AA53))+1)&gt;=0)*(EDATE($AA53,MAX(0,(((YEAR(U$5)-YEAR($AA53))*12+MONTH(U$5)-MONTH($AA53))+1)))&gt;=U$5)*(EDATE($AA53,MAX(0,(((YEAR(U$5)-YEAR($AA53))*12+MONTH(U$5)-MONTH($AA53))+1)))&lt;=MIN(U$5+6,$AB53)),($AA53&gt;=U$5)*($AA53&lt;=U$5+6))))</f>
        <v/>
      </c>
      <c r="V53" s="21">
        <f>IF($X53&lt;&gt;1,0,$D53*IF($Y53&gt;0,MAX(0,INT((MIN(V$5+6,$AB53)-$AA53)/$Y53)-MAX(0,-INT(($AA53-V$5)/$Y53))+1),IF($Z53&gt;0,(MOD(((YEAR(V$5)-YEAR($AA53))*12+MONTH(V$5)-MONTH($AA53)),$Z53)=0)*(((YEAR(V$5)-YEAR($AA53))*12+MONTH(V$5)-MONTH($AA53))&gt;=0)*(EDATE($AA53,MAX(0,((YEAR(V$5)-YEAR($AA53))*12+MONTH(V$5)-MONTH($AA53))))&gt;=V$5)*(EDATE($AA53,MAX(0,((YEAR(V$5)-YEAR($AA53))*12+MONTH(V$5)-MONTH($AA53))))&lt;=MIN(V$5+6,$AB53))+(MOD((((YEAR(V$5)-YEAR($AA53))*12+MONTH(V$5)-MONTH($AA53))+1),$Z53)=0)*((((YEAR(V$5)-YEAR($AA53))*12+MONTH(V$5)-MONTH($AA53))+1)&gt;=0)*(EDATE($AA53,MAX(0,(((YEAR(V$5)-YEAR($AA53))*12+MONTH(V$5)-MONTH($AA53))+1)))&gt;=V$5)*(EDATE($AA53,MAX(0,(((YEAR(V$5)-YEAR($AA53))*12+MONTH(V$5)-MONTH($AA53))+1)))&lt;=MIN(V$5+6,$AB53)),($AA53&gt;=V$5)*($AA53&lt;=V$5+6))))</f>
        <v/>
      </c>
      <c r="W53" s="21">
        <f>IF($X53&lt;&gt;1,0,$D53*IF($Y53&gt;0,MAX(0,INT((MIN(W$5+6,$AB53)-$AA53)/$Y53)-MAX(0,-INT(($AA53-W$5)/$Y53))+1),IF($Z53&gt;0,(MOD(((YEAR(W$5)-YEAR($AA53))*12+MONTH(W$5)-MONTH($AA53)),$Z53)=0)*(((YEAR(W$5)-YEAR($AA53))*12+MONTH(W$5)-MONTH($AA53))&gt;=0)*(EDATE($AA53,MAX(0,((YEAR(W$5)-YEAR($AA53))*12+MONTH(W$5)-MONTH($AA53))))&gt;=W$5)*(EDATE($AA53,MAX(0,((YEAR(W$5)-YEAR($AA53))*12+MONTH(W$5)-MONTH($AA53))))&lt;=MIN(W$5+6,$AB53))+(MOD((((YEAR(W$5)-YEAR($AA53))*12+MONTH(W$5)-MONTH($AA53))+1),$Z53)=0)*((((YEAR(W$5)-YEAR($AA53))*12+MONTH(W$5)-MONTH($AA53))+1)&gt;=0)*(EDATE($AA53,MAX(0,(((YEAR(W$5)-YEAR($AA53))*12+MONTH(W$5)-MONTH($AA53))+1)))&gt;=W$5)*(EDATE($AA53,MAX(0,(((YEAR(W$5)-YEAR($AA53))*12+MONTH(W$5)-MONTH($AA53))+1)))&lt;=MIN(W$5+6,$AB53)),($AA53&gt;=W$5)*($AA53&lt;=W$5+6))))</f>
        <v/>
      </c>
      <c r="X53">
        <f>IF(COUNTA(A53:G53)=0,"",IF(AND(OR(B53="In",B53="Out"),ISNUMBER(D53),D53&gt;0,ISNUMBER(MATCH(E53,FreqName,0)),ISNUMBER(F53),OR(G53="",AND(ISNUMBER(G53),G53&gt;=F53))),1,0))</f>
        <v/>
      </c>
      <c r="Y53">
        <f>IF(X53&lt;&gt;1,0,INDEX(FreqDays,MATCH(E53,FreqName,0)))</f>
        <v/>
      </c>
      <c r="Z53">
        <f>IF(X53&lt;&gt;1,0,INDEX(FreqMonths,MATCH(E53,FreqName,0)))</f>
        <v/>
      </c>
      <c r="AA53">
        <f>IF(X53&lt;&gt;1,0,INT(F53))</f>
        <v/>
      </c>
      <c r="AB53">
        <f>IF(X53&lt;&gt;1,0,IF(ISNUMBER(G53),INT(G53),2958465))</f>
        <v/>
      </c>
    </row>
    <row r="54">
      <c r="A54" s="29" t="n"/>
      <c r="B54" s="29" t="n"/>
      <c r="C54" s="29" t="n"/>
      <c r="D54" s="34" t="n"/>
      <c r="E54" s="29" t="n"/>
      <c r="F54" s="24" t="n"/>
      <c r="G54" s="24" t="n"/>
      <c r="H54" s="10">
        <f>IF(X54="","",IF(X54=0,IF(AND(B54&lt;&gt;"In",B54&lt;&gt;"Out"),"Fix: choose In or Out",IF(OR(NOT(ISNUMBER(D54)),N(D54)&lt;=0),"Fix: amount must be a number above 0",IF(NOT(ISNUMBER(MATCH(E54,FreqName,0))),"Fix: choose a frequency",IF(NOT(ISNUMBER(F54)),"Fix: first date missing","Fix: end date must be a date on or after the first date")))),IF(AND(C54&lt;&gt;"",OR(AND(B54="In",ISNUMBER(MATCH(C54,InCats,0))),AND(B54="Out",ISNUMBER(MATCH(C54,OutCats,0))))),"OK","Category not on Settings (counted as Other)")))</f>
        <v/>
      </c>
      <c r="I54" s="35">
        <f>IF(X54&lt;&gt;1,"",ROUND(J54/D54,0))</f>
        <v/>
      </c>
      <c r="J54" s="36">
        <f>SUM(K54:W54)</f>
        <v/>
      </c>
      <c r="K54" s="21">
        <f>IF($X54&lt;&gt;1,0,$D54*IF($Y54&gt;0,MAX(0,INT((MIN(K$5+6,$AB54)-$AA54)/$Y54)-MAX(0,-INT(($AA54-K$5)/$Y54))+1),IF($Z54&gt;0,(MOD(((YEAR(K$5)-YEAR($AA54))*12+MONTH(K$5)-MONTH($AA54)),$Z54)=0)*(((YEAR(K$5)-YEAR($AA54))*12+MONTH(K$5)-MONTH($AA54))&gt;=0)*(EDATE($AA54,MAX(0,((YEAR(K$5)-YEAR($AA54))*12+MONTH(K$5)-MONTH($AA54))))&gt;=K$5)*(EDATE($AA54,MAX(0,((YEAR(K$5)-YEAR($AA54))*12+MONTH(K$5)-MONTH($AA54))))&lt;=MIN(K$5+6,$AB54))+(MOD((((YEAR(K$5)-YEAR($AA54))*12+MONTH(K$5)-MONTH($AA54))+1),$Z54)=0)*((((YEAR(K$5)-YEAR($AA54))*12+MONTH(K$5)-MONTH($AA54))+1)&gt;=0)*(EDATE($AA54,MAX(0,(((YEAR(K$5)-YEAR($AA54))*12+MONTH(K$5)-MONTH($AA54))+1)))&gt;=K$5)*(EDATE($AA54,MAX(0,(((YEAR(K$5)-YEAR($AA54))*12+MONTH(K$5)-MONTH($AA54))+1)))&lt;=MIN(K$5+6,$AB54)),($AA54&gt;=K$5)*($AA54&lt;=K$5+6))))</f>
        <v/>
      </c>
      <c r="L54" s="21">
        <f>IF($X54&lt;&gt;1,0,$D54*IF($Y54&gt;0,MAX(0,INT((MIN(L$5+6,$AB54)-$AA54)/$Y54)-MAX(0,-INT(($AA54-L$5)/$Y54))+1),IF($Z54&gt;0,(MOD(((YEAR(L$5)-YEAR($AA54))*12+MONTH(L$5)-MONTH($AA54)),$Z54)=0)*(((YEAR(L$5)-YEAR($AA54))*12+MONTH(L$5)-MONTH($AA54))&gt;=0)*(EDATE($AA54,MAX(0,((YEAR(L$5)-YEAR($AA54))*12+MONTH(L$5)-MONTH($AA54))))&gt;=L$5)*(EDATE($AA54,MAX(0,((YEAR(L$5)-YEAR($AA54))*12+MONTH(L$5)-MONTH($AA54))))&lt;=MIN(L$5+6,$AB54))+(MOD((((YEAR(L$5)-YEAR($AA54))*12+MONTH(L$5)-MONTH($AA54))+1),$Z54)=0)*((((YEAR(L$5)-YEAR($AA54))*12+MONTH(L$5)-MONTH($AA54))+1)&gt;=0)*(EDATE($AA54,MAX(0,(((YEAR(L$5)-YEAR($AA54))*12+MONTH(L$5)-MONTH($AA54))+1)))&gt;=L$5)*(EDATE($AA54,MAX(0,(((YEAR(L$5)-YEAR($AA54))*12+MONTH(L$5)-MONTH($AA54))+1)))&lt;=MIN(L$5+6,$AB54)),($AA54&gt;=L$5)*($AA54&lt;=L$5+6))))</f>
        <v/>
      </c>
      <c r="M54" s="21">
        <f>IF($X54&lt;&gt;1,0,$D54*IF($Y54&gt;0,MAX(0,INT((MIN(M$5+6,$AB54)-$AA54)/$Y54)-MAX(0,-INT(($AA54-M$5)/$Y54))+1),IF($Z54&gt;0,(MOD(((YEAR(M$5)-YEAR($AA54))*12+MONTH(M$5)-MONTH($AA54)),$Z54)=0)*(((YEAR(M$5)-YEAR($AA54))*12+MONTH(M$5)-MONTH($AA54))&gt;=0)*(EDATE($AA54,MAX(0,((YEAR(M$5)-YEAR($AA54))*12+MONTH(M$5)-MONTH($AA54))))&gt;=M$5)*(EDATE($AA54,MAX(0,((YEAR(M$5)-YEAR($AA54))*12+MONTH(M$5)-MONTH($AA54))))&lt;=MIN(M$5+6,$AB54))+(MOD((((YEAR(M$5)-YEAR($AA54))*12+MONTH(M$5)-MONTH($AA54))+1),$Z54)=0)*((((YEAR(M$5)-YEAR($AA54))*12+MONTH(M$5)-MONTH($AA54))+1)&gt;=0)*(EDATE($AA54,MAX(0,(((YEAR(M$5)-YEAR($AA54))*12+MONTH(M$5)-MONTH($AA54))+1)))&gt;=M$5)*(EDATE($AA54,MAX(0,(((YEAR(M$5)-YEAR($AA54))*12+MONTH(M$5)-MONTH($AA54))+1)))&lt;=MIN(M$5+6,$AB54)),($AA54&gt;=M$5)*($AA54&lt;=M$5+6))))</f>
        <v/>
      </c>
      <c r="N54" s="21">
        <f>IF($X54&lt;&gt;1,0,$D54*IF($Y54&gt;0,MAX(0,INT((MIN(N$5+6,$AB54)-$AA54)/$Y54)-MAX(0,-INT(($AA54-N$5)/$Y54))+1),IF($Z54&gt;0,(MOD(((YEAR(N$5)-YEAR($AA54))*12+MONTH(N$5)-MONTH($AA54)),$Z54)=0)*(((YEAR(N$5)-YEAR($AA54))*12+MONTH(N$5)-MONTH($AA54))&gt;=0)*(EDATE($AA54,MAX(0,((YEAR(N$5)-YEAR($AA54))*12+MONTH(N$5)-MONTH($AA54))))&gt;=N$5)*(EDATE($AA54,MAX(0,((YEAR(N$5)-YEAR($AA54))*12+MONTH(N$5)-MONTH($AA54))))&lt;=MIN(N$5+6,$AB54))+(MOD((((YEAR(N$5)-YEAR($AA54))*12+MONTH(N$5)-MONTH($AA54))+1),$Z54)=0)*((((YEAR(N$5)-YEAR($AA54))*12+MONTH(N$5)-MONTH($AA54))+1)&gt;=0)*(EDATE($AA54,MAX(0,(((YEAR(N$5)-YEAR($AA54))*12+MONTH(N$5)-MONTH($AA54))+1)))&gt;=N$5)*(EDATE($AA54,MAX(0,(((YEAR(N$5)-YEAR($AA54))*12+MONTH(N$5)-MONTH($AA54))+1)))&lt;=MIN(N$5+6,$AB54)),($AA54&gt;=N$5)*($AA54&lt;=N$5+6))))</f>
        <v/>
      </c>
      <c r="O54" s="21">
        <f>IF($X54&lt;&gt;1,0,$D54*IF($Y54&gt;0,MAX(0,INT((MIN(O$5+6,$AB54)-$AA54)/$Y54)-MAX(0,-INT(($AA54-O$5)/$Y54))+1),IF($Z54&gt;0,(MOD(((YEAR(O$5)-YEAR($AA54))*12+MONTH(O$5)-MONTH($AA54)),$Z54)=0)*(((YEAR(O$5)-YEAR($AA54))*12+MONTH(O$5)-MONTH($AA54))&gt;=0)*(EDATE($AA54,MAX(0,((YEAR(O$5)-YEAR($AA54))*12+MONTH(O$5)-MONTH($AA54))))&gt;=O$5)*(EDATE($AA54,MAX(0,((YEAR(O$5)-YEAR($AA54))*12+MONTH(O$5)-MONTH($AA54))))&lt;=MIN(O$5+6,$AB54))+(MOD((((YEAR(O$5)-YEAR($AA54))*12+MONTH(O$5)-MONTH($AA54))+1),$Z54)=0)*((((YEAR(O$5)-YEAR($AA54))*12+MONTH(O$5)-MONTH($AA54))+1)&gt;=0)*(EDATE($AA54,MAX(0,(((YEAR(O$5)-YEAR($AA54))*12+MONTH(O$5)-MONTH($AA54))+1)))&gt;=O$5)*(EDATE($AA54,MAX(0,(((YEAR(O$5)-YEAR($AA54))*12+MONTH(O$5)-MONTH($AA54))+1)))&lt;=MIN(O$5+6,$AB54)),($AA54&gt;=O$5)*($AA54&lt;=O$5+6))))</f>
        <v/>
      </c>
      <c r="P54" s="21">
        <f>IF($X54&lt;&gt;1,0,$D54*IF($Y54&gt;0,MAX(0,INT((MIN(P$5+6,$AB54)-$AA54)/$Y54)-MAX(0,-INT(($AA54-P$5)/$Y54))+1),IF($Z54&gt;0,(MOD(((YEAR(P$5)-YEAR($AA54))*12+MONTH(P$5)-MONTH($AA54)),$Z54)=0)*(((YEAR(P$5)-YEAR($AA54))*12+MONTH(P$5)-MONTH($AA54))&gt;=0)*(EDATE($AA54,MAX(0,((YEAR(P$5)-YEAR($AA54))*12+MONTH(P$5)-MONTH($AA54))))&gt;=P$5)*(EDATE($AA54,MAX(0,((YEAR(P$5)-YEAR($AA54))*12+MONTH(P$5)-MONTH($AA54))))&lt;=MIN(P$5+6,$AB54))+(MOD((((YEAR(P$5)-YEAR($AA54))*12+MONTH(P$5)-MONTH($AA54))+1),$Z54)=0)*((((YEAR(P$5)-YEAR($AA54))*12+MONTH(P$5)-MONTH($AA54))+1)&gt;=0)*(EDATE($AA54,MAX(0,(((YEAR(P$5)-YEAR($AA54))*12+MONTH(P$5)-MONTH($AA54))+1)))&gt;=P$5)*(EDATE($AA54,MAX(0,(((YEAR(P$5)-YEAR($AA54))*12+MONTH(P$5)-MONTH($AA54))+1)))&lt;=MIN(P$5+6,$AB54)),($AA54&gt;=P$5)*($AA54&lt;=P$5+6))))</f>
        <v/>
      </c>
      <c r="Q54" s="21">
        <f>IF($X54&lt;&gt;1,0,$D54*IF($Y54&gt;0,MAX(0,INT((MIN(Q$5+6,$AB54)-$AA54)/$Y54)-MAX(0,-INT(($AA54-Q$5)/$Y54))+1),IF($Z54&gt;0,(MOD(((YEAR(Q$5)-YEAR($AA54))*12+MONTH(Q$5)-MONTH($AA54)),$Z54)=0)*(((YEAR(Q$5)-YEAR($AA54))*12+MONTH(Q$5)-MONTH($AA54))&gt;=0)*(EDATE($AA54,MAX(0,((YEAR(Q$5)-YEAR($AA54))*12+MONTH(Q$5)-MONTH($AA54))))&gt;=Q$5)*(EDATE($AA54,MAX(0,((YEAR(Q$5)-YEAR($AA54))*12+MONTH(Q$5)-MONTH($AA54))))&lt;=MIN(Q$5+6,$AB54))+(MOD((((YEAR(Q$5)-YEAR($AA54))*12+MONTH(Q$5)-MONTH($AA54))+1),$Z54)=0)*((((YEAR(Q$5)-YEAR($AA54))*12+MONTH(Q$5)-MONTH($AA54))+1)&gt;=0)*(EDATE($AA54,MAX(0,(((YEAR(Q$5)-YEAR($AA54))*12+MONTH(Q$5)-MONTH($AA54))+1)))&gt;=Q$5)*(EDATE($AA54,MAX(0,(((YEAR(Q$5)-YEAR($AA54))*12+MONTH(Q$5)-MONTH($AA54))+1)))&lt;=MIN(Q$5+6,$AB54)),($AA54&gt;=Q$5)*($AA54&lt;=Q$5+6))))</f>
        <v/>
      </c>
      <c r="R54" s="21">
        <f>IF($X54&lt;&gt;1,0,$D54*IF($Y54&gt;0,MAX(0,INT((MIN(R$5+6,$AB54)-$AA54)/$Y54)-MAX(0,-INT(($AA54-R$5)/$Y54))+1),IF($Z54&gt;0,(MOD(((YEAR(R$5)-YEAR($AA54))*12+MONTH(R$5)-MONTH($AA54)),$Z54)=0)*(((YEAR(R$5)-YEAR($AA54))*12+MONTH(R$5)-MONTH($AA54))&gt;=0)*(EDATE($AA54,MAX(0,((YEAR(R$5)-YEAR($AA54))*12+MONTH(R$5)-MONTH($AA54))))&gt;=R$5)*(EDATE($AA54,MAX(0,((YEAR(R$5)-YEAR($AA54))*12+MONTH(R$5)-MONTH($AA54))))&lt;=MIN(R$5+6,$AB54))+(MOD((((YEAR(R$5)-YEAR($AA54))*12+MONTH(R$5)-MONTH($AA54))+1),$Z54)=0)*((((YEAR(R$5)-YEAR($AA54))*12+MONTH(R$5)-MONTH($AA54))+1)&gt;=0)*(EDATE($AA54,MAX(0,(((YEAR(R$5)-YEAR($AA54))*12+MONTH(R$5)-MONTH($AA54))+1)))&gt;=R$5)*(EDATE($AA54,MAX(0,(((YEAR(R$5)-YEAR($AA54))*12+MONTH(R$5)-MONTH($AA54))+1)))&lt;=MIN(R$5+6,$AB54)),($AA54&gt;=R$5)*($AA54&lt;=R$5+6))))</f>
        <v/>
      </c>
      <c r="S54" s="21">
        <f>IF($X54&lt;&gt;1,0,$D54*IF($Y54&gt;0,MAX(0,INT((MIN(S$5+6,$AB54)-$AA54)/$Y54)-MAX(0,-INT(($AA54-S$5)/$Y54))+1),IF($Z54&gt;0,(MOD(((YEAR(S$5)-YEAR($AA54))*12+MONTH(S$5)-MONTH($AA54)),$Z54)=0)*(((YEAR(S$5)-YEAR($AA54))*12+MONTH(S$5)-MONTH($AA54))&gt;=0)*(EDATE($AA54,MAX(0,((YEAR(S$5)-YEAR($AA54))*12+MONTH(S$5)-MONTH($AA54))))&gt;=S$5)*(EDATE($AA54,MAX(0,((YEAR(S$5)-YEAR($AA54))*12+MONTH(S$5)-MONTH($AA54))))&lt;=MIN(S$5+6,$AB54))+(MOD((((YEAR(S$5)-YEAR($AA54))*12+MONTH(S$5)-MONTH($AA54))+1),$Z54)=0)*((((YEAR(S$5)-YEAR($AA54))*12+MONTH(S$5)-MONTH($AA54))+1)&gt;=0)*(EDATE($AA54,MAX(0,(((YEAR(S$5)-YEAR($AA54))*12+MONTH(S$5)-MONTH($AA54))+1)))&gt;=S$5)*(EDATE($AA54,MAX(0,(((YEAR(S$5)-YEAR($AA54))*12+MONTH(S$5)-MONTH($AA54))+1)))&lt;=MIN(S$5+6,$AB54)),($AA54&gt;=S$5)*($AA54&lt;=S$5+6))))</f>
        <v/>
      </c>
      <c r="T54" s="21">
        <f>IF($X54&lt;&gt;1,0,$D54*IF($Y54&gt;0,MAX(0,INT((MIN(T$5+6,$AB54)-$AA54)/$Y54)-MAX(0,-INT(($AA54-T$5)/$Y54))+1),IF($Z54&gt;0,(MOD(((YEAR(T$5)-YEAR($AA54))*12+MONTH(T$5)-MONTH($AA54)),$Z54)=0)*(((YEAR(T$5)-YEAR($AA54))*12+MONTH(T$5)-MONTH($AA54))&gt;=0)*(EDATE($AA54,MAX(0,((YEAR(T$5)-YEAR($AA54))*12+MONTH(T$5)-MONTH($AA54))))&gt;=T$5)*(EDATE($AA54,MAX(0,((YEAR(T$5)-YEAR($AA54))*12+MONTH(T$5)-MONTH($AA54))))&lt;=MIN(T$5+6,$AB54))+(MOD((((YEAR(T$5)-YEAR($AA54))*12+MONTH(T$5)-MONTH($AA54))+1),$Z54)=0)*((((YEAR(T$5)-YEAR($AA54))*12+MONTH(T$5)-MONTH($AA54))+1)&gt;=0)*(EDATE($AA54,MAX(0,(((YEAR(T$5)-YEAR($AA54))*12+MONTH(T$5)-MONTH($AA54))+1)))&gt;=T$5)*(EDATE($AA54,MAX(0,(((YEAR(T$5)-YEAR($AA54))*12+MONTH(T$5)-MONTH($AA54))+1)))&lt;=MIN(T$5+6,$AB54)),($AA54&gt;=T$5)*($AA54&lt;=T$5+6))))</f>
        <v/>
      </c>
      <c r="U54" s="21">
        <f>IF($X54&lt;&gt;1,0,$D54*IF($Y54&gt;0,MAX(0,INT((MIN(U$5+6,$AB54)-$AA54)/$Y54)-MAX(0,-INT(($AA54-U$5)/$Y54))+1),IF($Z54&gt;0,(MOD(((YEAR(U$5)-YEAR($AA54))*12+MONTH(U$5)-MONTH($AA54)),$Z54)=0)*(((YEAR(U$5)-YEAR($AA54))*12+MONTH(U$5)-MONTH($AA54))&gt;=0)*(EDATE($AA54,MAX(0,((YEAR(U$5)-YEAR($AA54))*12+MONTH(U$5)-MONTH($AA54))))&gt;=U$5)*(EDATE($AA54,MAX(0,((YEAR(U$5)-YEAR($AA54))*12+MONTH(U$5)-MONTH($AA54))))&lt;=MIN(U$5+6,$AB54))+(MOD((((YEAR(U$5)-YEAR($AA54))*12+MONTH(U$5)-MONTH($AA54))+1),$Z54)=0)*((((YEAR(U$5)-YEAR($AA54))*12+MONTH(U$5)-MONTH($AA54))+1)&gt;=0)*(EDATE($AA54,MAX(0,(((YEAR(U$5)-YEAR($AA54))*12+MONTH(U$5)-MONTH($AA54))+1)))&gt;=U$5)*(EDATE($AA54,MAX(0,(((YEAR(U$5)-YEAR($AA54))*12+MONTH(U$5)-MONTH($AA54))+1)))&lt;=MIN(U$5+6,$AB54)),($AA54&gt;=U$5)*($AA54&lt;=U$5+6))))</f>
        <v/>
      </c>
      <c r="V54" s="21">
        <f>IF($X54&lt;&gt;1,0,$D54*IF($Y54&gt;0,MAX(0,INT((MIN(V$5+6,$AB54)-$AA54)/$Y54)-MAX(0,-INT(($AA54-V$5)/$Y54))+1),IF($Z54&gt;0,(MOD(((YEAR(V$5)-YEAR($AA54))*12+MONTH(V$5)-MONTH($AA54)),$Z54)=0)*(((YEAR(V$5)-YEAR($AA54))*12+MONTH(V$5)-MONTH($AA54))&gt;=0)*(EDATE($AA54,MAX(0,((YEAR(V$5)-YEAR($AA54))*12+MONTH(V$5)-MONTH($AA54))))&gt;=V$5)*(EDATE($AA54,MAX(0,((YEAR(V$5)-YEAR($AA54))*12+MONTH(V$5)-MONTH($AA54))))&lt;=MIN(V$5+6,$AB54))+(MOD((((YEAR(V$5)-YEAR($AA54))*12+MONTH(V$5)-MONTH($AA54))+1),$Z54)=0)*((((YEAR(V$5)-YEAR($AA54))*12+MONTH(V$5)-MONTH($AA54))+1)&gt;=0)*(EDATE($AA54,MAX(0,(((YEAR(V$5)-YEAR($AA54))*12+MONTH(V$5)-MONTH($AA54))+1)))&gt;=V$5)*(EDATE($AA54,MAX(0,(((YEAR(V$5)-YEAR($AA54))*12+MONTH(V$5)-MONTH($AA54))+1)))&lt;=MIN(V$5+6,$AB54)),($AA54&gt;=V$5)*($AA54&lt;=V$5+6))))</f>
        <v/>
      </c>
      <c r="W54" s="21">
        <f>IF($X54&lt;&gt;1,0,$D54*IF($Y54&gt;0,MAX(0,INT((MIN(W$5+6,$AB54)-$AA54)/$Y54)-MAX(0,-INT(($AA54-W$5)/$Y54))+1),IF($Z54&gt;0,(MOD(((YEAR(W$5)-YEAR($AA54))*12+MONTH(W$5)-MONTH($AA54)),$Z54)=0)*(((YEAR(W$5)-YEAR($AA54))*12+MONTH(W$5)-MONTH($AA54))&gt;=0)*(EDATE($AA54,MAX(0,((YEAR(W$5)-YEAR($AA54))*12+MONTH(W$5)-MONTH($AA54))))&gt;=W$5)*(EDATE($AA54,MAX(0,((YEAR(W$5)-YEAR($AA54))*12+MONTH(W$5)-MONTH($AA54))))&lt;=MIN(W$5+6,$AB54))+(MOD((((YEAR(W$5)-YEAR($AA54))*12+MONTH(W$5)-MONTH($AA54))+1),$Z54)=0)*((((YEAR(W$5)-YEAR($AA54))*12+MONTH(W$5)-MONTH($AA54))+1)&gt;=0)*(EDATE($AA54,MAX(0,(((YEAR(W$5)-YEAR($AA54))*12+MONTH(W$5)-MONTH($AA54))+1)))&gt;=W$5)*(EDATE($AA54,MAX(0,(((YEAR(W$5)-YEAR($AA54))*12+MONTH(W$5)-MONTH($AA54))+1)))&lt;=MIN(W$5+6,$AB54)),($AA54&gt;=W$5)*($AA54&lt;=W$5+6))))</f>
        <v/>
      </c>
      <c r="X54">
        <f>IF(COUNTA(A54:G54)=0,"",IF(AND(OR(B54="In",B54="Out"),ISNUMBER(D54),D54&gt;0,ISNUMBER(MATCH(E54,FreqName,0)),ISNUMBER(F54),OR(G54="",AND(ISNUMBER(G54),G54&gt;=F54))),1,0))</f>
        <v/>
      </c>
      <c r="Y54">
        <f>IF(X54&lt;&gt;1,0,INDEX(FreqDays,MATCH(E54,FreqName,0)))</f>
        <v/>
      </c>
      <c r="Z54">
        <f>IF(X54&lt;&gt;1,0,INDEX(FreqMonths,MATCH(E54,FreqName,0)))</f>
        <v/>
      </c>
      <c r="AA54">
        <f>IF(X54&lt;&gt;1,0,INT(F54))</f>
        <v/>
      </c>
      <c r="AB54">
        <f>IF(X54&lt;&gt;1,0,IF(ISNUMBER(G54),INT(G54),2958465))</f>
        <v/>
      </c>
    </row>
    <row r="55">
      <c r="A55" s="29" t="n"/>
      <c r="B55" s="29" t="n"/>
      <c r="C55" s="29" t="n"/>
      <c r="D55" s="34" t="n"/>
      <c r="E55" s="29" t="n"/>
      <c r="F55" s="24" t="n"/>
      <c r="G55" s="24" t="n"/>
      <c r="H55" s="10">
        <f>IF(X55="","",IF(X55=0,IF(AND(B55&lt;&gt;"In",B55&lt;&gt;"Out"),"Fix: choose In or Out",IF(OR(NOT(ISNUMBER(D55)),N(D55)&lt;=0),"Fix: amount must be a number above 0",IF(NOT(ISNUMBER(MATCH(E55,FreqName,0))),"Fix: choose a frequency",IF(NOT(ISNUMBER(F55)),"Fix: first date missing","Fix: end date must be a date on or after the first date")))),IF(AND(C55&lt;&gt;"",OR(AND(B55="In",ISNUMBER(MATCH(C55,InCats,0))),AND(B55="Out",ISNUMBER(MATCH(C55,OutCats,0))))),"OK","Category not on Settings (counted as Other)")))</f>
        <v/>
      </c>
      <c r="I55" s="35">
        <f>IF(X55&lt;&gt;1,"",ROUND(J55/D55,0))</f>
        <v/>
      </c>
      <c r="J55" s="36">
        <f>SUM(K55:W55)</f>
        <v/>
      </c>
      <c r="K55" s="21">
        <f>IF($X55&lt;&gt;1,0,$D55*IF($Y55&gt;0,MAX(0,INT((MIN(K$5+6,$AB55)-$AA55)/$Y55)-MAX(0,-INT(($AA55-K$5)/$Y55))+1),IF($Z55&gt;0,(MOD(((YEAR(K$5)-YEAR($AA55))*12+MONTH(K$5)-MONTH($AA55)),$Z55)=0)*(((YEAR(K$5)-YEAR($AA55))*12+MONTH(K$5)-MONTH($AA55))&gt;=0)*(EDATE($AA55,MAX(0,((YEAR(K$5)-YEAR($AA55))*12+MONTH(K$5)-MONTH($AA55))))&gt;=K$5)*(EDATE($AA55,MAX(0,((YEAR(K$5)-YEAR($AA55))*12+MONTH(K$5)-MONTH($AA55))))&lt;=MIN(K$5+6,$AB55))+(MOD((((YEAR(K$5)-YEAR($AA55))*12+MONTH(K$5)-MONTH($AA55))+1),$Z55)=0)*((((YEAR(K$5)-YEAR($AA55))*12+MONTH(K$5)-MONTH($AA55))+1)&gt;=0)*(EDATE($AA55,MAX(0,(((YEAR(K$5)-YEAR($AA55))*12+MONTH(K$5)-MONTH($AA55))+1)))&gt;=K$5)*(EDATE($AA55,MAX(0,(((YEAR(K$5)-YEAR($AA55))*12+MONTH(K$5)-MONTH($AA55))+1)))&lt;=MIN(K$5+6,$AB55)),($AA55&gt;=K$5)*($AA55&lt;=K$5+6))))</f>
        <v/>
      </c>
      <c r="L55" s="21">
        <f>IF($X55&lt;&gt;1,0,$D55*IF($Y55&gt;0,MAX(0,INT((MIN(L$5+6,$AB55)-$AA55)/$Y55)-MAX(0,-INT(($AA55-L$5)/$Y55))+1),IF($Z55&gt;0,(MOD(((YEAR(L$5)-YEAR($AA55))*12+MONTH(L$5)-MONTH($AA55)),$Z55)=0)*(((YEAR(L$5)-YEAR($AA55))*12+MONTH(L$5)-MONTH($AA55))&gt;=0)*(EDATE($AA55,MAX(0,((YEAR(L$5)-YEAR($AA55))*12+MONTH(L$5)-MONTH($AA55))))&gt;=L$5)*(EDATE($AA55,MAX(0,((YEAR(L$5)-YEAR($AA55))*12+MONTH(L$5)-MONTH($AA55))))&lt;=MIN(L$5+6,$AB55))+(MOD((((YEAR(L$5)-YEAR($AA55))*12+MONTH(L$5)-MONTH($AA55))+1),$Z55)=0)*((((YEAR(L$5)-YEAR($AA55))*12+MONTH(L$5)-MONTH($AA55))+1)&gt;=0)*(EDATE($AA55,MAX(0,(((YEAR(L$5)-YEAR($AA55))*12+MONTH(L$5)-MONTH($AA55))+1)))&gt;=L$5)*(EDATE($AA55,MAX(0,(((YEAR(L$5)-YEAR($AA55))*12+MONTH(L$5)-MONTH($AA55))+1)))&lt;=MIN(L$5+6,$AB55)),($AA55&gt;=L$5)*($AA55&lt;=L$5+6))))</f>
        <v/>
      </c>
      <c r="M55" s="21">
        <f>IF($X55&lt;&gt;1,0,$D55*IF($Y55&gt;0,MAX(0,INT((MIN(M$5+6,$AB55)-$AA55)/$Y55)-MAX(0,-INT(($AA55-M$5)/$Y55))+1),IF($Z55&gt;0,(MOD(((YEAR(M$5)-YEAR($AA55))*12+MONTH(M$5)-MONTH($AA55)),$Z55)=0)*(((YEAR(M$5)-YEAR($AA55))*12+MONTH(M$5)-MONTH($AA55))&gt;=0)*(EDATE($AA55,MAX(0,((YEAR(M$5)-YEAR($AA55))*12+MONTH(M$5)-MONTH($AA55))))&gt;=M$5)*(EDATE($AA55,MAX(0,((YEAR(M$5)-YEAR($AA55))*12+MONTH(M$5)-MONTH($AA55))))&lt;=MIN(M$5+6,$AB55))+(MOD((((YEAR(M$5)-YEAR($AA55))*12+MONTH(M$5)-MONTH($AA55))+1),$Z55)=0)*((((YEAR(M$5)-YEAR($AA55))*12+MONTH(M$5)-MONTH($AA55))+1)&gt;=0)*(EDATE($AA55,MAX(0,(((YEAR(M$5)-YEAR($AA55))*12+MONTH(M$5)-MONTH($AA55))+1)))&gt;=M$5)*(EDATE($AA55,MAX(0,(((YEAR(M$5)-YEAR($AA55))*12+MONTH(M$5)-MONTH($AA55))+1)))&lt;=MIN(M$5+6,$AB55)),($AA55&gt;=M$5)*($AA55&lt;=M$5+6))))</f>
        <v/>
      </c>
      <c r="N55" s="21">
        <f>IF($X55&lt;&gt;1,0,$D55*IF($Y55&gt;0,MAX(0,INT((MIN(N$5+6,$AB55)-$AA55)/$Y55)-MAX(0,-INT(($AA55-N$5)/$Y55))+1),IF($Z55&gt;0,(MOD(((YEAR(N$5)-YEAR($AA55))*12+MONTH(N$5)-MONTH($AA55)),$Z55)=0)*(((YEAR(N$5)-YEAR($AA55))*12+MONTH(N$5)-MONTH($AA55))&gt;=0)*(EDATE($AA55,MAX(0,((YEAR(N$5)-YEAR($AA55))*12+MONTH(N$5)-MONTH($AA55))))&gt;=N$5)*(EDATE($AA55,MAX(0,((YEAR(N$5)-YEAR($AA55))*12+MONTH(N$5)-MONTH($AA55))))&lt;=MIN(N$5+6,$AB55))+(MOD((((YEAR(N$5)-YEAR($AA55))*12+MONTH(N$5)-MONTH($AA55))+1),$Z55)=0)*((((YEAR(N$5)-YEAR($AA55))*12+MONTH(N$5)-MONTH($AA55))+1)&gt;=0)*(EDATE($AA55,MAX(0,(((YEAR(N$5)-YEAR($AA55))*12+MONTH(N$5)-MONTH($AA55))+1)))&gt;=N$5)*(EDATE($AA55,MAX(0,(((YEAR(N$5)-YEAR($AA55))*12+MONTH(N$5)-MONTH($AA55))+1)))&lt;=MIN(N$5+6,$AB55)),($AA55&gt;=N$5)*($AA55&lt;=N$5+6))))</f>
        <v/>
      </c>
      <c r="O55" s="21">
        <f>IF($X55&lt;&gt;1,0,$D55*IF($Y55&gt;0,MAX(0,INT((MIN(O$5+6,$AB55)-$AA55)/$Y55)-MAX(0,-INT(($AA55-O$5)/$Y55))+1),IF($Z55&gt;0,(MOD(((YEAR(O$5)-YEAR($AA55))*12+MONTH(O$5)-MONTH($AA55)),$Z55)=0)*(((YEAR(O$5)-YEAR($AA55))*12+MONTH(O$5)-MONTH($AA55))&gt;=0)*(EDATE($AA55,MAX(0,((YEAR(O$5)-YEAR($AA55))*12+MONTH(O$5)-MONTH($AA55))))&gt;=O$5)*(EDATE($AA55,MAX(0,((YEAR(O$5)-YEAR($AA55))*12+MONTH(O$5)-MONTH($AA55))))&lt;=MIN(O$5+6,$AB55))+(MOD((((YEAR(O$5)-YEAR($AA55))*12+MONTH(O$5)-MONTH($AA55))+1),$Z55)=0)*((((YEAR(O$5)-YEAR($AA55))*12+MONTH(O$5)-MONTH($AA55))+1)&gt;=0)*(EDATE($AA55,MAX(0,(((YEAR(O$5)-YEAR($AA55))*12+MONTH(O$5)-MONTH($AA55))+1)))&gt;=O$5)*(EDATE($AA55,MAX(0,(((YEAR(O$5)-YEAR($AA55))*12+MONTH(O$5)-MONTH($AA55))+1)))&lt;=MIN(O$5+6,$AB55)),($AA55&gt;=O$5)*($AA55&lt;=O$5+6))))</f>
        <v/>
      </c>
      <c r="P55" s="21">
        <f>IF($X55&lt;&gt;1,0,$D55*IF($Y55&gt;0,MAX(0,INT((MIN(P$5+6,$AB55)-$AA55)/$Y55)-MAX(0,-INT(($AA55-P$5)/$Y55))+1),IF($Z55&gt;0,(MOD(((YEAR(P$5)-YEAR($AA55))*12+MONTH(P$5)-MONTH($AA55)),$Z55)=0)*(((YEAR(P$5)-YEAR($AA55))*12+MONTH(P$5)-MONTH($AA55))&gt;=0)*(EDATE($AA55,MAX(0,((YEAR(P$5)-YEAR($AA55))*12+MONTH(P$5)-MONTH($AA55))))&gt;=P$5)*(EDATE($AA55,MAX(0,((YEAR(P$5)-YEAR($AA55))*12+MONTH(P$5)-MONTH($AA55))))&lt;=MIN(P$5+6,$AB55))+(MOD((((YEAR(P$5)-YEAR($AA55))*12+MONTH(P$5)-MONTH($AA55))+1),$Z55)=0)*((((YEAR(P$5)-YEAR($AA55))*12+MONTH(P$5)-MONTH($AA55))+1)&gt;=0)*(EDATE($AA55,MAX(0,(((YEAR(P$5)-YEAR($AA55))*12+MONTH(P$5)-MONTH($AA55))+1)))&gt;=P$5)*(EDATE($AA55,MAX(0,(((YEAR(P$5)-YEAR($AA55))*12+MONTH(P$5)-MONTH($AA55))+1)))&lt;=MIN(P$5+6,$AB55)),($AA55&gt;=P$5)*($AA55&lt;=P$5+6))))</f>
        <v/>
      </c>
      <c r="Q55" s="21">
        <f>IF($X55&lt;&gt;1,0,$D55*IF($Y55&gt;0,MAX(0,INT((MIN(Q$5+6,$AB55)-$AA55)/$Y55)-MAX(0,-INT(($AA55-Q$5)/$Y55))+1),IF($Z55&gt;0,(MOD(((YEAR(Q$5)-YEAR($AA55))*12+MONTH(Q$5)-MONTH($AA55)),$Z55)=0)*(((YEAR(Q$5)-YEAR($AA55))*12+MONTH(Q$5)-MONTH($AA55))&gt;=0)*(EDATE($AA55,MAX(0,((YEAR(Q$5)-YEAR($AA55))*12+MONTH(Q$5)-MONTH($AA55))))&gt;=Q$5)*(EDATE($AA55,MAX(0,((YEAR(Q$5)-YEAR($AA55))*12+MONTH(Q$5)-MONTH($AA55))))&lt;=MIN(Q$5+6,$AB55))+(MOD((((YEAR(Q$5)-YEAR($AA55))*12+MONTH(Q$5)-MONTH($AA55))+1),$Z55)=0)*((((YEAR(Q$5)-YEAR($AA55))*12+MONTH(Q$5)-MONTH($AA55))+1)&gt;=0)*(EDATE($AA55,MAX(0,(((YEAR(Q$5)-YEAR($AA55))*12+MONTH(Q$5)-MONTH($AA55))+1)))&gt;=Q$5)*(EDATE($AA55,MAX(0,(((YEAR(Q$5)-YEAR($AA55))*12+MONTH(Q$5)-MONTH($AA55))+1)))&lt;=MIN(Q$5+6,$AB55)),($AA55&gt;=Q$5)*($AA55&lt;=Q$5+6))))</f>
        <v/>
      </c>
      <c r="R55" s="21">
        <f>IF($X55&lt;&gt;1,0,$D55*IF($Y55&gt;0,MAX(0,INT((MIN(R$5+6,$AB55)-$AA55)/$Y55)-MAX(0,-INT(($AA55-R$5)/$Y55))+1),IF($Z55&gt;0,(MOD(((YEAR(R$5)-YEAR($AA55))*12+MONTH(R$5)-MONTH($AA55)),$Z55)=0)*(((YEAR(R$5)-YEAR($AA55))*12+MONTH(R$5)-MONTH($AA55))&gt;=0)*(EDATE($AA55,MAX(0,((YEAR(R$5)-YEAR($AA55))*12+MONTH(R$5)-MONTH($AA55))))&gt;=R$5)*(EDATE($AA55,MAX(0,((YEAR(R$5)-YEAR($AA55))*12+MONTH(R$5)-MONTH($AA55))))&lt;=MIN(R$5+6,$AB55))+(MOD((((YEAR(R$5)-YEAR($AA55))*12+MONTH(R$5)-MONTH($AA55))+1),$Z55)=0)*((((YEAR(R$5)-YEAR($AA55))*12+MONTH(R$5)-MONTH($AA55))+1)&gt;=0)*(EDATE($AA55,MAX(0,(((YEAR(R$5)-YEAR($AA55))*12+MONTH(R$5)-MONTH($AA55))+1)))&gt;=R$5)*(EDATE($AA55,MAX(0,(((YEAR(R$5)-YEAR($AA55))*12+MONTH(R$5)-MONTH($AA55))+1)))&lt;=MIN(R$5+6,$AB55)),($AA55&gt;=R$5)*($AA55&lt;=R$5+6))))</f>
        <v/>
      </c>
      <c r="S55" s="21">
        <f>IF($X55&lt;&gt;1,0,$D55*IF($Y55&gt;0,MAX(0,INT((MIN(S$5+6,$AB55)-$AA55)/$Y55)-MAX(0,-INT(($AA55-S$5)/$Y55))+1),IF($Z55&gt;0,(MOD(((YEAR(S$5)-YEAR($AA55))*12+MONTH(S$5)-MONTH($AA55)),$Z55)=0)*(((YEAR(S$5)-YEAR($AA55))*12+MONTH(S$5)-MONTH($AA55))&gt;=0)*(EDATE($AA55,MAX(0,((YEAR(S$5)-YEAR($AA55))*12+MONTH(S$5)-MONTH($AA55))))&gt;=S$5)*(EDATE($AA55,MAX(0,((YEAR(S$5)-YEAR($AA55))*12+MONTH(S$5)-MONTH($AA55))))&lt;=MIN(S$5+6,$AB55))+(MOD((((YEAR(S$5)-YEAR($AA55))*12+MONTH(S$5)-MONTH($AA55))+1),$Z55)=0)*((((YEAR(S$5)-YEAR($AA55))*12+MONTH(S$5)-MONTH($AA55))+1)&gt;=0)*(EDATE($AA55,MAX(0,(((YEAR(S$5)-YEAR($AA55))*12+MONTH(S$5)-MONTH($AA55))+1)))&gt;=S$5)*(EDATE($AA55,MAX(0,(((YEAR(S$5)-YEAR($AA55))*12+MONTH(S$5)-MONTH($AA55))+1)))&lt;=MIN(S$5+6,$AB55)),($AA55&gt;=S$5)*($AA55&lt;=S$5+6))))</f>
        <v/>
      </c>
      <c r="T55" s="21">
        <f>IF($X55&lt;&gt;1,0,$D55*IF($Y55&gt;0,MAX(0,INT((MIN(T$5+6,$AB55)-$AA55)/$Y55)-MAX(0,-INT(($AA55-T$5)/$Y55))+1),IF($Z55&gt;0,(MOD(((YEAR(T$5)-YEAR($AA55))*12+MONTH(T$5)-MONTH($AA55)),$Z55)=0)*(((YEAR(T$5)-YEAR($AA55))*12+MONTH(T$5)-MONTH($AA55))&gt;=0)*(EDATE($AA55,MAX(0,((YEAR(T$5)-YEAR($AA55))*12+MONTH(T$5)-MONTH($AA55))))&gt;=T$5)*(EDATE($AA55,MAX(0,((YEAR(T$5)-YEAR($AA55))*12+MONTH(T$5)-MONTH($AA55))))&lt;=MIN(T$5+6,$AB55))+(MOD((((YEAR(T$5)-YEAR($AA55))*12+MONTH(T$5)-MONTH($AA55))+1),$Z55)=0)*((((YEAR(T$5)-YEAR($AA55))*12+MONTH(T$5)-MONTH($AA55))+1)&gt;=0)*(EDATE($AA55,MAX(0,(((YEAR(T$5)-YEAR($AA55))*12+MONTH(T$5)-MONTH($AA55))+1)))&gt;=T$5)*(EDATE($AA55,MAX(0,(((YEAR(T$5)-YEAR($AA55))*12+MONTH(T$5)-MONTH($AA55))+1)))&lt;=MIN(T$5+6,$AB55)),($AA55&gt;=T$5)*($AA55&lt;=T$5+6))))</f>
        <v/>
      </c>
      <c r="U55" s="21">
        <f>IF($X55&lt;&gt;1,0,$D55*IF($Y55&gt;0,MAX(0,INT((MIN(U$5+6,$AB55)-$AA55)/$Y55)-MAX(0,-INT(($AA55-U$5)/$Y55))+1),IF($Z55&gt;0,(MOD(((YEAR(U$5)-YEAR($AA55))*12+MONTH(U$5)-MONTH($AA55)),$Z55)=0)*(((YEAR(U$5)-YEAR($AA55))*12+MONTH(U$5)-MONTH($AA55))&gt;=0)*(EDATE($AA55,MAX(0,((YEAR(U$5)-YEAR($AA55))*12+MONTH(U$5)-MONTH($AA55))))&gt;=U$5)*(EDATE($AA55,MAX(0,((YEAR(U$5)-YEAR($AA55))*12+MONTH(U$5)-MONTH($AA55))))&lt;=MIN(U$5+6,$AB55))+(MOD((((YEAR(U$5)-YEAR($AA55))*12+MONTH(U$5)-MONTH($AA55))+1),$Z55)=0)*((((YEAR(U$5)-YEAR($AA55))*12+MONTH(U$5)-MONTH($AA55))+1)&gt;=0)*(EDATE($AA55,MAX(0,(((YEAR(U$5)-YEAR($AA55))*12+MONTH(U$5)-MONTH($AA55))+1)))&gt;=U$5)*(EDATE($AA55,MAX(0,(((YEAR(U$5)-YEAR($AA55))*12+MONTH(U$5)-MONTH($AA55))+1)))&lt;=MIN(U$5+6,$AB55)),($AA55&gt;=U$5)*($AA55&lt;=U$5+6))))</f>
        <v/>
      </c>
      <c r="V55" s="21">
        <f>IF($X55&lt;&gt;1,0,$D55*IF($Y55&gt;0,MAX(0,INT((MIN(V$5+6,$AB55)-$AA55)/$Y55)-MAX(0,-INT(($AA55-V$5)/$Y55))+1),IF($Z55&gt;0,(MOD(((YEAR(V$5)-YEAR($AA55))*12+MONTH(V$5)-MONTH($AA55)),$Z55)=0)*(((YEAR(V$5)-YEAR($AA55))*12+MONTH(V$5)-MONTH($AA55))&gt;=0)*(EDATE($AA55,MAX(0,((YEAR(V$5)-YEAR($AA55))*12+MONTH(V$5)-MONTH($AA55))))&gt;=V$5)*(EDATE($AA55,MAX(0,((YEAR(V$5)-YEAR($AA55))*12+MONTH(V$5)-MONTH($AA55))))&lt;=MIN(V$5+6,$AB55))+(MOD((((YEAR(V$5)-YEAR($AA55))*12+MONTH(V$5)-MONTH($AA55))+1),$Z55)=0)*((((YEAR(V$5)-YEAR($AA55))*12+MONTH(V$5)-MONTH($AA55))+1)&gt;=0)*(EDATE($AA55,MAX(0,(((YEAR(V$5)-YEAR($AA55))*12+MONTH(V$5)-MONTH($AA55))+1)))&gt;=V$5)*(EDATE($AA55,MAX(0,(((YEAR(V$5)-YEAR($AA55))*12+MONTH(V$5)-MONTH($AA55))+1)))&lt;=MIN(V$5+6,$AB55)),($AA55&gt;=V$5)*($AA55&lt;=V$5+6))))</f>
        <v/>
      </c>
      <c r="W55" s="21">
        <f>IF($X55&lt;&gt;1,0,$D55*IF($Y55&gt;0,MAX(0,INT((MIN(W$5+6,$AB55)-$AA55)/$Y55)-MAX(0,-INT(($AA55-W$5)/$Y55))+1),IF($Z55&gt;0,(MOD(((YEAR(W$5)-YEAR($AA55))*12+MONTH(W$5)-MONTH($AA55)),$Z55)=0)*(((YEAR(W$5)-YEAR($AA55))*12+MONTH(W$5)-MONTH($AA55))&gt;=0)*(EDATE($AA55,MAX(0,((YEAR(W$5)-YEAR($AA55))*12+MONTH(W$5)-MONTH($AA55))))&gt;=W$5)*(EDATE($AA55,MAX(0,((YEAR(W$5)-YEAR($AA55))*12+MONTH(W$5)-MONTH($AA55))))&lt;=MIN(W$5+6,$AB55))+(MOD((((YEAR(W$5)-YEAR($AA55))*12+MONTH(W$5)-MONTH($AA55))+1),$Z55)=0)*((((YEAR(W$5)-YEAR($AA55))*12+MONTH(W$5)-MONTH($AA55))+1)&gt;=0)*(EDATE($AA55,MAX(0,(((YEAR(W$5)-YEAR($AA55))*12+MONTH(W$5)-MONTH($AA55))+1)))&gt;=W$5)*(EDATE($AA55,MAX(0,(((YEAR(W$5)-YEAR($AA55))*12+MONTH(W$5)-MONTH($AA55))+1)))&lt;=MIN(W$5+6,$AB55)),($AA55&gt;=W$5)*($AA55&lt;=W$5+6))))</f>
        <v/>
      </c>
      <c r="X55">
        <f>IF(COUNTA(A55:G55)=0,"",IF(AND(OR(B55="In",B55="Out"),ISNUMBER(D55),D55&gt;0,ISNUMBER(MATCH(E55,FreqName,0)),ISNUMBER(F55),OR(G55="",AND(ISNUMBER(G55),G55&gt;=F55))),1,0))</f>
        <v/>
      </c>
      <c r="Y55">
        <f>IF(X55&lt;&gt;1,0,INDEX(FreqDays,MATCH(E55,FreqName,0)))</f>
        <v/>
      </c>
      <c r="Z55">
        <f>IF(X55&lt;&gt;1,0,INDEX(FreqMonths,MATCH(E55,FreqName,0)))</f>
        <v/>
      </c>
      <c r="AA55">
        <f>IF(X55&lt;&gt;1,0,INT(F55))</f>
        <v/>
      </c>
      <c r="AB55">
        <f>IF(X55&lt;&gt;1,0,IF(ISNUMBER(G55),INT(G55),2958465))</f>
        <v/>
      </c>
    </row>
    <row r="56">
      <c r="A56" s="29" t="n"/>
      <c r="B56" s="29" t="n"/>
      <c r="C56" s="29" t="n"/>
      <c r="D56" s="34" t="n"/>
      <c r="E56" s="29" t="n"/>
      <c r="F56" s="24" t="n"/>
      <c r="G56" s="24" t="n"/>
      <c r="H56" s="10">
        <f>IF(X56="","",IF(X56=0,IF(AND(B56&lt;&gt;"In",B56&lt;&gt;"Out"),"Fix: choose In or Out",IF(OR(NOT(ISNUMBER(D56)),N(D56)&lt;=0),"Fix: amount must be a number above 0",IF(NOT(ISNUMBER(MATCH(E56,FreqName,0))),"Fix: choose a frequency",IF(NOT(ISNUMBER(F56)),"Fix: first date missing","Fix: end date must be a date on or after the first date")))),IF(AND(C56&lt;&gt;"",OR(AND(B56="In",ISNUMBER(MATCH(C56,InCats,0))),AND(B56="Out",ISNUMBER(MATCH(C56,OutCats,0))))),"OK","Category not on Settings (counted as Other)")))</f>
        <v/>
      </c>
      <c r="I56" s="35">
        <f>IF(X56&lt;&gt;1,"",ROUND(J56/D56,0))</f>
        <v/>
      </c>
      <c r="J56" s="36">
        <f>SUM(K56:W56)</f>
        <v/>
      </c>
      <c r="K56" s="21">
        <f>IF($X56&lt;&gt;1,0,$D56*IF($Y56&gt;0,MAX(0,INT((MIN(K$5+6,$AB56)-$AA56)/$Y56)-MAX(0,-INT(($AA56-K$5)/$Y56))+1),IF($Z56&gt;0,(MOD(((YEAR(K$5)-YEAR($AA56))*12+MONTH(K$5)-MONTH($AA56)),$Z56)=0)*(((YEAR(K$5)-YEAR($AA56))*12+MONTH(K$5)-MONTH($AA56))&gt;=0)*(EDATE($AA56,MAX(0,((YEAR(K$5)-YEAR($AA56))*12+MONTH(K$5)-MONTH($AA56))))&gt;=K$5)*(EDATE($AA56,MAX(0,((YEAR(K$5)-YEAR($AA56))*12+MONTH(K$5)-MONTH($AA56))))&lt;=MIN(K$5+6,$AB56))+(MOD((((YEAR(K$5)-YEAR($AA56))*12+MONTH(K$5)-MONTH($AA56))+1),$Z56)=0)*((((YEAR(K$5)-YEAR($AA56))*12+MONTH(K$5)-MONTH($AA56))+1)&gt;=0)*(EDATE($AA56,MAX(0,(((YEAR(K$5)-YEAR($AA56))*12+MONTH(K$5)-MONTH($AA56))+1)))&gt;=K$5)*(EDATE($AA56,MAX(0,(((YEAR(K$5)-YEAR($AA56))*12+MONTH(K$5)-MONTH($AA56))+1)))&lt;=MIN(K$5+6,$AB56)),($AA56&gt;=K$5)*($AA56&lt;=K$5+6))))</f>
        <v/>
      </c>
      <c r="L56" s="21">
        <f>IF($X56&lt;&gt;1,0,$D56*IF($Y56&gt;0,MAX(0,INT((MIN(L$5+6,$AB56)-$AA56)/$Y56)-MAX(0,-INT(($AA56-L$5)/$Y56))+1),IF($Z56&gt;0,(MOD(((YEAR(L$5)-YEAR($AA56))*12+MONTH(L$5)-MONTH($AA56)),$Z56)=0)*(((YEAR(L$5)-YEAR($AA56))*12+MONTH(L$5)-MONTH($AA56))&gt;=0)*(EDATE($AA56,MAX(0,((YEAR(L$5)-YEAR($AA56))*12+MONTH(L$5)-MONTH($AA56))))&gt;=L$5)*(EDATE($AA56,MAX(0,((YEAR(L$5)-YEAR($AA56))*12+MONTH(L$5)-MONTH($AA56))))&lt;=MIN(L$5+6,$AB56))+(MOD((((YEAR(L$5)-YEAR($AA56))*12+MONTH(L$5)-MONTH($AA56))+1),$Z56)=0)*((((YEAR(L$5)-YEAR($AA56))*12+MONTH(L$5)-MONTH($AA56))+1)&gt;=0)*(EDATE($AA56,MAX(0,(((YEAR(L$5)-YEAR($AA56))*12+MONTH(L$5)-MONTH($AA56))+1)))&gt;=L$5)*(EDATE($AA56,MAX(0,(((YEAR(L$5)-YEAR($AA56))*12+MONTH(L$5)-MONTH($AA56))+1)))&lt;=MIN(L$5+6,$AB56)),($AA56&gt;=L$5)*($AA56&lt;=L$5+6))))</f>
        <v/>
      </c>
      <c r="M56" s="21">
        <f>IF($X56&lt;&gt;1,0,$D56*IF($Y56&gt;0,MAX(0,INT((MIN(M$5+6,$AB56)-$AA56)/$Y56)-MAX(0,-INT(($AA56-M$5)/$Y56))+1),IF($Z56&gt;0,(MOD(((YEAR(M$5)-YEAR($AA56))*12+MONTH(M$5)-MONTH($AA56)),$Z56)=0)*(((YEAR(M$5)-YEAR($AA56))*12+MONTH(M$5)-MONTH($AA56))&gt;=0)*(EDATE($AA56,MAX(0,((YEAR(M$5)-YEAR($AA56))*12+MONTH(M$5)-MONTH($AA56))))&gt;=M$5)*(EDATE($AA56,MAX(0,((YEAR(M$5)-YEAR($AA56))*12+MONTH(M$5)-MONTH($AA56))))&lt;=MIN(M$5+6,$AB56))+(MOD((((YEAR(M$5)-YEAR($AA56))*12+MONTH(M$5)-MONTH($AA56))+1),$Z56)=0)*((((YEAR(M$5)-YEAR($AA56))*12+MONTH(M$5)-MONTH($AA56))+1)&gt;=0)*(EDATE($AA56,MAX(0,(((YEAR(M$5)-YEAR($AA56))*12+MONTH(M$5)-MONTH($AA56))+1)))&gt;=M$5)*(EDATE($AA56,MAX(0,(((YEAR(M$5)-YEAR($AA56))*12+MONTH(M$5)-MONTH($AA56))+1)))&lt;=MIN(M$5+6,$AB56)),($AA56&gt;=M$5)*($AA56&lt;=M$5+6))))</f>
        <v/>
      </c>
      <c r="N56" s="21">
        <f>IF($X56&lt;&gt;1,0,$D56*IF($Y56&gt;0,MAX(0,INT((MIN(N$5+6,$AB56)-$AA56)/$Y56)-MAX(0,-INT(($AA56-N$5)/$Y56))+1),IF($Z56&gt;0,(MOD(((YEAR(N$5)-YEAR($AA56))*12+MONTH(N$5)-MONTH($AA56)),$Z56)=0)*(((YEAR(N$5)-YEAR($AA56))*12+MONTH(N$5)-MONTH($AA56))&gt;=0)*(EDATE($AA56,MAX(0,((YEAR(N$5)-YEAR($AA56))*12+MONTH(N$5)-MONTH($AA56))))&gt;=N$5)*(EDATE($AA56,MAX(0,((YEAR(N$5)-YEAR($AA56))*12+MONTH(N$5)-MONTH($AA56))))&lt;=MIN(N$5+6,$AB56))+(MOD((((YEAR(N$5)-YEAR($AA56))*12+MONTH(N$5)-MONTH($AA56))+1),$Z56)=0)*((((YEAR(N$5)-YEAR($AA56))*12+MONTH(N$5)-MONTH($AA56))+1)&gt;=0)*(EDATE($AA56,MAX(0,(((YEAR(N$5)-YEAR($AA56))*12+MONTH(N$5)-MONTH($AA56))+1)))&gt;=N$5)*(EDATE($AA56,MAX(0,(((YEAR(N$5)-YEAR($AA56))*12+MONTH(N$5)-MONTH($AA56))+1)))&lt;=MIN(N$5+6,$AB56)),($AA56&gt;=N$5)*($AA56&lt;=N$5+6))))</f>
        <v/>
      </c>
      <c r="O56" s="21">
        <f>IF($X56&lt;&gt;1,0,$D56*IF($Y56&gt;0,MAX(0,INT((MIN(O$5+6,$AB56)-$AA56)/$Y56)-MAX(0,-INT(($AA56-O$5)/$Y56))+1),IF($Z56&gt;0,(MOD(((YEAR(O$5)-YEAR($AA56))*12+MONTH(O$5)-MONTH($AA56)),$Z56)=0)*(((YEAR(O$5)-YEAR($AA56))*12+MONTH(O$5)-MONTH($AA56))&gt;=0)*(EDATE($AA56,MAX(0,((YEAR(O$5)-YEAR($AA56))*12+MONTH(O$5)-MONTH($AA56))))&gt;=O$5)*(EDATE($AA56,MAX(0,((YEAR(O$5)-YEAR($AA56))*12+MONTH(O$5)-MONTH($AA56))))&lt;=MIN(O$5+6,$AB56))+(MOD((((YEAR(O$5)-YEAR($AA56))*12+MONTH(O$5)-MONTH($AA56))+1),$Z56)=0)*((((YEAR(O$5)-YEAR($AA56))*12+MONTH(O$5)-MONTH($AA56))+1)&gt;=0)*(EDATE($AA56,MAX(0,(((YEAR(O$5)-YEAR($AA56))*12+MONTH(O$5)-MONTH($AA56))+1)))&gt;=O$5)*(EDATE($AA56,MAX(0,(((YEAR(O$5)-YEAR($AA56))*12+MONTH(O$5)-MONTH($AA56))+1)))&lt;=MIN(O$5+6,$AB56)),($AA56&gt;=O$5)*($AA56&lt;=O$5+6))))</f>
        <v/>
      </c>
      <c r="P56" s="21">
        <f>IF($X56&lt;&gt;1,0,$D56*IF($Y56&gt;0,MAX(0,INT((MIN(P$5+6,$AB56)-$AA56)/$Y56)-MAX(0,-INT(($AA56-P$5)/$Y56))+1),IF($Z56&gt;0,(MOD(((YEAR(P$5)-YEAR($AA56))*12+MONTH(P$5)-MONTH($AA56)),$Z56)=0)*(((YEAR(P$5)-YEAR($AA56))*12+MONTH(P$5)-MONTH($AA56))&gt;=0)*(EDATE($AA56,MAX(0,((YEAR(P$5)-YEAR($AA56))*12+MONTH(P$5)-MONTH($AA56))))&gt;=P$5)*(EDATE($AA56,MAX(0,((YEAR(P$5)-YEAR($AA56))*12+MONTH(P$5)-MONTH($AA56))))&lt;=MIN(P$5+6,$AB56))+(MOD((((YEAR(P$5)-YEAR($AA56))*12+MONTH(P$5)-MONTH($AA56))+1),$Z56)=0)*((((YEAR(P$5)-YEAR($AA56))*12+MONTH(P$5)-MONTH($AA56))+1)&gt;=0)*(EDATE($AA56,MAX(0,(((YEAR(P$5)-YEAR($AA56))*12+MONTH(P$5)-MONTH($AA56))+1)))&gt;=P$5)*(EDATE($AA56,MAX(0,(((YEAR(P$5)-YEAR($AA56))*12+MONTH(P$5)-MONTH($AA56))+1)))&lt;=MIN(P$5+6,$AB56)),($AA56&gt;=P$5)*($AA56&lt;=P$5+6))))</f>
        <v/>
      </c>
      <c r="Q56" s="21">
        <f>IF($X56&lt;&gt;1,0,$D56*IF($Y56&gt;0,MAX(0,INT((MIN(Q$5+6,$AB56)-$AA56)/$Y56)-MAX(0,-INT(($AA56-Q$5)/$Y56))+1),IF($Z56&gt;0,(MOD(((YEAR(Q$5)-YEAR($AA56))*12+MONTH(Q$5)-MONTH($AA56)),$Z56)=0)*(((YEAR(Q$5)-YEAR($AA56))*12+MONTH(Q$5)-MONTH($AA56))&gt;=0)*(EDATE($AA56,MAX(0,((YEAR(Q$5)-YEAR($AA56))*12+MONTH(Q$5)-MONTH($AA56))))&gt;=Q$5)*(EDATE($AA56,MAX(0,((YEAR(Q$5)-YEAR($AA56))*12+MONTH(Q$5)-MONTH($AA56))))&lt;=MIN(Q$5+6,$AB56))+(MOD((((YEAR(Q$5)-YEAR($AA56))*12+MONTH(Q$5)-MONTH($AA56))+1),$Z56)=0)*((((YEAR(Q$5)-YEAR($AA56))*12+MONTH(Q$5)-MONTH($AA56))+1)&gt;=0)*(EDATE($AA56,MAX(0,(((YEAR(Q$5)-YEAR($AA56))*12+MONTH(Q$5)-MONTH($AA56))+1)))&gt;=Q$5)*(EDATE($AA56,MAX(0,(((YEAR(Q$5)-YEAR($AA56))*12+MONTH(Q$5)-MONTH($AA56))+1)))&lt;=MIN(Q$5+6,$AB56)),($AA56&gt;=Q$5)*($AA56&lt;=Q$5+6))))</f>
        <v/>
      </c>
      <c r="R56" s="21">
        <f>IF($X56&lt;&gt;1,0,$D56*IF($Y56&gt;0,MAX(0,INT((MIN(R$5+6,$AB56)-$AA56)/$Y56)-MAX(0,-INT(($AA56-R$5)/$Y56))+1),IF($Z56&gt;0,(MOD(((YEAR(R$5)-YEAR($AA56))*12+MONTH(R$5)-MONTH($AA56)),$Z56)=0)*(((YEAR(R$5)-YEAR($AA56))*12+MONTH(R$5)-MONTH($AA56))&gt;=0)*(EDATE($AA56,MAX(0,((YEAR(R$5)-YEAR($AA56))*12+MONTH(R$5)-MONTH($AA56))))&gt;=R$5)*(EDATE($AA56,MAX(0,((YEAR(R$5)-YEAR($AA56))*12+MONTH(R$5)-MONTH($AA56))))&lt;=MIN(R$5+6,$AB56))+(MOD((((YEAR(R$5)-YEAR($AA56))*12+MONTH(R$5)-MONTH($AA56))+1),$Z56)=0)*((((YEAR(R$5)-YEAR($AA56))*12+MONTH(R$5)-MONTH($AA56))+1)&gt;=0)*(EDATE($AA56,MAX(0,(((YEAR(R$5)-YEAR($AA56))*12+MONTH(R$5)-MONTH($AA56))+1)))&gt;=R$5)*(EDATE($AA56,MAX(0,(((YEAR(R$5)-YEAR($AA56))*12+MONTH(R$5)-MONTH($AA56))+1)))&lt;=MIN(R$5+6,$AB56)),($AA56&gt;=R$5)*($AA56&lt;=R$5+6))))</f>
        <v/>
      </c>
      <c r="S56" s="21">
        <f>IF($X56&lt;&gt;1,0,$D56*IF($Y56&gt;0,MAX(0,INT((MIN(S$5+6,$AB56)-$AA56)/$Y56)-MAX(0,-INT(($AA56-S$5)/$Y56))+1),IF($Z56&gt;0,(MOD(((YEAR(S$5)-YEAR($AA56))*12+MONTH(S$5)-MONTH($AA56)),$Z56)=0)*(((YEAR(S$5)-YEAR($AA56))*12+MONTH(S$5)-MONTH($AA56))&gt;=0)*(EDATE($AA56,MAX(0,((YEAR(S$5)-YEAR($AA56))*12+MONTH(S$5)-MONTH($AA56))))&gt;=S$5)*(EDATE($AA56,MAX(0,((YEAR(S$5)-YEAR($AA56))*12+MONTH(S$5)-MONTH($AA56))))&lt;=MIN(S$5+6,$AB56))+(MOD((((YEAR(S$5)-YEAR($AA56))*12+MONTH(S$5)-MONTH($AA56))+1),$Z56)=0)*((((YEAR(S$5)-YEAR($AA56))*12+MONTH(S$5)-MONTH($AA56))+1)&gt;=0)*(EDATE($AA56,MAX(0,(((YEAR(S$5)-YEAR($AA56))*12+MONTH(S$5)-MONTH($AA56))+1)))&gt;=S$5)*(EDATE($AA56,MAX(0,(((YEAR(S$5)-YEAR($AA56))*12+MONTH(S$5)-MONTH($AA56))+1)))&lt;=MIN(S$5+6,$AB56)),($AA56&gt;=S$5)*($AA56&lt;=S$5+6))))</f>
        <v/>
      </c>
      <c r="T56" s="21">
        <f>IF($X56&lt;&gt;1,0,$D56*IF($Y56&gt;0,MAX(0,INT((MIN(T$5+6,$AB56)-$AA56)/$Y56)-MAX(0,-INT(($AA56-T$5)/$Y56))+1),IF($Z56&gt;0,(MOD(((YEAR(T$5)-YEAR($AA56))*12+MONTH(T$5)-MONTH($AA56)),$Z56)=0)*(((YEAR(T$5)-YEAR($AA56))*12+MONTH(T$5)-MONTH($AA56))&gt;=0)*(EDATE($AA56,MAX(0,((YEAR(T$5)-YEAR($AA56))*12+MONTH(T$5)-MONTH($AA56))))&gt;=T$5)*(EDATE($AA56,MAX(0,((YEAR(T$5)-YEAR($AA56))*12+MONTH(T$5)-MONTH($AA56))))&lt;=MIN(T$5+6,$AB56))+(MOD((((YEAR(T$5)-YEAR($AA56))*12+MONTH(T$5)-MONTH($AA56))+1),$Z56)=0)*((((YEAR(T$5)-YEAR($AA56))*12+MONTH(T$5)-MONTH($AA56))+1)&gt;=0)*(EDATE($AA56,MAX(0,(((YEAR(T$5)-YEAR($AA56))*12+MONTH(T$5)-MONTH($AA56))+1)))&gt;=T$5)*(EDATE($AA56,MAX(0,(((YEAR(T$5)-YEAR($AA56))*12+MONTH(T$5)-MONTH($AA56))+1)))&lt;=MIN(T$5+6,$AB56)),($AA56&gt;=T$5)*($AA56&lt;=T$5+6))))</f>
        <v/>
      </c>
      <c r="U56" s="21">
        <f>IF($X56&lt;&gt;1,0,$D56*IF($Y56&gt;0,MAX(0,INT((MIN(U$5+6,$AB56)-$AA56)/$Y56)-MAX(0,-INT(($AA56-U$5)/$Y56))+1),IF($Z56&gt;0,(MOD(((YEAR(U$5)-YEAR($AA56))*12+MONTH(U$5)-MONTH($AA56)),$Z56)=0)*(((YEAR(U$5)-YEAR($AA56))*12+MONTH(U$5)-MONTH($AA56))&gt;=0)*(EDATE($AA56,MAX(0,((YEAR(U$5)-YEAR($AA56))*12+MONTH(U$5)-MONTH($AA56))))&gt;=U$5)*(EDATE($AA56,MAX(0,((YEAR(U$5)-YEAR($AA56))*12+MONTH(U$5)-MONTH($AA56))))&lt;=MIN(U$5+6,$AB56))+(MOD((((YEAR(U$5)-YEAR($AA56))*12+MONTH(U$5)-MONTH($AA56))+1),$Z56)=0)*((((YEAR(U$5)-YEAR($AA56))*12+MONTH(U$5)-MONTH($AA56))+1)&gt;=0)*(EDATE($AA56,MAX(0,(((YEAR(U$5)-YEAR($AA56))*12+MONTH(U$5)-MONTH($AA56))+1)))&gt;=U$5)*(EDATE($AA56,MAX(0,(((YEAR(U$5)-YEAR($AA56))*12+MONTH(U$5)-MONTH($AA56))+1)))&lt;=MIN(U$5+6,$AB56)),($AA56&gt;=U$5)*($AA56&lt;=U$5+6))))</f>
        <v/>
      </c>
      <c r="V56" s="21">
        <f>IF($X56&lt;&gt;1,0,$D56*IF($Y56&gt;0,MAX(0,INT((MIN(V$5+6,$AB56)-$AA56)/$Y56)-MAX(0,-INT(($AA56-V$5)/$Y56))+1),IF($Z56&gt;0,(MOD(((YEAR(V$5)-YEAR($AA56))*12+MONTH(V$5)-MONTH($AA56)),$Z56)=0)*(((YEAR(V$5)-YEAR($AA56))*12+MONTH(V$5)-MONTH($AA56))&gt;=0)*(EDATE($AA56,MAX(0,((YEAR(V$5)-YEAR($AA56))*12+MONTH(V$5)-MONTH($AA56))))&gt;=V$5)*(EDATE($AA56,MAX(0,((YEAR(V$5)-YEAR($AA56))*12+MONTH(V$5)-MONTH($AA56))))&lt;=MIN(V$5+6,$AB56))+(MOD((((YEAR(V$5)-YEAR($AA56))*12+MONTH(V$5)-MONTH($AA56))+1),$Z56)=0)*((((YEAR(V$5)-YEAR($AA56))*12+MONTH(V$5)-MONTH($AA56))+1)&gt;=0)*(EDATE($AA56,MAX(0,(((YEAR(V$5)-YEAR($AA56))*12+MONTH(V$5)-MONTH($AA56))+1)))&gt;=V$5)*(EDATE($AA56,MAX(0,(((YEAR(V$5)-YEAR($AA56))*12+MONTH(V$5)-MONTH($AA56))+1)))&lt;=MIN(V$5+6,$AB56)),($AA56&gt;=V$5)*($AA56&lt;=V$5+6))))</f>
        <v/>
      </c>
      <c r="W56" s="21">
        <f>IF($X56&lt;&gt;1,0,$D56*IF($Y56&gt;0,MAX(0,INT((MIN(W$5+6,$AB56)-$AA56)/$Y56)-MAX(0,-INT(($AA56-W$5)/$Y56))+1),IF($Z56&gt;0,(MOD(((YEAR(W$5)-YEAR($AA56))*12+MONTH(W$5)-MONTH($AA56)),$Z56)=0)*(((YEAR(W$5)-YEAR($AA56))*12+MONTH(W$5)-MONTH($AA56))&gt;=0)*(EDATE($AA56,MAX(0,((YEAR(W$5)-YEAR($AA56))*12+MONTH(W$5)-MONTH($AA56))))&gt;=W$5)*(EDATE($AA56,MAX(0,((YEAR(W$5)-YEAR($AA56))*12+MONTH(W$5)-MONTH($AA56))))&lt;=MIN(W$5+6,$AB56))+(MOD((((YEAR(W$5)-YEAR($AA56))*12+MONTH(W$5)-MONTH($AA56))+1),$Z56)=0)*((((YEAR(W$5)-YEAR($AA56))*12+MONTH(W$5)-MONTH($AA56))+1)&gt;=0)*(EDATE($AA56,MAX(0,(((YEAR(W$5)-YEAR($AA56))*12+MONTH(W$5)-MONTH($AA56))+1)))&gt;=W$5)*(EDATE($AA56,MAX(0,(((YEAR(W$5)-YEAR($AA56))*12+MONTH(W$5)-MONTH($AA56))+1)))&lt;=MIN(W$5+6,$AB56)),($AA56&gt;=W$5)*($AA56&lt;=W$5+6))))</f>
        <v/>
      </c>
      <c r="X56">
        <f>IF(COUNTA(A56:G56)=0,"",IF(AND(OR(B56="In",B56="Out"),ISNUMBER(D56),D56&gt;0,ISNUMBER(MATCH(E56,FreqName,0)),ISNUMBER(F56),OR(G56="",AND(ISNUMBER(G56),G56&gt;=F56))),1,0))</f>
        <v/>
      </c>
      <c r="Y56">
        <f>IF(X56&lt;&gt;1,0,INDEX(FreqDays,MATCH(E56,FreqName,0)))</f>
        <v/>
      </c>
      <c r="Z56">
        <f>IF(X56&lt;&gt;1,0,INDEX(FreqMonths,MATCH(E56,FreqName,0)))</f>
        <v/>
      </c>
      <c r="AA56">
        <f>IF(X56&lt;&gt;1,0,INT(F56))</f>
        <v/>
      </c>
      <c r="AB56">
        <f>IF(X56&lt;&gt;1,0,IF(ISNUMBER(G56),INT(G56),2958465))</f>
        <v/>
      </c>
    </row>
    <row r="57">
      <c r="A57" s="29" t="n"/>
      <c r="B57" s="29" t="n"/>
      <c r="C57" s="29" t="n"/>
      <c r="D57" s="34" t="n"/>
      <c r="E57" s="29" t="n"/>
      <c r="F57" s="24" t="n"/>
      <c r="G57" s="24" t="n"/>
      <c r="H57" s="10">
        <f>IF(X57="","",IF(X57=0,IF(AND(B57&lt;&gt;"In",B57&lt;&gt;"Out"),"Fix: choose In or Out",IF(OR(NOT(ISNUMBER(D57)),N(D57)&lt;=0),"Fix: amount must be a number above 0",IF(NOT(ISNUMBER(MATCH(E57,FreqName,0))),"Fix: choose a frequency",IF(NOT(ISNUMBER(F57)),"Fix: first date missing","Fix: end date must be a date on or after the first date")))),IF(AND(C57&lt;&gt;"",OR(AND(B57="In",ISNUMBER(MATCH(C57,InCats,0))),AND(B57="Out",ISNUMBER(MATCH(C57,OutCats,0))))),"OK","Category not on Settings (counted as Other)")))</f>
        <v/>
      </c>
      <c r="I57" s="35">
        <f>IF(X57&lt;&gt;1,"",ROUND(J57/D57,0))</f>
        <v/>
      </c>
      <c r="J57" s="36">
        <f>SUM(K57:W57)</f>
        <v/>
      </c>
      <c r="K57" s="21">
        <f>IF($X57&lt;&gt;1,0,$D57*IF($Y57&gt;0,MAX(0,INT((MIN(K$5+6,$AB57)-$AA57)/$Y57)-MAX(0,-INT(($AA57-K$5)/$Y57))+1),IF($Z57&gt;0,(MOD(((YEAR(K$5)-YEAR($AA57))*12+MONTH(K$5)-MONTH($AA57)),$Z57)=0)*(((YEAR(K$5)-YEAR($AA57))*12+MONTH(K$5)-MONTH($AA57))&gt;=0)*(EDATE($AA57,MAX(0,((YEAR(K$5)-YEAR($AA57))*12+MONTH(K$5)-MONTH($AA57))))&gt;=K$5)*(EDATE($AA57,MAX(0,((YEAR(K$5)-YEAR($AA57))*12+MONTH(K$5)-MONTH($AA57))))&lt;=MIN(K$5+6,$AB57))+(MOD((((YEAR(K$5)-YEAR($AA57))*12+MONTH(K$5)-MONTH($AA57))+1),$Z57)=0)*((((YEAR(K$5)-YEAR($AA57))*12+MONTH(K$5)-MONTH($AA57))+1)&gt;=0)*(EDATE($AA57,MAX(0,(((YEAR(K$5)-YEAR($AA57))*12+MONTH(K$5)-MONTH($AA57))+1)))&gt;=K$5)*(EDATE($AA57,MAX(0,(((YEAR(K$5)-YEAR($AA57))*12+MONTH(K$5)-MONTH($AA57))+1)))&lt;=MIN(K$5+6,$AB57)),($AA57&gt;=K$5)*($AA57&lt;=K$5+6))))</f>
        <v/>
      </c>
      <c r="L57" s="21">
        <f>IF($X57&lt;&gt;1,0,$D57*IF($Y57&gt;0,MAX(0,INT((MIN(L$5+6,$AB57)-$AA57)/$Y57)-MAX(0,-INT(($AA57-L$5)/$Y57))+1),IF($Z57&gt;0,(MOD(((YEAR(L$5)-YEAR($AA57))*12+MONTH(L$5)-MONTH($AA57)),$Z57)=0)*(((YEAR(L$5)-YEAR($AA57))*12+MONTH(L$5)-MONTH($AA57))&gt;=0)*(EDATE($AA57,MAX(0,((YEAR(L$5)-YEAR($AA57))*12+MONTH(L$5)-MONTH($AA57))))&gt;=L$5)*(EDATE($AA57,MAX(0,((YEAR(L$5)-YEAR($AA57))*12+MONTH(L$5)-MONTH($AA57))))&lt;=MIN(L$5+6,$AB57))+(MOD((((YEAR(L$5)-YEAR($AA57))*12+MONTH(L$5)-MONTH($AA57))+1),$Z57)=0)*((((YEAR(L$5)-YEAR($AA57))*12+MONTH(L$5)-MONTH($AA57))+1)&gt;=0)*(EDATE($AA57,MAX(0,(((YEAR(L$5)-YEAR($AA57))*12+MONTH(L$5)-MONTH($AA57))+1)))&gt;=L$5)*(EDATE($AA57,MAX(0,(((YEAR(L$5)-YEAR($AA57))*12+MONTH(L$5)-MONTH($AA57))+1)))&lt;=MIN(L$5+6,$AB57)),($AA57&gt;=L$5)*($AA57&lt;=L$5+6))))</f>
        <v/>
      </c>
      <c r="M57" s="21">
        <f>IF($X57&lt;&gt;1,0,$D57*IF($Y57&gt;0,MAX(0,INT((MIN(M$5+6,$AB57)-$AA57)/$Y57)-MAX(0,-INT(($AA57-M$5)/$Y57))+1),IF($Z57&gt;0,(MOD(((YEAR(M$5)-YEAR($AA57))*12+MONTH(M$5)-MONTH($AA57)),$Z57)=0)*(((YEAR(M$5)-YEAR($AA57))*12+MONTH(M$5)-MONTH($AA57))&gt;=0)*(EDATE($AA57,MAX(0,((YEAR(M$5)-YEAR($AA57))*12+MONTH(M$5)-MONTH($AA57))))&gt;=M$5)*(EDATE($AA57,MAX(0,((YEAR(M$5)-YEAR($AA57))*12+MONTH(M$5)-MONTH($AA57))))&lt;=MIN(M$5+6,$AB57))+(MOD((((YEAR(M$5)-YEAR($AA57))*12+MONTH(M$5)-MONTH($AA57))+1),$Z57)=0)*((((YEAR(M$5)-YEAR($AA57))*12+MONTH(M$5)-MONTH($AA57))+1)&gt;=0)*(EDATE($AA57,MAX(0,(((YEAR(M$5)-YEAR($AA57))*12+MONTH(M$5)-MONTH($AA57))+1)))&gt;=M$5)*(EDATE($AA57,MAX(0,(((YEAR(M$5)-YEAR($AA57))*12+MONTH(M$5)-MONTH($AA57))+1)))&lt;=MIN(M$5+6,$AB57)),($AA57&gt;=M$5)*($AA57&lt;=M$5+6))))</f>
        <v/>
      </c>
      <c r="N57" s="21">
        <f>IF($X57&lt;&gt;1,0,$D57*IF($Y57&gt;0,MAX(0,INT((MIN(N$5+6,$AB57)-$AA57)/$Y57)-MAX(0,-INT(($AA57-N$5)/$Y57))+1),IF($Z57&gt;0,(MOD(((YEAR(N$5)-YEAR($AA57))*12+MONTH(N$5)-MONTH($AA57)),$Z57)=0)*(((YEAR(N$5)-YEAR($AA57))*12+MONTH(N$5)-MONTH($AA57))&gt;=0)*(EDATE($AA57,MAX(0,((YEAR(N$5)-YEAR($AA57))*12+MONTH(N$5)-MONTH($AA57))))&gt;=N$5)*(EDATE($AA57,MAX(0,((YEAR(N$5)-YEAR($AA57))*12+MONTH(N$5)-MONTH($AA57))))&lt;=MIN(N$5+6,$AB57))+(MOD((((YEAR(N$5)-YEAR($AA57))*12+MONTH(N$5)-MONTH($AA57))+1),$Z57)=0)*((((YEAR(N$5)-YEAR($AA57))*12+MONTH(N$5)-MONTH($AA57))+1)&gt;=0)*(EDATE($AA57,MAX(0,(((YEAR(N$5)-YEAR($AA57))*12+MONTH(N$5)-MONTH($AA57))+1)))&gt;=N$5)*(EDATE($AA57,MAX(0,(((YEAR(N$5)-YEAR($AA57))*12+MONTH(N$5)-MONTH($AA57))+1)))&lt;=MIN(N$5+6,$AB57)),($AA57&gt;=N$5)*($AA57&lt;=N$5+6))))</f>
        <v/>
      </c>
      <c r="O57" s="21">
        <f>IF($X57&lt;&gt;1,0,$D57*IF($Y57&gt;0,MAX(0,INT((MIN(O$5+6,$AB57)-$AA57)/$Y57)-MAX(0,-INT(($AA57-O$5)/$Y57))+1),IF($Z57&gt;0,(MOD(((YEAR(O$5)-YEAR($AA57))*12+MONTH(O$5)-MONTH($AA57)),$Z57)=0)*(((YEAR(O$5)-YEAR($AA57))*12+MONTH(O$5)-MONTH($AA57))&gt;=0)*(EDATE($AA57,MAX(0,((YEAR(O$5)-YEAR($AA57))*12+MONTH(O$5)-MONTH($AA57))))&gt;=O$5)*(EDATE($AA57,MAX(0,((YEAR(O$5)-YEAR($AA57))*12+MONTH(O$5)-MONTH($AA57))))&lt;=MIN(O$5+6,$AB57))+(MOD((((YEAR(O$5)-YEAR($AA57))*12+MONTH(O$5)-MONTH($AA57))+1),$Z57)=0)*((((YEAR(O$5)-YEAR($AA57))*12+MONTH(O$5)-MONTH($AA57))+1)&gt;=0)*(EDATE($AA57,MAX(0,(((YEAR(O$5)-YEAR($AA57))*12+MONTH(O$5)-MONTH($AA57))+1)))&gt;=O$5)*(EDATE($AA57,MAX(0,(((YEAR(O$5)-YEAR($AA57))*12+MONTH(O$5)-MONTH($AA57))+1)))&lt;=MIN(O$5+6,$AB57)),($AA57&gt;=O$5)*($AA57&lt;=O$5+6))))</f>
        <v/>
      </c>
      <c r="P57" s="21">
        <f>IF($X57&lt;&gt;1,0,$D57*IF($Y57&gt;0,MAX(0,INT((MIN(P$5+6,$AB57)-$AA57)/$Y57)-MAX(0,-INT(($AA57-P$5)/$Y57))+1),IF($Z57&gt;0,(MOD(((YEAR(P$5)-YEAR($AA57))*12+MONTH(P$5)-MONTH($AA57)),$Z57)=0)*(((YEAR(P$5)-YEAR($AA57))*12+MONTH(P$5)-MONTH($AA57))&gt;=0)*(EDATE($AA57,MAX(0,((YEAR(P$5)-YEAR($AA57))*12+MONTH(P$5)-MONTH($AA57))))&gt;=P$5)*(EDATE($AA57,MAX(0,((YEAR(P$5)-YEAR($AA57))*12+MONTH(P$5)-MONTH($AA57))))&lt;=MIN(P$5+6,$AB57))+(MOD((((YEAR(P$5)-YEAR($AA57))*12+MONTH(P$5)-MONTH($AA57))+1),$Z57)=0)*((((YEAR(P$5)-YEAR($AA57))*12+MONTH(P$5)-MONTH($AA57))+1)&gt;=0)*(EDATE($AA57,MAX(0,(((YEAR(P$5)-YEAR($AA57))*12+MONTH(P$5)-MONTH($AA57))+1)))&gt;=P$5)*(EDATE($AA57,MAX(0,(((YEAR(P$5)-YEAR($AA57))*12+MONTH(P$5)-MONTH($AA57))+1)))&lt;=MIN(P$5+6,$AB57)),($AA57&gt;=P$5)*($AA57&lt;=P$5+6))))</f>
        <v/>
      </c>
      <c r="Q57" s="21">
        <f>IF($X57&lt;&gt;1,0,$D57*IF($Y57&gt;0,MAX(0,INT((MIN(Q$5+6,$AB57)-$AA57)/$Y57)-MAX(0,-INT(($AA57-Q$5)/$Y57))+1),IF($Z57&gt;0,(MOD(((YEAR(Q$5)-YEAR($AA57))*12+MONTH(Q$5)-MONTH($AA57)),$Z57)=0)*(((YEAR(Q$5)-YEAR($AA57))*12+MONTH(Q$5)-MONTH($AA57))&gt;=0)*(EDATE($AA57,MAX(0,((YEAR(Q$5)-YEAR($AA57))*12+MONTH(Q$5)-MONTH($AA57))))&gt;=Q$5)*(EDATE($AA57,MAX(0,((YEAR(Q$5)-YEAR($AA57))*12+MONTH(Q$5)-MONTH($AA57))))&lt;=MIN(Q$5+6,$AB57))+(MOD((((YEAR(Q$5)-YEAR($AA57))*12+MONTH(Q$5)-MONTH($AA57))+1),$Z57)=0)*((((YEAR(Q$5)-YEAR($AA57))*12+MONTH(Q$5)-MONTH($AA57))+1)&gt;=0)*(EDATE($AA57,MAX(0,(((YEAR(Q$5)-YEAR($AA57))*12+MONTH(Q$5)-MONTH($AA57))+1)))&gt;=Q$5)*(EDATE($AA57,MAX(0,(((YEAR(Q$5)-YEAR($AA57))*12+MONTH(Q$5)-MONTH($AA57))+1)))&lt;=MIN(Q$5+6,$AB57)),($AA57&gt;=Q$5)*($AA57&lt;=Q$5+6))))</f>
        <v/>
      </c>
      <c r="R57" s="21">
        <f>IF($X57&lt;&gt;1,0,$D57*IF($Y57&gt;0,MAX(0,INT((MIN(R$5+6,$AB57)-$AA57)/$Y57)-MAX(0,-INT(($AA57-R$5)/$Y57))+1),IF($Z57&gt;0,(MOD(((YEAR(R$5)-YEAR($AA57))*12+MONTH(R$5)-MONTH($AA57)),$Z57)=0)*(((YEAR(R$5)-YEAR($AA57))*12+MONTH(R$5)-MONTH($AA57))&gt;=0)*(EDATE($AA57,MAX(0,((YEAR(R$5)-YEAR($AA57))*12+MONTH(R$5)-MONTH($AA57))))&gt;=R$5)*(EDATE($AA57,MAX(0,((YEAR(R$5)-YEAR($AA57))*12+MONTH(R$5)-MONTH($AA57))))&lt;=MIN(R$5+6,$AB57))+(MOD((((YEAR(R$5)-YEAR($AA57))*12+MONTH(R$5)-MONTH($AA57))+1),$Z57)=0)*((((YEAR(R$5)-YEAR($AA57))*12+MONTH(R$5)-MONTH($AA57))+1)&gt;=0)*(EDATE($AA57,MAX(0,(((YEAR(R$5)-YEAR($AA57))*12+MONTH(R$5)-MONTH($AA57))+1)))&gt;=R$5)*(EDATE($AA57,MAX(0,(((YEAR(R$5)-YEAR($AA57))*12+MONTH(R$5)-MONTH($AA57))+1)))&lt;=MIN(R$5+6,$AB57)),($AA57&gt;=R$5)*($AA57&lt;=R$5+6))))</f>
        <v/>
      </c>
      <c r="S57" s="21">
        <f>IF($X57&lt;&gt;1,0,$D57*IF($Y57&gt;0,MAX(0,INT((MIN(S$5+6,$AB57)-$AA57)/$Y57)-MAX(0,-INT(($AA57-S$5)/$Y57))+1),IF($Z57&gt;0,(MOD(((YEAR(S$5)-YEAR($AA57))*12+MONTH(S$5)-MONTH($AA57)),$Z57)=0)*(((YEAR(S$5)-YEAR($AA57))*12+MONTH(S$5)-MONTH($AA57))&gt;=0)*(EDATE($AA57,MAX(0,((YEAR(S$5)-YEAR($AA57))*12+MONTH(S$5)-MONTH($AA57))))&gt;=S$5)*(EDATE($AA57,MAX(0,((YEAR(S$5)-YEAR($AA57))*12+MONTH(S$5)-MONTH($AA57))))&lt;=MIN(S$5+6,$AB57))+(MOD((((YEAR(S$5)-YEAR($AA57))*12+MONTH(S$5)-MONTH($AA57))+1),$Z57)=0)*((((YEAR(S$5)-YEAR($AA57))*12+MONTH(S$5)-MONTH($AA57))+1)&gt;=0)*(EDATE($AA57,MAX(0,(((YEAR(S$5)-YEAR($AA57))*12+MONTH(S$5)-MONTH($AA57))+1)))&gt;=S$5)*(EDATE($AA57,MAX(0,(((YEAR(S$5)-YEAR($AA57))*12+MONTH(S$5)-MONTH($AA57))+1)))&lt;=MIN(S$5+6,$AB57)),($AA57&gt;=S$5)*($AA57&lt;=S$5+6))))</f>
        <v/>
      </c>
      <c r="T57" s="21">
        <f>IF($X57&lt;&gt;1,0,$D57*IF($Y57&gt;0,MAX(0,INT((MIN(T$5+6,$AB57)-$AA57)/$Y57)-MAX(0,-INT(($AA57-T$5)/$Y57))+1),IF($Z57&gt;0,(MOD(((YEAR(T$5)-YEAR($AA57))*12+MONTH(T$5)-MONTH($AA57)),$Z57)=0)*(((YEAR(T$5)-YEAR($AA57))*12+MONTH(T$5)-MONTH($AA57))&gt;=0)*(EDATE($AA57,MAX(0,((YEAR(T$5)-YEAR($AA57))*12+MONTH(T$5)-MONTH($AA57))))&gt;=T$5)*(EDATE($AA57,MAX(0,((YEAR(T$5)-YEAR($AA57))*12+MONTH(T$5)-MONTH($AA57))))&lt;=MIN(T$5+6,$AB57))+(MOD((((YEAR(T$5)-YEAR($AA57))*12+MONTH(T$5)-MONTH($AA57))+1),$Z57)=0)*((((YEAR(T$5)-YEAR($AA57))*12+MONTH(T$5)-MONTH($AA57))+1)&gt;=0)*(EDATE($AA57,MAX(0,(((YEAR(T$5)-YEAR($AA57))*12+MONTH(T$5)-MONTH($AA57))+1)))&gt;=T$5)*(EDATE($AA57,MAX(0,(((YEAR(T$5)-YEAR($AA57))*12+MONTH(T$5)-MONTH($AA57))+1)))&lt;=MIN(T$5+6,$AB57)),($AA57&gt;=T$5)*($AA57&lt;=T$5+6))))</f>
        <v/>
      </c>
      <c r="U57" s="21">
        <f>IF($X57&lt;&gt;1,0,$D57*IF($Y57&gt;0,MAX(0,INT((MIN(U$5+6,$AB57)-$AA57)/$Y57)-MAX(0,-INT(($AA57-U$5)/$Y57))+1),IF($Z57&gt;0,(MOD(((YEAR(U$5)-YEAR($AA57))*12+MONTH(U$5)-MONTH($AA57)),$Z57)=0)*(((YEAR(U$5)-YEAR($AA57))*12+MONTH(U$5)-MONTH($AA57))&gt;=0)*(EDATE($AA57,MAX(0,((YEAR(U$5)-YEAR($AA57))*12+MONTH(U$5)-MONTH($AA57))))&gt;=U$5)*(EDATE($AA57,MAX(0,((YEAR(U$5)-YEAR($AA57))*12+MONTH(U$5)-MONTH($AA57))))&lt;=MIN(U$5+6,$AB57))+(MOD((((YEAR(U$5)-YEAR($AA57))*12+MONTH(U$5)-MONTH($AA57))+1),$Z57)=0)*((((YEAR(U$5)-YEAR($AA57))*12+MONTH(U$5)-MONTH($AA57))+1)&gt;=0)*(EDATE($AA57,MAX(0,(((YEAR(U$5)-YEAR($AA57))*12+MONTH(U$5)-MONTH($AA57))+1)))&gt;=U$5)*(EDATE($AA57,MAX(0,(((YEAR(U$5)-YEAR($AA57))*12+MONTH(U$5)-MONTH($AA57))+1)))&lt;=MIN(U$5+6,$AB57)),($AA57&gt;=U$5)*($AA57&lt;=U$5+6))))</f>
        <v/>
      </c>
      <c r="V57" s="21">
        <f>IF($X57&lt;&gt;1,0,$D57*IF($Y57&gt;0,MAX(0,INT((MIN(V$5+6,$AB57)-$AA57)/$Y57)-MAX(0,-INT(($AA57-V$5)/$Y57))+1),IF($Z57&gt;0,(MOD(((YEAR(V$5)-YEAR($AA57))*12+MONTH(V$5)-MONTH($AA57)),$Z57)=0)*(((YEAR(V$5)-YEAR($AA57))*12+MONTH(V$5)-MONTH($AA57))&gt;=0)*(EDATE($AA57,MAX(0,((YEAR(V$5)-YEAR($AA57))*12+MONTH(V$5)-MONTH($AA57))))&gt;=V$5)*(EDATE($AA57,MAX(0,((YEAR(V$5)-YEAR($AA57))*12+MONTH(V$5)-MONTH($AA57))))&lt;=MIN(V$5+6,$AB57))+(MOD((((YEAR(V$5)-YEAR($AA57))*12+MONTH(V$5)-MONTH($AA57))+1),$Z57)=0)*((((YEAR(V$5)-YEAR($AA57))*12+MONTH(V$5)-MONTH($AA57))+1)&gt;=0)*(EDATE($AA57,MAX(0,(((YEAR(V$5)-YEAR($AA57))*12+MONTH(V$5)-MONTH($AA57))+1)))&gt;=V$5)*(EDATE($AA57,MAX(0,(((YEAR(V$5)-YEAR($AA57))*12+MONTH(V$5)-MONTH($AA57))+1)))&lt;=MIN(V$5+6,$AB57)),($AA57&gt;=V$5)*($AA57&lt;=V$5+6))))</f>
        <v/>
      </c>
      <c r="W57" s="21">
        <f>IF($X57&lt;&gt;1,0,$D57*IF($Y57&gt;0,MAX(0,INT((MIN(W$5+6,$AB57)-$AA57)/$Y57)-MAX(0,-INT(($AA57-W$5)/$Y57))+1),IF($Z57&gt;0,(MOD(((YEAR(W$5)-YEAR($AA57))*12+MONTH(W$5)-MONTH($AA57)),$Z57)=0)*(((YEAR(W$5)-YEAR($AA57))*12+MONTH(W$5)-MONTH($AA57))&gt;=0)*(EDATE($AA57,MAX(0,((YEAR(W$5)-YEAR($AA57))*12+MONTH(W$5)-MONTH($AA57))))&gt;=W$5)*(EDATE($AA57,MAX(0,((YEAR(W$5)-YEAR($AA57))*12+MONTH(W$5)-MONTH($AA57))))&lt;=MIN(W$5+6,$AB57))+(MOD((((YEAR(W$5)-YEAR($AA57))*12+MONTH(W$5)-MONTH($AA57))+1),$Z57)=0)*((((YEAR(W$5)-YEAR($AA57))*12+MONTH(W$5)-MONTH($AA57))+1)&gt;=0)*(EDATE($AA57,MAX(0,(((YEAR(W$5)-YEAR($AA57))*12+MONTH(W$5)-MONTH($AA57))+1)))&gt;=W$5)*(EDATE($AA57,MAX(0,(((YEAR(W$5)-YEAR($AA57))*12+MONTH(W$5)-MONTH($AA57))+1)))&lt;=MIN(W$5+6,$AB57)),($AA57&gt;=W$5)*($AA57&lt;=W$5+6))))</f>
        <v/>
      </c>
      <c r="X57">
        <f>IF(COUNTA(A57:G57)=0,"",IF(AND(OR(B57="In",B57="Out"),ISNUMBER(D57),D57&gt;0,ISNUMBER(MATCH(E57,FreqName,0)),ISNUMBER(F57),OR(G57="",AND(ISNUMBER(G57),G57&gt;=F57))),1,0))</f>
        <v/>
      </c>
      <c r="Y57">
        <f>IF(X57&lt;&gt;1,0,INDEX(FreqDays,MATCH(E57,FreqName,0)))</f>
        <v/>
      </c>
      <c r="Z57">
        <f>IF(X57&lt;&gt;1,0,INDEX(FreqMonths,MATCH(E57,FreqName,0)))</f>
        <v/>
      </c>
      <c r="AA57">
        <f>IF(X57&lt;&gt;1,0,INT(F57))</f>
        <v/>
      </c>
      <c r="AB57">
        <f>IF(X57&lt;&gt;1,0,IF(ISNUMBER(G57),INT(G57),2958465))</f>
        <v/>
      </c>
    </row>
    <row r="58">
      <c r="A58" s="29" t="n"/>
      <c r="B58" s="29" t="n"/>
      <c r="C58" s="29" t="n"/>
      <c r="D58" s="34" t="n"/>
      <c r="E58" s="29" t="n"/>
      <c r="F58" s="24" t="n"/>
      <c r="G58" s="24" t="n"/>
      <c r="H58" s="10">
        <f>IF(X58="","",IF(X58=0,IF(AND(B58&lt;&gt;"In",B58&lt;&gt;"Out"),"Fix: choose In or Out",IF(OR(NOT(ISNUMBER(D58)),N(D58)&lt;=0),"Fix: amount must be a number above 0",IF(NOT(ISNUMBER(MATCH(E58,FreqName,0))),"Fix: choose a frequency",IF(NOT(ISNUMBER(F58)),"Fix: first date missing","Fix: end date must be a date on or after the first date")))),IF(AND(C58&lt;&gt;"",OR(AND(B58="In",ISNUMBER(MATCH(C58,InCats,0))),AND(B58="Out",ISNUMBER(MATCH(C58,OutCats,0))))),"OK","Category not on Settings (counted as Other)")))</f>
        <v/>
      </c>
      <c r="I58" s="35">
        <f>IF(X58&lt;&gt;1,"",ROUND(J58/D58,0))</f>
        <v/>
      </c>
      <c r="J58" s="36">
        <f>SUM(K58:W58)</f>
        <v/>
      </c>
      <c r="K58" s="21">
        <f>IF($X58&lt;&gt;1,0,$D58*IF($Y58&gt;0,MAX(0,INT((MIN(K$5+6,$AB58)-$AA58)/$Y58)-MAX(0,-INT(($AA58-K$5)/$Y58))+1),IF($Z58&gt;0,(MOD(((YEAR(K$5)-YEAR($AA58))*12+MONTH(K$5)-MONTH($AA58)),$Z58)=0)*(((YEAR(K$5)-YEAR($AA58))*12+MONTH(K$5)-MONTH($AA58))&gt;=0)*(EDATE($AA58,MAX(0,((YEAR(K$5)-YEAR($AA58))*12+MONTH(K$5)-MONTH($AA58))))&gt;=K$5)*(EDATE($AA58,MAX(0,((YEAR(K$5)-YEAR($AA58))*12+MONTH(K$5)-MONTH($AA58))))&lt;=MIN(K$5+6,$AB58))+(MOD((((YEAR(K$5)-YEAR($AA58))*12+MONTH(K$5)-MONTH($AA58))+1),$Z58)=0)*((((YEAR(K$5)-YEAR($AA58))*12+MONTH(K$5)-MONTH($AA58))+1)&gt;=0)*(EDATE($AA58,MAX(0,(((YEAR(K$5)-YEAR($AA58))*12+MONTH(K$5)-MONTH($AA58))+1)))&gt;=K$5)*(EDATE($AA58,MAX(0,(((YEAR(K$5)-YEAR($AA58))*12+MONTH(K$5)-MONTH($AA58))+1)))&lt;=MIN(K$5+6,$AB58)),($AA58&gt;=K$5)*($AA58&lt;=K$5+6))))</f>
        <v/>
      </c>
      <c r="L58" s="21">
        <f>IF($X58&lt;&gt;1,0,$D58*IF($Y58&gt;0,MAX(0,INT((MIN(L$5+6,$AB58)-$AA58)/$Y58)-MAX(0,-INT(($AA58-L$5)/$Y58))+1),IF($Z58&gt;0,(MOD(((YEAR(L$5)-YEAR($AA58))*12+MONTH(L$5)-MONTH($AA58)),$Z58)=0)*(((YEAR(L$5)-YEAR($AA58))*12+MONTH(L$5)-MONTH($AA58))&gt;=0)*(EDATE($AA58,MAX(0,((YEAR(L$5)-YEAR($AA58))*12+MONTH(L$5)-MONTH($AA58))))&gt;=L$5)*(EDATE($AA58,MAX(0,((YEAR(L$5)-YEAR($AA58))*12+MONTH(L$5)-MONTH($AA58))))&lt;=MIN(L$5+6,$AB58))+(MOD((((YEAR(L$5)-YEAR($AA58))*12+MONTH(L$5)-MONTH($AA58))+1),$Z58)=0)*((((YEAR(L$5)-YEAR($AA58))*12+MONTH(L$5)-MONTH($AA58))+1)&gt;=0)*(EDATE($AA58,MAX(0,(((YEAR(L$5)-YEAR($AA58))*12+MONTH(L$5)-MONTH($AA58))+1)))&gt;=L$5)*(EDATE($AA58,MAX(0,(((YEAR(L$5)-YEAR($AA58))*12+MONTH(L$5)-MONTH($AA58))+1)))&lt;=MIN(L$5+6,$AB58)),($AA58&gt;=L$5)*($AA58&lt;=L$5+6))))</f>
        <v/>
      </c>
      <c r="M58" s="21">
        <f>IF($X58&lt;&gt;1,0,$D58*IF($Y58&gt;0,MAX(0,INT((MIN(M$5+6,$AB58)-$AA58)/$Y58)-MAX(0,-INT(($AA58-M$5)/$Y58))+1),IF($Z58&gt;0,(MOD(((YEAR(M$5)-YEAR($AA58))*12+MONTH(M$5)-MONTH($AA58)),$Z58)=0)*(((YEAR(M$5)-YEAR($AA58))*12+MONTH(M$5)-MONTH($AA58))&gt;=0)*(EDATE($AA58,MAX(0,((YEAR(M$5)-YEAR($AA58))*12+MONTH(M$5)-MONTH($AA58))))&gt;=M$5)*(EDATE($AA58,MAX(0,((YEAR(M$5)-YEAR($AA58))*12+MONTH(M$5)-MONTH($AA58))))&lt;=MIN(M$5+6,$AB58))+(MOD((((YEAR(M$5)-YEAR($AA58))*12+MONTH(M$5)-MONTH($AA58))+1),$Z58)=0)*((((YEAR(M$5)-YEAR($AA58))*12+MONTH(M$5)-MONTH($AA58))+1)&gt;=0)*(EDATE($AA58,MAX(0,(((YEAR(M$5)-YEAR($AA58))*12+MONTH(M$5)-MONTH($AA58))+1)))&gt;=M$5)*(EDATE($AA58,MAX(0,(((YEAR(M$5)-YEAR($AA58))*12+MONTH(M$5)-MONTH($AA58))+1)))&lt;=MIN(M$5+6,$AB58)),($AA58&gt;=M$5)*($AA58&lt;=M$5+6))))</f>
        <v/>
      </c>
      <c r="N58" s="21">
        <f>IF($X58&lt;&gt;1,0,$D58*IF($Y58&gt;0,MAX(0,INT((MIN(N$5+6,$AB58)-$AA58)/$Y58)-MAX(0,-INT(($AA58-N$5)/$Y58))+1),IF($Z58&gt;0,(MOD(((YEAR(N$5)-YEAR($AA58))*12+MONTH(N$5)-MONTH($AA58)),$Z58)=0)*(((YEAR(N$5)-YEAR($AA58))*12+MONTH(N$5)-MONTH($AA58))&gt;=0)*(EDATE($AA58,MAX(0,((YEAR(N$5)-YEAR($AA58))*12+MONTH(N$5)-MONTH($AA58))))&gt;=N$5)*(EDATE($AA58,MAX(0,((YEAR(N$5)-YEAR($AA58))*12+MONTH(N$5)-MONTH($AA58))))&lt;=MIN(N$5+6,$AB58))+(MOD((((YEAR(N$5)-YEAR($AA58))*12+MONTH(N$5)-MONTH($AA58))+1),$Z58)=0)*((((YEAR(N$5)-YEAR($AA58))*12+MONTH(N$5)-MONTH($AA58))+1)&gt;=0)*(EDATE($AA58,MAX(0,(((YEAR(N$5)-YEAR($AA58))*12+MONTH(N$5)-MONTH($AA58))+1)))&gt;=N$5)*(EDATE($AA58,MAX(0,(((YEAR(N$5)-YEAR($AA58))*12+MONTH(N$5)-MONTH($AA58))+1)))&lt;=MIN(N$5+6,$AB58)),($AA58&gt;=N$5)*($AA58&lt;=N$5+6))))</f>
        <v/>
      </c>
      <c r="O58" s="21">
        <f>IF($X58&lt;&gt;1,0,$D58*IF($Y58&gt;0,MAX(0,INT((MIN(O$5+6,$AB58)-$AA58)/$Y58)-MAX(0,-INT(($AA58-O$5)/$Y58))+1),IF($Z58&gt;0,(MOD(((YEAR(O$5)-YEAR($AA58))*12+MONTH(O$5)-MONTH($AA58)),$Z58)=0)*(((YEAR(O$5)-YEAR($AA58))*12+MONTH(O$5)-MONTH($AA58))&gt;=0)*(EDATE($AA58,MAX(0,((YEAR(O$5)-YEAR($AA58))*12+MONTH(O$5)-MONTH($AA58))))&gt;=O$5)*(EDATE($AA58,MAX(0,((YEAR(O$5)-YEAR($AA58))*12+MONTH(O$5)-MONTH($AA58))))&lt;=MIN(O$5+6,$AB58))+(MOD((((YEAR(O$5)-YEAR($AA58))*12+MONTH(O$5)-MONTH($AA58))+1),$Z58)=0)*((((YEAR(O$5)-YEAR($AA58))*12+MONTH(O$5)-MONTH($AA58))+1)&gt;=0)*(EDATE($AA58,MAX(0,(((YEAR(O$5)-YEAR($AA58))*12+MONTH(O$5)-MONTH($AA58))+1)))&gt;=O$5)*(EDATE($AA58,MAX(0,(((YEAR(O$5)-YEAR($AA58))*12+MONTH(O$5)-MONTH($AA58))+1)))&lt;=MIN(O$5+6,$AB58)),($AA58&gt;=O$5)*($AA58&lt;=O$5+6))))</f>
        <v/>
      </c>
      <c r="P58" s="21">
        <f>IF($X58&lt;&gt;1,0,$D58*IF($Y58&gt;0,MAX(0,INT((MIN(P$5+6,$AB58)-$AA58)/$Y58)-MAX(0,-INT(($AA58-P$5)/$Y58))+1),IF($Z58&gt;0,(MOD(((YEAR(P$5)-YEAR($AA58))*12+MONTH(P$5)-MONTH($AA58)),$Z58)=0)*(((YEAR(P$5)-YEAR($AA58))*12+MONTH(P$5)-MONTH($AA58))&gt;=0)*(EDATE($AA58,MAX(0,((YEAR(P$5)-YEAR($AA58))*12+MONTH(P$5)-MONTH($AA58))))&gt;=P$5)*(EDATE($AA58,MAX(0,((YEAR(P$5)-YEAR($AA58))*12+MONTH(P$5)-MONTH($AA58))))&lt;=MIN(P$5+6,$AB58))+(MOD((((YEAR(P$5)-YEAR($AA58))*12+MONTH(P$5)-MONTH($AA58))+1),$Z58)=0)*((((YEAR(P$5)-YEAR($AA58))*12+MONTH(P$5)-MONTH($AA58))+1)&gt;=0)*(EDATE($AA58,MAX(0,(((YEAR(P$5)-YEAR($AA58))*12+MONTH(P$5)-MONTH($AA58))+1)))&gt;=P$5)*(EDATE($AA58,MAX(0,(((YEAR(P$5)-YEAR($AA58))*12+MONTH(P$5)-MONTH($AA58))+1)))&lt;=MIN(P$5+6,$AB58)),($AA58&gt;=P$5)*($AA58&lt;=P$5+6))))</f>
        <v/>
      </c>
      <c r="Q58" s="21">
        <f>IF($X58&lt;&gt;1,0,$D58*IF($Y58&gt;0,MAX(0,INT((MIN(Q$5+6,$AB58)-$AA58)/$Y58)-MAX(0,-INT(($AA58-Q$5)/$Y58))+1),IF($Z58&gt;0,(MOD(((YEAR(Q$5)-YEAR($AA58))*12+MONTH(Q$5)-MONTH($AA58)),$Z58)=0)*(((YEAR(Q$5)-YEAR($AA58))*12+MONTH(Q$5)-MONTH($AA58))&gt;=0)*(EDATE($AA58,MAX(0,((YEAR(Q$5)-YEAR($AA58))*12+MONTH(Q$5)-MONTH($AA58))))&gt;=Q$5)*(EDATE($AA58,MAX(0,((YEAR(Q$5)-YEAR($AA58))*12+MONTH(Q$5)-MONTH($AA58))))&lt;=MIN(Q$5+6,$AB58))+(MOD((((YEAR(Q$5)-YEAR($AA58))*12+MONTH(Q$5)-MONTH($AA58))+1),$Z58)=0)*((((YEAR(Q$5)-YEAR($AA58))*12+MONTH(Q$5)-MONTH($AA58))+1)&gt;=0)*(EDATE($AA58,MAX(0,(((YEAR(Q$5)-YEAR($AA58))*12+MONTH(Q$5)-MONTH($AA58))+1)))&gt;=Q$5)*(EDATE($AA58,MAX(0,(((YEAR(Q$5)-YEAR($AA58))*12+MONTH(Q$5)-MONTH($AA58))+1)))&lt;=MIN(Q$5+6,$AB58)),($AA58&gt;=Q$5)*($AA58&lt;=Q$5+6))))</f>
        <v/>
      </c>
      <c r="R58" s="21">
        <f>IF($X58&lt;&gt;1,0,$D58*IF($Y58&gt;0,MAX(0,INT((MIN(R$5+6,$AB58)-$AA58)/$Y58)-MAX(0,-INT(($AA58-R$5)/$Y58))+1),IF($Z58&gt;0,(MOD(((YEAR(R$5)-YEAR($AA58))*12+MONTH(R$5)-MONTH($AA58)),$Z58)=0)*(((YEAR(R$5)-YEAR($AA58))*12+MONTH(R$5)-MONTH($AA58))&gt;=0)*(EDATE($AA58,MAX(0,((YEAR(R$5)-YEAR($AA58))*12+MONTH(R$5)-MONTH($AA58))))&gt;=R$5)*(EDATE($AA58,MAX(0,((YEAR(R$5)-YEAR($AA58))*12+MONTH(R$5)-MONTH($AA58))))&lt;=MIN(R$5+6,$AB58))+(MOD((((YEAR(R$5)-YEAR($AA58))*12+MONTH(R$5)-MONTH($AA58))+1),$Z58)=0)*((((YEAR(R$5)-YEAR($AA58))*12+MONTH(R$5)-MONTH($AA58))+1)&gt;=0)*(EDATE($AA58,MAX(0,(((YEAR(R$5)-YEAR($AA58))*12+MONTH(R$5)-MONTH($AA58))+1)))&gt;=R$5)*(EDATE($AA58,MAX(0,(((YEAR(R$5)-YEAR($AA58))*12+MONTH(R$5)-MONTH($AA58))+1)))&lt;=MIN(R$5+6,$AB58)),($AA58&gt;=R$5)*($AA58&lt;=R$5+6))))</f>
        <v/>
      </c>
      <c r="S58" s="21">
        <f>IF($X58&lt;&gt;1,0,$D58*IF($Y58&gt;0,MAX(0,INT((MIN(S$5+6,$AB58)-$AA58)/$Y58)-MAX(0,-INT(($AA58-S$5)/$Y58))+1),IF($Z58&gt;0,(MOD(((YEAR(S$5)-YEAR($AA58))*12+MONTH(S$5)-MONTH($AA58)),$Z58)=0)*(((YEAR(S$5)-YEAR($AA58))*12+MONTH(S$5)-MONTH($AA58))&gt;=0)*(EDATE($AA58,MAX(0,((YEAR(S$5)-YEAR($AA58))*12+MONTH(S$5)-MONTH($AA58))))&gt;=S$5)*(EDATE($AA58,MAX(0,((YEAR(S$5)-YEAR($AA58))*12+MONTH(S$5)-MONTH($AA58))))&lt;=MIN(S$5+6,$AB58))+(MOD((((YEAR(S$5)-YEAR($AA58))*12+MONTH(S$5)-MONTH($AA58))+1),$Z58)=0)*((((YEAR(S$5)-YEAR($AA58))*12+MONTH(S$5)-MONTH($AA58))+1)&gt;=0)*(EDATE($AA58,MAX(0,(((YEAR(S$5)-YEAR($AA58))*12+MONTH(S$5)-MONTH($AA58))+1)))&gt;=S$5)*(EDATE($AA58,MAX(0,(((YEAR(S$5)-YEAR($AA58))*12+MONTH(S$5)-MONTH($AA58))+1)))&lt;=MIN(S$5+6,$AB58)),($AA58&gt;=S$5)*($AA58&lt;=S$5+6))))</f>
        <v/>
      </c>
      <c r="T58" s="21">
        <f>IF($X58&lt;&gt;1,0,$D58*IF($Y58&gt;0,MAX(0,INT((MIN(T$5+6,$AB58)-$AA58)/$Y58)-MAX(0,-INT(($AA58-T$5)/$Y58))+1),IF($Z58&gt;0,(MOD(((YEAR(T$5)-YEAR($AA58))*12+MONTH(T$5)-MONTH($AA58)),$Z58)=0)*(((YEAR(T$5)-YEAR($AA58))*12+MONTH(T$5)-MONTH($AA58))&gt;=0)*(EDATE($AA58,MAX(0,((YEAR(T$5)-YEAR($AA58))*12+MONTH(T$5)-MONTH($AA58))))&gt;=T$5)*(EDATE($AA58,MAX(0,((YEAR(T$5)-YEAR($AA58))*12+MONTH(T$5)-MONTH($AA58))))&lt;=MIN(T$5+6,$AB58))+(MOD((((YEAR(T$5)-YEAR($AA58))*12+MONTH(T$5)-MONTH($AA58))+1),$Z58)=0)*((((YEAR(T$5)-YEAR($AA58))*12+MONTH(T$5)-MONTH($AA58))+1)&gt;=0)*(EDATE($AA58,MAX(0,(((YEAR(T$5)-YEAR($AA58))*12+MONTH(T$5)-MONTH($AA58))+1)))&gt;=T$5)*(EDATE($AA58,MAX(0,(((YEAR(T$5)-YEAR($AA58))*12+MONTH(T$5)-MONTH($AA58))+1)))&lt;=MIN(T$5+6,$AB58)),($AA58&gt;=T$5)*($AA58&lt;=T$5+6))))</f>
        <v/>
      </c>
      <c r="U58" s="21">
        <f>IF($X58&lt;&gt;1,0,$D58*IF($Y58&gt;0,MAX(0,INT((MIN(U$5+6,$AB58)-$AA58)/$Y58)-MAX(0,-INT(($AA58-U$5)/$Y58))+1),IF($Z58&gt;0,(MOD(((YEAR(U$5)-YEAR($AA58))*12+MONTH(U$5)-MONTH($AA58)),$Z58)=0)*(((YEAR(U$5)-YEAR($AA58))*12+MONTH(U$5)-MONTH($AA58))&gt;=0)*(EDATE($AA58,MAX(0,((YEAR(U$5)-YEAR($AA58))*12+MONTH(U$5)-MONTH($AA58))))&gt;=U$5)*(EDATE($AA58,MAX(0,((YEAR(U$5)-YEAR($AA58))*12+MONTH(U$5)-MONTH($AA58))))&lt;=MIN(U$5+6,$AB58))+(MOD((((YEAR(U$5)-YEAR($AA58))*12+MONTH(U$5)-MONTH($AA58))+1),$Z58)=0)*((((YEAR(U$5)-YEAR($AA58))*12+MONTH(U$5)-MONTH($AA58))+1)&gt;=0)*(EDATE($AA58,MAX(0,(((YEAR(U$5)-YEAR($AA58))*12+MONTH(U$5)-MONTH($AA58))+1)))&gt;=U$5)*(EDATE($AA58,MAX(0,(((YEAR(U$5)-YEAR($AA58))*12+MONTH(U$5)-MONTH($AA58))+1)))&lt;=MIN(U$5+6,$AB58)),($AA58&gt;=U$5)*($AA58&lt;=U$5+6))))</f>
        <v/>
      </c>
      <c r="V58" s="21">
        <f>IF($X58&lt;&gt;1,0,$D58*IF($Y58&gt;0,MAX(0,INT((MIN(V$5+6,$AB58)-$AA58)/$Y58)-MAX(0,-INT(($AA58-V$5)/$Y58))+1),IF($Z58&gt;0,(MOD(((YEAR(V$5)-YEAR($AA58))*12+MONTH(V$5)-MONTH($AA58)),$Z58)=0)*(((YEAR(V$5)-YEAR($AA58))*12+MONTH(V$5)-MONTH($AA58))&gt;=0)*(EDATE($AA58,MAX(0,((YEAR(V$5)-YEAR($AA58))*12+MONTH(V$5)-MONTH($AA58))))&gt;=V$5)*(EDATE($AA58,MAX(0,((YEAR(V$5)-YEAR($AA58))*12+MONTH(V$5)-MONTH($AA58))))&lt;=MIN(V$5+6,$AB58))+(MOD((((YEAR(V$5)-YEAR($AA58))*12+MONTH(V$5)-MONTH($AA58))+1),$Z58)=0)*((((YEAR(V$5)-YEAR($AA58))*12+MONTH(V$5)-MONTH($AA58))+1)&gt;=0)*(EDATE($AA58,MAX(0,(((YEAR(V$5)-YEAR($AA58))*12+MONTH(V$5)-MONTH($AA58))+1)))&gt;=V$5)*(EDATE($AA58,MAX(0,(((YEAR(V$5)-YEAR($AA58))*12+MONTH(V$5)-MONTH($AA58))+1)))&lt;=MIN(V$5+6,$AB58)),($AA58&gt;=V$5)*($AA58&lt;=V$5+6))))</f>
        <v/>
      </c>
      <c r="W58" s="21">
        <f>IF($X58&lt;&gt;1,0,$D58*IF($Y58&gt;0,MAX(0,INT((MIN(W$5+6,$AB58)-$AA58)/$Y58)-MAX(0,-INT(($AA58-W$5)/$Y58))+1),IF($Z58&gt;0,(MOD(((YEAR(W$5)-YEAR($AA58))*12+MONTH(W$5)-MONTH($AA58)),$Z58)=0)*(((YEAR(W$5)-YEAR($AA58))*12+MONTH(W$5)-MONTH($AA58))&gt;=0)*(EDATE($AA58,MAX(0,((YEAR(W$5)-YEAR($AA58))*12+MONTH(W$5)-MONTH($AA58))))&gt;=W$5)*(EDATE($AA58,MAX(0,((YEAR(W$5)-YEAR($AA58))*12+MONTH(W$5)-MONTH($AA58))))&lt;=MIN(W$5+6,$AB58))+(MOD((((YEAR(W$5)-YEAR($AA58))*12+MONTH(W$5)-MONTH($AA58))+1),$Z58)=0)*((((YEAR(W$5)-YEAR($AA58))*12+MONTH(W$5)-MONTH($AA58))+1)&gt;=0)*(EDATE($AA58,MAX(0,(((YEAR(W$5)-YEAR($AA58))*12+MONTH(W$5)-MONTH($AA58))+1)))&gt;=W$5)*(EDATE($AA58,MAX(0,(((YEAR(W$5)-YEAR($AA58))*12+MONTH(W$5)-MONTH($AA58))+1)))&lt;=MIN(W$5+6,$AB58)),($AA58&gt;=W$5)*($AA58&lt;=W$5+6))))</f>
        <v/>
      </c>
      <c r="X58">
        <f>IF(COUNTA(A58:G58)=0,"",IF(AND(OR(B58="In",B58="Out"),ISNUMBER(D58),D58&gt;0,ISNUMBER(MATCH(E58,FreqName,0)),ISNUMBER(F58),OR(G58="",AND(ISNUMBER(G58),G58&gt;=F58))),1,0))</f>
        <v/>
      </c>
      <c r="Y58">
        <f>IF(X58&lt;&gt;1,0,INDEX(FreqDays,MATCH(E58,FreqName,0)))</f>
        <v/>
      </c>
      <c r="Z58">
        <f>IF(X58&lt;&gt;1,0,INDEX(FreqMonths,MATCH(E58,FreqName,0)))</f>
        <v/>
      </c>
      <c r="AA58">
        <f>IF(X58&lt;&gt;1,0,INT(F58))</f>
        <v/>
      </c>
      <c r="AB58">
        <f>IF(X58&lt;&gt;1,0,IF(ISNUMBER(G58),INT(G58),2958465))</f>
        <v/>
      </c>
    </row>
    <row r="59">
      <c r="A59" s="29" t="n"/>
      <c r="B59" s="29" t="n"/>
      <c r="C59" s="29" t="n"/>
      <c r="D59" s="34" t="n"/>
      <c r="E59" s="29" t="n"/>
      <c r="F59" s="24" t="n"/>
      <c r="G59" s="24" t="n"/>
      <c r="H59" s="10">
        <f>IF(X59="","",IF(X59=0,IF(AND(B59&lt;&gt;"In",B59&lt;&gt;"Out"),"Fix: choose In or Out",IF(OR(NOT(ISNUMBER(D59)),N(D59)&lt;=0),"Fix: amount must be a number above 0",IF(NOT(ISNUMBER(MATCH(E59,FreqName,0))),"Fix: choose a frequency",IF(NOT(ISNUMBER(F59)),"Fix: first date missing","Fix: end date must be a date on or after the first date")))),IF(AND(C59&lt;&gt;"",OR(AND(B59="In",ISNUMBER(MATCH(C59,InCats,0))),AND(B59="Out",ISNUMBER(MATCH(C59,OutCats,0))))),"OK","Category not on Settings (counted as Other)")))</f>
        <v/>
      </c>
      <c r="I59" s="35">
        <f>IF(X59&lt;&gt;1,"",ROUND(J59/D59,0))</f>
        <v/>
      </c>
      <c r="J59" s="36">
        <f>SUM(K59:W59)</f>
        <v/>
      </c>
      <c r="K59" s="21">
        <f>IF($X59&lt;&gt;1,0,$D59*IF($Y59&gt;0,MAX(0,INT((MIN(K$5+6,$AB59)-$AA59)/$Y59)-MAX(0,-INT(($AA59-K$5)/$Y59))+1),IF($Z59&gt;0,(MOD(((YEAR(K$5)-YEAR($AA59))*12+MONTH(K$5)-MONTH($AA59)),$Z59)=0)*(((YEAR(K$5)-YEAR($AA59))*12+MONTH(K$5)-MONTH($AA59))&gt;=0)*(EDATE($AA59,MAX(0,((YEAR(K$5)-YEAR($AA59))*12+MONTH(K$5)-MONTH($AA59))))&gt;=K$5)*(EDATE($AA59,MAX(0,((YEAR(K$5)-YEAR($AA59))*12+MONTH(K$5)-MONTH($AA59))))&lt;=MIN(K$5+6,$AB59))+(MOD((((YEAR(K$5)-YEAR($AA59))*12+MONTH(K$5)-MONTH($AA59))+1),$Z59)=0)*((((YEAR(K$5)-YEAR($AA59))*12+MONTH(K$5)-MONTH($AA59))+1)&gt;=0)*(EDATE($AA59,MAX(0,(((YEAR(K$5)-YEAR($AA59))*12+MONTH(K$5)-MONTH($AA59))+1)))&gt;=K$5)*(EDATE($AA59,MAX(0,(((YEAR(K$5)-YEAR($AA59))*12+MONTH(K$5)-MONTH($AA59))+1)))&lt;=MIN(K$5+6,$AB59)),($AA59&gt;=K$5)*($AA59&lt;=K$5+6))))</f>
        <v/>
      </c>
      <c r="L59" s="21">
        <f>IF($X59&lt;&gt;1,0,$D59*IF($Y59&gt;0,MAX(0,INT((MIN(L$5+6,$AB59)-$AA59)/$Y59)-MAX(0,-INT(($AA59-L$5)/$Y59))+1),IF($Z59&gt;0,(MOD(((YEAR(L$5)-YEAR($AA59))*12+MONTH(L$5)-MONTH($AA59)),$Z59)=0)*(((YEAR(L$5)-YEAR($AA59))*12+MONTH(L$5)-MONTH($AA59))&gt;=0)*(EDATE($AA59,MAX(0,((YEAR(L$5)-YEAR($AA59))*12+MONTH(L$5)-MONTH($AA59))))&gt;=L$5)*(EDATE($AA59,MAX(0,((YEAR(L$5)-YEAR($AA59))*12+MONTH(L$5)-MONTH($AA59))))&lt;=MIN(L$5+6,$AB59))+(MOD((((YEAR(L$5)-YEAR($AA59))*12+MONTH(L$5)-MONTH($AA59))+1),$Z59)=0)*((((YEAR(L$5)-YEAR($AA59))*12+MONTH(L$5)-MONTH($AA59))+1)&gt;=0)*(EDATE($AA59,MAX(0,(((YEAR(L$5)-YEAR($AA59))*12+MONTH(L$5)-MONTH($AA59))+1)))&gt;=L$5)*(EDATE($AA59,MAX(0,(((YEAR(L$5)-YEAR($AA59))*12+MONTH(L$5)-MONTH($AA59))+1)))&lt;=MIN(L$5+6,$AB59)),($AA59&gt;=L$5)*($AA59&lt;=L$5+6))))</f>
        <v/>
      </c>
      <c r="M59" s="21">
        <f>IF($X59&lt;&gt;1,0,$D59*IF($Y59&gt;0,MAX(0,INT((MIN(M$5+6,$AB59)-$AA59)/$Y59)-MAX(0,-INT(($AA59-M$5)/$Y59))+1),IF($Z59&gt;0,(MOD(((YEAR(M$5)-YEAR($AA59))*12+MONTH(M$5)-MONTH($AA59)),$Z59)=0)*(((YEAR(M$5)-YEAR($AA59))*12+MONTH(M$5)-MONTH($AA59))&gt;=0)*(EDATE($AA59,MAX(0,((YEAR(M$5)-YEAR($AA59))*12+MONTH(M$5)-MONTH($AA59))))&gt;=M$5)*(EDATE($AA59,MAX(0,((YEAR(M$5)-YEAR($AA59))*12+MONTH(M$5)-MONTH($AA59))))&lt;=MIN(M$5+6,$AB59))+(MOD((((YEAR(M$5)-YEAR($AA59))*12+MONTH(M$5)-MONTH($AA59))+1),$Z59)=0)*((((YEAR(M$5)-YEAR($AA59))*12+MONTH(M$5)-MONTH($AA59))+1)&gt;=0)*(EDATE($AA59,MAX(0,(((YEAR(M$5)-YEAR($AA59))*12+MONTH(M$5)-MONTH($AA59))+1)))&gt;=M$5)*(EDATE($AA59,MAX(0,(((YEAR(M$5)-YEAR($AA59))*12+MONTH(M$5)-MONTH($AA59))+1)))&lt;=MIN(M$5+6,$AB59)),($AA59&gt;=M$5)*($AA59&lt;=M$5+6))))</f>
        <v/>
      </c>
      <c r="N59" s="21">
        <f>IF($X59&lt;&gt;1,0,$D59*IF($Y59&gt;0,MAX(0,INT((MIN(N$5+6,$AB59)-$AA59)/$Y59)-MAX(0,-INT(($AA59-N$5)/$Y59))+1),IF($Z59&gt;0,(MOD(((YEAR(N$5)-YEAR($AA59))*12+MONTH(N$5)-MONTH($AA59)),$Z59)=0)*(((YEAR(N$5)-YEAR($AA59))*12+MONTH(N$5)-MONTH($AA59))&gt;=0)*(EDATE($AA59,MAX(0,((YEAR(N$5)-YEAR($AA59))*12+MONTH(N$5)-MONTH($AA59))))&gt;=N$5)*(EDATE($AA59,MAX(0,((YEAR(N$5)-YEAR($AA59))*12+MONTH(N$5)-MONTH($AA59))))&lt;=MIN(N$5+6,$AB59))+(MOD((((YEAR(N$5)-YEAR($AA59))*12+MONTH(N$5)-MONTH($AA59))+1),$Z59)=0)*((((YEAR(N$5)-YEAR($AA59))*12+MONTH(N$5)-MONTH($AA59))+1)&gt;=0)*(EDATE($AA59,MAX(0,(((YEAR(N$5)-YEAR($AA59))*12+MONTH(N$5)-MONTH($AA59))+1)))&gt;=N$5)*(EDATE($AA59,MAX(0,(((YEAR(N$5)-YEAR($AA59))*12+MONTH(N$5)-MONTH($AA59))+1)))&lt;=MIN(N$5+6,$AB59)),($AA59&gt;=N$5)*($AA59&lt;=N$5+6))))</f>
        <v/>
      </c>
      <c r="O59" s="21">
        <f>IF($X59&lt;&gt;1,0,$D59*IF($Y59&gt;0,MAX(0,INT((MIN(O$5+6,$AB59)-$AA59)/$Y59)-MAX(0,-INT(($AA59-O$5)/$Y59))+1),IF($Z59&gt;0,(MOD(((YEAR(O$5)-YEAR($AA59))*12+MONTH(O$5)-MONTH($AA59)),$Z59)=0)*(((YEAR(O$5)-YEAR($AA59))*12+MONTH(O$5)-MONTH($AA59))&gt;=0)*(EDATE($AA59,MAX(0,((YEAR(O$5)-YEAR($AA59))*12+MONTH(O$5)-MONTH($AA59))))&gt;=O$5)*(EDATE($AA59,MAX(0,((YEAR(O$5)-YEAR($AA59))*12+MONTH(O$5)-MONTH($AA59))))&lt;=MIN(O$5+6,$AB59))+(MOD((((YEAR(O$5)-YEAR($AA59))*12+MONTH(O$5)-MONTH($AA59))+1),$Z59)=0)*((((YEAR(O$5)-YEAR($AA59))*12+MONTH(O$5)-MONTH($AA59))+1)&gt;=0)*(EDATE($AA59,MAX(0,(((YEAR(O$5)-YEAR($AA59))*12+MONTH(O$5)-MONTH($AA59))+1)))&gt;=O$5)*(EDATE($AA59,MAX(0,(((YEAR(O$5)-YEAR($AA59))*12+MONTH(O$5)-MONTH($AA59))+1)))&lt;=MIN(O$5+6,$AB59)),($AA59&gt;=O$5)*($AA59&lt;=O$5+6))))</f>
        <v/>
      </c>
      <c r="P59" s="21">
        <f>IF($X59&lt;&gt;1,0,$D59*IF($Y59&gt;0,MAX(0,INT((MIN(P$5+6,$AB59)-$AA59)/$Y59)-MAX(0,-INT(($AA59-P$5)/$Y59))+1),IF($Z59&gt;0,(MOD(((YEAR(P$5)-YEAR($AA59))*12+MONTH(P$5)-MONTH($AA59)),$Z59)=0)*(((YEAR(P$5)-YEAR($AA59))*12+MONTH(P$5)-MONTH($AA59))&gt;=0)*(EDATE($AA59,MAX(0,((YEAR(P$5)-YEAR($AA59))*12+MONTH(P$5)-MONTH($AA59))))&gt;=P$5)*(EDATE($AA59,MAX(0,((YEAR(P$5)-YEAR($AA59))*12+MONTH(P$5)-MONTH($AA59))))&lt;=MIN(P$5+6,$AB59))+(MOD((((YEAR(P$5)-YEAR($AA59))*12+MONTH(P$5)-MONTH($AA59))+1),$Z59)=0)*((((YEAR(P$5)-YEAR($AA59))*12+MONTH(P$5)-MONTH($AA59))+1)&gt;=0)*(EDATE($AA59,MAX(0,(((YEAR(P$5)-YEAR($AA59))*12+MONTH(P$5)-MONTH($AA59))+1)))&gt;=P$5)*(EDATE($AA59,MAX(0,(((YEAR(P$5)-YEAR($AA59))*12+MONTH(P$5)-MONTH($AA59))+1)))&lt;=MIN(P$5+6,$AB59)),($AA59&gt;=P$5)*($AA59&lt;=P$5+6))))</f>
        <v/>
      </c>
      <c r="Q59" s="21">
        <f>IF($X59&lt;&gt;1,0,$D59*IF($Y59&gt;0,MAX(0,INT((MIN(Q$5+6,$AB59)-$AA59)/$Y59)-MAX(0,-INT(($AA59-Q$5)/$Y59))+1),IF($Z59&gt;0,(MOD(((YEAR(Q$5)-YEAR($AA59))*12+MONTH(Q$5)-MONTH($AA59)),$Z59)=0)*(((YEAR(Q$5)-YEAR($AA59))*12+MONTH(Q$5)-MONTH($AA59))&gt;=0)*(EDATE($AA59,MAX(0,((YEAR(Q$5)-YEAR($AA59))*12+MONTH(Q$5)-MONTH($AA59))))&gt;=Q$5)*(EDATE($AA59,MAX(0,((YEAR(Q$5)-YEAR($AA59))*12+MONTH(Q$5)-MONTH($AA59))))&lt;=MIN(Q$5+6,$AB59))+(MOD((((YEAR(Q$5)-YEAR($AA59))*12+MONTH(Q$5)-MONTH($AA59))+1),$Z59)=0)*((((YEAR(Q$5)-YEAR($AA59))*12+MONTH(Q$5)-MONTH($AA59))+1)&gt;=0)*(EDATE($AA59,MAX(0,(((YEAR(Q$5)-YEAR($AA59))*12+MONTH(Q$5)-MONTH($AA59))+1)))&gt;=Q$5)*(EDATE($AA59,MAX(0,(((YEAR(Q$5)-YEAR($AA59))*12+MONTH(Q$5)-MONTH($AA59))+1)))&lt;=MIN(Q$5+6,$AB59)),($AA59&gt;=Q$5)*($AA59&lt;=Q$5+6))))</f>
        <v/>
      </c>
      <c r="R59" s="21">
        <f>IF($X59&lt;&gt;1,0,$D59*IF($Y59&gt;0,MAX(0,INT((MIN(R$5+6,$AB59)-$AA59)/$Y59)-MAX(0,-INT(($AA59-R$5)/$Y59))+1),IF($Z59&gt;0,(MOD(((YEAR(R$5)-YEAR($AA59))*12+MONTH(R$5)-MONTH($AA59)),$Z59)=0)*(((YEAR(R$5)-YEAR($AA59))*12+MONTH(R$5)-MONTH($AA59))&gt;=0)*(EDATE($AA59,MAX(0,((YEAR(R$5)-YEAR($AA59))*12+MONTH(R$5)-MONTH($AA59))))&gt;=R$5)*(EDATE($AA59,MAX(0,((YEAR(R$5)-YEAR($AA59))*12+MONTH(R$5)-MONTH($AA59))))&lt;=MIN(R$5+6,$AB59))+(MOD((((YEAR(R$5)-YEAR($AA59))*12+MONTH(R$5)-MONTH($AA59))+1),$Z59)=0)*((((YEAR(R$5)-YEAR($AA59))*12+MONTH(R$5)-MONTH($AA59))+1)&gt;=0)*(EDATE($AA59,MAX(0,(((YEAR(R$5)-YEAR($AA59))*12+MONTH(R$5)-MONTH($AA59))+1)))&gt;=R$5)*(EDATE($AA59,MAX(0,(((YEAR(R$5)-YEAR($AA59))*12+MONTH(R$5)-MONTH($AA59))+1)))&lt;=MIN(R$5+6,$AB59)),($AA59&gt;=R$5)*($AA59&lt;=R$5+6))))</f>
        <v/>
      </c>
      <c r="S59" s="21">
        <f>IF($X59&lt;&gt;1,0,$D59*IF($Y59&gt;0,MAX(0,INT((MIN(S$5+6,$AB59)-$AA59)/$Y59)-MAX(0,-INT(($AA59-S$5)/$Y59))+1),IF($Z59&gt;0,(MOD(((YEAR(S$5)-YEAR($AA59))*12+MONTH(S$5)-MONTH($AA59)),$Z59)=0)*(((YEAR(S$5)-YEAR($AA59))*12+MONTH(S$5)-MONTH($AA59))&gt;=0)*(EDATE($AA59,MAX(0,((YEAR(S$5)-YEAR($AA59))*12+MONTH(S$5)-MONTH($AA59))))&gt;=S$5)*(EDATE($AA59,MAX(0,((YEAR(S$5)-YEAR($AA59))*12+MONTH(S$5)-MONTH($AA59))))&lt;=MIN(S$5+6,$AB59))+(MOD((((YEAR(S$5)-YEAR($AA59))*12+MONTH(S$5)-MONTH($AA59))+1),$Z59)=0)*((((YEAR(S$5)-YEAR($AA59))*12+MONTH(S$5)-MONTH($AA59))+1)&gt;=0)*(EDATE($AA59,MAX(0,(((YEAR(S$5)-YEAR($AA59))*12+MONTH(S$5)-MONTH($AA59))+1)))&gt;=S$5)*(EDATE($AA59,MAX(0,(((YEAR(S$5)-YEAR($AA59))*12+MONTH(S$5)-MONTH($AA59))+1)))&lt;=MIN(S$5+6,$AB59)),($AA59&gt;=S$5)*($AA59&lt;=S$5+6))))</f>
        <v/>
      </c>
      <c r="T59" s="21">
        <f>IF($X59&lt;&gt;1,0,$D59*IF($Y59&gt;0,MAX(0,INT((MIN(T$5+6,$AB59)-$AA59)/$Y59)-MAX(0,-INT(($AA59-T$5)/$Y59))+1),IF($Z59&gt;0,(MOD(((YEAR(T$5)-YEAR($AA59))*12+MONTH(T$5)-MONTH($AA59)),$Z59)=0)*(((YEAR(T$5)-YEAR($AA59))*12+MONTH(T$5)-MONTH($AA59))&gt;=0)*(EDATE($AA59,MAX(0,((YEAR(T$5)-YEAR($AA59))*12+MONTH(T$5)-MONTH($AA59))))&gt;=T$5)*(EDATE($AA59,MAX(0,((YEAR(T$5)-YEAR($AA59))*12+MONTH(T$5)-MONTH($AA59))))&lt;=MIN(T$5+6,$AB59))+(MOD((((YEAR(T$5)-YEAR($AA59))*12+MONTH(T$5)-MONTH($AA59))+1),$Z59)=0)*((((YEAR(T$5)-YEAR($AA59))*12+MONTH(T$5)-MONTH($AA59))+1)&gt;=0)*(EDATE($AA59,MAX(0,(((YEAR(T$5)-YEAR($AA59))*12+MONTH(T$5)-MONTH($AA59))+1)))&gt;=T$5)*(EDATE($AA59,MAX(0,(((YEAR(T$5)-YEAR($AA59))*12+MONTH(T$5)-MONTH($AA59))+1)))&lt;=MIN(T$5+6,$AB59)),($AA59&gt;=T$5)*($AA59&lt;=T$5+6))))</f>
        <v/>
      </c>
      <c r="U59" s="21">
        <f>IF($X59&lt;&gt;1,0,$D59*IF($Y59&gt;0,MAX(0,INT((MIN(U$5+6,$AB59)-$AA59)/$Y59)-MAX(0,-INT(($AA59-U$5)/$Y59))+1),IF($Z59&gt;0,(MOD(((YEAR(U$5)-YEAR($AA59))*12+MONTH(U$5)-MONTH($AA59)),$Z59)=0)*(((YEAR(U$5)-YEAR($AA59))*12+MONTH(U$5)-MONTH($AA59))&gt;=0)*(EDATE($AA59,MAX(0,((YEAR(U$5)-YEAR($AA59))*12+MONTH(U$5)-MONTH($AA59))))&gt;=U$5)*(EDATE($AA59,MAX(0,((YEAR(U$5)-YEAR($AA59))*12+MONTH(U$5)-MONTH($AA59))))&lt;=MIN(U$5+6,$AB59))+(MOD((((YEAR(U$5)-YEAR($AA59))*12+MONTH(U$5)-MONTH($AA59))+1),$Z59)=0)*((((YEAR(U$5)-YEAR($AA59))*12+MONTH(U$5)-MONTH($AA59))+1)&gt;=0)*(EDATE($AA59,MAX(0,(((YEAR(U$5)-YEAR($AA59))*12+MONTH(U$5)-MONTH($AA59))+1)))&gt;=U$5)*(EDATE($AA59,MAX(0,(((YEAR(U$5)-YEAR($AA59))*12+MONTH(U$5)-MONTH($AA59))+1)))&lt;=MIN(U$5+6,$AB59)),($AA59&gt;=U$5)*($AA59&lt;=U$5+6))))</f>
        <v/>
      </c>
      <c r="V59" s="21">
        <f>IF($X59&lt;&gt;1,0,$D59*IF($Y59&gt;0,MAX(0,INT((MIN(V$5+6,$AB59)-$AA59)/$Y59)-MAX(0,-INT(($AA59-V$5)/$Y59))+1),IF($Z59&gt;0,(MOD(((YEAR(V$5)-YEAR($AA59))*12+MONTH(V$5)-MONTH($AA59)),$Z59)=0)*(((YEAR(V$5)-YEAR($AA59))*12+MONTH(V$5)-MONTH($AA59))&gt;=0)*(EDATE($AA59,MAX(0,((YEAR(V$5)-YEAR($AA59))*12+MONTH(V$5)-MONTH($AA59))))&gt;=V$5)*(EDATE($AA59,MAX(0,((YEAR(V$5)-YEAR($AA59))*12+MONTH(V$5)-MONTH($AA59))))&lt;=MIN(V$5+6,$AB59))+(MOD((((YEAR(V$5)-YEAR($AA59))*12+MONTH(V$5)-MONTH($AA59))+1),$Z59)=0)*((((YEAR(V$5)-YEAR($AA59))*12+MONTH(V$5)-MONTH($AA59))+1)&gt;=0)*(EDATE($AA59,MAX(0,(((YEAR(V$5)-YEAR($AA59))*12+MONTH(V$5)-MONTH($AA59))+1)))&gt;=V$5)*(EDATE($AA59,MAX(0,(((YEAR(V$5)-YEAR($AA59))*12+MONTH(V$5)-MONTH($AA59))+1)))&lt;=MIN(V$5+6,$AB59)),($AA59&gt;=V$5)*($AA59&lt;=V$5+6))))</f>
        <v/>
      </c>
      <c r="W59" s="21">
        <f>IF($X59&lt;&gt;1,0,$D59*IF($Y59&gt;0,MAX(0,INT((MIN(W$5+6,$AB59)-$AA59)/$Y59)-MAX(0,-INT(($AA59-W$5)/$Y59))+1),IF($Z59&gt;0,(MOD(((YEAR(W$5)-YEAR($AA59))*12+MONTH(W$5)-MONTH($AA59)),$Z59)=0)*(((YEAR(W$5)-YEAR($AA59))*12+MONTH(W$5)-MONTH($AA59))&gt;=0)*(EDATE($AA59,MAX(0,((YEAR(W$5)-YEAR($AA59))*12+MONTH(W$5)-MONTH($AA59))))&gt;=W$5)*(EDATE($AA59,MAX(0,((YEAR(W$5)-YEAR($AA59))*12+MONTH(W$5)-MONTH($AA59))))&lt;=MIN(W$5+6,$AB59))+(MOD((((YEAR(W$5)-YEAR($AA59))*12+MONTH(W$5)-MONTH($AA59))+1),$Z59)=0)*((((YEAR(W$5)-YEAR($AA59))*12+MONTH(W$5)-MONTH($AA59))+1)&gt;=0)*(EDATE($AA59,MAX(0,(((YEAR(W$5)-YEAR($AA59))*12+MONTH(W$5)-MONTH($AA59))+1)))&gt;=W$5)*(EDATE($AA59,MAX(0,(((YEAR(W$5)-YEAR($AA59))*12+MONTH(W$5)-MONTH($AA59))+1)))&lt;=MIN(W$5+6,$AB59)),($AA59&gt;=W$5)*($AA59&lt;=W$5+6))))</f>
        <v/>
      </c>
      <c r="X59">
        <f>IF(COUNTA(A59:G59)=0,"",IF(AND(OR(B59="In",B59="Out"),ISNUMBER(D59),D59&gt;0,ISNUMBER(MATCH(E59,FreqName,0)),ISNUMBER(F59),OR(G59="",AND(ISNUMBER(G59),G59&gt;=F59))),1,0))</f>
        <v/>
      </c>
      <c r="Y59">
        <f>IF(X59&lt;&gt;1,0,INDEX(FreqDays,MATCH(E59,FreqName,0)))</f>
        <v/>
      </c>
      <c r="Z59">
        <f>IF(X59&lt;&gt;1,0,INDEX(FreqMonths,MATCH(E59,FreqName,0)))</f>
        <v/>
      </c>
      <c r="AA59">
        <f>IF(X59&lt;&gt;1,0,INT(F59))</f>
        <v/>
      </c>
      <c r="AB59">
        <f>IF(X59&lt;&gt;1,0,IF(ISNUMBER(G59),INT(G59),2958465))</f>
        <v/>
      </c>
    </row>
    <row r="60">
      <c r="A60" s="29" t="n"/>
      <c r="B60" s="29" t="n"/>
      <c r="C60" s="29" t="n"/>
      <c r="D60" s="34" t="n"/>
      <c r="E60" s="29" t="n"/>
      <c r="F60" s="24" t="n"/>
      <c r="G60" s="24" t="n"/>
      <c r="H60" s="10">
        <f>IF(X60="","",IF(X60=0,IF(AND(B60&lt;&gt;"In",B60&lt;&gt;"Out"),"Fix: choose In or Out",IF(OR(NOT(ISNUMBER(D60)),N(D60)&lt;=0),"Fix: amount must be a number above 0",IF(NOT(ISNUMBER(MATCH(E60,FreqName,0))),"Fix: choose a frequency",IF(NOT(ISNUMBER(F60)),"Fix: first date missing","Fix: end date must be a date on or after the first date")))),IF(AND(C60&lt;&gt;"",OR(AND(B60="In",ISNUMBER(MATCH(C60,InCats,0))),AND(B60="Out",ISNUMBER(MATCH(C60,OutCats,0))))),"OK","Category not on Settings (counted as Other)")))</f>
        <v/>
      </c>
      <c r="I60" s="35">
        <f>IF(X60&lt;&gt;1,"",ROUND(J60/D60,0))</f>
        <v/>
      </c>
      <c r="J60" s="36">
        <f>SUM(K60:W60)</f>
        <v/>
      </c>
      <c r="K60" s="21">
        <f>IF($X60&lt;&gt;1,0,$D60*IF($Y60&gt;0,MAX(0,INT((MIN(K$5+6,$AB60)-$AA60)/$Y60)-MAX(0,-INT(($AA60-K$5)/$Y60))+1),IF($Z60&gt;0,(MOD(((YEAR(K$5)-YEAR($AA60))*12+MONTH(K$5)-MONTH($AA60)),$Z60)=0)*(((YEAR(K$5)-YEAR($AA60))*12+MONTH(K$5)-MONTH($AA60))&gt;=0)*(EDATE($AA60,MAX(0,((YEAR(K$5)-YEAR($AA60))*12+MONTH(K$5)-MONTH($AA60))))&gt;=K$5)*(EDATE($AA60,MAX(0,((YEAR(K$5)-YEAR($AA60))*12+MONTH(K$5)-MONTH($AA60))))&lt;=MIN(K$5+6,$AB60))+(MOD((((YEAR(K$5)-YEAR($AA60))*12+MONTH(K$5)-MONTH($AA60))+1),$Z60)=0)*((((YEAR(K$5)-YEAR($AA60))*12+MONTH(K$5)-MONTH($AA60))+1)&gt;=0)*(EDATE($AA60,MAX(0,(((YEAR(K$5)-YEAR($AA60))*12+MONTH(K$5)-MONTH($AA60))+1)))&gt;=K$5)*(EDATE($AA60,MAX(0,(((YEAR(K$5)-YEAR($AA60))*12+MONTH(K$5)-MONTH($AA60))+1)))&lt;=MIN(K$5+6,$AB60)),($AA60&gt;=K$5)*($AA60&lt;=K$5+6))))</f>
        <v/>
      </c>
      <c r="L60" s="21">
        <f>IF($X60&lt;&gt;1,0,$D60*IF($Y60&gt;0,MAX(0,INT((MIN(L$5+6,$AB60)-$AA60)/$Y60)-MAX(0,-INT(($AA60-L$5)/$Y60))+1),IF($Z60&gt;0,(MOD(((YEAR(L$5)-YEAR($AA60))*12+MONTH(L$5)-MONTH($AA60)),$Z60)=0)*(((YEAR(L$5)-YEAR($AA60))*12+MONTH(L$5)-MONTH($AA60))&gt;=0)*(EDATE($AA60,MAX(0,((YEAR(L$5)-YEAR($AA60))*12+MONTH(L$5)-MONTH($AA60))))&gt;=L$5)*(EDATE($AA60,MAX(0,((YEAR(L$5)-YEAR($AA60))*12+MONTH(L$5)-MONTH($AA60))))&lt;=MIN(L$5+6,$AB60))+(MOD((((YEAR(L$5)-YEAR($AA60))*12+MONTH(L$5)-MONTH($AA60))+1),$Z60)=0)*((((YEAR(L$5)-YEAR($AA60))*12+MONTH(L$5)-MONTH($AA60))+1)&gt;=0)*(EDATE($AA60,MAX(0,(((YEAR(L$5)-YEAR($AA60))*12+MONTH(L$5)-MONTH($AA60))+1)))&gt;=L$5)*(EDATE($AA60,MAX(0,(((YEAR(L$5)-YEAR($AA60))*12+MONTH(L$5)-MONTH($AA60))+1)))&lt;=MIN(L$5+6,$AB60)),($AA60&gt;=L$5)*($AA60&lt;=L$5+6))))</f>
        <v/>
      </c>
      <c r="M60" s="21">
        <f>IF($X60&lt;&gt;1,0,$D60*IF($Y60&gt;0,MAX(0,INT((MIN(M$5+6,$AB60)-$AA60)/$Y60)-MAX(0,-INT(($AA60-M$5)/$Y60))+1),IF($Z60&gt;0,(MOD(((YEAR(M$5)-YEAR($AA60))*12+MONTH(M$5)-MONTH($AA60)),$Z60)=0)*(((YEAR(M$5)-YEAR($AA60))*12+MONTH(M$5)-MONTH($AA60))&gt;=0)*(EDATE($AA60,MAX(0,((YEAR(M$5)-YEAR($AA60))*12+MONTH(M$5)-MONTH($AA60))))&gt;=M$5)*(EDATE($AA60,MAX(0,((YEAR(M$5)-YEAR($AA60))*12+MONTH(M$5)-MONTH($AA60))))&lt;=MIN(M$5+6,$AB60))+(MOD((((YEAR(M$5)-YEAR($AA60))*12+MONTH(M$5)-MONTH($AA60))+1),$Z60)=0)*((((YEAR(M$5)-YEAR($AA60))*12+MONTH(M$5)-MONTH($AA60))+1)&gt;=0)*(EDATE($AA60,MAX(0,(((YEAR(M$5)-YEAR($AA60))*12+MONTH(M$5)-MONTH($AA60))+1)))&gt;=M$5)*(EDATE($AA60,MAX(0,(((YEAR(M$5)-YEAR($AA60))*12+MONTH(M$5)-MONTH($AA60))+1)))&lt;=MIN(M$5+6,$AB60)),($AA60&gt;=M$5)*($AA60&lt;=M$5+6))))</f>
        <v/>
      </c>
      <c r="N60" s="21">
        <f>IF($X60&lt;&gt;1,0,$D60*IF($Y60&gt;0,MAX(0,INT((MIN(N$5+6,$AB60)-$AA60)/$Y60)-MAX(0,-INT(($AA60-N$5)/$Y60))+1),IF($Z60&gt;0,(MOD(((YEAR(N$5)-YEAR($AA60))*12+MONTH(N$5)-MONTH($AA60)),$Z60)=0)*(((YEAR(N$5)-YEAR($AA60))*12+MONTH(N$5)-MONTH($AA60))&gt;=0)*(EDATE($AA60,MAX(0,((YEAR(N$5)-YEAR($AA60))*12+MONTH(N$5)-MONTH($AA60))))&gt;=N$5)*(EDATE($AA60,MAX(0,((YEAR(N$5)-YEAR($AA60))*12+MONTH(N$5)-MONTH($AA60))))&lt;=MIN(N$5+6,$AB60))+(MOD((((YEAR(N$5)-YEAR($AA60))*12+MONTH(N$5)-MONTH($AA60))+1),$Z60)=0)*((((YEAR(N$5)-YEAR($AA60))*12+MONTH(N$5)-MONTH($AA60))+1)&gt;=0)*(EDATE($AA60,MAX(0,(((YEAR(N$5)-YEAR($AA60))*12+MONTH(N$5)-MONTH($AA60))+1)))&gt;=N$5)*(EDATE($AA60,MAX(0,(((YEAR(N$5)-YEAR($AA60))*12+MONTH(N$5)-MONTH($AA60))+1)))&lt;=MIN(N$5+6,$AB60)),($AA60&gt;=N$5)*($AA60&lt;=N$5+6))))</f>
        <v/>
      </c>
      <c r="O60" s="21">
        <f>IF($X60&lt;&gt;1,0,$D60*IF($Y60&gt;0,MAX(0,INT((MIN(O$5+6,$AB60)-$AA60)/$Y60)-MAX(0,-INT(($AA60-O$5)/$Y60))+1),IF($Z60&gt;0,(MOD(((YEAR(O$5)-YEAR($AA60))*12+MONTH(O$5)-MONTH($AA60)),$Z60)=0)*(((YEAR(O$5)-YEAR($AA60))*12+MONTH(O$5)-MONTH($AA60))&gt;=0)*(EDATE($AA60,MAX(0,((YEAR(O$5)-YEAR($AA60))*12+MONTH(O$5)-MONTH($AA60))))&gt;=O$5)*(EDATE($AA60,MAX(0,((YEAR(O$5)-YEAR($AA60))*12+MONTH(O$5)-MONTH($AA60))))&lt;=MIN(O$5+6,$AB60))+(MOD((((YEAR(O$5)-YEAR($AA60))*12+MONTH(O$5)-MONTH($AA60))+1),$Z60)=0)*((((YEAR(O$5)-YEAR($AA60))*12+MONTH(O$5)-MONTH($AA60))+1)&gt;=0)*(EDATE($AA60,MAX(0,(((YEAR(O$5)-YEAR($AA60))*12+MONTH(O$5)-MONTH($AA60))+1)))&gt;=O$5)*(EDATE($AA60,MAX(0,(((YEAR(O$5)-YEAR($AA60))*12+MONTH(O$5)-MONTH($AA60))+1)))&lt;=MIN(O$5+6,$AB60)),($AA60&gt;=O$5)*($AA60&lt;=O$5+6))))</f>
        <v/>
      </c>
      <c r="P60" s="21">
        <f>IF($X60&lt;&gt;1,0,$D60*IF($Y60&gt;0,MAX(0,INT((MIN(P$5+6,$AB60)-$AA60)/$Y60)-MAX(0,-INT(($AA60-P$5)/$Y60))+1),IF($Z60&gt;0,(MOD(((YEAR(P$5)-YEAR($AA60))*12+MONTH(P$5)-MONTH($AA60)),$Z60)=0)*(((YEAR(P$5)-YEAR($AA60))*12+MONTH(P$5)-MONTH($AA60))&gt;=0)*(EDATE($AA60,MAX(0,((YEAR(P$5)-YEAR($AA60))*12+MONTH(P$5)-MONTH($AA60))))&gt;=P$5)*(EDATE($AA60,MAX(0,((YEAR(P$5)-YEAR($AA60))*12+MONTH(P$5)-MONTH($AA60))))&lt;=MIN(P$5+6,$AB60))+(MOD((((YEAR(P$5)-YEAR($AA60))*12+MONTH(P$5)-MONTH($AA60))+1),$Z60)=0)*((((YEAR(P$5)-YEAR($AA60))*12+MONTH(P$5)-MONTH($AA60))+1)&gt;=0)*(EDATE($AA60,MAX(0,(((YEAR(P$5)-YEAR($AA60))*12+MONTH(P$5)-MONTH($AA60))+1)))&gt;=P$5)*(EDATE($AA60,MAX(0,(((YEAR(P$5)-YEAR($AA60))*12+MONTH(P$5)-MONTH($AA60))+1)))&lt;=MIN(P$5+6,$AB60)),($AA60&gt;=P$5)*($AA60&lt;=P$5+6))))</f>
        <v/>
      </c>
      <c r="Q60" s="21">
        <f>IF($X60&lt;&gt;1,0,$D60*IF($Y60&gt;0,MAX(0,INT((MIN(Q$5+6,$AB60)-$AA60)/$Y60)-MAX(0,-INT(($AA60-Q$5)/$Y60))+1),IF($Z60&gt;0,(MOD(((YEAR(Q$5)-YEAR($AA60))*12+MONTH(Q$5)-MONTH($AA60)),$Z60)=0)*(((YEAR(Q$5)-YEAR($AA60))*12+MONTH(Q$5)-MONTH($AA60))&gt;=0)*(EDATE($AA60,MAX(0,((YEAR(Q$5)-YEAR($AA60))*12+MONTH(Q$5)-MONTH($AA60))))&gt;=Q$5)*(EDATE($AA60,MAX(0,((YEAR(Q$5)-YEAR($AA60))*12+MONTH(Q$5)-MONTH($AA60))))&lt;=MIN(Q$5+6,$AB60))+(MOD((((YEAR(Q$5)-YEAR($AA60))*12+MONTH(Q$5)-MONTH($AA60))+1),$Z60)=0)*((((YEAR(Q$5)-YEAR($AA60))*12+MONTH(Q$5)-MONTH($AA60))+1)&gt;=0)*(EDATE($AA60,MAX(0,(((YEAR(Q$5)-YEAR($AA60))*12+MONTH(Q$5)-MONTH($AA60))+1)))&gt;=Q$5)*(EDATE($AA60,MAX(0,(((YEAR(Q$5)-YEAR($AA60))*12+MONTH(Q$5)-MONTH($AA60))+1)))&lt;=MIN(Q$5+6,$AB60)),($AA60&gt;=Q$5)*($AA60&lt;=Q$5+6))))</f>
        <v/>
      </c>
      <c r="R60" s="21">
        <f>IF($X60&lt;&gt;1,0,$D60*IF($Y60&gt;0,MAX(0,INT((MIN(R$5+6,$AB60)-$AA60)/$Y60)-MAX(0,-INT(($AA60-R$5)/$Y60))+1),IF($Z60&gt;0,(MOD(((YEAR(R$5)-YEAR($AA60))*12+MONTH(R$5)-MONTH($AA60)),$Z60)=0)*(((YEAR(R$5)-YEAR($AA60))*12+MONTH(R$5)-MONTH($AA60))&gt;=0)*(EDATE($AA60,MAX(0,((YEAR(R$5)-YEAR($AA60))*12+MONTH(R$5)-MONTH($AA60))))&gt;=R$5)*(EDATE($AA60,MAX(0,((YEAR(R$5)-YEAR($AA60))*12+MONTH(R$5)-MONTH($AA60))))&lt;=MIN(R$5+6,$AB60))+(MOD((((YEAR(R$5)-YEAR($AA60))*12+MONTH(R$5)-MONTH($AA60))+1),$Z60)=0)*((((YEAR(R$5)-YEAR($AA60))*12+MONTH(R$5)-MONTH($AA60))+1)&gt;=0)*(EDATE($AA60,MAX(0,(((YEAR(R$5)-YEAR($AA60))*12+MONTH(R$5)-MONTH($AA60))+1)))&gt;=R$5)*(EDATE($AA60,MAX(0,(((YEAR(R$5)-YEAR($AA60))*12+MONTH(R$5)-MONTH($AA60))+1)))&lt;=MIN(R$5+6,$AB60)),($AA60&gt;=R$5)*($AA60&lt;=R$5+6))))</f>
        <v/>
      </c>
      <c r="S60" s="21">
        <f>IF($X60&lt;&gt;1,0,$D60*IF($Y60&gt;0,MAX(0,INT((MIN(S$5+6,$AB60)-$AA60)/$Y60)-MAX(0,-INT(($AA60-S$5)/$Y60))+1),IF($Z60&gt;0,(MOD(((YEAR(S$5)-YEAR($AA60))*12+MONTH(S$5)-MONTH($AA60)),$Z60)=0)*(((YEAR(S$5)-YEAR($AA60))*12+MONTH(S$5)-MONTH($AA60))&gt;=0)*(EDATE($AA60,MAX(0,((YEAR(S$5)-YEAR($AA60))*12+MONTH(S$5)-MONTH($AA60))))&gt;=S$5)*(EDATE($AA60,MAX(0,((YEAR(S$5)-YEAR($AA60))*12+MONTH(S$5)-MONTH($AA60))))&lt;=MIN(S$5+6,$AB60))+(MOD((((YEAR(S$5)-YEAR($AA60))*12+MONTH(S$5)-MONTH($AA60))+1),$Z60)=0)*((((YEAR(S$5)-YEAR($AA60))*12+MONTH(S$5)-MONTH($AA60))+1)&gt;=0)*(EDATE($AA60,MAX(0,(((YEAR(S$5)-YEAR($AA60))*12+MONTH(S$5)-MONTH($AA60))+1)))&gt;=S$5)*(EDATE($AA60,MAX(0,(((YEAR(S$5)-YEAR($AA60))*12+MONTH(S$5)-MONTH($AA60))+1)))&lt;=MIN(S$5+6,$AB60)),($AA60&gt;=S$5)*($AA60&lt;=S$5+6))))</f>
        <v/>
      </c>
      <c r="T60" s="21">
        <f>IF($X60&lt;&gt;1,0,$D60*IF($Y60&gt;0,MAX(0,INT((MIN(T$5+6,$AB60)-$AA60)/$Y60)-MAX(0,-INT(($AA60-T$5)/$Y60))+1),IF($Z60&gt;0,(MOD(((YEAR(T$5)-YEAR($AA60))*12+MONTH(T$5)-MONTH($AA60)),$Z60)=0)*(((YEAR(T$5)-YEAR($AA60))*12+MONTH(T$5)-MONTH($AA60))&gt;=0)*(EDATE($AA60,MAX(0,((YEAR(T$5)-YEAR($AA60))*12+MONTH(T$5)-MONTH($AA60))))&gt;=T$5)*(EDATE($AA60,MAX(0,((YEAR(T$5)-YEAR($AA60))*12+MONTH(T$5)-MONTH($AA60))))&lt;=MIN(T$5+6,$AB60))+(MOD((((YEAR(T$5)-YEAR($AA60))*12+MONTH(T$5)-MONTH($AA60))+1),$Z60)=0)*((((YEAR(T$5)-YEAR($AA60))*12+MONTH(T$5)-MONTH($AA60))+1)&gt;=0)*(EDATE($AA60,MAX(0,(((YEAR(T$5)-YEAR($AA60))*12+MONTH(T$5)-MONTH($AA60))+1)))&gt;=T$5)*(EDATE($AA60,MAX(0,(((YEAR(T$5)-YEAR($AA60))*12+MONTH(T$5)-MONTH($AA60))+1)))&lt;=MIN(T$5+6,$AB60)),($AA60&gt;=T$5)*($AA60&lt;=T$5+6))))</f>
        <v/>
      </c>
      <c r="U60" s="21">
        <f>IF($X60&lt;&gt;1,0,$D60*IF($Y60&gt;0,MAX(0,INT((MIN(U$5+6,$AB60)-$AA60)/$Y60)-MAX(0,-INT(($AA60-U$5)/$Y60))+1),IF($Z60&gt;0,(MOD(((YEAR(U$5)-YEAR($AA60))*12+MONTH(U$5)-MONTH($AA60)),$Z60)=0)*(((YEAR(U$5)-YEAR($AA60))*12+MONTH(U$5)-MONTH($AA60))&gt;=0)*(EDATE($AA60,MAX(0,((YEAR(U$5)-YEAR($AA60))*12+MONTH(U$5)-MONTH($AA60))))&gt;=U$5)*(EDATE($AA60,MAX(0,((YEAR(U$5)-YEAR($AA60))*12+MONTH(U$5)-MONTH($AA60))))&lt;=MIN(U$5+6,$AB60))+(MOD((((YEAR(U$5)-YEAR($AA60))*12+MONTH(U$5)-MONTH($AA60))+1),$Z60)=0)*((((YEAR(U$5)-YEAR($AA60))*12+MONTH(U$5)-MONTH($AA60))+1)&gt;=0)*(EDATE($AA60,MAX(0,(((YEAR(U$5)-YEAR($AA60))*12+MONTH(U$5)-MONTH($AA60))+1)))&gt;=U$5)*(EDATE($AA60,MAX(0,(((YEAR(U$5)-YEAR($AA60))*12+MONTH(U$5)-MONTH($AA60))+1)))&lt;=MIN(U$5+6,$AB60)),($AA60&gt;=U$5)*($AA60&lt;=U$5+6))))</f>
        <v/>
      </c>
      <c r="V60" s="21">
        <f>IF($X60&lt;&gt;1,0,$D60*IF($Y60&gt;0,MAX(0,INT((MIN(V$5+6,$AB60)-$AA60)/$Y60)-MAX(0,-INT(($AA60-V$5)/$Y60))+1),IF($Z60&gt;0,(MOD(((YEAR(V$5)-YEAR($AA60))*12+MONTH(V$5)-MONTH($AA60)),$Z60)=0)*(((YEAR(V$5)-YEAR($AA60))*12+MONTH(V$5)-MONTH($AA60))&gt;=0)*(EDATE($AA60,MAX(0,((YEAR(V$5)-YEAR($AA60))*12+MONTH(V$5)-MONTH($AA60))))&gt;=V$5)*(EDATE($AA60,MAX(0,((YEAR(V$5)-YEAR($AA60))*12+MONTH(V$5)-MONTH($AA60))))&lt;=MIN(V$5+6,$AB60))+(MOD((((YEAR(V$5)-YEAR($AA60))*12+MONTH(V$5)-MONTH($AA60))+1),$Z60)=0)*((((YEAR(V$5)-YEAR($AA60))*12+MONTH(V$5)-MONTH($AA60))+1)&gt;=0)*(EDATE($AA60,MAX(0,(((YEAR(V$5)-YEAR($AA60))*12+MONTH(V$5)-MONTH($AA60))+1)))&gt;=V$5)*(EDATE($AA60,MAX(0,(((YEAR(V$5)-YEAR($AA60))*12+MONTH(V$5)-MONTH($AA60))+1)))&lt;=MIN(V$5+6,$AB60)),($AA60&gt;=V$5)*($AA60&lt;=V$5+6))))</f>
        <v/>
      </c>
      <c r="W60" s="21">
        <f>IF($X60&lt;&gt;1,0,$D60*IF($Y60&gt;0,MAX(0,INT((MIN(W$5+6,$AB60)-$AA60)/$Y60)-MAX(0,-INT(($AA60-W$5)/$Y60))+1),IF($Z60&gt;0,(MOD(((YEAR(W$5)-YEAR($AA60))*12+MONTH(W$5)-MONTH($AA60)),$Z60)=0)*(((YEAR(W$5)-YEAR($AA60))*12+MONTH(W$5)-MONTH($AA60))&gt;=0)*(EDATE($AA60,MAX(0,((YEAR(W$5)-YEAR($AA60))*12+MONTH(W$5)-MONTH($AA60))))&gt;=W$5)*(EDATE($AA60,MAX(0,((YEAR(W$5)-YEAR($AA60))*12+MONTH(W$5)-MONTH($AA60))))&lt;=MIN(W$5+6,$AB60))+(MOD((((YEAR(W$5)-YEAR($AA60))*12+MONTH(W$5)-MONTH($AA60))+1),$Z60)=0)*((((YEAR(W$5)-YEAR($AA60))*12+MONTH(W$5)-MONTH($AA60))+1)&gt;=0)*(EDATE($AA60,MAX(0,(((YEAR(W$5)-YEAR($AA60))*12+MONTH(W$5)-MONTH($AA60))+1)))&gt;=W$5)*(EDATE($AA60,MAX(0,(((YEAR(W$5)-YEAR($AA60))*12+MONTH(W$5)-MONTH($AA60))+1)))&lt;=MIN(W$5+6,$AB60)),($AA60&gt;=W$5)*($AA60&lt;=W$5+6))))</f>
        <v/>
      </c>
      <c r="X60">
        <f>IF(COUNTA(A60:G60)=0,"",IF(AND(OR(B60="In",B60="Out"),ISNUMBER(D60),D60&gt;0,ISNUMBER(MATCH(E60,FreqName,0)),ISNUMBER(F60),OR(G60="",AND(ISNUMBER(G60),G60&gt;=F60))),1,0))</f>
        <v/>
      </c>
      <c r="Y60">
        <f>IF(X60&lt;&gt;1,0,INDEX(FreqDays,MATCH(E60,FreqName,0)))</f>
        <v/>
      </c>
      <c r="Z60">
        <f>IF(X60&lt;&gt;1,0,INDEX(FreqMonths,MATCH(E60,FreqName,0)))</f>
        <v/>
      </c>
      <c r="AA60">
        <f>IF(X60&lt;&gt;1,0,INT(F60))</f>
        <v/>
      </c>
      <c r="AB60">
        <f>IF(X60&lt;&gt;1,0,IF(ISNUMBER(G60),INT(G60),2958465))</f>
        <v/>
      </c>
    </row>
    <row r="61">
      <c r="A61" s="29" t="n"/>
      <c r="B61" s="29" t="n"/>
      <c r="C61" s="29" t="n"/>
      <c r="D61" s="34" t="n"/>
      <c r="E61" s="29" t="n"/>
      <c r="F61" s="24" t="n"/>
      <c r="G61" s="24" t="n"/>
      <c r="H61" s="10">
        <f>IF(X61="","",IF(X61=0,IF(AND(B61&lt;&gt;"In",B61&lt;&gt;"Out"),"Fix: choose In or Out",IF(OR(NOT(ISNUMBER(D61)),N(D61)&lt;=0),"Fix: amount must be a number above 0",IF(NOT(ISNUMBER(MATCH(E61,FreqName,0))),"Fix: choose a frequency",IF(NOT(ISNUMBER(F61)),"Fix: first date missing","Fix: end date must be a date on or after the first date")))),IF(AND(C61&lt;&gt;"",OR(AND(B61="In",ISNUMBER(MATCH(C61,InCats,0))),AND(B61="Out",ISNUMBER(MATCH(C61,OutCats,0))))),"OK","Category not on Settings (counted as Other)")))</f>
        <v/>
      </c>
      <c r="I61" s="35">
        <f>IF(X61&lt;&gt;1,"",ROUND(J61/D61,0))</f>
        <v/>
      </c>
      <c r="J61" s="36">
        <f>SUM(K61:W61)</f>
        <v/>
      </c>
      <c r="K61" s="21">
        <f>IF($X61&lt;&gt;1,0,$D61*IF($Y61&gt;0,MAX(0,INT((MIN(K$5+6,$AB61)-$AA61)/$Y61)-MAX(0,-INT(($AA61-K$5)/$Y61))+1),IF($Z61&gt;0,(MOD(((YEAR(K$5)-YEAR($AA61))*12+MONTH(K$5)-MONTH($AA61)),$Z61)=0)*(((YEAR(K$5)-YEAR($AA61))*12+MONTH(K$5)-MONTH($AA61))&gt;=0)*(EDATE($AA61,MAX(0,((YEAR(K$5)-YEAR($AA61))*12+MONTH(K$5)-MONTH($AA61))))&gt;=K$5)*(EDATE($AA61,MAX(0,((YEAR(K$5)-YEAR($AA61))*12+MONTH(K$5)-MONTH($AA61))))&lt;=MIN(K$5+6,$AB61))+(MOD((((YEAR(K$5)-YEAR($AA61))*12+MONTH(K$5)-MONTH($AA61))+1),$Z61)=0)*((((YEAR(K$5)-YEAR($AA61))*12+MONTH(K$5)-MONTH($AA61))+1)&gt;=0)*(EDATE($AA61,MAX(0,(((YEAR(K$5)-YEAR($AA61))*12+MONTH(K$5)-MONTH($AA61))+1)))&gt;=K$5)*(EDATE($AA61,MAX(0,(((YEAR(K$5)-YEAR($AA61))*12+MONTH(K$5)-MONTH($AA61))+1)))&lt;=MIN(K$5+6,$AB61)),($AA61&gt;=K$5)*($AA61&lt;=K$5+6))))</f>
        <v/>
      </c>
      <c r="L61" s="21">
        <f>IF($X61&lt;&gt;1,0,$D61*IF($Y61&gt;0,MAX(0,INT((MIN(L$5+6,$AB61)-$AA61)/$Y61)-MAX(0,-INT(($AA61-L$5)/$Y61))+1),IF($Z61&gt;0,(MOD(((YEAR(L$5)-YEAR($AA61))*12+MONTH(L$5)-MONTH($AA61)),$Z61)=0)*(((YEAR(L$5)-YEAR($AA61))*12+MONTH(L$5)-MONTH($AA61))&gt;=0)*(EDATE($AA61,MAX(0,((YEAR(L$5)-YEAR($AA61))*12+MONTH(L$5)-MONTH($AA61))))&gt;=L$5)*(EDATE($AA61,MAX(0,((YEAR(L$5)-YEAR($AA61))*12+MONTH(L$5)-MONTH($AA61))))&lt;=MIN(L$5+6,$AB61))+(MOD((((YEAR(L$5)-YEAR($AA61))*12+MONTH(L$5)-MONTH($AA61))+1),$Z61)=0)*((((YEAR(L$5)-YEAR($AA61))*12+MONTH(L$5)-MONTH($AA61))+1)&gt;=0)*(EDATE($AA61,MAX(0,(((YEAR(L$5)-YEAR($AA61))*12+MONTH(L$5)-MONTH($AA61))+1)))&gt;=L$5)*(EDATE($AA61,MAX(0,(((YEAR(L$5)-YEAR($AA61))*12+MONTH(L$5)-MONTH($AA61))+1)))&lt;=MIN(L$5+6,$AB61)),($AA61&gt;=L$5)*($AA61&lt;=L$5+6))))</f>
        <v/>
      </c>
      <c r="M61" s="21">
        <f>IF($X61&lt;&gt;1,0,$D61*IF($Y61&gt;0,MAX(0,INT((MIN(M$5+6,$AB61)-$AA61)/$Y61)-MAX(0,-INT(($AA61-M$5)/$Y61))+1),IF($Z61&gt;0,(MOD(((YEAR(M$5)-YEAR($AA61))*12+MONTH(M$5)-MONTH($AA61)),$Z61)=0)*(((YEAR(M$5)-YEAR($AA61))*12+MONTH(M$5)-MONTH($AA61))&gt;=0)*(EDATE($AA61,MAX(0,((YEAR(M$5)-YEAR($AA61))*12+MONTH(M$5)-MONTH($AA61))))&gt;=M$5)*(EDATE($AA61,MAX(0,((YEAR(M$5)-YEAR($AA61))*12+MONTH(M$5)-MONTH($AA61))))&lt;=MIN(M$5+6,$AB61))+(MOD((((YEAR(M$5)-YEAR($AA61))*12+MONTH(M$5)-MONTH($AA61))+1),$Z61)=0)*((((YEAR(M$5)-YEAR($AA61))*12+MONTH(M$5)-MONTH($AA61))+1)&gt;=0)*(EDATE($AA61,MAX(0,(((YEAR(M$5)-YEAR($AA61))*12+MONTH(M$5)-MONTH($AA61))+1)))&gt;=M$5)*(EDATE($AA61,MAX(0,(((YEAR(M$5)-YEAR($AA61))*12+MONTH(M$5)-MONTH($AA61))+1)))&lt;=MIN(M$5+6,$AB61)),($AA61&gt;=M$5)*($AA61&lt;=M$5+6))))</f>
        <v/>
      </c>
      <c r="N61" s="21">
        <f>IF($X61&lt;&gt;1,0,$D61*IF($Y61&gt;0,MAX(0,INT((MIN(N$5+6,$AB61)-$AA61)/$Y61)-MAX(0,-INT(($AA61-N$5)/$Y61))+1),IF($Z61&gt;0,(MOD(((YEAR(N$5)-YEAR($AA61))*12+MONTH(N$5)-MONTH($AA61)),$Z61)=0)*(((YEAR(N$5)-YEAR($AA61))*12+MONTH(N$5)-MONTH($AA61))&gt;=0)*(EDATE($AA61,MAX(0,((YEAR(N$5)-YEAR($AA61))*12+MONTH(N$5)-MONTH($AA61))))&gt;=N$5)*(EDATE($AA61,MAX(0,((YEAR(N$5)-YEAR($AA61))*12+MONTH(N$5)-MONTH($AA61))))&lt;=MIN(N$5+6,$AB61))+(MOD((((YEAR(N$5)-YEAR($AA61))*12+MONTH(N$5)-MONTH($AA61))+1),$Z61)=0)*((((YEAR(N$5)-YEAR($AA61))*12+MONTH(N$5)-MONTH($AA61))+1)&gt;=0)*(EDATE($AA61,MAX(0,(((YEAR(N$5)-YEAR($AA61))*12+MONTH(N$5)-MONTH($AA61))+1)))&gt;=N$5)*(EDATE($AA61,MAX(0,(((YEAR(N$5)-YEAR($AA61))*12+MONTH(N$5)-MONTH($AA61))+1)))&lt;=MIN(N$5+6,$AB61)),($AA61&gt;=N$5)*($AA61&lt;=N$5+6))))</f>
        <v/>
      </c>
      <c r="O61" s="21">
        <f>IF($X61&lt;&gt;1,0,$D61*IF($Y61&gt;0,MAX(0,INT((MIN(O$5+6,$AB61)-$AA61)/$Y61)-MAX(0,-INT(($AA61-O$5)/$Y61))+1),IF($Z61&gt;0,(MOD(((YEAR(O$5)-YEAR($AA61))*12+MONTH(O$5)-MONTH($AA61)),$Z61)=0)*(((YEAR(O$5)-YEAR($AA61))*12+MONTH(O$5)-MONTH($AA61))&gt;=0)*(EDATE($AA61,MAX(0,((YEAR(O$5)-YEAR($AA61))*12+MONTH(O$5)-MONTH($AA61))))&gt;=O$5)*(EDATE($AA61,MAX(0,((YEAR(O$5)-YEAR($AA61))*12+MONTH(O$5)-MONTH($AA61))))&lt;=MIN(O$5+6,$AB61))+(MOD((((YEAR(O$5)-YEAR($AA61))*12+MONTH(O$5)-MONTH($AA61))+1),$Z61)=0)*((((YEAR(O$5)-YEAR($AA61))*12+MONTH(O$5)-MONTH($AA61))+1)&gt;=0)*(EDATE($AA61,MAX(0,(((YEAR(O$5)-YEAR($AA61))*12+MONTH(O$5)-MONTH($AA61))+1)))&gt;=O$5)*(EDATE($AA61,MAX(0,(((YEAR(O$5)-YEAR($AA61))*12+MONTH(O$5)-MONTH($AA61))+1)))&lt;=MIN(O$5+6,$AB61)),($AA61&gt;=O$5)*($AA61&lt;=O$5+6))))</f>
        <v/>
      </c>
      <c r="P61" s="21">
        <f>IF($X61&lt;&gt;1,0,$D61*IF($Y61&gt;0,MAX(0,INT((MIN(P$5+6,$AB61)-$AA61)/$Y61)-MAX(0,-INT(($AA61-P$5)/$Y61))+1),IF($Z61&gt;0,(MOD(((YEAR(P$5)-YEAR($AA61))*12+MONTH(P$5)-MONTH($AA61)),$Z61)=0)*(((YEAR(P$5)-YEAR($AA61))*12+MONTH(P$5)-MONTH($AA61))&gt;=0)*(EDATE($AA61,MAX(0,((YEAR(P$5)-YEAR($AA61))*12+MONTH(P$5)-MONTH($AA61))))&gt;=P$5)*(EDATE($AA61,MAX(0,((YEAR(P$5)-YEAR($AA61))*12+MONTH(P$5)-MONTH($AA61))))&lt;=MIN(P$5+6,$AB61))+(MOD((((YEAR(P$5)-YEAR($AA61))*12+MONTH(P$5)-MONTH($AA61))+1),$Z61)=0)*((((YEAR(P$5)-YEAR($AA61))*12+MONTH(P$5)-MONTH($AA61))+1)&gt;=0)*(EDATE($AA61,MAX(0,(((YEAR(P$5)-YEAR($AA61))*12+MONTH(P$5)-MONTH($AA61))+1)))&gt;=P$5)*(EDATE($AA61,MAX(0,(((YEAR(P$5)-YEAR($AA61))*12+MONTH(P$5)-MONTH($AA61))+1)))&lt;=MIN(P$5+6,$AB61)),($AA61&gt;=P$5)*($AA61&lt;=P$5+6))))</f>
        <v/>
      </c>
      <c r="Q61" s="21">
        <f>IF($X61&lt;&gt;1,0,$D61*IF($Y61&gt;0,MAX(0,INT((MIN(Q$5+6,$AB61)-$AA61)/$Y61)-MAX(0,-INT(($AA61-Q$5)/$Y61))+1),IF($Z61&gt;0,(MOD(((YEAR(Q$5)-YEAR($AA61))*12+MONTH(Q$5)-MONTH($AA61)),$Z61)=0)*(((YEAR(Q$5)-YEAR($AA61))*12+MONTH(Q$5)-MONTH($AA61))&gt;=0)*(EDATE($AA61,MAX(0,((YEAR(Q$5)-YEAR($AA61))*12+MONTH(Q$5)-MONTH($AA61))))&gt;=Q$5)*(EDATE($AA61,MAX(0,((YEAR(Q$5)-YEAR($AA61))*12+MONTH(Q$5)-MONTH($AA61))))&lt;=MIN(Q$5+6,$AB61))+(MOD((((YEAR(Q$5)-YEAR($AA61))*12+MONTH(Q$5)-MONTH($AA61))+1),$Z61)=0)*((((YEAR(Q$5)-YEAR($AA61))*12+MONTH(Q$5)-MONTH($AA61))+1)&gt;=0)*(EDATE($AA61,MAX(0,(((YEAR(Q$5)-YEAR($AA61))*12+MONTH(Q$5)-MONTH($AA61))+1)))&gt;=Q$5)*(EDATE($AA61,MAX(0,(((YEAR(Q$5)-YEAR($AA61))*12+MONTH(Q$5)-MONTH($AA61))+1)))&lt;=MIN(Q$5+6,$AB61)),($AA61&gt;=Q$5)*($AA61&lt;=Q$5+6))))</f>
        <v/>
      </c>
      <c r="R61" s="21">
        <f>IF($X61&lt;&gt;1,0,$D61*IF($Y61&gt;0,MAX(0,INT((MIN(R$5+6,$AB61)-$AA61)/$Y61)-MAX(0,-INT(($AA61-R$5)/$Y61))+1),IF($Z61&gt;0,(MOD(((YEAR(R$5)-YEAR($AA61))*12+MONTH(R$5)-MONTH($AA61)),$Z61)=0)*(((YEAR(R$5)-YEAR($AA61))*12+MONTH(R$5)-MONTH($AA61))&gt;=0)*(EDATE($AA61,MAX(0,((YEAR(R$5)-YEAR($AA61))*12+MONTH(R$5)-MONTH($AA61))))&gt;=R$5)*(EDATE($AA61,MAX(0,((YEAR(R$5)-YEAR($AA61))*12+MONTH(R$5)-MONTH($AA61))))&lt;=MIN(R$5+6,$AB61))+(MOD((((YEAR(R$5)-YEAR($AA61))*12+MONTH(R$5)-MONTH($AA61))+1),$Z61)=0)*((((YEAR(R$5)-YEAR($AA61))*12+MONTH(R$5)-MONTH($AA61))+1)&gt;=0)*(EDATE($AA61,MAX(0,(((YEAR(R$5)-YEAR($AA61))*12+MONTH(R$5)-MONTH($AA61))+1)))&gt;=R$5)*(EDATE($AA61,MAX(0,(((YEAR(R$5)-YEAR($AA61))*12+MONTH(R$5)-MONTH($AA61))+1)))&lt;=MIN(R$5+6,$AB61)),($AA61&gt;=R$5)*($AA61&lt;=R$5+6))))</f>
        <v/>
      </c>
      <c r="S61" s="21">
        <f>IF($X61&lt;&gt;1,0,$D61*IF($Y61&gt;0,MAX(0,INT((MIN(S$5+6,$AB61)-$AA61)/$Y61)-MAX(0,-INT(($AA61-S$5)/$Y61))+1),IF($Z61&gt;0,(MOD(((YEAR(S$5)-YEAR($AA61))*12+MONTH(S$5)-MONTH($AA61)),$Z61)=0)*(((YEAR(S$5)-YEAR($AA61))*12+MONTH(S$5)-MONTH($AA61))&gt;=0)*(EDATE($AA61,MAX(0,((YEAR(S$5)-YEAR($AA61))*12+MONTH(S$5)-MONTH($AA61))))&gt;=S$5)*(EDATE($AA61,MAX(0,((YEAR(S$5)-YEAR($AA61))*12+MONTH(S$5)-MONTH($AA61))))&lt;=MIN(S$5+6,$AB61))+(MOD((((YEAR(S$5)-YEAR($AA61))*12+MONTH(S$5)-MONTH($AA61))+1),$Z61)=0)*((((YEAR(S$5)-YEAR($AA61))*12+MONTH(S$5)-MONTH($AA61))+1)&gt;=0)*(EDATE($AA61,MAX(0,(((YEAR(S$5)-YEAR($AA61))*12+MONTH(S$5)-MONTH($AA61))+1)))&gt;=S$5)*(EDATE($AA61,MAX(0,(((YEAR(S$5)-YEAR($AA61))*12+MONTH(S$5)-MONTH($AA61))+1)))&lt;=MIN(S$5+6,$AB61)),($AA61&gt;=S$5)*($AA61&lt;=S$5+6))))</f>
        <v/>
      </c>
      <c r="T61" s="21">
        <f>IF($X61&lt;&gt;1,0,$D61*IF($Y61&gt;0,MAX(0,INT((MIN(T$5+6,$AB61)-$AA61)/$Y61)-MAX(0,-INT(($AA61-T$5)/$Y61))+1),IF($Z61&gt;0,(MOD(((YEAR(T$5)-YEAR($AA61))*12+MONTH(T$5)-MONTH($AA61)),$Z61)=0)*(((YEAR(T$5)-YEAR($AA61))*12+MONTH(T$5)-MONTH($AA61))&gt;=0)*(EDATE($AA61,MAX(0,((YEAR(T$5)-YEAR($AA61))*12+MONTH(T$5)-MONTH($AA61))))&gt;=T$5)*(EDATE($AA61,MAX(0,((YEAR(T$5)-YEAR($AA61))*12+MONTH(T$5)-MONTH($AA61))))&lt;=MIN(T$5+6,$AB61))+(MOD((((YEAR(T$5)-YEAR($AA61))*12+MONTH(T$5)-MONTH($AA61))+1),$Z61)=0)*((((YEAR(T$5)-YEAR($AA61))*12+MONTH(T$5)-MONTH($AA61))+1)&gt;=0)*(EDATE($AA61,MAX(0,(((YEAR(T$5)-YEAR($AA61))*12+MONTH(T$5)-MONTH($AA61))+1)))&gt;=T$5)*(EDATE($AA61,MAX(0,(((YEAR(T$5)-YEAR($AA61))*12+MONTH(T$5)-MONTH($AA61))+1)))&lt;=MIN(T$5+6,$AB61)),($AA61&gt;=T$5)*($AA61&lt;=T$5+6))))</f>
        <v/>
      </c>
      <c r="U61" s="21">
        <f>IF($X61&lt;&gt;1,0,$D61*IF($Y61&gt;0,MAX(0,INT((MIN(U$5+6,$AB61)-$AA61)/$Y61)-MAX(0,-INT(($AA61-U$5)/$Y61))+1),IF($Z61&gt;0,(MOD(((YEAR(U$5)-YEAR($AA61))*12+MONTH(U$5)-MONTH($AA61)),$Z61)=0)*(((YEAR(U$5)-YEAR($AA61))*12+MONTH(U$5)-MONTH($AA61))&gt;=0)*(EDATE($AA61,MAX(0,((YEAR(U$5)-YEAR($AA61))*12+MONTH(U$5)-MONTH($AA61))))&gt;=U$5)*(EDATE($AA61,MAX(0,((YEAR(U$5)-YEAR($AA61))*12+MONTH(U$5)-MONTH($AA61))))&lt;=MIN(U$5+6,$AB61))+(MOD((((YEAR(U$5)-YEAR($AA61))*12+MONTH(U$5)-MONTH($AA61))+1),$Z61)=0)*((((YEAR(U$5)-YEAR($AA61))*12+MONTH(U$5)-MONTH($AA61))+1)&gt;=0)*(EDATE($AA61,MAX(0,(((YEAR(U$5)-YEAR($AA61))*12+MONTH(U$5)-MONTH($AA61))+1)))&gt;=U$5)*(EDATE($AA61,MAX(0,(((YEAR(U$5)-YEAR($AA61))*12+MONTH(U$5)-MONTH($AA61))+1)))&lt;=MIN(U$5+6,$AB61)),($AA61&gt;=U$5)*($AA61&lt;=U$5+6))))</f>
        <v/>
      </c>
      <c r="V61" s="21">
        <f>IF($X61&lt;&gt;1,0,$D61*IF($Y61&gt;0,MAX(0,INT((MIN(V$5+6,$AB61)-$AA61)/$Y61)-MAX(0,-INT(($AA61-V$5)/$Y61))+1),IF($Z61&gt;0,(MOD(((YEAR(V$5)-YEAR($AA61))*12+MONTH(V$5)-MONTH($AA61)),$Z61)=0)*(((YEAR(V$5)-YEAR($AA61))*12+MONTH(V$5)-MONTH($AA61))&gt;=0)*(EDATE($AA61,MAX(0,((YEAR(V$5)-YEAR($AA61))*12+MONTH(V$5)-MONTH($AA61))))&gt;=V$5)*(EDATE($AA61,MAX(0,((YEAR(V$5)-YEAR($AA61))*12+MONTH(V$5)-MONTH($AA61))))&lt;=MIN(V$5+6,$AB61))+(MOD((((YEAR(V$5)-YEAR($AA61))*12+MONTH(V$5)-MONTH($AA61))+1),$Z61)=0)*((((YEAR(V$5)-YEAR($AA61))*12+MONTH(V$5)-MONTH($AA61))+1)&gt;=0)*(EDATE($AA61,MAX(0,(((YEAR(V$5)-YEAR($AA61))*12+MONTH(V$5)-MONTH($AA61))+1)))&gt;=V$5)*(EDATE($AA61,MAX(0,(((YEAR(V$5)-YEAR($AA61))*12+MONTH(V$5)-MONTH($AA61))+1)))&lt;=MIN(V$5+6,$AB61)),($AA61&gt;=V$5)*($AA61&lt;=V$5+6))))</f>
        <v/>
      </c>
      <c r="W61" s="21">
        <f>IF($X61&lt;&gt;1,0,$D61*IF($Y61&gt;0,MAX(0,INT((MIN(W$5+6,$AB61)-$AA61)/$Y61)-MAX(0,-INT(($AA61-W$5)/$Y61))+1),IF($Z61&gt;0,(MOD(((YEAR(W$5)-YEAR($AA61))*12+MONTH(W$5)-MONTH($AA61)),$Z61)=0)*(((YEAR(W$5)-YEAR($AA61))*12+MONTH(W$5)-MONTH($AA61))&gt;=0)*(EDATE($AA61,MAX(0,((YEAR(W$5)-YEAR($AA61))*12+MONTH(W$5)-MONTH($AA61))))&gt;=W$5)*(EDATE($AA61,MAX(0,((YEAR(W$5)-YEAR($AA61))*12+MONTH(W$5)-MONTH($AA61))))&lt;=MIN(W$5+6,$AB61))+(MOD((((YEAR(W$5)-YEAR($AA61))*12+MONTH(W$5)-MONTH($AA61))+1),$Z61)=0)*((((YEAR(W$5)-YEAR($AA61))*12+MONTH(W$5)-MONTH($AA61))+1)&gt;=0)*(EDATE($AA61,MAX(0,(((YEAR(W$5)-YEAR($AA61))*12+MONTH(W$5)-MONTH($AA61))+1)))&gt;=W$5)*(EDATE($AA61,MAX(0,(((YEAR(W$5)-YEAR($AA61))*12+MONTH(W$5)-MONTH($AA61))+1)))&lt;=MIN(W$5+6,$AB61)),($AA61&gt;=W$5)*($AA61&lt;=W$5+6))))</f>
        <v/>
      </c>
      <c r="X61">
        <f>IF(COUNTA(A61:G61)=0,"",IF(AND(OR(B61="In",B61="Out"),ISNUMBER(D61),D61&gt;0,ISNUMBER(MATCH(E61,FreqName,0)),ISNUMBER(F61),OR(G61="",AND(ISNUMBER(G61),G61&gt;=F61))),1,0))</f>
        <v/>
      </c>
      <c r="Y61">
        <f>IF(X61&lt;&gt;1,0,INDEX(FreqDays,MATCH(E61,FreqName,0)))</f>
        <v/>
      </c>
      <c r="Z61">
        <f>IF(X61&lt;&gt;1,0,INDEX(FreqMonths,MATCH(E61,FreqName,0)))</f>
        <v/>
      </c>
      <c r="AA61">
        <f>IF(X61&lt;&gt;1,0,INT(F61))</f>
        <v/>
      </c>
      <c r="AB61">
        <f>IF(X61&lt;&gt;1,0,IF(ISNUMBER(G61),INT(G61),2958465))</f>
        <v/>
      </c>
    </row>
    <row r="62">
      <c r="A62" s="29" t="n"/>
      <c r="B62" s="29" t="n"/>
      <c r="C62" s="29" t="n"/>
      <c r="D62" s="34" t="n"/>
      <c r="E62" s="29" t="n"/>
      <c r="F62" s="24" t="n"/>
      <c r="G62" s="24" t="n"/>
      <c r="H62" s="10">
        <f>IF(X62="","",IF(X62=0,IF(AND(B62&lt;&gt;"In",B62&lt;&gt;"Out"),"Fix: choose In or Out",IF(OR(NOT(ISNUMBER(D62)),N(D62)&lt;=0),"Fix: amount must be a number above 0",IF(NOT(ISNUMBER(MATCH(E62,FreqName,0))),"Fix: choose a frequency",IF(NOT(ISNUMBER(F62)),"Fix: first date missing","Fix: end date must be a date on or after the first date")))),IF(AND(C62&lt;&gt;"",OR(AND(B62="In",ISNUMBER(MATCH(C62,InCats,0))),AND(B62="Out",ISNUMBER(MATCH(C62,OutCats,0))))),"OK","Category not on Settings (counted as Other)")))</f>
        <v/>
      </c>
      <c r="I62" s="35">
        <f>IF(X62&lt;&gt;1,"",ROUND(J62/D62,0))</f>
        <v/>
      </c>
      <c r="J62" s="36">
        <f>SUM(K62:W62)</f>
        <v/>
      </c>
      <c r="K62" s="21">
        <f>IF($X62&lt;&gt;1,0,$D62*IF($Y62&gt;0,MAX(0,INT((MIN(K$5+6,$AB62)-$AA62)/$Y62)-MAX(0,-INT(($AA62-K$5)/$Y62))+1),IF($Z62&gt;0,(MOD(((YEAR(K$5)-YEAR($AA62))*12+MONTH(K$5)-MONTH($AA62)),$Z62)=0)*(((YEAR(K$5)-YEAR($AA62))*12+MONTH(K$5)-MONTH($AA62))&gt;=0)*(EDATE($AA62,MAX(0,((YEAR(K$5)-YEAR($AA62))*12+MONTH(K$5)-MONTH($AA62))))&gt;=K$5)*(EDATE($AA62,MAX(0,((YEAR(K$5)-YEAR($AA62))*12+MONTH(K$5)-MONTH($AA62))))&lt;=MIN(K$5+6,$AB62))+(MOD((((YEAR(K$5)-YEAR($AA62))*12+MONTH(K$5)-MONTH($AA62))+1),$Z62)=0)*((((YEAR(K$5)-YEAR($AA62))*12+MONTH(K$5)-MONTH($AA62))+1)&gt;=0)*(EDATE($AA62,MAX(0,(((YEAR(K$5)-YEAR($AA62))*12+MONTH(K$5)-MONTH($AA62))+1)))&gt;=K$5)*(EDATE($AA62,MAX(0,(((YEAR(K$5)-YEAR($AA62))*12+MONTH(K$5)-MONTH($AA62))+1)))&lt;=MIN(K$5+6,$AB62)),($AA62&gt;=K$5)*($AA62&lt;=K$5+6))))</f>
        <v/>
      </c>
      <c r="L62" s="21">
        <f>IF($X62&lt;&gt;1,0,$D62*IF($Y62&gt;0,MAX(0,INT((MIN(L$5+6,$AB62)-$AA62)/$Y62)-MAX(0,-INT(($AA62-L$5)/$Y62))+1),IF($Z62&gt;0,(MOD(((YEAR(L$5)-YEAR($AA62))*12+MONTH(L$5)-MONTH($AA62)),$Z62)=0)*(((YEAR(L$5)-YEAR($AA62))*12+MONTH(L$5)-MONTH($AA62))&gt;=0)*(EDATE($AA62,MAX(0,((YEAR(L$5)-YEAR($AA62))*12+MONTH(L$5)-MONTH($AA62))))&gt;=L$5)*(EDATE($AA62,MAX(0,((YEAR(L$5)-YEAR($AA62))*12+MONTH(L$5)-MONTH($AA62))))&lt;=MIN(L$5+6,$AB62))+(MOD((((YEAR(L$5)-YEAR($AA62))*12+MONTH(L$5)-MONTH($AA62))+1),$Z62)=0)*((((YEAR(L$5)-YEAR($AA62))*12+MONTH(L$5)-MONTH($AA62))+1)&gt;=0)*(EDATE($AA62,MAX(0,(((YEAR(L$5)-YEAR($AA62))*12+MONTH(L$5)-MONTH($AA62))+1)))&gt;=L$5)*(EDATE($AA62,MAX(0,(((YEAR(L$5)-YEAR($AA62))*12+MONTH(L$5)-MONTH($AA62))+1)))&lt;=MIN(L$5+6,$AB62)),($AA62&gt;=L$5)*($AA62&lt;=L$5+6))))</f>
        <v/>
      </c>
      <c r="M62" s="21">
        <f>IF($X62&lt;&gt;1,0,$D62*IF($Y62&gt;0,MAX(0,INT((MIN(M$5+6,$AB62)-$AA62)/$Y62)-MAX(0,-INT(($AA62-M$5)/$Y62))+1),IF($Z62&gt;0,(MOD(((YEAR(M$5)-YEAR($AA62))*12+MONTH(M$5)-MONTH($AA62)),$Z62)=0)*(((YEAR(M$5)-YEAR($AA62))*12+MONTH(M$5)-MONTH($AA62))&gt;=0)*(EDATE($AA62,MAX(0,((YEAR(M$5)-YEAR($AA62))*12+MONTH(M$5)-MONTH($AA62))))&gt;=M$5)*(EDATE($AA62,MAX(0,((YEAR(M$5)-YEAR($AA62))*12+MONTH(M$5)-MONTH($AA62))))&lt;=MIN(M$5+6,$AB62))+(MOD((((YEAR(M$5)-YEAR($AA62))*12+MONTH(M$5)-MONTH($AA62))+1),$Z62)=0)*((((YEAR(M$5)-YEAR($AA62))*12+MONTH(M$5)-MONTH($AA62))+1)&gt;=0)*(EDATE($AA62,MAX(0,(((YEAR(M$5)-YEAR($AA62))*12+MONTH(M$5)-MONTH($AA62))+1)))&gt;=M$5)*(EDATE($AA62,MAX(0,(((YEAR(M$5)-YEAR($AA62))*12+MONTH(M$5)-MONTH($AA62))+1)))&lt;=MIN(M$5+6,$AB62)),($AA62&gt;=M$5)*($AA62&lt;=M$5+6))))</f>
        <v/>
      </c>
      <c r="N62" s="21">
        <f>IF($X62&lt;&gt;1,0,$D62*IF($Y62&gt;0,MAX(0,INT((MIN(N$5+6,$AB62)-$AA62)/$Y62)-MAX(0,-INT(($AA62-N$5)/$Y62))+1),IF($Z62&gt;0,(MOD(((YEAR(N$5)-YEAR($AA62))*12+MONTH(N$5)-MONTH($AA62)),$Z62)=0)*(((YEAR(N$5)-YEAR($AA62))*12+MONTH(N$5)-MONTH($AA62))&gt;=0)*(EDATE($AA62,MAX(0,((YEAR(N$5)-YEAR($AA62))*12+MONTH(N$5)-MONTH($AA62))))&gt;=N$5)*(EDATE($AA62,MAX(0,((YEAR(N$5)-YEAR($AA62))*12+MONTH(N$5)-MONTH($AA62))))&lt;=MIN(N$5+6,$AB62))+(MOD((((YEAR(N$5)-YEAR($AA62))*12+MONTH(N$5)-MONTH($AA62))+1),$Z62)=0)*((((YEAR(N$5)-YEAR($AA62))*12+MONTH(N$5)-MONTH($AA62))+1)&gt;=0)*(EDATE($AA62,MAX(0,(((YEAR(N$5)-YEAR($AA62))*12+MONTH(N$5)-MONTH($AA62))+1)))&gt;=N$5)*(EDATE($AA62,MAX(0,(((YEAR(N$5)-YEAR($AA62))*12+MONTH(N$5)-MONTH($AA62))+1)))&lt;=MIN(N$5+6,$AB62)),($AA62&gt;=N$5)*($AA62&lt;=N$5+6))))</f>
        <v/>
      </c>
      <c r="O62" s="21">
        <f>IF($X62&lt;&gt;1,0,$D62*IF($Y62&gt;0,MAX(0,INT((MIN(O$5+6,$AB62)-$AA62)/$Y62)-MAX(0,-INT(($AA62-O$5)/$Y62))+1),IF($Z62&gt;0,(MOD(((YEAR(O$5)-YEAR($AA62))*12+MONTH(O$5)-MONTH($AA62)),$Z62)=0)*(((YEAR(O$5)-YEAR($AA62))*12+MONTH(O$5)-MONTH($AA62))&gt;=0)*(EDATE($AA62,MAX(0,((YEAR(O$5)-YEAR($AA62))*12+MONTH(O$5)-MONTH($AA62))))&gt;=O$5)*(EDATE($AA62,MAX(0,((YEAR(O$5)-YEAR($AA62))*12+MONTH(O$5)-MONTH($AA62))))&lt;=MIN(O$5+6,$AB62))+(MOD((((YEAR(O$5)-YEAR($AA62))*12+MONTH(O$5)-MONTH($AA62))+1),$Z62)=0)*((((YEAR(O$5)-YEAR($AA62))*12+MONTH(O$5)-MONTH($AA62))+1)&gt;=0)*(EDATE($AA62,MAX(0,(((YEAR(O$5)-YEAR($AA62))*12+MONTH(O$5)-MONTH($AA62))+1)))&gt;=O$5)*(EDATE($AA62,MAX(0,(((YEAR(O$5)-YEAR($AA62))*12+MONTH(O$5)-MONTH($AA62))+1)))&lt;=MIN(O$5+6,$AB62)),($AA62&gt;=O$5)*($AA62&lt;=O$5+6))))</f>
        <v/>
      </c>
      <c r="P62" s="21">
        <f>IF($X62&lt;&gt;1,0,$D62*IF($Y62&gt;0,MAX(0,INT((MIN(P$5+6,$AB62)-$AA62)/$Y62)-MAX(0,-INT(($AA62-P$5)/$Y62))+1),IF($Z62&gt;0,(MOD(((YEAR(P$5)-YEAR($AA62))*12+MONTH(P$5)-MONTH($AA62)),$Z62)=0)*(((YEAR(P$5)-YEAR($AA62))*12+MONTH(P$5)-MONTH($AA62))&gt;=0)*(EDATE($AA62,MAX(0,((YEAR(P$5)-YEAR($AA62))*12+MONTH(P$5)-MONTH($AA62))))&gt;=P$5)*(EDATE($AA62,MAX(0,((YEAR(P$5)-YEAR($AA62))*12+MONTH(P$5)-MONTH($AA62))))&lt;=MIN(P$5+6,$AB62))+(MOD((((YEAR(P$5)-YEAR($AA62))*12+MONTH(P$5)-MONTH($AA62))+1),$Z62)=0)*((((YEAR(P$5)-YEAR($AA62))*12+MONTH(P$5)-MONTH($AA62))+1)&gt;=0)*(EDATE($AA62,MAX(0,(((YEAR(P$5)-YEAR($AA62))*12+MONTH(P$5)-MONTH($AA62))+1)))&gt;=P$5)*(EDATE($AA62,MAX(0,(((YEAR(P$5)-YEAR($AA62))*12+MONTH(P$5)-MONTH($AA62))+1)))&lt;=MIN(P$5+6,$AB62)),($AA62&gt;=P$5)*($AA62&lt;=P$5+6))))</f>
        <v/>
      </c>
      <c r="Q62" s="21">
        <f>IF($X62&lt;&gt;1,0,$D62*IF($Y62&gt;0,MAX(0,INT((MIN(Q$5+6,$AB62)-$AA62)/$Y62)-MAX(0,-INT(($AA62-Q$5)/$Y62))+1),IF($Z62&gt;0,(MOD(((YEAR(Q$5)-YEAR($AA62))*12+MONTH(Q$5)-MONTH($AA62)),$Z62)=0)*(((YEAR(Q$5)-YEAR($AA62))*12+MONTH(Q$5)-MONTH($AA62))&gt;=0)*(EDATE($AA62,MAX(0,((YEAR(Q$5)-YEAR($AA62))*12+MONTH(Q$5)-MONTH($AA62))))&gt;=Q$5)*(EDATE($AA62,MAX(0,((YEAR(Q$5)-YEAR($AA62))*12+MONTH(Q$5)-MONTH($AA62))))&lt;=MIN(Q$5+6,$AB62))+(MOD((((YEAR(Q$5)-YEAR($AA62))*12+MONTH(Q$5)-MONTH($AA62))+1),$Z62)=0)*((((YEAR(Q$5)-YEAR($AA62))*12+MONTH(Q$5)-MONTH($AA62))+1)&gt;=0)*(EDATE($AA62,MAX(0,(((YEAR(Q$5)-YEAR($AA62))*12+MONTH(Q$5)-MONTH($AA62))+1)))&gt;=Q$5)*(EDATE($AA62,MAX(0,(((YEAR(Q$5)-YEAR($AA62))*12+MONTH(Q$5)-MONTH($AA62))+1)))&lt;=MIN(Q$5+6,$AB62)),($AA62&gt;=Q$5)*($AA62&lt;=Q$5+6))))</f>
        <v/>
      </c>
      <c r="R62" s="21">
        <f>IF($X62&lt;&gt;1,0,$D62*IF($Y62&gt;0,MAX(0,INT((MIN(R$5+6,$AB62)-$AA62)/$Y62)-MAX(0,-INT(($AA62-R$5)/$Y62))+1),IF($Z62&gt;0,(MOD(((YEAR(R$5)-YEAR($AA62))*12+MONTH(R$5)-MONTH($AA62)),$Z62)=0)*(((YEAR(R$5)-YEAR($AA62))*12+MONTH(R$5)-MONTH($AA62))&gt;=0)*(EDATE($AA62,MAX(0,((YEAR(R$5)-YEAR($AA62))*12+MONTH(R$5)-MONTH($AA62))))&gt;=R$5)*(EDATE($AA62,MAX(0,((YEAR(R$5)-YEAR($AA62))*12+MONTH(R$5)-MONTH($AA62))))&lt;=MIN(R$5+6,$AB62))+(MOD((((YEAR(R$5)-YEAR($AA62))*12+MONTH(R$5)-MONTH($AA62))+1),$Z62)=0)*((((YEAR(R$5)-YEAR($AA62))*12+MONTH(R$5)-MONTH($AA62))+1)&gt;=0)*(EDATE($AA62,MAX(0,(((YEAR(R$5)-YEAR($AA62))*12+MONTH(R$5)-MONTH($AA62))+1)))&gt;=R$5)*(EDATE($AA62,MAX(0,(((YEAR(R$5)-YEAR($AA62))*12+MONTH(R$5)-MONTH($AA62))+1)))&lt;=MIN(R$5+6,$AB62)),($AA62&gt;=R$5)*($AA62&lt;=R$5+6))))</f>
        <v/>
      </c>
      <c r="S62" s="21">
        <f>IF($X62&lt;&gt;1,0,$D62*IF($Y62&gt;0,MAX(0,INT((MIN(S$5+6,$AB62)-$AA62)/$Y62)-MAX(0,-INT(($AA62-S$5)/$Y62))+1),IF($Z62&gt;0,(MOD(((YEAR(S$5)-YEAR($AA62))*12+MONTH(S$5)-MONTH($AA62)),$Z62)=0)*(((YEAR(S$5)-YEAR($AA62))*12+MONTH(S$5)-MONTH($AA62))&gt;=0)*(EDATE($AA62,MAX(0,((YEAR(S$5)-YEAR($AA62))*12+MONTH(S$5)-MONTH($AA62))))&gt;=S$5)*(EDATE($AA62,MAX(0,((YEAR(S$5)-YEAR($AA62))*12+MONTH(S$5)-MONTH($AA62))))&lt;=MIN(S$5+6,$AB62))+(MOD((((YEAR(S$5)-YEAR($AA62))*12+MONTH(S$5)-MONTH($AA62))+1),$Z62)=0)*((((YEAR(S$5)-YEAR($AA62))*12+MONTH(S$5)-MONTH($AA62))+1)&gt;=0)*(EDATE($AA62,MAX(0,(((YEAR(S$5)-YEAR($AA62))*12+MONTH(S$5)-MONTH($AA62))+1)))&gt;=S$5)*(EDATE($AA62,MAX(0,(((YEAR(S$5)-YEAR($AA62))*12+MONTH(S$5)-MONTH($AA62))+1)))&lt;=MIN(S$5+6,$AB62)),($AA62&gt;=S$5)*($AA62&lt;=S$5+6))))</f>
        <v/>
      </c>
      <c r="T62" s="21">
        <f>IF($X62&lt;&gt;1,0,$D62*IF($Y62&gt;0,MAX(0,INT((MIN(T$5+6,$AB62)-$AA62)/$Y62)-MAX(0,-INT(($AA62-T$5)/$Y62))+1),IF($Z62&gt;0,(MOD(((YEAR(T$5)-YEAR($AA62))*12+MONTH(T$5)-MONTH($AA62)),$Z62)=0)*(((YEAR(T$5)-YEAR($AA62))*12+MONTH(T$5)-MONTH($AA62))&gt;=0)*(EDATE($AA62,MAX(0,((YEAR(T$5)-YEAR($AA62))*12+MONTH(T$5)-MONTH($AA62))))&gt;=T$5)*(EDATE($AA62,MAX(0,((YEAR(T$5)-YEAR($AA62))*12+MONTH(T$5)-MONTH($AA62))))&lt;=MIN(T$5+6,$AB62))+(MOD((((YEAR(T$5)-YEAR($AA62))*12+MONTH(T$5)-MONTH($AA62))+1),$Z62)=0)*((((YEAR(T$5)-YEAR($AA62))*12+MONTH(T$5)-MONTH($AA62))+1)&gt;=0)*(EDATE($AA62,MAX(0,(((YEAR(T$5)-YEAR($AA62))*12+MONTH(T$5)-MONTH($AA62))+1)))&gt;=T$5)*(EDATE($AA62,MAX(0,(((YEAR(T$5)-YEAR($AA62))*12+MONTH(T$5)-MONTH($AA62))+1)))&lt;=MIN(T$5+6,$AB62)),($AA62&gt;=T$5)*($AA62&lt;=T$5+6))))</f>
        <v/>
      </c>
      <c r="U62" s="21">
        <f>IF($X62&lt;&gt;1,0,$D62*IF($Y62&gt;0,MAX(0,INT((MIN(U$5+6,$AB62)-$AA62)/$Y62)-MAX(0,-INT(($AA62-U$5)/$Y62))+1),IF($Z62&gt;0,(MOD(((YEAR(U$5)-YEAR($AA62))*12+MONTH(U$5)-MONTH($AA62)),$Z62)=0)*(((YEAR(U$5)-YEAR($AA62))*12+MONTH(U$5)-MONTH($AA62))&gt;=0)*(EDATE($AA62,MAX(0,((YEAR(U$5)-YEAR($AA62))*12+MONTH(U$5)-MONTH($AA62))))&gt;=U$5)*(EDATE($AA62,MAX(0,((YEAR(U$5)-YEAR($AA62))*12+MONTH(U$5)-MONTH($AA62))))&lt;=MIN(U$5+6,$AB62))+(MOD((((YEAR(U$5)-YEAR($AA62))*12+MONTH(U$5)-MONTH($AA62))+1),$Z62)=0)*((((YEAR(U$5)-YEAR($AA62))*12+MONTH(U$5)-MONTH($AA62))+1)&gt;=0)*(EDATE($AA62,MAX(0,(((YEAR(U$5)-YEAR($AA62))*12+MONTH(U$5)-MONTH($AA62))+1)))&gt;=U$5)*(EDATE($AA62,MAX(0,(((YEAR(U$5)-YEAR($AA62))*12+MONTH(U$5)-MONTH($AA62))+1)))&lt;=MIN(U$5+6,$AB62)),($AA62&gt;=U$5)*($AA62&lt;=U$5+6))))</f>
        <v/>
      </c>
      <c r="V62" s="21">
        <f>IF($X62&lt;&gt;1,0,$D62*IF($Y62&gt;0,MAX(0,INT((MIN(V$5+6,$AB62)-$AA62)/$Y62)-MAX(0,-INT(($AA62-V$5)/$Y62))+1),IF($Z62&gt;0,(MOD(((YEAR(V$5)-YEAR($AA62))*12+MONTH(V$5)-MONTH($AA62)),$Z62)=0)*(((YEAR(V$5)-YEAR($AA62))*12+MONTH(V$5)-MONTH($AA62))&gt;=0)*(EDATE($AA62,MAX(0,((YEAR(V$5)-YEAR($AA62))*12+MONTH(V$5)-MONTH($AA62))))&gt;=V$5)*(EDATE($AA62,MAX(0,((YEAR(V$5)-YEAR($AA62))*12+MONTH(V$5)-MONTH($AA62))))&lt;=MIN(V$5+6,$AB62))+(MOD((((YEAR(V$5)-YEAR($AA62))*12+MONTH(V$5)-MONTH($AA62))+1),$Z62)=0)*((((YEAR(V$5)-YEAR($AA62))*12+MONTH(V$5)-MONTH($AA62))+1)&gt;=0)*(EDATE($AA62,MAX(0,(((YEAR(V$5)-YEAR($AA62))*12+MONTH(V$5)-MONTH($AA62))+1)))&gt;=V$5)*(EDATE($AA62,MAX(0,(((YEAR(V$5)-YEAR($AA62))*12+MONTH(V$5)-MONTH($AA62))+1)))&lt;=MIN(V$5+6,$AB62)),($AA62&gt;=V$5)*($AA62&lt;=V$5+6))))</f>
        <v/>
      </c>
      <c r="W62" s="21">
        <f>IF($X62&lt;&gt;1,0,$D62*IF($Y62&gt;0,MAX(0,INT((MIN(W$5+6,$AB62)-$AA62)/$Y62)-MAX(0,-INT(($AA62-W$5)/$Y62))+1),IF($Z62&gt;0,(MOD(((YEAR(W$5)-YEAR($AA62))*12+MONTH(W$5)-MONTH($AA62)),$Z62)=0)*(((YEAR(W$5)-YEAR($AA62))*12+MONTH(W$5)-MONTH($AA62))&gt;=0)*(EDATE($AA62,MAX(0,((YEAR(W$5)-YEAR($AA62))*12+MONTH(W$5)-MONTH($AA62))))&gt;=W$5)*(EDATE($AA62,MAX(0,((YEAR(W$5)-YEAR($AA62))*12+MONTH(W$5)-MONTH($AA62))))&lt;=MIN(W$5+6,$AB62))+(MOD((((YEAR(W$5)-YEAR($AA62))*12+MONTH(W$5)-MONTH($AA62))+1),$Z62)=0)*((((YEAR(W$5)-YEAR($AA62))*12+MONTH(W$5)-MONTH($AA62))+1)&gt;=0)*(EDATE($AA62,MAX(0,(((YEAR(W$5)-YEAR($AA62))*12+MONTH(W$5)-MONTH($AA62))+1)))&gt;=W$5)*(EDATE($AA62,MAX(0,(((YEAR(W$5)-YEAR($AA62))*12+MONTH(W$5)-MONTH($AA62))+1)))&lt;=MIN(W$5+6,$AB62)),($AA62&gt;=W$5)*($AA62&lt;=W$5+6))))</f>
        <v/>
      </c>
      <c r="X62">
        <f>IF(COUNTA(A62:G62)=0,"",IF(AND(OR(B62="In",B62="Out"),ISNUMBER(D62),D62&gt;0,ISNUMBER(MATCH(E62,FreqName,0)),ISNUMBER(F62),OR(G62="",AND(ISNUMBER(G62),G62&gt;=F62))),1,0))</f>
        <v/>
      </c>
      <c r="Y62">
        <f>IF(X62&lt;&gt;1,0,INDEX(FreqDays,MATCH(E62,FreqName,0)))</f>
        <v/>
      </c>
      <c r="Z62">
        <f>IF(X62&lt;&gt;1,0,INDEX(FreqMonths,MATCH(E62,FreqName,0)))</f>
        <v/>
      </c>
      <c r="AA62">
        <f>IF(X62&lt;&gt;1,0,INT(F62))</f>
        <v/>
      </c>
      <c r="AB62">
        <f>IF(X62&lt;&gt;1,0,IF(ISNUMBER(G62),INT(G62),2958465))</f>
        <v/>
      </c>
    </row>
    <row r="63">
      <c r="A63" s="29" t="n"/>
      <c r="B63" s="29" t="n"/>
      <c r="C63" s="29" t="n"/>
      <c r="D63" s="34" t="n"/>
      <c r="E63" s="29" t="n"/>
      <c r="F63" s="24" t="n"/>
      <c r="G63" s="24" t="n"/>
      <c r="H63" s="10">
        <f>IF(X63="","",IF(X63=0,IF(AND(B63&lt;&gt;"In",B63&lt;&gt;"Out"),"Fix: choose In or Out",IF(OR(NOT(ISNUMBER(D63)),N(D63)&lt;=0),"Fix: amount must be a number above 0",IF(NOT(ISNUMBER(MATCH(E63,FreqName,0))),"Fix: choose a frequency",IF(NOT(ISNUMBER(F63)),"Fix: first date missing","Fix: end date must be a date on or after the first date")))),IF(AND(C63&lt;&gt;"",OR(AND(B63="In",ISNUMBER(MATCH(C63,InCats,0))),AND(B63="Out",ISNUMBER(MATCH(C63,OutCats,0))))),"OK","Category not on Settings (counted as Other)")))</f>
        <v/>
      </c>
      <c r="I63" s="35">
        <f>IF(X63&lt;&gt;1,"",ROUND(J63/D63,0))</f>
        <v/>
      </c>
      <c r="J63" s="36">
        <f>SUM(K63:W63)</f>
        <v/>
      </c>
      <c r="K63" s="21">
        <f>IF($X63&lt;&gt;1,0,$D63*IF($Y63&gt;0,MAX(0,INT((MIN(K$5+6,$AB63)-$AA63)/$Y63)-MAX(0,-INT(($AA63-K$5)/$Y63))+1),IF($Z63&gt;0,(MOD(((YEAR(K$5)-YEAR($AA63))*12+MONTH(K$5)-MONTH($AA63)),$Z63)=0)*(((YEAR(K$5)-YEAR($AA63))*12+MONTH(K$5)-MONTH($AA63))&gt;=0)*(EDATE($AA63,MAX(0,((YEAR(K$5)-YEAR($AA63))*12+MONTH(K$5)-MONTH($AA63))))&gt;=K$5)*(EDATE($AA63,MAX(0,((YEAR(K$5)-YEAR($AA63))*12+MONTH(K$5)-MONTH($AA63))))&lt;=MIN(K$5+6,$AB63))+(MOD((((YEAR(K$5)-YEAR($AA63))*12+MONTH(K$5)-MONTH($AA63))+1),$Z63)=0)*((((YEAR(K$5)-YEAR($AA63))*12+MONTH(K$5)-MONTH($AA63))+1)&gt;=0)*(EDATE($AA63,MAX(0,(((YEAR(K$5)-YEAR($AA63))*12+MONTH(K$5)-MONTH($AA63))+1)))&gt;=K$5)*(EDATE($AA63,MAX(0,(((YEAR(K$5)-YEAR($AA63))*12+MONTH(K$5)-MONTH($AA63))+1)))&lt;=MIN(K$5+6,$AB63)),($AA63&gt;=K$5)*($AA63&lt;=K$5+6))))</f>
        <v/>
      </c>
      <c r="L63" s="21">
        <f>IF($X63&lt;&gt;1,0,$D63*IF($Y63&gt;0,MAX(0,INT((MIN(L$5+6,$AB63)-$AA63)/$Y63)-MAX(0,-INT(($AA63-L$5)/$Y63))+1),IF($Z63&gt;0,(MOD(((YEAR(L$5)-YEAR($AA63))*12+MONTH(L$5)-MONTH($AA63)),$Z63)=0)*(((YEAR(L$5)-YEAR($AA63))*12+MONTH(L$5)-MONTH($AA63))&gt;=0)*(EDATE($AA63,MAX(0,((YEAR(L$5)-YEAR($AA63))*12+MONTH(L$5)-MONTH($AA63))))&gt;=L$5)*(EDATE($AA63,MAX(0,((YEAR(L$5)-YEAR($AA63))*12+MONTH(L$5)-MONTH($AA63))))&lt;=MIN(L$5+6,$AB63))+(MOD((((YEAR(L$5)-YEAR($AA63))*12+MONTH(L$5)-MONTH($AA63))+1),$Z63)=0)*((((YEAR(L$5)-YEAR($AA63))*12+MONTH(L$5)-MONTH($AA63))+1)&gt;=0)*(EDATE($AA63,MAX(0,(((YEAR(L$5)-YEAR($AA63))*12+MONTH(L$5)-MONTH($AA63))+1)))&gt;=L$5)*(EDATE($AA63,MAX(0,(((YEAR(L$5)-YEAR($AA63))*12+MONTH(L$5)-MONTH($AA63))+1)))&lt;=MIN(L$5+6,$AB63)),($AA63&gt;=L$5)*($AA63&lt;=L$5+6))))</f>
        <v/>
      </c>
      <c r="M63" s="21">
        <f>IF($X63&lt;&gt;1,0,$D63*IF($Y63&gt;0,MAX(0,INT((MIN(M$5+6,$AB63)-$AA63)/$Y63)-MAX(0,-INT(($AA63-M$5)/$Y63))+1),IF($Z63&gt;0,(MOD(((YEAR(M$5)-YEAR($AA63))*12+MONTH(M$5)-MONTH($AA63)),$Z63)=0)*(((YEAR(M$5)-YEAR($AA63))*12+MONTH(M$5)-MONTH($AA63))&gt;=0)*(EDATE($AA63,MAX(0,((YEAR(M$5)-YEAR($AA63))*12+MONTH(M$5)-MONTH($AA63))))&gt;=M$5)*(EDATE($AA63,MAX(0,((YEAR(M$5)-YEAR($AA63))*12+MONTH(M$5)-MONTH($AA63))))&lt;=MIN(M$5+6,$AB63))+(MOD((((YEAR(M$5)-YEAR($AA63))*12+MONTH(M$5)-MONTH($AA63))+1),$Z63)=0)*((((YEAR(M$5)-YEAR($AA63))*12+MONTH(M$5)-MONTH($AA63))+1)&gt;=0)*(EDATE($AA63,MAX(0,(((YEAR(M$5)-YEAR($AA63))*12+MONTH(M$5)-MONTH($AA63))+1)))&gt;=M$5)*(EDATE($AA63,MAX(0,(((YEAR(M$5)-YEAR($AA63))*12+MONTH(M$5)-MONTH($AA63))+1)))&lt;=MIN(M$5+6,$AB63)),($AA63&gt;=M$5)*($AA63&lt;=M$5+6))))</f>
        <v/>
      </c>
      <c r="N63" s="21">
        <f>IF($X63&lt;&gt;1,0,$D63*IF($Y63&gt;0,MAX(0,INT((MIN(N$5+6,$AB63)-$AA63)/$Y63)-MAX(0,-INT(($AA63-N$5)/$Y63))+1),IF($Z63&gt;0,(MOD(((YEAR(N$5)-YEAR($AA63))*12+MONTH(N$5)-MONTH($AA63)),$Z63)=0)*(((YEAR(N$5)-YEAR($AA63))*12+MONTH(N$5)-MONTH($AA63))&gt;=0)*(EDATE($AA63,MAX(0,((YEAR(N$5)-YEAR($AA63))*12+MONTH(N$5)-MONTH($AA63))))&gt;=N$5)*(EDATE($AA63,MAX(0,((YEAR(N$5)-YEAR($AA63))*12+MONTH(N$5)-MONTH($AA63))))&lt;=MIN(N$5+6,$AB63))+(MOD((((YEAR(N$5)-YEAR($AA63))*12+MONTH(N$5)-MONTH($AA63))+1),$Z63)=0)*((((YEAR(N$5)-YEAR($AA63))*12+MONTH(N$5)-MONTH($AA63))+1)&gt;=0)*(EDATE($AA63,MAX(0,(((YEAR(N$5)-YEAR($AA63))*12+MONTH(N$5)-MONTH($AA63))+1)))&gt;=N$5)*(EDATE($AA63,MAX(0,(((YEAR(N$5)-YEAR($AA63))*12+MONTH(N$5)-MONTH($AA63))+1)))&lt;=MIN(N$5+6,$AB63)),($AA63&gt;=N$5)*($AA63&lt;=N$5+6))))</f>
        <v/>
      </c>
      <c r="O63" s="21">
        <f>IF($X63&lt;&gt;1,0,$D63*IF($Y63&gt;0,MAX(0,INT((MIN(O$5+6,$AB63)-$AA63)/$Y63)-MAX(0,-INT(($AA63-O$5)/$Y63))+1),IF($Z63&gt;0,(MOD(((YEAR(O$5)-YEAR($AA63))*12+MONTH(O$5)-MONTH($AA63)),$Z63)=0)*(((YEAR(O$5)-YEAR($AA63))*12+MONTH(O$5)-MONTH($AA63))&gt;=0)*(EDATE($AA63,MAX(0,((YEAR(O$5)-YEAR($AA63))*12+MONTH(O$5)-MONTH($AA63))))&gt;=O$5)*(EDATE($AA63,MAX(0,((YEAR(O$5)-YEAR($AA63))*12+MONTH(O$5)-MONTH($AA63))))&lt;=MIN(O$5+6,$AB63))+(MOD((((YEAR(O$5)-YEAR($AA63))*12+MONTH(O$5)-MONTH($AA63))+1),$Z63)=0)*((((YEAR(O$5)-YEAR($AA63))*12+MONTH(O$5)-MONTH($AA63))+1)&gt;=0)*(EDATE($AA63,MAX(0,(((YEAR(O$5)-YEAR($AA63))*12+MONTH(O$5)-MONTH($AA63))+1)))&gt;=O$5)*(EDATE($AA63,MAX(0,(((YEAR(O$5)-YEAR($AA63))*12+MONTH(O$5)-MONTH($AA63))+1)))&lt;=MIN(O$5+6,$AB63)),($AA63&gt;=O$5)*($AA63&lt;=O$5+6))))</f>
        <v/>
      </c>
      <c r="P63" s="21">
        <f>IF($X63&lt;&gt;1,0,$D63*IF($Y63&gt;0,MAX(0,INT((MIN(P$5+6,$AB63)-$AA63)/$Y63)-MAX(0,-INT(($AA63-P$5)/$Y63))+1),IF($Z63&gt;0,(MOD(((YEAR(P$5)-YEAR($AA63))*12+MONTH(P$5)-MONTH($AA63)),$Z63)=0)*(((YEAR(P$5)-YEAR($AA63))*12+MONTH(P$5)-MONTH($AA63))&gt;=0)*(EDATE($AA63,MAX(0,((YEAR(P$5)-YEAR($AA63))*12+MONTH(P$5)-MONTH($AA63))))&gt;=P$5)*(EDATE($AA63,MAX(0,((YEAR(P$5)-YEAR($AA63))*12+MONTH(P$5)-MONTH($AA63))))&lt;=MIN(P$5+6,$AB63))+(MOD((((YEAR(P$5)-YEAR($AA63))*12+MONTH(P$5)-MONTH($AA63))+1),$Z63)=0)*((((YEAR(P$5)-YEAR($AA63))*12+MONTH(P$5)-MONTH($AA63))+1)&gt;=0)*(EDATE($AA63,MAX(0,(((YEAR(P$5)-YEAR($AA63))*12+MONTH(P$5)-MONTH($AA63))+1)))&gt;=P$5)*(EDATE($AA63,MAX(0,(((YEAR(P$5)-YEAR($AA63))*12+MONTH(P$5)-MONTH($AA63))+1)))&lt;=MIN(P$5+6,$AB63)),($AA63&gt;=P$5)*($AA63&lt;=P$5+6))))</f>
        <v/>
      </c>
      <c r="Q63" s="21">
        <f>IF($X63&lt;&gt;1,0,$D63*IF($Y63&gt;0,MAX(0,INT((MIN(Q$5+6,$AB63)-$AA63)/$Y63)-MAX(0,-INT(($AA63-Q$5)/$Y63))+1),IF($Z63&gt;0,(MOD(((YEAR(Q$5)-YEAR($AA63))*12+MONTH(Q$5)-MONTH($AA63)),$Z63)=0)*(((YEAR(Q$5)-YEAR($AA63))*12+MONTH(Q$5)-MONTH($AA63))&gt;=0)*(EDATE($AA63,MAX(0,((YEAR(Q$5)-YEAR($AA63))*12+MONTH(Q$5)-MONTH($AA63))))&gt;=Q$5)*(EDATE($AA63,MAX(0,((YEAR(Q$5)-YEAR($AA63))*12+MONTH(Q$5)-MONTH($AA63))))&lt;=MIN(Q$5+6,$AB63))+(MOD((((YEAR(Q$5)-YEAR($AA63))*12+MONTH(Q$5)-MONTH($AA63))+1),$Z63)=0)*((((YEAR(Q$5)-YEAR($AA63))*12+MONTH(Q$5)-MONTH($AA63))+1)&gt;=0)*(EDATE($AA63,MAX(0,(((YEAR(Q$5)-YEAR($AA63))*12+MONTH(Q$5)-MONTH($AA63))+1)))&gt;=Q$5)*(EDATE($AA63,MAX(0,(((YEAR(Q$5)-YEAR($AA63))*12+MONTH(Q$5)-MONTH($AA63))+1)))&lt;=MIN(Q$5+6,$AB63)),($AA63&gt;=Q$5)*($AA63&lt;=Q$5+6))))</f>
        <v/>
      </c>
      <c r="R63" s="21">
        <f>IF($X63&lt;&gt;1,0,$D63*IF($Y63&gt;0,MAX(0,INT((MIN(R$5+6,$AB63)-$AA63)/$Y63)-MAX(0,-INT(($AA63-R$5)/$Y63))+1),IF($Z63&gt;0,(MOD(((YEAR(R$5)-YEAR($AA63))*12+MONTH(R$5)-MONTH($AA63)),$Z63)=0)*(((YEAR(R$5)-YEAR($AA63))*12+MONTH(R$5)-MONTH($AA63))&gt;=0)*(EDATE($AA63,MAX(0,((YEAR(R$5)-YEAR($AA63))*12+MONTH(R$5)-MONTH($AA63))))&gt;=R$5)*(EDATE($AA63,MAX(0,((YEAR(R$5)-YEAR($AA63))*12+MONTH(R$5)-MONTH($AA63))))&lt;=MIN(R$5+6,$AB63))+(MOD((((YEAR(R$5)-YEAR($AA63))*12+MONTH(R$5)-MONTH($AA63))+1),$Z63)=0)*((((YEAR(R$5)-YEAR($AA63))*12+MONTH(R$5)-MONTH($AA63))+1)&gt;=0)*(EDATE($AA63,MAX(0,(((YEAR(R$5)-YEAR($AA63))*12+MONTH(R$5)-MONTH($AA63))+1)))&gt;=R$5)*(EDATE($AA63,MAX(0,(((YEAR(R$5)-YEAR($AA63))*12+MONTH(R$5)-MONTH($AA63))+1)))&lt;=MIN(R$5+6,$AB63)),($AA63&gt;=R$5)*($AA63&lt;=R$5+6))))</f>
        <v/>
      </c>
      <c r="S63" s="21">
        <f>IF($X63&lt;&gt;1,0,$D63*IF($Y63&gt;0,MAX(0,INT((MIN(S$5+6,$AB63)-$AA63)/$Y63)-MAX(0,-INT(($AA63-S$5)/$Y63))+1),IF($Z63&gt;0,(MOD(((YEAR(S$5)-YEAR($AA63))*12+MONTH(S$5)-MONTH($AA63)),$Z63)=0)*(((YEAR(S$5)-YEAR($AA63))*12+MONTH(S$5)-MONTH($AA63))&gt;=0)*(EDATE($AA63,MAX(0,((YEAR(S$5)-YEAR($AA63))*12+MONTH(S$5)-MONTH($AA63))))&gt;=S$5)*(EDATE($AA63,MAX(0,((YEAR(S$5)-YEAR($AA63))*12+MONTH(S$5)-MONTH($AA63))))&lt;=MIN(S$5+6,$AB63))+(MOD((((YEAR(S$5)-YEAR($AA63))*12+MONTH(S$5)-MONTH($AA63))+1),$Z63)=0)*((((YEAR(S$5)-YEAR($AA63))*12+MONTH(S$5)-MONTH($AA63))+1)&gt;=0)*(EDATE($AA63,MAX(0,(((YEAR(S$5)-YEAR($AA63))*12+MONTH(S$5)-MONTH($AA63))+1)))&gt;=S$5)*(EDATE($AA63,MAX(0,(((YEAR(S$5)-YEAR($AA63))*12+MONTH(S$5)-MONTH($AA63))+1)))&lt;=MIN(S$5+6,$AB63)),($AA63&gt;=S$5)*($AA63&lt;=S$5+6))))</f>
        <v/>
      </c>
      <c r="T63" s="21">
        <f>IF($X63&lt;&gt;1,0,$D63*IF($Y63&gt;0,MAX(0,INT((MIN(T$5+6,$AB63)-$AA63)/$Y63)-MAX(0,-INT(($AA63-T$5)/$Y63))+1),IF($Z63&gt;0,(MOD(((YEAR(T$5)-YEAR($AA63))*12+MONTH(T$5)-MONTH($AA63)),$Z63)=0)*(((YEAR(T$5)-YEAR($AA63))*12+MONTH(T$5)-MONTH($AA63))&gt;=0)*(EDATE($AA63,MAX(0,((YEAR(T$5)-YEAR($AA63))*12+MONTH(T$5)-MONTH($AA63))))&gt;=T$5)*(EDATE($AA63,MAX(0,((YEAR(T$5)-YEAR($AA63))*12+MONTH(T$5)-MONTH($AA63))))&lt;=MIN(T$5+6,$AB63))+(MOD((((YEAR(T$5)-YEAR($AA63))*12+MONTH(T$5)-MONTH($AA63))+1),$Z63)=0)*((((YEAR(T$5)-YEAR($AA63))*12+MONTH(T$5)-MONTH($AA63))+1)&gt;=0)*(EDATE($AA63,MAX(0,(((YEAR(T$5)-YEAR($AA63))*12+MONTH(T$5)-MONTH($AA63))+1)))&gt;=T$5)*(EDATE($AA63,MAX(0,(((YEAR(T$5)-YEAR($AA63))*12+MONTH(T$5)-MONTH($AA63))+1)))&lt;=MIN(T$5+6,$AB63)),($AA63&gt;=T$5)*($AA63&lt;=T$5+6))))</f>
        <v/>
      </c>
      <c r="U63" s="21">
        <f>IF($X63&lt;&gt;1,0,$D63*IF($Y63&gt;0,MAX(0,INT((MIN(U$5+6,$AB63)-$AA63)/$Y63)-MAX(0,-INT(($AA63-U$5)/$Y63))+1),IF($Z63&gt;0,(MOD(((YEAR(U$5)-YEAR($AA63))*12+MONTH(U$5)-MONTH($AA63)),$Z63)=0)*(((YEAR(U$5)-YEAR($AA63))*12+MONTH(U$5)-MONTH($AA63))&gt;=0)*(EDATE($AA63,MAX(0,((YEAR(U$5)-YEAR($AA63))*12+MONTH(U$5)-MONTH($AA63))))&gt;=U$5)*(EDATE($AA63,MAX(0,((YEAR(U$5)-YEAR($AA63))*12+MONTH(U$5)-MONTH($AA63))))&lt;=MIN(U$5+6,$AB63))+(MOD((((YEAR(U$5)-YEAR($AA63))*12+MONTH(U$5)-MONTH($AA63))+1),$Z63)=0)*((((YEAR(U$5)-YEAR($AA63))*12+MONTH(U$5)-MONTH($AA63))+1)&gt;=0)*(EDATE($AA63,MAX(0,(((YEAR(U$5)-YEAR($AA63))*12+MONTH(U$5)-MONTH($AA63))+1)))&gt;=U$5)*(EDATE($AA63,MAX(0,(((YEAR(U$5)-YEAR($AA63))*12+MONTH(U$5)-MONTH($AA63))+1)))&lt;=MIN(U$5+6,$AB63)),($AA63&gt;=U$5)*($AA63&lt;=U$5+6))))</f>
        <v/>
      </c>
      <c r="V63" s="21">
        <f>IF($X63&lt;&gt;1,0,$D63*IF($Y63&gt;0,MAX(0,INT((MIN(V$5+6,$AB63)-$AA63)/$Y63)-MAX(0,-INT(($AA63-V$5)/$Y63))+1),IF($Z63&gt;0,(MOD(((YEAR(V$5)-YEAR($AA63))*12+MONTH(V$5)-MONTH($AA63)),$Z63)=0)*(((YEAR(V$5)-YEAR($AA63))*12+MONTH(V$5)-MONTH($AA63))&gt;=0)*(EDATE($AA63,MAX(0,((YEAR(V$5)-YEAR($AA63))*12+MONTH(V$5)-MONTH($AA63))))&gt;=V$5)*(EDATE($AA63,MAX(0,((YEAR(V$5)-YEAR($AA63))*12+MONTH(V$5)-MONTH($AA63))))&lt;=MIN(V$5+6,$AB63))+(MOD((((YEAR(V$5)-YEAR($AA63))*12+MONTH(V$5)-MONTH($AA63))+1),$Z63)=0)*((((YEAR(V$5)-YEAR($AA63))*12+MONTH(V$5)-MONTH($AA63))+1)&gt;=0)*(EDATE($AA63,MAX(0,(((YEAR(V$5)-YEAR($AA63))*12+MONTH(V$5)-MONTH($AA63))+1)))&gt;=V$5)*(EDATE($AA63,MAX(0,(((YEAR(V$5)-YEAR($AA63))*12+MONTH(V$5)-MONTH($AA63))+1)))&lt;=MIN(V$5+6,$AB63)),($AA63&gt;=V$5)*($AA63&lt;=V$5+6))))</f>
        <v/>
      </c>
      <c r="W63" s="21">
        <f>IF($X63&lt;&gt;1,0,$D63*IF($Y63&gt;0,MAX(0,INT((MIN(W$5+6,$AB63)-$AA63)/$Y63)-MAX(0,-INT(($AA63-W$5)/$Y63))+1),IF($Z63&gt;0,(MOD(((YEAR(W$5)-YEAR($AA63))*12+MONTH(W$5)-MONTH($AA63)),$Z63)=0)*(((YEAR(W$5)-YEAR($AA63))*12+MONTH(W$5)-MONTH($AA63))&gt;=0)*(EDATE($AA63,MAX(0,((YEAR(W$5)-YEAR($AA63))*12+MONTH(W$5)-MONTH($AA63))))&gt;=W$5)*(EDATE($AA63,MAX(0,((YEAR(W$5)-YEAR($AA63))*12+MONTH(W$5)-MONTH($AA63))))&lt;=MIN(W$5+6,$AB63))+(MOD((((YEAR(W$5)-YEAR($AA63))*12+MONTH(W$5)-MONTH($AA63))+1),$Z63)=0)*((((YEAR(W$5)-YEAR($AA63))*12+MONTH(W$5)-MONTH($AA63))+1)&gt;=0)*(EDATE($AA63,MAX(0,(((YEAR(W$5)-YEAR($AA63))*12+MONTH(W$5)-MONTH($AA63))+1)))&gt;=W$5)*(EDATE($AA63,MAX(0,(((YEAR(W$5)-YEAR($AA63))*12+MONTH(W$5)-MONTH($AA63))+1)))&lt;=MIN(W$5+6,$AB63)),($AA63&gt;=W$5)*($AA63&lt;=W$5+6))))</f>
        <v/>
      </c>
      <c r="X63">
        <f>IF(COUNTA(A63:G63)=0,"",IF(AND(OR(B63="In",B63="Out"),ISNUMBER(D63),D63&gt;0,ISNUMBER(MATCH(E63,FreqName,0)),ISNUMBER(F63),OR(G63="",AND(ISNUMBER(G63),G63&gt;=F63))),1,0))</f>
        <v/>
      </c>
      <c r="Y63">
        <f>IF(X63&lt;&gt;1,0,INDEX(FreqDays,MATCH(E63,FreqName,0)))</f>
        <v/>
      </c>
      <c r="Z63">
        <f>IF(X63&lt;&gt;1,0,INDEX(FreqMonths,MATCH(E63,FreqName,0)))</f>
        <v/>
      </c>
      <c r="AA63">
        <f>IF(X63&lt;&gt;1,0,INT(F63))</f>
        <v/>
      </c>
      <c r="AB63">
        <f>IF(X63&lt;&gt;1,0,IF(ISNUMBER(G63),INT(G63),2958465))</f>
        <v/>
      </c>
    </row>
    <row r="64">
      <c r="A64" s="29" t="n"/>
      <c r="B64" s="29" t="n"/>
      <c r="C64" s="29" t="n"/>
      <c r="D64" s="34" t="n"/>
      <c r="E64" s="29" t="n"/>
      <c r="F64" s="24" t="n"/>
      <c r="G64" s="24" t="n"/>
      <c r="H64" s="10">
        <f>IF(X64="","",IF(X64=0,IF(AND(B64&lt;&gt;"In",B64&lt;&gt;"Out"),"Fix: choose In or Out",IF(OR(NOT(ISNUMBER(D64)),N(D64)&lt;=0),"Fix: amount must be a number above 0",IF(NOT(ISNUMBER(MATCH(E64,FreqName,0))),"Fix: choose a frequency",IF(NOT(ISNUMBER(F64)),"Fix: first date missing","Fix: end date must be a date on or after the first date")))),IF(AND(C64&lt;&gt;"",OR(AND(B64="In",ISNUMBER(MATCH(C64,InCats,0))),AND(B64="Out",ISNUMBER(MATCH(C64,OutCats,0))))),"OK","Category not on Settings (counted as Other)")))</f>
        <v/>
      </c>
      <c r="I64" s="35">
        <f>IF(X64&lt;&gt;1,"",ROUND(J64/D64,0))</f>
        <v/>
      </c>
      <c r="J64" s="36">
        <f>SUM(K64:W64)</f>
        <v/>
      </c>
      <c r="K64" s="21">
        <f>IF($X64&lt;&gt;1,0,$D64*IF($Y64&gt;0,MAX(0,INT((MIN(K$5+6,$AB64)-$AA64)/$Y64)-MAX(0,-INT(($AA64-K$5)/$Y64))+1),IF($Z64&gt;0,(MOD(((YEAR(K$5)-YEAR($AA64))*12+MONTH(K$5)-MONTH($AA64)),$Z64)=0)*(((YEAR(K$5)-YEAR($AA64))*12+MONTH(K$5)-MONTH($AA64))&gt;=0)*(EDATE($AA64,MAX(0,((YEAR(K$5)-YEAR($AA64))*12+MONTH(K$5)-MONTH($AA64))))&gt;=K$5)*(EDATE($AA64,MAX(0,((YEAR(K$5)-YEAR($AA64))*12+MONTH(K$5)-MONTH($AA64))))&lt;=MIN(K$5+6,$AB64))+(MOD((((YEAR(K$5)-YEAR($AA64))*12+MONTH(K$5)-MONTH($AA64))+1),$Z64)=0)*((((YEAR(K$5)-YEAR($AA64))*12+MONTH(K$5)-MONTH($AA64))+1)&gt;=0)*(EDATE($AA64,MAX(0,(((YEAR(K$5)-YEAR($AA64))*12+MONTH(K$5)-MONTH($AA64))+1)))&gt;=K$5)*(EDATE($AA64,MAX(0,(((YEAR(K$5)-YEAR($AA64))*12+MONTH(K$5)-MONTH($AA64))+1)))&lt;=MIN(K$5+6,$AB64)),($AA64&gt;=K$5)*($AA64&lt;=K$5+6))))</f>
        <v/>
      </c>
      <c r="L64" s="21">
        <f>IF($X64&lt;&gt;1,0,$D64*IF($Y64&gt;0,MAX(0,INT((MIN(L$5+6,$AB64)-$AA64)/$Y64)-MAX(0,-INT(($AA64-L$5)/$Y64))+1),IF($Z64&gt;0,(MOD(((YEAR(L$5)-YEAR($AA64))*12+MONTH(L$5)-MONTH($AA64)),$Z64)=0)*(((YEAR(L$5)-YEAR($AA64))*12+MONTH(L$5)-MONTH($AA64))&gt;=0)*(EDATE($AA64,MAX(0,((YEAR(L$5)-YEAR($AA64))*12+MONTH(L$5)-MONTH($AA64))))&gt;=L$5)*(EDATE($AA64,MAX(0,((YEAR(L$5)-YEAR($AA64))*12+MONTH(L$5)-MONTH($AA64))))&lt;=MIN(L$5+6,$AB64))+(MOD((((YEAR(L$5)-YEAR($AA64))*12+MONTH(L$5)-MONTH($AA64))+1),$Z64)=0)*((((YEAR(L$5)-YEAR($AA64))*12+MONTH(L$5)-MONTH($AA64))+1)&gt;=0)*(EDATE($AA64,MAX(0,(((YEAR(L$5)-YEAR($AA64))*12+MONTH(L$5)-MONTH($AA64))+1)))&gt;=L$5)*(EDATE($AA64,MAX(0,(((YEAR(L$5)-YEAR($AA64))*12+MONTH(L$5)-MONTH($AA64))+1)))&lt;=MIN(L$5+6,$AB64)),($AA64&gt;=L$5)*($AA64&lt;=L$5+6))))</f>
        <v/>
      </c>
      <c r="M64" s="21">
        <f>IF($X64&lt;&gt;1,0,$D64*IF($Y64&gt;0,MAX(0,INT((MIN(M$5+6,$AB64)-$AA64)/$Y64)-MAX(0,-INT(($AA64-M$5)/$Y64))+1),IF($Z64&gt;0,(MOD(((YEAR(M$5)-YEAR($AA64))*12+MONTH(M$5)-MONTH($AA64)),$Z64)=0)*(((YEAR(M$5)-YEAR($AA64))*12+MONTH(M$5)-MONTH($AA64))&gt;=0)*(EDATE($AA64,MAX(0,((YEAR(M$5)-YEAR($AA64))*12+MONTH(M$5)-MONTH($AA64))))&gt;=M$5)*(EDATE($AA64,MAX(0,((YEAR(M$5)-YEAR($AA64))*12+MONTH(M$5)-MONTH($AA64))))&lt;=MIN(M$5+6,$AB64))+(MOD((((YEAR(M$5)-YEAR($AA64))*12+MONTH(M$5)-MONTH($AA64))+1),$Z64)=0)*((((YEAR(M$5)-YEAR($AA64))*12+MONTH(M$5)-MONTH($AA64))+1)&gt;=0)*(EDATE($AA64,MAX(0,(((YEAR(M$5)-YEAR($AA64))*12+MONTH(M$5)-MONTH($AA64))+1)))&gt;=M$5)*(EDATE($AA64,MAX(0,(((YEAR(M$5)-YEAR($AA64))*12+MONTH(M$5)-MONTH($AA64))+1)))&lt;=MIN(M$5+6,$AB64)),($AA64&gt;=M$5)*($AA64&lt;=M$5+6))))</f>
        <v/>
      </c>
      <c r="N64" s="21">
        <f>IF($X64&lt;&gt;1,0,$D64*IF($Y64&gt;0,MAX(0,INT((MIN(N$5+6,$AB64)-$AA64)/$Y64)-MAX(0,-INT(($AA64-N$5)/$Y64))+1),IF($Z64&gt;0,(MOD(((YEAR(N$5)-YEAR($AA64))*12+MONTH(N$5)-MONTH($AA64)),$Z64)=0)*(((YEAR(N$5)-YEAR($AA64))*12+MONTH(N$5)-MONTH($AA64))&gt;=0)*(EDATE($AA64,MAX(0,((YEAR(N$5)-YEAR($AA64))*12+MONTH(N$5)-MONTH($AA64))))&gt;=N$5)*(EDATE($AA64,MAX(0,((YEAR(N$5)-YEAR($AA64))*12+MONTH(N$5)-MONTH($AA64))))&lt;=MIN(N$5+6,$AB64))+(MOD((((YEAR(N$5)-YEAR($AA64))*12+MONTH(N$5)-MONTH($AA64))+1),$Z64)=0)*((((YEAR(N$5)-YEAR($AA64))*12+MONTH(N$5)-MONTH($AA64))+1)&gt;=0)*(EDATE($AA64,MAX(0,(((YEAR(N$5)-YEAR($AA64))*12+MONTH(N$5)-MONTH($AA64))+1)))&gt;=N$5)*(EDATE($AA64,MAX(0,(((YEAR(N$5)-YEAR($AA64))*12+MONTH(N$5)-MONTH($AA64))+1)))&lt;=MIN(N$5+6,$AB64)),($AA64&gt;=N$5)*($AA64&lt;=N$5+6))))</f>
        <v/>
      </c>
      <c r="O64" s="21">
        <f>IF($X64&lt;&gt;1,0,$D64*IF($Y64&gt;0,MAX(0,INT((MIN(O$5+6,$AB64)-$AA64)/$Y64)-MAX(0,-INT(($AA64-O$5)/$Y64))+1),IF($Z64&gt;0,(MOD(((YEAR(O$5)-YEAR($AA64))*12+MONTH(O$5)-MONTH($AA64)),$Z64)=0)*(((YEAR(O$5)-YEAR($AA64))*12+MONTH(O$5)-MONTH($AA64))&gt;=0)*(EDATE($AA64,MAX(0,((YEAR(O$5)-YEAR($AA64))*12+MONTH(O$5)-MONTH($AA64))))&gt;=O$5)*(EDATE($AA64,MAX(0,((YEAR(O$5)-YEAR($AA64))*12+MONTH(O$5)-MONTH($AA64))))&lt;=MIN(O$5+6,$AB64))+(MOD((((YEAR(O$5)-YEAR($AA64))*12+MONTH(O$5)-MONTH($AA64))+1),$Z64)=0)*((((YEAR(O$5)-YEAR($AA64))*12+MONTH(O$5)-MONTH($AA64))+1)&gt;=0)*(EDATE($AA64,MAX(0,(((YEAR(O$5)-YEAR($AA64))*12+MONTH(O$5)-MONTH($AA64))+1)))&gt;=O$5)*(EDATE($AA64,MAX(0,(((YEAR(O$5)-YEAR($AA64))*12+MONTH(O$5)-MONTH($AA64))+1)))&lt;=MIN(O$5+6,$AB64)),($AA64&gt;=O$5)*($AA64&lt;=O$5+6))))</f>
        <v/>
      </c>
      <c r="P64" s="21">
        <f>IF($X64&lt;&gt;1,0,$D64*IF($Y64&gt;0,MAX(0,INT((MIN(P$5+6,$AB64)-$AA64)/$Y64)-MAX(0,-INT(($AA64-P$5)/$Y64))+1),IF($Z64&gt;0,(MOD(((YEAR(P$5)-YEAR($AA64))*12+MONTH(P$5)-MONTH($AA64)),$Z64)=0)*(((YEAR(P$5)-YEAR($AA64))*12+MONTH(P$5)-MONTH($AA64))&gt;=0)*(EDATE($AA64,MAX(0,((YEAR(P$5)-YEAR($AA64))*12+MONTH(P$5)-MONTH($AA64))))&gt;=P$5)*(EDATE($AA64,MAX(0,((YEAR(P$5)-YEAR($AA64))*12+MONTH(P$5)-MONTH($AA64))))&lt;=MIN(P$5+6,$AB64))+(MOD((((YEAR(P$5)-YEAR($AA64))*12+MONTH(P$5)-MONTH($AA64))+1),$Z64)=0)*((((YEAR(P$5)-YEAR($AA64))*12+MONTH(P$5)-MONTH($AA64))+1)&gt;=0)*(EDATE($AA64,MAX(0,(((YEAR(P$5)-YEAR($AA64))*12+MONTH(P$5)-MONTH($AA64))+1)))&gt;=P$5)*(EDATE($AA64,MAX(0,(((YEAR(P$5)-YEAR($AA64))*12+MONTH(P$5)-MONTH($AA64))+1)))&lt;=MIN(P$5+6,$AB64)),($AA64&gt;=P$5)*($AA64&lt;=P$5+6))))</f>
        <v/>
      </c>
      <c r="Q64" s="21">
        <f>IF($X64&lt;&gt;1,0,$D64*IF($Y64&gt;0,MAX(0,INT((MIN(Q$5+6,$AB64)-$AA64)/$Y64)-MAX(0,-INT(($AA64-Q$5)/$Y64))+1),IF($Z64&gt;0,(MOD(((YEAR(Q$5)-YEAR($AA64))*12+MONTH(Q$5)-MONTH($AA64)),$Z64)=0)*(((YEAR(Q$5)-YEAR($AA64))*12+MONTH(Q$5)-MONTH($AA64))&gt;=0)*(EDATE($AA64,MAX(0,((YEAR(Q$5)-YEAR($AA64))*12+MONTH(Q$5)-MONTH($AA64))))&gt;=Q$5)*(EDATE($AA64,MAX(0,((YEAR(Q$5)-YEAR($AA64))*12+MONTH(Q$5)-MONTH($AA64))))&lt;=MIN(Q$5+6,$AB64))+(MOD((((YEAR(Q$5)-YEAR($AA64))*12+MONTH(Q$5)-MONTH($AA64))+1),$Z64)=0)*((((YEAR(Q$5)-YEAR($AA64))*12+MONTH(Q$5)-MONTH($AA64))+1)&gt;=0)*(EDATE($AA64,MAX(0,(((YEAR(Q$5)-YEAR($AA64))*12+MONTH(Q$5)-MONTH($AA64))+1)))&gt;=Q$5)*(EDATE($AA64,MAX(0,(((YEAR(Q$5)-YEAR($AA64))*12+MONTH(Q$5)-MONTH($AA64))+1)))&lt;=MIN(Q$5+6,$AB64)),($AA64&gt;=Q$5)*($AA64&lt;=Q$5+6))))</f>
        <v/>
      </c>
      <c r="R64" s="21">
        <f>IF($X64&lt;&gt;1,0,$D64*IF($Y64&gt;0,MAX(0,INT((MIN(R$5+6,$AB64)-$AA64)/$Y64)-MAX(0,-INT(($AA64-R$5)/$Y64))+1),IF($Z64&gt;0,(MOD(((YEAR(R$5)-YEAR($AA64))*12+MONTH(R$5)-MONTH($AA64)),$Z64)=0)*(((YEAR(R$5)-YEAR($AA64))*12+MONTH(R$5)-MONTH($AA64))&gt;=0)*(EDATE($AA64,MAX(0,((YEAR(R$5)-YEAR($AA64))*12+MONTH(R$5)-MONTH($AA64))))&gt;=R$5)*(EDATE($AA64,MAX(0,((YEAR(R$5)-YEAR($AA64))*12+MONTH(R$5)-MONTH($AA64))))&lt;=MIN(R$5+6,$AB64))+(MOD((((YEAR(R$5)-YEAR($AA64))*12+MONTH(R$5)-MONTH($AA64))+1),$Z64)=0)*((((YEAR(R$5)-YEAR($AA64))*12+MONTH(R$5)-MONTH($AA64))+1)&gt;=0)*(EDATE($AA64,MAX(0,(((YEAR(R$5)-YEAR($AA64))*12+MONTH(R$5)-MONTH($AA64))+1)))&gt;=R$5)*(EDATE($AA64,MAX(0,(((YEAR(R$5)-YEAR($AA64))*12+MONTH(R$5)-MONTH($AA64))+1)))&lt;=MIN(R$5+6,$AB64)),($AA64&gt;=R$5)*($AA64&lt;=R$5+6))))</f>
        <v/>
      </c>
      <c r="S64" s="21">
        <f>IF($X64&lt;&gt;1,0,$D64*IF($Y64&gt;0,MAX(0,INT((MIN(S$5+6,$AB64)-$AA64)/$Y64)-MAX(0,-INT(($AA64-S$5)/$Y64))+1),IF($Z64&gt;0,(MOD(((YEAR(S$5)-YEAR($AA64))*12+MONTH(S$5)-MONTH($AA64)),$Z64)=0)*(((YEAR(S$5)-YEAR($AA64))*12+MONTH(S$5)-MONTH($AA64))&gt;=0)*(EDATE($AA64,MAX(0,((YEAR(S$5)-YEAR($AA64))*12+MONTH(S$5)-MONTH($AA64))))&gt;=S$5)*(EDATE($AA64,MAX(0,((YEAR(S$5)-YEAR($AA64))*12+MONTH(S$5)-MONTH($AA64))))&lt;=MIN(S$5+6,$AB64))+(MOD((((YEAR(S$5)-YEAR($AA64))*12+MONTH(S$5)-MONTH($AA64))+1),$Z64)=0)*((((YEAR(S$5)-YEAR($AA64))*12+MONTH(S$5)-MONTH($AA64))+1)&gt;=0)*(EDATE($AA64,MAX(0,(((YEAR(S$5)-YEAR($AA64))*12+MONTH(S$5)-MONTH($AA64))+1)))&gt;=S$5)*(EDATE($AA64,MAX(0,(((YEAR(S$5)-YEAR($AA64))*12+MONTH(S$5)-MONTH($AA64))+1)))&lt;=MIN(S$5+6,$AB64)),($AA64&gt;=S$5)*($AA64&lt;=S$5+6))))</f>
        <v/>
      </c>
      <c r="T64" s="21">
        <f>IF($X64&lt;&gt;1,0,$D64*IF($Y64&gt;0,MAX(0,INT((MIN(T$5+6,$AB64)-$AA64)/$Y64)-MAX(0,-INT(($AA64-T$5)/$Y64))+1),IF($Z64&gt;0,(MOD(((YEAR(T$5)-YEAR($AA64))*12+MONTH(T$5)-MONTH($AA64)),$Z64)=0)*(((YEAR(T$5)-YEAR($AA64))*12+MONTH(T$5)-MONTH($AA64))&gt;=0)*(EDATE($AA64,MAX(0,((YEAR(T$5)-YEAR($AA64))*12+MONTH(T$5)-MONTH($AA64))))&gt;=T$5)*(EDATE($AA64,MAX(0,((YEAR(T$5)-YEAR($AA64))*12+MONTH(T$5)-MONTH($AA64))))&lt;=MIN(T$5+6,$AB64))+(MOD((((YEAR(T$5)-YEAR($AA64))*12+MONTH(T$5)-MONTH($AA64))+1),$Z64)=0)*((((YEAR(T$5)-YEAR($AA64))*12+MONTH(T$5)-MONTH($AA64))+1)&gt;=0)*(EDATE($AA64,MAX(0,(((YEAR(T$5)-YEAR($AA64))*12+MONTH(T$5)-MONTH($AA64))+1)))&gt;=T$5)*(EDATE($AA64,MAX(0,(((YEAR(T$5)-YEAR($AA64))*12+MONTH(T$5)-MONTH($AA64))+1)))&lt;=MIN(T$5+6,$AB64)),($AA64&gt;=T$5)*($AA64&lt;=T$5+6))))</f>
        <v/>
      </c>
      <c r="U64" s="21">
        <f>IF($X64&lt;&gt;1,0,$D64*IF($Y64&gt;0,MAX(0,INT((MIN(U$5+6,$AB64)-$AA64)/$Y64)-MAX(0,-INT(($AA64-U$5)/$Y64))+1),IF($Z64&gt;0,(MOD(((YEAR(U$5)-YEAR($AA64))*12+MONTH(U$5)-MONTH($AA64)),$Z64)=0)*(((YEAR(U$5)-YEAR($AA64))*12+MONTH(U$5)-MONTH($AA64))&gt;=0)*(EDATE($AA64,MAX(0,((YEAR(U$5)-YEAR($AA64))*12+MONTH(U$5)-MONTH($AA64))))&gt;=U$5)*(EDATE($AA64,MAX(0,((YEAR(U$5)-YEAR($AA64))*12+MONTH(U$5)-MONTH($AA64))))&lt;=MIN(U$5+6,$AB64))+(MOD((((YEAR(U$5)-YEAR($AA64))*12+MONTH(U$5)-MONTH($AA64))+1),$Z64)=0)*((((YEAR(U$5)-YEAR($AA64))*12+MONTH(U$5)-MONTH($AA64))+1)&gt;=0)*(EDATE($AA64,MAX(0,(((YEAR(U$5)-YEAR($AA64))*12+MONTH(U$5)-MONTH($AA64))+1)))&gt;=U$5)*(EDATE($AA64,MAX(0,(((YEAR(U$5)-YEAR($AA64))*12+MONTH(U$5)-MONTH($AA64))+1)))&lt;=MIN(U$5+6,$AB64)),($AA64&gt;=U$5)*($AA64&lt;=U$5+6))))</f>
        <v/>
      </c>
      <c r="V64" s="21">
        <f>IF($X64&lt;&gt;1,0,$D64*IF($Y64&gt;0,MAX(0,INT((MIN(V$5+6,$AB64)-$AA64)/$Y64)-MAX(0,-INT(($AA64-V$5)/$Y64))+1),IF($Z64&gt;0,(MOD(((YEAR(V$5)-YEAR($AA64))*12+MONTH(V$5)-MONTH($AA64)),$Z64)=0)*(((YEAR(V$5)-YEAR($AA64))*12+MONTH(V$5)-MONTH($AA64))&gt;=0)*(EDATE($AA64,MAX(0,((YEAR(V$5)-YEAR($AA64))*12+MONTH(V$5)-MONTH($AA64))))&gt;=V$5)*(EDATE($AA64,MAX(0,((YEAR(V$5)-YEAR($AA64))*12+MONTH(V$5)-MONTH($AA64))))&lt;=MIN(V$5+6,$AB64))+(MOD((((YEAR(V$5)-YEAR($AA64))*12+MONTH(V$5)-MONTH($AA64))+1),$Z64)=0)*((((YEAR(V$5)-YEAR($AA64))*12+MONTH(V$5)-MONTH($AA64))+1)&gt;=0)*(EDATE($AA64,MAX(0,(((YEAR(V$5)-YEAR($AA64))*12+MONTH(V$5)-MONTH($AA64))+1)))&gt;=V$5)*(EDATE($AA64,MAX(0,(((YEAR(V$5)-YEAR($AA64))*12+MONTH(V$5)-MONTH($AA64))+1)))&lt;=MIN(V$5+6,$AB64)),($AA64&gt;=V$5)*($AA64&lt;=V$5+6))))</f>
        <v/>
      </c>
      <c r="W64" s="21">
        <f>IF($X64&lt;&gt;1,0,$D64*IF($Y64&gt;0,MAX(0,INT((MIN(W$5+6,$AB64)-$AA64)/$Y64)-MAX(0,-INT(($AA64-W$5)/$Y64))+1),IF($Z64&gt;0,(MOD(((YEAR(W$5)-YEAR($AA64))*12+MONTH(W$5)-MONTH($AA64)),$Z64)=0)*(((YEAR(W$5)-YEAR($AA64))*12+MONTH(W$5)-MONTH($AA64))&gt;=0)*(EDATE($AA64,MAX(0,((YEAR(W$5)-YEAR($AA64))*12+MONTH(W$5)-MONTH($AA64))))&gt;=W$5)*(EDATE($AA64,MAX(0,((YEAR(W$5)-YEAR($AA64))*12+MONTH(W$5)-MONTH($AA64))))&lt;=MIN(W$5+6,$AB64))+(MOD((((YEAR(W$5)-YEAR($AA64))*12+MONTH(W$5)-MONTH($AA64))+1),$Z64)=0)*((((YEAR(W$5)-YEAR($AA64))*12+MONTH(W$5)-MONTH($AA64))+1)&gt;=0)*(EDATE($AA64,MAX(0,(((YEAR(W$5)-YEAR($AA64))*12+MONTH(W$5)-MONTH($AA64))+1)))&gt;=W$5)*(EDATE($AA64,MAX(0,(((YEAR(W$5)-YEAR($AA64))*12+MONTH(W$5)-MONTH($AA64))+1)))&lt;=MIN(W$5+6,$AB64)),($AA64&gt;=W$5)*($AA64&lt;=W$5+6))))</f>
        <v/>
      </c>
      <c r="X64">
        <f>IF(COUNTA(A64:G64)=0,"",IF(AND(OR(B64="In",B64="Out"),ISNUMBER(D64),D64&gt;0,ISNUMBER(MATCH(E64,FreqName,0)),ISNUMBER(F64),OR(G64="",AND(ISNUMBER(G64),G64&gt;=F64))),1,0))</f>
        <v/>
      </c>
      <c r="Y64">
        <f>IF(X64&lt;&gt;1,0,INDEX(FreqDays,MATCH(E64,FreqName,0)))</f>
        <v/>
      </c>
      <c r="Z64">
        <f>IF(X64&lt;&gt;1,0,INDEX(FreqMonths,MATCH(E64,FreqName,0)))</f>
        <v/>
      </c>
      <c r="AA64">
        <f>IF(X64&lt;&gt;1,0,INT(F64))</f>
        <v/>
      </c>
      <c r="AB64">
        <f>IF(X64&lt;&gt;1,0,IF(ISNUMBER(G64),INT(G64),2958465))</f>
        <v/>
      </c>
    </row>
    <row r="65">
      <c r="A65" s="29" t="n"/>
      <c r="B65" s="29" t="n"/>
      <c r="C65" s="29" t="n"/>
      <c r="D65" s="34" t="n"/>
      <c r="E65" s="29" t="n"/>
      <c r="F65" s="24" t="n"/>
      <c r="G65" s="24" t="n"/>
      <c r="H65" s="10">
        <f>IF(X65="","",IF(X65=0,IF(AND(B65&lt;&gt;"In",B65&lt;&gt;"Out"),"Fix: choose In or Out",IF(OR(NOT(ISNUMBER(D65)),N(D65)&lt;=0),"Fix: amount must be a number above 0",IF(NOT(ISNUMBER(MATCH(E65,FreqName,0))),"Fix: choose a frequency",IF(NOT(ISNUMBER(F65)),"Fix: first date missing","Fix: end date must be a date on or after the first date")))),IF(AND(C65&lt;&gt;"",OR(AND(B65="In",ISNUMBER(MATCH(C65,InCats,0))),AND(B65="Out",ISNUMBER(MATCH(C65,OutCats,0))))),"OK","Category not on Settings (counted as Other)")))</f>
        <v/>
      </c>
      <c r="I65" s="35">
        <f>IF(X65&lt;&gt;1,"",ROUND(J65/D65,0))</f>
        <v/>
      </c>
      <c r="J65" s="36">
        <f>SUM(K65:W65)</f>
        <v/>
      </c>
      <c r="K65" s="21">
        <f>IF($X65&lt;&gt;1,0,$D65*IF($Y65&gt;0,MAX(0,INT((MIN(K$5+6,$AB65)-$AA65)/$Y65)-MAX(0,-INT(($AA65-K$5)/$Y65))+1),IF($Z65&gt;0,(MOD(((YEAR(K$5)-YEAR($AA65))*12+MONTH(K$5)-MONTH($AA65)),$Z65)=0)*(((YEAR(K$5)-YEAR($AA65))*12+MONTH(K$5)-MONTH($AA65))&gt;=0)*(EDATE($AA65,MAX(0,((YEAR(K$5)-YEAR($AA65))*12+MONTH(K$5)-MONTH($AA65))))&gt;=K$5)*(EDATE($AA65,MAX(0,((YEAR(K$5)-YEAR($AA65))*12+MONTH(K$5)-MONTH($AA65))))&lt;=MIN(K$5+6,$AB65))+(MOD((((YEAR(K$5)-YEAR($AA65))*12+MONTH(K$5)-MONTH($AA65))+1),$Z65)=0)*((((YEAR(K$5)-YEAR($AA65))*12+MONTH(K$5)-MONTH($AA65))+1)&gt;=0)*(EDATE($AA65,MAX(0,(((YEAR(K$5)-YEAR($AA65))*12+MONTH(K$5)-MONTH($AA65))+1)))&gt;=K$5)*(EDATE($AA65,MAX(0,(((YEAR(K$5)-YEAR($AA65))*12+MONTH(K$5)-MONTH($AA65))+1)))&lt;=MIN(K$5+6,$AB65)),($AA65&gt;=K$5)*($AA65&lt;=K$5+6))))</f>
        <v/>
      </c>
      <c r="L65" s="21">
        <f>IF($X65&lt;&gt;1,0,$D65*IF($Y65&gt;0,MAX(0,INT((MIN(L$5+6,$AB65)-$AA65)/$Y65)-MAX(0,-INT(($AA65-L$5)/$Y65))+1),IF($Z65&gt;0,(MOD(((YEAR(L$5)-YEAR($AA65))*12+MONTH(L$5)-MONTH($AA65)),$Z65)=0)*(((YEAR(L$5)-YEAR($AA65))*12+MONTH(L$5)-MONTH($AA65))&gt;=0)*(EDATE($AA65,MAX(0,((YEAR(L$5)-YEAR($AA65))*12+MONTH(L$5)-MONTH($AA65))))&gt;=L$5)*(EDATE($AA65,MAX(0,((YEAR(L$5)-YEAR($AA65))*12+MONTH(L$5)-MONTH($AA65))))&lt;=MIN(L$5+6,$AB65))+(MOD((((YEAR(L$5)-YEAR($AA65))*12+MONTH(L$5)-MONTH($AA65))+1),$Z65)=0)*((((YEAR(L$5)-YEAR($AA65))*12+MONTH(L$5)-MONTH($AA65))+1)&gt;=0)*(EDATE($AA65,MAX(0,(((YEAR(L$5)-YEAR($AA65))*12+MONTH(L$5)-MONTH($AA65))+1)))&gt;=L$5)*(EDATE($AA65,MAX(0,(((YEAR(L$5)-YEAR($AA65))*12+MONTH(L$5)-MONTH($AA65))+1)))&lt;=MIN(L$5+6,$AB65)),($AA65&gt;=L$5)*($AA65&lt;=L$5+6))))</f>
        <v/>
      </c>
      <c r="M65" s="21">
        <f>IF($X65&lt;&gt;1,0,$D65*IF($Y65&gt;0,MAX(0,INT((MIN(M$5+6,$AB65)-$AA65)/$Y65)-MAX(0,-INT(($AA65-M$5)/$Y65))+1),IF($Z65&gt;0,(MOD(((YEAR(M$5)-YEAR($AA65))*12+MONTH(M$5)-MONTH($AA65)),$Z65)=0)*(((YEAR(M$5)-YEAR($AA65))*12+MONTH(M$5)-MONTH($AA65))&gt;=0)*(EDATE($AA65,MAX(0,((YEAR(M$5)-YEAR($AA65))*12+MONTH(M$5)-MONTH($AA65))))&gt;=M$5)*(EDATE($AA65,MAX(0,((YEAR(M$5)-YEAR($AA65))*12+MONTH(M$5)-MONTH($AA65))))&lt;=MIN(M$5+6,$AB65))+(MOD((((YEAR(M$5)-YEAR($AA65))*12+MONTH(M$5)-MONTH($AA65))+1),$Z65)=0)*((((YEAR(M$5)-YEAR($AA65))*12+MONTH(M$5)-MONTH($AA65))+1)&gt;=0)*(EDATE($AA65,MAX(0,(((YEAR(M$5)-YEAR($AA65))*12+MONTH(M$5)-MONTH($AA65))+1)))&gt;=M$5)*(EDATE($AA65,MAX(0,(((YEAR(M$5)-YEAR($AA65))*12+MONTH(M$5)-MONTH($AA65))+1)))&lt;=MIN(M$5+6,$AB65)),($AA65&gt;=M$5)*($AA65&lt;=M$5+6))))</f>
        <v/>
      </c>
      <c r="N65" s="21">
        <f>IF($X65&lt;&gt;1,0,$D65*IF($Y65&gt;0,MAX(0,INT((MIN(N$5+6,$AB65)-$AA65)/$Y65)-MAX(0,-INT(($AA65-N$5)/$Y65))+1),IF($Z65&gt;0,(MOD(((YEAR(N$5)-YEAR($AA65))*12+MONTH(N$5)-MONTH($AA65)),$Z65)=0)*(((YEAR(N$5)-YEAR($AA65))*12+MONTH(N$5)-MONTH($AA65))&gt;=0)*(EDATE($AA65,MAX(0,((YEAR(N$5)-YEAR($AA65))*12+MONTH(N$5)-MONTH($AA65))))&gt;=N$5)*(EDATE($AA65,MAX(0,((YEAR(N$5)-YEAR($AA65))*12+MONTH(N$5)-MONTH($AA65))))&lt;=MIN(N$5+6,$AB65))+(MOD((((YEAR(N$5)-YEAR($AA65))*12+MONTH(N$5)-MONTH($AA65))+1),$Z65)=0)*((((YEAR(N$5)-YEAR($AA65))*12+MONTH(N$5)-MONTH($AA65))+1)&gt;=0)*(EDATE($AA65,MAX(0,(((YEAR(N$5)-YEAR($AA65))*12+MONTH(N$5)-MONTH($AA65))+1)))&gt;=N$5)*(EDATE($AA65,MAX(0,(((YEAR(N$5)-YEAR($AA65))*12+MONTH(N$5)-MONTH($AA65))+1)))&lt;=MIN(N$5+6,$AB65)),($AA65&gt;=N$5)*($AA65&lt;=N$5+6))))</f>
        <v/>
      </c>
      <c r="O65" s="21">
        <f>IF($X65&lt;&gt;1,0,$D65*IF($Y65&gt;0,MAX(0,INT((MIN(O$5+6,$AB65)-$AA65)/$Y65)-MAX(0,-INT(($AA65-O$5)/$Y65))+1),IF($Z65&gt;0,(MOD(((YEAR(O$5)-YEAR($AA65))*12+MONTH(O$5)-MONTH($AA65)),$Z65)=0)*(((YEAR(O$5)-YEAR($AA65))*12+MONTH(O$5)-MONTH($AA65))&gt;=0)*(EDATE($AA65,MAX(0,((YEAR(O$5)-YEAR($AA65))*12+MONTH(O$5)-MONTH($AA65))))&gt;=O$5)*(EDATE($AA65,MAX(0,((YEAR(O$5)-YEAR($AA65))*12+MONTH(O$5)-MONTH($AA65))))&lt;=MIN(O$5+6,$AB65))+(MOD((((YEAR(O$5)-YEAR($AA65))*12+MONTH(O$5)-MONTH($AA65))+1),$Z65)=0)*((((YEAR(O$5)-YEAR($AA65))*12+MONTH(O$5)-MONTH($AA65))+1)&gt;=0)*(EDATE($AA65,MAX(0,(((YEAR(O$5)-YEAR($AA65))*12+MONTH(O$5)-MONTH($AA65))+1)))&gt;=O$5)*(EDATE($AA65,MAX(0,(((YEAR(O$5)-YEAR($AA65))*12+MONTH(O$5)-MONTH($AA65))+1)))&lt;=MIN(O$5+6,$AB65)),($AA65&gt;=O$5)*($AA65&lt;=O$5+6))))</f>
        <v/>
      </c>
      <c r="P65" s="21">
        <f>IF($X65&lt;&gt;1,0,$D65*IF($Y65&gt;0,MAX(0,INT((MIN(P$5+6,$AB65)-$AA65)/$Y65)-MAX(0,-INT(($AA65-P$5)/$Y65))+1),IF($Z65&gt;0,(MOD(((YEAR(P$5)-YEAR($AA65))*12+MONTH(P$5)-MONTH($AA65)),$Z65)=0)*(((YEAR(P$5)-YEAR($AA65))*12+MONTH(P$5)-MONTH($AA65))&gt;=0)*(EDATE($AA65,MAX(0,((YEAR(P$5)-YEAR($AA65))*12+MONTH(P$5)-MONTH($AA65))))&gt;=P$5)*(EDATE($AA65,MAX(0,((YEAR(P$5)-YEAR($AA65))*12+MONTH(P$5)-MONTH($AA65))))&lt;=MIN(P$5+6,$AB65))+(MOD((((YEAR(P$5)-YEAR($AA65))*12+MONTH(P$5)-MONTH($AA65))+1),$Z65)=0)*((((YEAR(P$5)-YEAR($AA65))*12+MONTH(P$5)-MONTH($AA65))+1)&gt;=0)*(EDATE($AA65,MAX(0,(((YEAR(P$5)-YEAR($AA65))*12+MONTH(P$5)-MONTH($AA65))+1)))&gt;=P$5)*(EDATE($AA65,MAX(0,(((YEAR(P$5)-YEAR($AA65))*12+MONTH(P$5)-MONTH($AA65))+1)))&lt;=MIN(P$5+6,$AB65)),($AA65&gt;=P$5)*($AA65&lt;=P$5+6))))</f>
        <v/>
      </c>
      <c r="Q65" s="21">
        <f>IF($X65&lt;&gt;1,0,$D65*IF($Y65&gt;0,MAX(0,INT((MIN(Q$5+6,$AB65)-$AA65)/$Y65)-MAX(0,-INT(($AA65-Q$5)/$Y65))+1),IF($Z65&gt;0,(MOD(((YEAR(Q$5)-YEAR($AA65))*12+MONTH(Q$5)-MONTH($AA65)),$Z65)=0)*(((YEAR(Q$5)-YEAR($AA65))*12+MONTH(Q$5)-MONTH($AA65))&gt;=0)*(EDATE($AA65,MAX(0,((YEAR(Q$5)-YEAR($AA65))*12+MONTH(Q$5)-MONTH($AA65))))&gt;=Q$5)*(EDATE($AA65,MAX(0,((YEAR(Q$5)-YEAR($AA65))*12+MONTH(Q$5)-MONTH($AA65))))&lt;=MIN(Q$5+6,$AB65))+(MOD((((YEAR(Q$5)-YEAR($AA65))*12+MONTH(Q$5)-MONTH($AA65))+1),$Z65)=0)*((((YEAR(Q$5)-YEAR($AA65))*12+MONTH(Q$5)-MONTH($AA65))+1)&gt;=0)*(EDATE($AA65,MAX(0,(((YEAR(Q$5)-YEAR($AA65))*12+MONTH(Q$5)-MONTH($AA65))+1)))&gt;=Q$5)*(EDATE($AA65,MAX(0,(((YEAR(Q$5)-YEAR($AA65))*12+MONTH(Q$5)-MONTH($AA65))+1)))&lt;=MIN(Q$5+6,$AB65)),($AA65&gt;=Q$5)*($AA65&lt;=Q$5+6))))</f>
        <v/>
      </c>
      <c r="R65" s="21">
        <f>IF($X65&lt;&gt;1,0,$D65*IF($Y65&gt;0,MAX(0,INT((MIN(R$5+6,$AB65)-$AA65)/$Y65)-MAX(0,-INT(($AA65-R$5)/$Y65))+1),IF($Z65&gt;0,(MOD(((YEAR(R$5)-YEAR($AA65))*12+MONTH(R$5)-MONTH($AA65)),$Z65)=0)*(((YEAR(R$5)-YEAR($AA65))*12+MONTH(R$5)-MONTH($AA65))&gt;=0)*(EDATE($AA65,MAX(0,((YEAR(R$5)-YEAR($AA65))*12+MONTH(R$5)-MONTH($AA65))))&gt;=R$5)*(EDATE($AA65,MAX(0,((YEAR(R$5)-YEAR($AA65))*12+MONTH(R$5)-MONTH($AA65))))&lt;=MIN(R$5+6,$AB65))+(MOD((((YEAR(R$5)-YEAR($AA65))*12+MONTH(R$5)-MONTH($AA65))+1),$Z65)=0)*((((YEAR(R$5)-YEAR($AA65))*12+MONTH(R$5)-MONTH($AA65))+1)&gt;=0)*(EDATE($AA65,MAX(0,(((YEAR(R$5)-YEAR($AA65))*12+MONTH(R$5)-MONTH($AA65))+1)))&gt;=R$5)*(EDATE($AA65,MAX(0,(((YEAR(R$5)-YEAR($AA65))*12+MONTH(R$5)-MONTH($AA65))+1)))&lt;=MIN(R$5+6,$AB65)),($AA65&gt;=R$5)*($AA65&lt;=R$5+6))))</f>
        <v/>
      </c>
      <c r="S65" s="21">
        <f>IF($X65&lt;&gt;1,0,$D65*IF($Y65&gt;0,MAX(0,INT((MIN(S$5+6,$AB65)-$AA65)/$Y65)-MAX(0,-INT(($AA65-S$5)/$Y65))+1),IF($Z65&gt;0,(MOD(((YEAR(S$5)-YEAR($AA65))*12+MONTH(S$5)-MONTH($AA65)),$Z65)=0)*(((YEAR(S$5)-YEAR($AA65))*12+MONTH(S$5)-MONTH($AA65))&gt;=0)*(EDATE($AA65,MAX(0,((YEAR(S$5)-YEAR($AA65))*12+MONTH(S$5)-MONTH($AA65))))&gt;=S$5)*(EDATE($AA65,MAX(0,((YEAR(S$5)-YEAR($AA65))*12+MONTH(S$5)-MONTH($AA65))))&lt;=MIN(S$5+6,$AB65))+(MOD((((YEAR(S$5)-YEAR($AA65))*12+MONTH(S$5)-MONTH($AA65))+1),$Z65)=0)*((((YEAR(S$5)-YEAR($AA65))*12+MONTH(S$5)-MONTH($AA65))+1)&gt;=0)*(EDATE($AA65,MAX(0,(((YEAR(S$5)-YEAR($AA65))*12+MONTH(S$5)-MONTH($AA65))+1)))&gt;=S$5)*(EDATE($AA65,MAX(0,(((YEAR(S$5)-YEAR($AA65))*12+MONTH(S$5)-MONTH($AA65))+1)))&lt;=MIN(S$5+6,$AB65)),($AA65&gt;=S$5)*($AA65&lt;=S$5+6))))</f>
        <v/>
      </c>
      <c r="T65" s="21">
        <f>IF($X65&lt;&gt;1,0,$D65*IF($Y65&gt;0,MAX(0,INT((MIN(T$5+6,$AB65)-$AA65)/$Y65)-MAX(0,-INT(($AA65-T$5)/$Y65))+1),IF($Z65&gt;0,(MOD(((YEAR(T$5)-YEAR($AA65))*12+MONTH(T$5)-MONTH($AA65)),$Z65)=0)*(((YEAR(T$5)-YEAR($AA65))*12+MONTH(T$5)-MONTH($AA65))&gt;=0)*(EDATE($AA65,MAX(0,((YEAR(T$5)-YEAR($AA65))*12+MONTH(T$5)-MONTH($AA65))))&gt;=T$5)*(EDATE($AA65,MAX(0,((YEAR(T$5)-YEAR($AA65))*12+MONTH(T$5)-MONTH($AA65))))&lt;=MIN(T$5+6,$AB65))+(MOD((((YEAR(T$5)-YEAR($AA65))*12+MONTH(T$5)-MONTH($AA65))+1),$Z65)=0)*((((YEAR(T$5)-YEAR($AA65))*12+MONTH(T$5)-MONTH($AA65))+1)&gt;=0)*(EDATE($AA65,MAX(0,(((YEAR(T$5)-YEAR($AA65))*12+MONTH(T$5)-MONTH($AA65))+1)))&gt;=T$5)*(EDATE($AA65,MAX(0,(((YEAR(T$5)-YEAR($AA65))*12+MONTH(T$5)-MONTH($AA65))+1)))&lt;=MIN(T$5+6,$AB65)),($AA65&gt;=T$5)*($AA65&lt;=T$5+6))))</f>
        <v/>
      </c>
      <c r="U65" s="21">
        <f>IF($X65&lt;&gt;1,0,$D65*IF($Y65&gt;0,MAX(0,INT((MIN(U$5+6,$AB65)-$AA65)/$Y65)-MAX(0,-INT(($AA65-U$5)/$Y65))+1),IF($Z65&gt;0,(MOD(((YEAR(U$5)-YEAR($AA65))*12+MONTH(U$5)-MONTH($AA65)),$Z65)=0)*(((YEAR(U$5)-YEAR($AA65))*12+MONTH(U$5)-MONTH($AA65))&gt;=0)*(EDATE($AA65,MAX(0,((YEAR(U$5)-YEAR($AA65))*12+MONTH(U$5)-MONTH($AA65))))&gt;=U$5)*(EDATE($AA65,MAX(0,((YEAR(U$5)-YEAR($AA65))*12+MONTH(U$5)-MONTH($AA65))))&lt;=MIN(U$5+6,$AB65))+(MOD((((YEAR(U$5)-YEAR($AA65))*12+MONTH(U$5)-MONTH($AA65))+1),$Z65)=0)*((((YEAR(U$5)-YEAR($AA65))*12+MONTH(U$5)-MONTH($AA65))+1)&gt;=0)*(EDATE($AA65,MAX(0,(((YEAR(U$5)-YEAR($AA65))*12+MONTH(U$5)-MONTH($AA65))+1)))&gt;=U$5)*(EDATE($AA65,MAX(0,(((YEAR(U$5)-YEAR($AA65))*12+MONTH(U$5)-MONTH($AA65))+1)))&lt;=MIN(U$5+6,$AB65)),($AA65&gt;=U$5)*($AA65&lt;=U$5+6))))</f>
        <v/>
      </c>
      <c r="V65" s="21">
        <f>IF($X65&lt;&gt;1,0,$D65*IF($Y65&gt;0,MAX(0,INT((MIN(V$5+6,$AB65)-$AA65)/$Y65)-MAX(0,-INT(($AA65-V$5)/$Y65))+1),IF($Z65&gt;0,(MOD(((YEAR(V$5)-YEAR($AA65))*12+MONTH(V$5)-MONTH($AA65)),$Z65)=0)*(((YEAR(V$5)-YEAR($AA65))*12+MONTH(V$5)-MONTH($AA65))&gt;=0)*(EDATE($AA65,MAX(0,((YEAR(V$5)-YEAR($AA65))*12+MONTH(V$5)-MONTH($AA65))))&gt;=V$5)*(EDATE($AA65,MAX(0,((YEAR(V$5)-YEAR($AA65))*12+MONTH(V$5)-MONTH($AA65))))&lt;=MIN(V$5+6,$AB65))+(MOD((((YEAR(V$5)-YEAR($AA65))*12+MONTH(V$5)-MONTH($AA65))+1),$Z65)=0)*((((YEAR(V$5)-YEAR($AA65))*12+MONTH(V$5)-MONTH($AA65))+1)&gt;=0)*(EDATE($AA65,MAX(0,(((YEAR(V$5)-YEAR($AA65))*12+MONTH(V$5)-MONTH($AA65))+1)))&gt;=V$5)*(EDATE($AA65,MAX(0,(((YEAR(V$5)-YEAR($AA65))*12+MONTH(V$5)-MONTH($AA65))+1)))&lt;=MIN(V$5+6,$AB65)),($AA65&gt;=V$5)*($AA65&lt;=V$5+6))))</f>
        <v/>
      </c>
      <c r="W65" s="21">
        <f>IF($X65&lt;&gt;1,0,$D65*IF($Y65&gt;0,MAX(0,INT((MIN(W$5+6,$AB65)-$AA65)/$Y65)-MAX(0,-INT(($AA65-W$5)/$Y65))+1),IF($Z65&gt;0,(MOD(((YEAR(W$5)-YEAR($AA65))*12+MONTH(W$5)-MONTH($AA65)),$Z65)=0)*(((YEAR(W$5)-YEAR($AA65))*12+MONTH(W$5)-MONTH($AA65))&gt;=0)*(EDATE($AA65,MAX(0,((YEAR(W$5)-YEAR($AA65))*12+MONTH(W$5)-MONTH($AA65))))&gt;=W$5)*(EDATE($AA65,MAX(0,((YEAR(W$5)-YEAR($AA65))*12+MONTH(W$5)-MONTH($AA65))))&lt;=MIN(W$5+6,$AB65))+(MOD((((YEAR(W$5)-YEAR($AA65))*12+MONTH(W$5)-MONTH($AA65))+1),$Z65)=0)*((((YEAR(W$5)-YEAR($AA65))*12+MONTH(W$5)-MONTH($AA65))+1)&gt;=0)*(EDATE($AA65,MAX(0,(((YEAR(W$5)-YEAR($AA65))*12+MONTH(W$5)-MONTH($AA65))+1)))&gt;=W$5)*(EDATE($AA65,MAX(0,(((YEAR(W$5)-YEAR($AA65))*12+MONTH(W$5)-MONTH($AA65))+1)))&lt;=MIN(W$5+6,$AB65)),($AA65&gt;=W$5)*($AA65&lt;=W$5+6))))</f>
        <v/>
      </c>
      <c r="X65">
        <f>IF(COUNTA(A65:G65)=0,"",IF(AND(OR(B65="In",B65="Out"),ISNUMBER(D65),D65&gt;0,ISNUMBER(MATCH(E65,FreqName,0)),ISNUMBER(F65),OR(G65="",AND(ISNUMBER(G65),G65&gt;=F65))),1,0))</f>
        <v/>
      </c>
      <c r="Y65">
        <f>IF(X65&lt;&gt;1,0,INDEX(FreqDays,MATCH(E65,FreqName,0)))</f>
        <v/>
      </c>
      <c r="Z65">
        <f>IF(X65&lt;&gt;1,0,INDEX(FreqMonths,MATCH(E65,FreqName,0)))</f>
        <v/>
      </c>
      <c r="AA65">
        <f>IF(X65&lt;&gt;1,0,INT(F65))</f>
        <v/>
      </c>
      <c r="AB65">
        <f>IF(X65&lt;&gt;1,0,IF(ISNUMBER(G65),INT(G65),2958465))</f>
        <v/>
      </c>
    </row>
    <row r="66">
      <c r="A66" s="29" t="n"/>
      <c r="B66" s="29" t="n"/>
      <c r="C66" s="29" t="n"/>
      <c r="D66" s="34" t="n"/>
      <c r="E66" s="29" t="n"/>
      <c r="F66" s="24" t="n"/>
      <c r="G66" s="24" t="n"/>
      <c r="H66" s="10">
        <f>IF(X66="","",IF(X66=0,IF(AND(B66&lt;&gt;"In",B66&lt;&gt;"Out"),"Fix: choose In or Out",IF(OR(NOT(ISNUMBER(D66)),N(D66)&lt;=0),"Fix: amount must be a number above 0",IF(NOT(ISNUMBER(MATCH(E66,FreqName,0))),"Fix: choose a frequency",IF(NOT(ISNUMBER(F66)),"Fix: first date missing","Fix: end date must be a date on or after the first date")))),IF(AND(C66&lt;&gt;"",OR(AND(B66="In",ISNUMBER(MATCH(C66,InCats,0))),AND(B66="Out",ISNUMBER(MATCH(C66,OutCats,0))))),"OK","Category not on Settings (counted as Other)")))</f>
        <v/>
      </c>
      <c r="I66" s="35">
        <f>IF(X66&lt;&gt;1,"",ROUND(J66/D66,0))</f>
        <v/>
      </c>
      <c r="J66" s="36">
        <f>SUM(K66:W66)</f>
        <v/>
      </c>
      <c r="K66" s="21">
        <f>IF($X66&lt;&gt;1,0,$D66*IF($Y66&gt;0,MAX(0,INT((MIN(K$5+6,$AB66)-$AA66)/$Y66)-MAX(0,-INT(($AA66-K$5)/$Y66))+1),IF($Z66&gt;0,(MOD(((YEAR(K$5)-YEAR($AA66))*12+MONTH(K$5)-MONTH($AA66)),$Z66)=0)*(((YEAR(K$5)-YEAR($AA66))*12+MONTH(K$5)-MONTH($AA66))&gt;=0)*(EDATE($AA66,MAX(0,((YEAR(K$5)-YEAR($AA66))*12+MONTH(K$5)-MONTH($AA66))))&gt;=K$5)*(EDATE($AA66,MAX(0,((YEAR(K$5)-YEAR($AA66))*12+MONTH(K$5)-MONTH($AA66))))&lt;=MIN(K$5+6,$AB66))+(MOD((((YEAR(K$5)-YEAR($AA66))*12+MONTH(K$5)-MONTH($AA66))+1),$Z66)=0)*((((YEAR(K$5)-YEAR($AA66))*12+MONTH(K$5)-MONTH($AA66))+1)&gt;=0)*(EDATE($AA66,MAX(0,(((YEAR(K$5)-YEAR($AA66))*12+MONTH(K$5)-MONTH($AA66))+1)))&gt;=K$5)*(EDATE($AA66,MAX(0,(((YEAR(K$5)-YEAR($AA66))*12+MONTH(K$5)-MONTH($AA66))+1)))&lt;=MIN(K$5+6,$AB66)),($AA66&gt;=K$5)*($AA66&lt;=K$5+6))))</f>
        <v/>
      </c>
      <c r="L66" s="21">
        <f>IF($X66&lt;&gt;1,0,$D66*IF($Y66&gt;0,MAX(0,INT((MIN(L$5+6,$AB66)-$AA66)/$Y66)-MAX(0,-INT(($AA66-L$5)/$Y66))+1),IF($Z66&gt;0,(MOD(((YEAR(L$5)-YEAR($AA66))*12+MONTH(L$5)-MONTH($AA66)),$Z66)=0)*(((YEAR(L$5)-YEAR($AA66))*12+MONTH(L$5)-MONTH($AA66))&gt;=0)*(EDATE($AA66,MAX(0,((YEAR(L$5)-YEAR($AA66))*12+MONTH(L$5)-MONTH($AA66))))&gt;=L$5)*(EDATE($AA66,MAX(0,((YEAR(L$5)-YEAR($AA66))*12+MONTH(L$5)-MONTH($AA66))))&lt;=MIN(L$5+6,$AB66))+(MOD((((YEAR(L$5)-YEAR($AA66))*12+MONTH(L$5)-MONTH($AA66))+1),$Z66)=0)*((((YEAR(L$5)-YEAR($AA66))*12+MONTH(L$5)-MONTH($AA66))+1)&gt;=0)*(EDATE($AA66,MAX(0,(((YEAR(L$5)-YEAR($AA66))*12+MONTH(L$5)-MONTH($AA66))+1)))&gt;=L$5)*(EDATE($AA66,MAX(0,(((YEAR(L$5)-YEAR($AA66))*12+MONTH(L$5)-MONTH($AA66))+1)))&lt;=MIN(L$5+6,$AB66)),($AA66&gt;=L$5)*($AA66&lt;=L$5+6))))</f>
        <v/>
      </c>
      <c r="M66" s="21">
        <f>IF($X66&lt;&gt;1,0,$D66*IF($Y66&gt;0,MAX(0,INT((MIN(M$5+6,$AB66)-$AA66)/$Y66)-MAX(0,-INT(($AA66-M$5)/$Y66))+1),IF($Z66&gt;0,(MOD(((YEAR(M$5)-YEAR($AA66))*12+MONTH(M$5)-MONTH($AA66)),$Z66)=0)*(((YEAR(M$5)-YEAR($AA66))*12+MONTH(M$5)-MONTH($AA66))&gt;=0)*(EDATE($AA66,MAX(0,((YEAR(M$5)-YEAR($AA66))*12+MONTH(M$5)-MONTH($AA66))))&gt;=M$5)*(EDATE($AA66,MAX(0,((YEAR(M$5)-YEAR($AA66))*12+MONTH(M$5)-MONTH($AA66))))&lt;=MIN(M$5+6,$AB66))+(MOD((((YEAR(M$5)-YEAR($AA66))*12+MONTH(M$5)-MONTH($AA66))+1),$Z66)=0)*((((YEAR(M$5)-YEAR($AA66))*12+MONTH(M$5)-MONTH($AA66))+1)&gt;=0)*(EDATE($AA66,MAX(0,(((YEAR(M$5)-YEAR($AA66))*12+MONTH(M$5)-MONTH($AA66))+1)))&gt;=M$5)*(EDATE($AA66,MAX(0,(((YEAR(M$5)-YEAR($AA66))*12+MONTH(M$5)-MONTH($AA66))+1)))&lt;=MIN(M$5+6,$AB66)),($AA66&gt;=M$5)*($AA66&lt;=M$5+6))))</f>
        <v/>
      </c>
      <c r="N66" s="21">
        <f>IF($X66&lt;&gt;1,0,$D66*IF($Y66&gt;0,MAX(0,INT((MIN(N$5+6,$AB66)-$AA66)/$Y66)-MAX(0,-INT(($AA66-N$5)/$Y66))+1),IF($Z66&gt;0,(MOD(((YEAR(N$5)-YEAR($AA66))*12+MONTH(N$5)-MONTH($AA66)),$Z66)=0)*(((YEAR(N$5)-YEAR($AA66))*12+MONTH(N$5)-MONTH($AA66))&gt;=0)*(EDATE($AA66,MAX(0,((YEAR(N$5)-YEAR($AA66))*12+MONTH(N$5)-MONTH($AA66))))&gt;=N$5)*(EDATE($AA66,MAX(0,((YEAR(N$5)-YEAR($AA66))*12+MONTH(N$5)-MONTH($AA66))))&lt;=MIN(N$5+6,$AB66))+(MOD((((YEAR(N$5)-YEAR($AA66))*12+MONTH(N$5)-MONTH($AA66))+1),$Z66)=0)*((((YEAR(N$5)-YEAR($AA66))*12+MONTH(N$5)-MONTH($AA66))+1)&gt;=0)*(EDATE($AA66,MAX(0,(((YEAR(N$5)-YEAR($AA66))*12+MONTH(N$5)-MONTH($AA66))+1)))&gt;=N$5)*(EDATE($AA66,MAX(0,(((YEAR(N$5)-YEAR($AA66))*12+MONTH(N$5)-MONTH($AA66))+1)))&lt;=MIN(N$5+6,$AB66)),($AA66&gt;=N$5)*($AA66&lt;=N$5+6))))</f>
        <v/>
      </c>
      <c r="O66" s="21">
        <f>IF($X66&lt;&gt;1,0,$D66*IF($Y66&gt;0,MAX(0,INT((MIN(O$5+6,$AB66)-$AA66)/$Y66)-MAX(0,-INT(($AA66-O$5)/$Y66))+1),IF($Z66&gt;0,(MOD(((YEAR(O$5)-YEAR($AA66))*12+MONTH(O$5)-MONTH($AA66)),$Z66)=0)*(((YEAR(O$5)-YEAR($AA66))*12+MONTH(O$5)-MONTH($AA66))&gt;=0)*(EDATE($AA66,MAX(0,((YEAR(O$5)-YEAR($AA66))*12+MONTH(O$5)-MONTH($AA66))))&gt;=O$5)*(EDATE($AA66,MAX(0,((YEAR(O$5)-YEAR($AA66))*12+MONTH(O$5)-MONTH($AA66))))&lt;=MIN(O$5+6,$AB66))+(MOD((((YEAR(O$5)-YEAR($AA66))*12+MONTH(O$5)-MONTH($AA66))+1),$Z66)=0)*((((YEAR(O$5)-YEAR($AA66))*12+MONTH(O$5)-MONTH($AA66))+1)&gt;=0)*(EDATE($AA66,MAX(0,(((YEAR(O$5)-YEAR($AA66))*12+MONTH(O$5)-MONTH($AA66))+1)))&gt;=O$5)*(EDATE($AA66,MAX(0,(((YEAR(O$5)-YEAR($AA66))*12+MONTH(O$5)-MONTH($AA66))+1)))&lt;=MIN(O$5+6,$AB66)),($AA66&gt;=O$5)*($AA66&lt;=O$5+6))))</f>
        <v/>
      </c>
      <c r="P66" s="21">
        <f>IF($X66&lt;&gt;1,0,$D66*IF($Y66&gt;0,MAX(0,INT((MIN(P$5+6,$AB66)-$AA66)/$Y66)-MAX(0,-INT(($AA66-P$5)/$Y66))+1),IF($Z66&gt;0,(MOD(((YEAR(P$5)-YEAR($AA66))*12+MONTH(P$5)-MONTH($AA66)),$Z66)=0)*(((YEAR(P$5)-YEAR($AA66))*12+MONTH(P$5)-MONTH($AA66))&gt;=0)*(EDATE($AA66,MAX(0,((YEAR(P$5)-YEAR($AA66))*12+MONTH(P$5)-MONTH($AA66))))&gt;=P$5)*(EDATE($AA66,MAX(0,((YEAR(P$5)-YEAR($AA66))*12+MONTH(P$5)-MONTH($AA66))))&lt;=MIN(P$5+6,$AB66))+(MOD((((YEAR(P$5)-YEAR($AA66))*12+MONTH(P$5)-MONTH($AA66))+1),$Z66)=0)*((((YEAR(P$5)-YEAR($AA66))*12+MONTH(P$5)-MONTH($AA66))+1)&gt;=0)*(EDATE($AA66,MAX(0,(((YEAR(P$5)-YEAR($AA66))*12+MONTH(P$5)-MONTH($AA66))+1)))&gt;=P$5)*(EDATE($AA66,MAX(0,(((YEAR(P$5)-YEAR($AA66))*12+MONTH(P$5)-MONTH($AA66))+1)))&lt;=MIN(P$5+6,$AB66)),($AA66&gt;=P$5)*($AA66&lt;=P$5+6))))</f>
        <v/>
      </c>
      <c r="Q66" s="21">
        <f>IF($X66&lt;&gt;1,0,$D66*IF($Y66&gt;0,MAX(0,INT((MIN(Q$5+6,$AB66)-$AA66)/$Y66)-MAX(0,-INT(($AA66-Q$5)/$Y66))+1),IF($Z66&gt;0,(MOD(((YEAR(Q$5)-YEAR($AA66))*12+MONTH(Q$5)-MONTH($AA66)),$Z66)=0)*(((YEAR(Q$5)-YEAR($AA66))*12+MONTH(Q$5)-MONTH($AA66))&gt;=0)*(EDATE($AA66,MAX(0,((YEAR(Q$5)-YEAR($AA66))*12+MONTH(Q$5)-MONTH($AA66))))&gt;=Q$5)*(EDATE($AA66,MAX(0,((YEAR(Q$5)-YEAR($AA66))*12+MONTH(Q$5)-MONTH($AA66))))&lt;=MIN(Q$5+6,$AB66))+(MOD((((YEAR(Q$5)-YEAR($AA66))*12+MONTH(Q$5)-MONTH($AA66))+1),$Z66)=0)*((((YEAR(Q$5)-YEAR($AA66))*12+MONTH(Q$5)-MONTH($AA66))+1)&gt;=0)*(EDATE($AA66,MAX(0,(((YEAR(Q$5)-YEAR($AA66))*12+MONTH(Q$5)-MONTH($AA66))+1)))&gt;=Q$5)*(EDATE($AA66,MAX(0,(((YEAR(Q$5)-YEAR($AA66))*12+MONTH(Q$5)-MONTH($AA66))+1)))&lt;=MIN(Q$5+6,$AB66)),($AA66&gt;=Q$5)*($AA66&lt;=Q$5+6))))</f>
        <v/>
      </c>
      <c r="R66" s="21">
        <f>IF($X66&lt;&gt;1,0,$D66*IF($Y66&gt;0,MAX(0,INT((MIN(R$5+6,$AB66)-$AA66)/$Y66)-MAX(0,-INT(($AA66-R$5)/$Y66))+1),IF($Z66&gt;0,(MOD(((YEAR(R$5)-YEAR($AA66))*12+MONTH(R$5)-MONTH($AA66)),$Z66)=0)*(((YEAR(R$5)-YEAR($AA66))*12+MONTH(R$5)-MONTH($AA66))&gt;=0)*(EDATE($AA66,MAX(0,((YEAR(R$5)-YEAR($AA66))*12+MONTH(R$5)-MONTH($AA66))))&gt;=R$5)*(EDATE($AA66,MAX(0,((YEAR(R$5)-YEAR($AA66))*12+MONTH(R$5)-MONTH($AA66))))&lt;=MIN(R$5+6,$AB66))+(MOD((((YEAR(R$5)-YEAR($AA66))*12+MONTH(R$5)-MONTH($AA66))+1),$Z66)=0)*((((YEAR(R$5)-YEAR($AA66))*12+MONTH(R$5)-MONTH($AA66))+1)&gt;=0)*(EDATE($AA66,MAX(0,(((YEAR(R$5)-YEAR($AA66))*12+MONTH(R$5)-MONTH($AA66))+1)))&gt;=R$5)*(EDATE($AA66,MAX(0,(((YEAR(R$5)-YEAR($AA66))*12+MONTH(R$5)-MONTH($AA66))+1)))&lt;=MIN(R$5+6,$AB66)),($AA66&gt;=R$5)*($AA66&lt;=R$5+6))))</f>
        <v/>
      </c>
      <c r="S66" s="21">
        <f>IF($X66&lt;&gt;1,0,$D66*IF($Y66&gt;0,MAX(0,INT((MIN(S$5+6,$AB66)-$AA66)/$Y66)-MAX(0,-INT(($AA66-S$5)/$Y66))+1),IF($Z66&gt;0,(MOD(((YEAR(S$5)-YEAR($AA66))*12+MONTH(S$5)-MONTH($AA66)),$Z66)=0)*(((YEAR(S$5)-YEAR($AA66))*12+MONTH(S$5)-MONTH($AA66))&gt;=0)*(EDATE($AA66,MAX(0,((YEAR(S$5)-YEAR($AA66))*12+MONTH(S$5)-MONTH($AA66))))&gt;=S$5)*(EDATE($AA66,MAX(0,((YEAR(S$5)-YEAR($AA66))*12+MONTH(S$5)-MONTH($AA66))))&lt;=MIN(S$5+6,$AB66))+(MOD((((YEAR(S$5)-YEAR($AA66))*12+MONTH(S$5)-MONTH($AA66))+1),$Z66)=0)*((((YEAR(S$5)-YEAR($AA66))*12+MONTH(S$5)-MONTH($AA66))+1)&gt;=0)*(EDATE($AA66,MAX(0,(((YEAR(S$5)-YEAR($AA66))*12+MONTH(S$5)-MONTH($AA66))+1)))&gt;=S$5)*(EDATE($AA66,MAX(0,(((YEAR(S$5)-YEAR($AA66))*12+MONTH(S$5)-MONTH($AA66))+1)))&lt;=MIN(S$5+6,$AB66)),($AA66&gt;=S$5)*($AA66&lt;=S$5+6))))</f>
        <v/>
      </c>
      <c r="T66" s="21">
        <f>IF($X66&lt;&gt;1,0,$D66*IF($Y66&gt;0,MAX(0,INT((MIN(T$5+6,$AB66)-$AA66)/$Y66)-MAX(0,-INT(($AA66-T$5)/$Y66))+1),IF($Z66&gt;0,(MOD(((YEAR(T$5)-YEAR($AA66))*12+MONTH(T$5)-MONTH($AA66)),$Z66)=0)*(((YEAR(T$5)-YEAR($AA66))*12+MONTH(T$5)-MONTH($AA66))&gt;=0)*(EDATE($AA66,MAX(0,((YEAR(T$5)-YEAR($AA66))*12+MONTH(T$5)-MONTH($AA66))))&gt;=T$5)*(EDATE($AA66,MAX(0,((YEAR(T$5)-YEAR($AA66))*12+MONTH(T$5)-MONTH($AA66))))&lt;=MIN(T$5+6,$AB66))+(MOD((((YEAR(T$5)-YEAR($AA66))*12+MONTH(T$5)-MONTH($AA66))+1),$Z66)=0)*((((YEAR(T$5)-YEAR($AA66))*12+MONTH(T$5)-MONTH($AA66))+1)&gt;=0)*(EDATE($AA66,MAX(0,(((YEAR(T$5)-YEAR($AA66))*12+MONTH(T$5)-MONTH($AA66))+1)))&gt;=T$5)*(EDATE($AA66,MAX(0,(((YEAR(T$5)-YEAR($AA66))*12+MONTH(T$5)-MONTH($AA66))+1)))&lt;=MIN(T$5+6,$AB66)),($AA66&gt;=T$5)*($AA66&lt;=T$5+6))))</f>
        <v/>
      </c>
      <c r="U66" s="21">
        <f>IF($X66&lt;&gt;1,0,$D66*IF($Y66&gt;0,MAX(0,INT((MIN(U$5+6,$AB66)-$AA66)/$Y66)-MAX(0,-INT(($AA66-U$5)/$Y66))+1),IF($Z66&gt;0,(MOD(((YEAR(U$5)-YEAR($AA66))*12+MONTH(U$5)-MONTH($AA66)),$Z66)=0)*(((YEAR(U$5)-YEAR($AA66))*12+MONTH(U$5)-MONTH($AA66))&gt;=0)*(EDATE($AA66,MAX(0,((YEAR(U$5)-YEAR($AA66))*12+MONTH(U$5)-MONTH($AA66))))&gt;=U$5)*(EDATE($AA66,MAX(0,((YEAR(U$5)-YEAR($AA66))*12+MONTH(U$5)-MONTH($AA66))))&lt;=MIN(U$5+6,$AB66))+(MOD((((YEAR(U$5)-YEAR($AA66))*12+MONTH(U$5)-MONTH($AA66))+1),$Z66)=0)*((((YEAR(U$5)-YEAR($AA66))*12+MONTH(U$5)-MONTH($AA66))+1)&gt;=0)*(EDATE($AA66,MAX(0,(((YEAR(U$5)-YEAR($AA66))*12+MONTH(U$5)-MONTH($AA66))+1)))&gt;=U$5)*(EDATE($AA66,MAX(0,(((YEAR(U$5)-YEAR($AA66))*12+MONTH(U$5)-MONTH($AA66))+1)))&lt;=MIN(U$5+6,$AB66)),($AA66&gt;=U$5)*($AA66&lt;=U$5+6))))</f>
        <v/>
      </c>
      <c r="V66" s="21">
        <f>IF($X66&lt;&gt;1,0,$D66*IF($Y66&gt;0,MAX(0,INT((MIN(V$5+6,$AB66)-$AA66)/$Y66)-MAX(0,-INT(($AA66-V$5)/$Y66))+1),IF($Z66&gt;0,(MOD(((YEAR(V$5)-YEAR($AA66))*12+MONTH(V$5)-MONTH($AA66)),$Z66)=0)*(((YEAR(V$5)-YEAR($AA66))*12+MONTH(V$5)-MONTH($AA66))&gt;=0)*(EDATE($AA66,MAX(0,((YEAR(V$5)-YEAR($AA66))*12+MONTH(V$5)-MONTH($AA66))))&gt;=V$5)*(EDATE($AA66,MAX(0,((YEAR(V$5)-YEAR($AA66))*12+MONTH(V$5)-MONTH($AA66))))&lt;=MIN(V$5+6,$AB66))+(MOD((((YEAR(V$5)-YEAR($AA66))*12+MONTH(V$5)-MONTH($AA66))+1),$Z66)=0)*((((YEAR(V$5)-YEAR($AA66))*12+MONTH(V$5)-MONTH($AA66))+1)&gt;=0)*(EDATE($AA66,MAX(0,(((YEAR(V$5)-YEAR($AA66))*12+MONTH(V$5)-MONTH($AA66))+1)))&gt;=V$5)*(EDATE($AA66,MAX(0,(((YEAR(V$5)-YEAR($AA66))*12+MONTH(V$5)-MONTH($AA66))+1)))&lt;=MIN(V$5+6,$AB66)),($AA66&gt;=V$5)*($AA66&lt;=V$5+6))))</f>
        <v/>
      </c>
      <c r="W66" s="21">
        <f>IF($X66&lt;&gt;1,0,$D66*IF($Y66&gt;0,MAX(0,INT((MIN(W$5+6,$AB66)-$AA66)/$Y66)-MAX(0,-INT(($AA66-W$5)/$Y66))+1),IF($Z66&gt;0,(MOD(((YEAR(W$5)-YEAR($AA66))*12+MONTH(W$5)-MONTH($AA66)),$Z66)=0)*(((YEAR(W$5)-YEAR($AA66))*12+MONTH(W$5)-MONTH($AA66))&gt;=0)*(EDATE($AA66,MAX(0,((YEAR(W$5)-YEAR($AA66))*12+MONTH(W$5)-MONTH($AA66))))&gt;=W$5)*(EDATE($AA66,MAX(0,((YEAR(W$5)-YEAR($AA66))*12+MONTH(W$5)-MONTH($AA66))))&lt;=MIN(W$5+6,$AB66))+(MOD((((YEAR(W$5)-YEAR($AA66))*12+MONTH(W$5)-MONTH($AA66))+1),$Z66)=0)*((((YEAR(W$5)-YEAR($AA66))*12+MONTH(W$5)-MONTH($AA66))+1)&gt;=0)*(EDATE($AA66,MAX(0,(((YEAR(W$5)-YEAR($AA66))*12+MONTH(W$5)-MONTH($AA66))+1)))&gt;=W$5)*(EDATE($AA66,MAX(0,(((YEAR(W$5)-YEAR($AA66))*12+MONTH(W$5)-MONTH($AA66))+1)))&lt;=MIN(W$5+6,$AB66)),($AA66&gt;=W$5)*($AA66&lt;=W$5+6))))</f>
        <v/>
      </c>
      <c r="X66">
        <f>IF(COUNTA(A66:G66)=0,"",IF(AND(OR(B66="In",B66="Out"),ISNUMBER(D66),D66&gt;0,ISNUMBER(MATCH(E66,FreqName,0)),ISNUMBER(F66),OR(G66="",AND(ISNUMBER(G66),G66&gt;=F66))),1,0))</f>
        <v/>
      </c>
      <c r="Y66">
        <f>IF(X66&lt;&gt;1,0,INDEX(FreqDays,MATCH(E66,FreqName,0)))</f>
        <v/>
      </c>
      <c r="Z66">
        <f>IF(X66&lt;&gt;1,0,INDEX(FreqMonths,MATCH(E66,FreqName,0)))</f>
        <v/>
      </c>
      <c r="AA66">
        <f>IF(X66&lt;&gt;1,0,INT(F66))</f>
        <v/>
      </c>
      <c r="AB66">
        <f>IF(X66&lt;&gt;1,0,IF(ISNUMBER(G66),INT(G66),2958465))</f>
        <v/>
      </c>
    </row>
  </sheetData>
  <sheetProtection selectLockedCells="0" selectUnlockedCells="0" sheet="1" objects="0" insertRows="1" insertHyperlinks="1" autoFilter="1" scenarios="0" formatColumns="0" deleteColumns="1" insertColumns="1" pivotTables="1" deleteRows="1" formatCells="1" formatRows="0" sort="1"/>
  <conditionalFormatting sqref="H7:H66">
    <cfRule type="expression" priority="1" dxfId="2">
      <formula>LEFT(H7,4)="Fix:"</formula>
    </cfRule>
    <cfRule type="expression" priority="2" dxfId="3">
      <formula>LEFT(H7,8)="Category"</formula>
    </cfRule>
  </conditionalFormatting>
  <dataValidations count="5">
    <dataValidation sqref="B7:B66" showDropDown="0" showInputMessage="0" showErrorMessage="0" allowBlank="1" type="list">
      <formula1>"In,Out"</formula1>
    </dataValidation>
    <dataValidation sqref="C7:C66" showDropDown="0" showInputMessage="0" showErrorMessage="1" allowBlank="1" error="Not on the Settings category lists. It will be counted as Other / unlisted." type="list" errorStyle="warning">
      <formula1>Settings!$I$15:$I$34</formula1>
    </dataValidation>
    <dataValidation sqref="E7:E66" showDropDown="0" showInputMessage="0" showErrorMessage="0" allowBlank="1" type="list">
      <formula1>FreqName</formula1>
    </dataValidation>
    <dataValidation sqref="D7:D66" showDropDown="0" showInputMessage="0" showErrorMessage="1" allowBlank="1" error="Amount above 0 (use In/Out for direction)" type="decimal" operator="greaterThan">
      <formula1>0</formula1>
    </dataValidation>
    <dataValidation sqref="F7:G66" showDropDown="0" showInputMessage="0" showErrorMessage="1" allowBlank="1" error="Type a date" type="date" operator="between">
      <formula1>36526</formula1>
      <formula2>73050</formula2>
    </dataValidation>
  </dataValidations>
  <printOptions horizontalCentered="1"/>
  <pageMargins left="0.4" right="0.4"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G4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1" customWidth="1" min="3" max="3"/>
    <col width="14" customWidth="1" min="4" max="4"/>
    <col width="16" customWidth="1" min="5" max="5"/>
    <col width="14" customWidth="1" min="6" max="6"/>
    <col width="34" customWidth="1" min="7" max="7"/>
  </cols>
  <sheetData>
    <row r="1" ht="24" customHeight="1">
      <c r="A1" s="1" t="inlineStr">
        <is>
          <t>Customers: how late they usually pay</t>
        </is>
      </c>
    </row>
    <row r="2">
      <c r="A2" s="2" t="inlineStr">
        <is>
          <t>Days late is added to each invoice's due date (negative = pays early). Customers not listed use the Settings default.</t>
        </is>
      </c>
    </row>
    <row r="6" ht="30" customHeight="1">
      <c r="A6" s="15" t="inlineStr">
        <is>
          <t>Customer</t>
        </is>
      </c>
      <c r="B6" s="15" t="inlineStr">
        <is>
          <t>Typical days late</t>
        </is>
      </c>
      <c r="C6" s="15" t="inlineStr">
        <is>
          <t>Open invoices</t>
        </is>
      </c>
      <c r="D6" s="15" t="inlineStr">
        <is>
          <t>Open amount</t>
        </is>
      </c>
      <c r="E6" s="15" t="inlineStr">
        <is>
          <t>Open, expected before Week 1</t>
        </is>
      </c>
      <c r="F6" s="15" t="inlineStr">
        <is>
          <t>In this forecast</t>
        </is>
      </c>
      <c r="G6" s="15" t="inlineStr">
        <is>
          <t>Check</t>
        </is>
      </c>
    </row>
    <row r="7">
      <c r="A7" s="29" t="n"/>
      <c r="B7" s="26" t="n"/>
      <c r="C7" s="35">
        <f>IF(A7="","",COUNTIFS(Receivables!$A$7:$A$306,A7,Receivables!$M$7:$M$306,"&gt;0"))</f>
        <v/>
      </c>
      <c r="D7" s="17">
        <f>IF(A7="","",SUMIFS(Receivables!$M$7:$M$306,Receivables!$A$7:$A$306,A7))</f>
        <v/>
      </c>
      <c r="E7" s="21">
        <f>IF(A7="","",SUMIFS(Receivables!$M$7:$M$306,Receivables!$A$7:$A$306,A7,Receivables!$L$7:$L$306,"&lt;"&amp;W1))</f>
        <v/>
      </c>
      <c r="F7" s="21">
        <f>IF(A7="","",SUMIFS(Receivables!$O$7:$O$306,Receivables!$A$7:$A$306,A7))</f>
        <v/>
      </c>
      <c r="G7" s="10">
        <f>IF(A7="",IF(B7="","","Fix: add a customer name"),IF(COUNTIF($A$7:A7,A7)&gt;1,"Duplicate (the first row is used)",IF(AND(B7&lt;&gt;"",NOT(ISNUMBER(B7))),"Days late must be a number (default used)","OK")))</f>
        <v/>
      </c>
    </row>
    <row r="8">
      <c r="A8" s="29" t="n"/>
      <c r="B8" s="26" t="n"/>
      <c r="C8" s="35">
        <f>IF(A8="","",COUNTIFS(Receivables!$A$7:$A$306,A8,Receivables!$M$7:$M$306,"&gt;0"))</f>
        <v/>
      </c>
      <c r="D8" s="17">
        <f>IF(A8="","",SUMIFS(Receivables!$M$7:$M$306,Receivables!$A$7:$A$306,A8))</f>
        <v/>
      </c>
      <c r="E8" s="21">
        <f>IF(A8="","",SUMIFS(Receivables!$M$7:$M$306,Receivables!$A$7:$A$306,A8,Receivables!$L$7:$L$306,"&lt;"&amp;W1))</f>
        <v/>
      </c>
      <c r="F8" s="21">
        <f>IF(A8="","",SUMIFS(Receivables!$O$7:$O$306,Receivables!$A$7:$A$306,A8))</f>
        <v/>
      </c>
      <c r="G8" s="10">
        <f>IF(A8="",IF(B8="","","Fix: add a customer name"),IF(COUNTIF($A$7:A8,A8)&gt;1,"Duplicate (the first row is used)",IF(AND(B8&lt;&gt;"",NOT(ISNUMBER(B8))),"Days late must be a number (default used)","OK")))</f>
        <v/>
      </c>
    </row>
    <row r="9">
      <c r="A9" s="29" t="n"/>
      <c r="B9" s="26" t="n"/>
      <c r="C9" s="35">
        <f>IF(A9="","",COUNTIFS(Receivables!$A$7:$A$306,A9,Receivables!$M$7:$M$306,"&gt;0"))</f>
        <v/>
      </c>
      <c r="D9" s="17">
        <f>IF(A9="","",SUMIFS(Receivables!$M$7:$M$306,Receivables!$A$7:$A$306,A9))</f>
        <v/>
      </c>
      <c r="E9" s="21">
        <f>IF(A9="","",SUMIFS(Receivables!$M$7:$M$306,Receivables!$A$7:$A$306,A9,Receivables!$L$7:$L$306,"&lt;"&amp;W1))</f>
        <v/>
      </c>
      <c r="F9" s="21">
        <f>IF(A9="","",SUMIFS(Receivables!$O$7:$O$306,Receivables!$A$7:$A$306,A9))</f>
        <v/>
      </c>
      <c r="G9" s="10">
        <f>IF(A9="",IF(B9="","","Fix: add a customer name"),IF(COUNTIF($A$7:A9,A9)&gt;1,"Duplicate (the first row is used)",IF(AND(B9&lt;&gt;"",NOT(ISNUMBER(B9))),"Days late must be a number (default used)","OK")))</f>
        <v/>
      </c>
    </row>
    <row r="10">
      <c r="A10" s="29" t="n"/>
      <c r="B10" s="26" t="n"/>
      <c r="C10" s="35">
        <f>IF(A10="","",COUNTIFS(Receivables!$A$7:$A$306,A10,Receivables!$M$7:$M$306,"&gt;0"))</f>
        <v/>
      </c>
      <c r="D10" s="17">
        <f>IF(A10="","",SUMIFS(Receivables!$M$7:$M$306,Receivables!$A$7:$A$306,A10))</f>
        <v/>
      </c>
      <c r="E10" s="21">
        <f>IF(A10="","",SUMIFS(Receivables!$M$7:$M$306,Receivables!$A$7:$A$306,A10,Receivables!$L$7:$L$306,"&lt;"&amp;W1))</f>
        <v/>
      </c>
      <c r="F10" s="21">
        <f>IF(A10="","",SUMIFS(Receivables!$O$7:$O$306,Receivables!$A$7:$A$306,A10))</f>
        <v/>
      </c>
      <c r="G10" s="10">
        <f>IF(A10="",IF(B10="","","Fix: add a customer name"),IF(COUNTIF($A$7:A10,A10)&gt;1,"Duplicate (the first row is used)",IF(AND(B10&lt;&gt;"",NOT(ISNUMBER(B10))),"Days late must be a number (default used)","OK")))</f>
        <v/>
      </c>
    </row>
    <row r="11">
      <c r="A11" s="29" t="n"/>
      <c r="B11" s="26" t="n"/>
      <c r="C11" s="35">
        <f>IF(A11="","",COUNTIFS(Receivables!$A$7:$A$306,A11,Receivables!$M$7:$M$306,"&gt;0"))</f>
        <v/>
      </c>
      <c r="D11" s="17">
        <f>IF(A11="","",SUMIFS(Receivables!$M$7:$M$306,Receivables!$A$7:$A$306,A11))</f>
        <v/>
      </c>
      <c r="E11" s="21">
        <f>IF(A11="","",SUMIFS(Receivables!$M$7:$M$306,Receivables!$A$7:$A$306,A11,Receivables!$L$7:$L$306,"&lt;"&amp;W1))</f>
        <v/>
      </c>
      <c r="F11" s="21">
        <f>IF(A11="","",SUMIFS(Receivables!$O$7:$O$306,Receivables!$A$7:$A$306,A11))</f>
        <v/>
      </c>
      <c r="G11" s="10">
        <f>IF(A11="",IF(B11="","","Fix: add a customer name"),IF(COUNTIF($A$7:A11,A11)&gt;1,"Duplicate (the first row is used)",IF(AND(B11&lt;&gt;"",NOT(ISNUMBER(B11))),"Days late must be a number (default used)","OK")))</f>
        <v/>
      </c>
    </row>
    <row r="12">
      <c r="A12" s="29" t="n"/>
      <c r="B12" s="26" t="n"/>
      <c r="C12" s="35">
        <f>IF(A12="","",COUNTIFS(Receivables!$A$7:$A$306,A12,Receivables!$M$7:$M$306,"&gt;0"))</f>
        <v/>
      </c>
      <c r="D12" s="17">
        <f>IF(A12="","",SUMIFS(Receivables!$M$7:$M$306,Receivables!$A$7:$A$306,A12))</f>
        <v/>
      </c>
      <c r="E12" s="21">
        <f>IF(A12="","",SUMIFS(Receivables!$M$7:$M$306,Receivables!$A$7:$A$306,A12,Receivables!$L$7:$L$306,"&lt;"&amp;W1))</f>
        <v/>
      </c>
      <c r="F12" s="21">
        <f>IF(A12="","",SUMIFS(Receivables!$O$7:$O$306,Receivables!$A$7:$A$306,A12))</f>
        <v/>
      </c>
      <c r="G12" s="10">
        <f>IF(A12="",IF(B12="","","Fix: add a customer name"),IF(COUNTIF($A$7:A12,A12)&gt;1,"Duplicate (the first row is used)",IF(AND(B12&lt;&gt;"",NOT(ISNUMBER(B12))),"Days late must be a number (default used)","OK")))</f>
        <v/>
      </c>
    </row>
    <row r="13">
      <c r="A13" s="29" t="n"/>
      <c r="B13" s="26" t="n"/>
      <c r="C13" s="35">
        <f>IF(A13="","",COUNTIFS(Receivables!$A$7:$A$306,A13,Receivables!$M$7:$M$306,"&gt;0"))</f>
        <v/>
      </c>
      <c r="D13" s="17">
        <f>IF(A13="","",SUMIFS(Receivables!$M$7:$M$306,Receivables!$A$7:$A$306,A13))</f>
        <v/>
      </c>
      <c r="E13" s="21">
        <f>IF(A13="","",SUMIFS(Receivables!$M$7:$M$306,Receivables!$A$7:$A$306,A13,Receivables!$L$7:$L$306,"&lt;"&amp;W1))</f>
        <v/>
      </c>
      <c r="F13" s="21">
        <f>IF(A13="","",SUMIFS(Receivables!$O$7:$O$306,Receivables!$A$7:$A$306,A13))</f>
        <v/>
      </c>
      <c r="G13" s="10">
        <f>IF(A13="",IF(B13="","","Fix: add a customer name"),IF(COUNTIF($A$7:A13,A13)&gt;1,"Duplicate (the first row is used)",IF(AND(B13&lt;&gt;"",NOT(ISNUMBER(B13))),"Days late must be a number (default used)","OK")))</f>
        <v/>
      </c>
    </row>
    <row r="14">
      <c r="A14" s="29" t="n"/>
      <c r="B14" s="26" t="n"/>
      <c r="C14" s="35">
        <f>IF(A14="","",COUNTIFS(Receivables!$A$7:$A$306,A14,Receivables!$M$7:$M$306,"&gt;0"))</f>
        <v/>
      </c>
      <c r="D14" s="17">
        <f>IF(A14="","",SUMIFS(Receivables!$M$7:$M$306,Receivables!$A$7:$A$306,A14))</f>
        <v/>
      </c>
      <c r="E14" s="21">
        <f>IF(A14="","",SUMIFS(Receivables!$M$7:$M$306,Receivables!$A$7:$A$306,A14,Receivables!$L$7:$L$306,"&lt;"&amp;W1))</f>
        <v/>
      </c>
      <c r="F14" s="21">
        <f>IF(A14="","",SUMIFS(Receivables!$O$7:$O$306,Receivables!$A$7:$A$306,A14))</f>
        <v/>
      </c>
      <c r="G14" s="10">
        <f>IF(A14="",IF(B14="","","Fix: add a customer name"),IF(COUNTIF($A$7:A14,A14)&gt;1,"Duplicate (the first row is used)",IF(AND(B14&lt;&gt;"",NOT(ISNUMBER(B14))),"Days late must be a number (default used)","OK")))</f>
        <v/>
      </c>
    </row>
    <row r="15">
      <c r="A15" s="29" t="n"/>
      <c r="B15" s="26" t="n"/>
      <c r="C15" s="35">
        <f>IF(A15="","",COUNTIFS(Receivables!$A$7:$A$306,A15,Receivables!$M$7:$M$306,"&gt;0"))</f>
        <v/>
      </c>
      <c r="D15" s="17">
        <f>IF(A15="","",SUMIFS(Receivables!$M$7:$M$306,Receivables!$A$7:$A$306,A15))</f>
        <v/>
      </c>
      <c r="E15" s="21">
        <f>IF(A15="","",SUMIFS(Receivables!$M$7:$M$306,Receivables!$A$7:$A$306,A15,Receivables!$L$7:$L$306,"&lt;"&amp;W1))</f>
        <v/>
      </c>
      <c r="F15" s="21">
        <f>IF(A15="","",SUMIFS(Receivables!$O$7:$O$306,Receivables!$A$7:$A$306,A15))</f>
        <v/>
      </c>
      <c r="G15" s="10">
        <f>IF(A15="",IF(B15="","","Fix: add a customer name"),IF(COUNTIF($A$7:A15,A15)&gt;1,"Duplicate (the first row is used)",IF(AND(B15&lt;&gt;"",NOT(ISNUMBER(B15))),"Days late must be a number (default used)","OK")))</f>
        <v/>
      </c>
    </row>
    <row r="16">
      <c r="A16" s="29" t="n"/>
      <c r="B16" s="26" t="n"/>
      <c r="C16" s="35">
        <f>IF(A16="","",COUNTIFS(Receivables!$A$7:$A$306,A16,Receivables!$M$7:$M$306,"&gt;0"))</f>
        <v/>
      </c>
      <c r="D16" s="17">
        <f>IF(A16="","",SUMIFS(Receivables!$M$7:$M$306,Receivables!$A$7:$A$306,A16))</f>
        <v/>
      </c>
      <c r="E16" s="21">
        <f>IF(A16="","",SUMIFS(Receivables!$M$7:$M$306,Receivables!$A$7:$A$306,A16,Receivables!$L$7:$L$306,"&lt;"&amp;W1))</f>
        <v/>
      </c>
      <c r="F16" s="21">
        <f>IF(A16="","",SUMIFS(Receivables!$O$7:$O$306,Receivables!$A$7:$A$306,A16))</f>
        <v/>
      </c>
      <c r="G16" s="10">
        <f>IF(A16="",IF(B16="","","Fix: add a customer name"),IF(COUNTIF($A$7:A16,A16)&gt;1,"Duplicate (the first row is used)",IF(AND(B16&lt;&gt;"",NOT(ISNUMBER(B16))),"Days late must be a number (default used)","OK")))</f>
        <v/>
      </c>
    </row>
    <row r="17">
      <c r="A17" s="29" t="n"/>
      <c r="B17" s="26" t="n"/>
      <c r="C17" s="35">
        <f>IF(A17="","",COUNTIFS(Receivables!$A$7:$A$306,A17,Receivables!$M$7:$M$306,"&gt;0"))</f>
        <v/>
      </c>
      <c r="D17" s="17">
        <f>IF(A17="","",SUMIFS(Receivables!$M$7:$M$306,Receivables!$A$7:$A$306,A17))</f>
        <v/>
      </c>
      <c r="E17" s="21">
        <f>IF(A17="","",SUMIFS(Receivables!$M$7:$M$306,Receivables!$A$7:$A$306,A17,Receivables!$L$7:$L$306,"&lt;"&amp;W1))</f>
        <v/>
      </c>
      <c r="F17" s="21">
        <f>IF(A17="","",SUMIFS(Receivables!$O$7:$O$306,Receivables!$A$7:$A$306,A17))</f>
        <v/>
      </c>
      <c r="G17" s="10">
        <f>IF(A17="",IF(B17="","","Fix: add a customer name"),IF(COUNTIF($A$7:A17,A17)&gt;1,"Duplicate (the first row is used)",IF(AND(B17&lt;&gt;"",NOT(ISNUMBER(B17))),"Days late must be a number (default used)","OK")))</f>
        <v/>
      </c>
    </row>
    <row r="18">
      <c r="A18" s="29" t="n"/>
      <c r="B18" s="26" t="n"/>
      <c r="C18" s="35">
        <f>IF(A18="","",COUNTIFS(Receivables!$A$7:$A$306,A18,Receivables!$M$7:$M$306,"&gt;0"))</f>
        <v/>
      </c>
      <c r="D18" s="17">
        <f>IF(A18="","",SUMIFS(Receivables!$M$7:$M$306,Receivables!$A$7:$A$306,A18))</f>
        <v/>
      </c>
      <c r="E18" s="21">
        <f>IF(A18="","",SUMIFS(Receivables!$M$7:$M$306,Receivables!$A$7:$A$306,A18,Receivables!$L$7:$L$306,"&lt;"&amp;W1))</f>
        <v/>
      </c>
      <c r="F18" s="21">
        <f>IF(A18="","",SUMIFS(Receivables!$O$7:$O$306,Receivables!$A$7:$A$306,A18))</f>
        <v/>
      </c>
      <c r="G18" s="10">
        <f>IF(A18="",IF(B18="","","Fix: add a customer name"),IF(COUNTIF($A$7:A18,A18)&gt;1,"Duplicate (the first row is used)",IF(AND(B18&lt;&gt;"",NOT(ISNUMBER(B18))),"Days late must be a number (default used)","OK")))</f>
        <v/>
      </c>
    </row>
    <row r="19">
      <c r="A19" s="29" t="n"/>
      <c r="B19" s="26" t="n"/>
      <c r="C19" s="35">
        <f>IF(A19="","",COUNTIFS(Receivables!$A$7:$A$306,A19,Receivables!$M$7:$M$306,"&gt;0"))</f>
        <v/>
      </c>
      <c r="D19" s="17">
        <f>IF(A19="","",SUMIFS(Receivables!$M$7:$M$306,Receivables!$A$7:$A$306,A19))</f>
        <v/>
      </c>
      <c r="E19" s="21">
        <f>IF(A19="","",SUMIFS(Receivables!$M$7:$M$306,Receivables!$A$7:$A$306,A19,Receivables!$L$7:$L$306,"&lt;"&amp;W1))</f>
        <v/>
      </c>
      <c r="F19" s="21">
        <f>IF(A19="","",SUMIFS(Receivables!$O$7:$O$306,Receivables!$A$7:$A$306,A19))</f>
        <v/>
      </c>
      <c r="G19" s="10">
        <f>IF(A19="",IF(B19="","","Fix: add a customer name"),IF(COUNTIF($A$7:A19,A19)&gt;1,"Duplicate (the first row is used)",IF(AND(B19&lt;&gt;"",NOT(ISNUMBER(B19))),"Days late must be a number (default used)","OK")))</f>
        <v/>
      </c>
    </row>
    <row r="20">
      <c r="A20" s="29" t="n"/>
      <c r="B20" s="26" t="n"/>
      <c r="C20" s="35">
        <f>IF(A20="","",COUNTIFS(Receivables!$A$7:$A$306,A20,Receivables!$M$7:$M$306,"&gt;0"))</f>
        <v/>
      </c>
      <c r="D20" s="17">
        <f>IF(A20="","",SUMIFS(Receivables!$M$7:$M$306,Receivables!$A$7:$A$306,A20))</f>
        <v/>
      </c>
      <c r="E20" s="21">
        <f>IF(A20="","",SUMIFS(Receivables!$M$7:$M$306,Receivables!$A$7:$A$306,A20,Receivables!$L$7:$L$306,"&lt;"&amp;W1))</f>
        <v/>
      </c>
      <c r="F20" s="21">
        <f>IF(A20="","",SUMIFS(Receivables!$O$7:$O$306,Receivables!$A$7:$A$306,A20))</f>
        <v/>
      </c>
      <c r="G20" s="10">
        <f>IF(A20="",IF(B20="","","Fix: add a customer name"),IF(COUNTIF($A$7:A20,A20)&gt;1,"Duplicate (the first row is used)",IF(AND(B20&lt;&gt;"",NOT(ISNUMBER(B20))),"Days late must be a number (default used)","OK")))</f>
        <v/>
      </c>
    </row>
    <row r="21">
      <c r="A21" s="29" t="n"/>
      <c r="B21" s="26" t="n"/>
      <c r="C21" s="35">
        <f>IF(A21="","",COUNTIFS(Receivables!$A$7:$A$306,A21,Receivables!$M$7:$M$306,"&gt;0"))</f>
        <v/>
      </c>
      <c r="D21" s="17">
        <f>IF(A21="","",SUMIFS(Receivables!$M$7:$M$306,Receivables!$A$7:$A$306,A21))</f>
        <v/>
      </c>
      <c r="E21" s="21">
        <f>IF(A21="","",SUMIFS(Receivables!$M$7:$M$306,Receivables!$A$7:$A$306,A21,Receivables!$L$7:$L$306,"&lt;"&amp;W1))</f>
        <v/>
      </c>
      <c r="F21" s="21">
        <f>IF(A21="","",SUMIFS(Receivables!$O$7:$O$306,Receivables!$A$7:$A$306,A21))</f>
        <v/>
      </c>
      <c r="G21" s="10">
        <f>IF(A21="",IF(B21="","","Fix: add a customer name"),IF(COUNTIF($A$7:A21,A21)&gt;1,"Duplicate (the first row is used)",IF(AND(B21&lt;&gt;"",NOT(ISNUMBER(B21))),"Days late must be a number (default used)","OK")))</f>
        <v/>
      </c>
    </row>
    <row r="22">
      <c r="A22" s="29" t="n"/>
      <c r="B22" s="26" t="n"/>
      <c r="C22" s="35">
        <f>IF(A22="","",COUNTIFS(Receivables!$A$7:$A$306,A22,Receivables!$M$7:$M$306,"&gt;0"))</f>
        <v/>
      </c>
      <c r="D22" s="17">
        <f>IF(A22="","",SUMIFS(Receivables!$M$7:$M$306,Receivables!$A$7:$A$306,A22))</f>
        <v/>
      </c>
      <c r="E22" s="21">
        <f>IF(A22="","",SUMIFS(Receivables!$M$7:$M$306,Receivables!$A$7:$A$306,A22,Receivables!$L$7:$L$306,"&lt;"&amp;W1))</f>
        <v/>
      </c>
      <c r="F22" s="21">
        <f>IF(A22="","",SUMIFS(Receivables!$O$7:$O$306,Receivables!$A$7:$A$306,A22))</f>
        <v/>
      </c>
      <c r="G22" s="10">
        <f>IF(A22="",IF(B22="","","Fix: add a customer name"),IF(COUNTIF($A$7:A22,A22)&gt;1,"Duplicate (the first row is used)",IF(AND(B22&lt;&gt;"",NOT(ISNUMBER(B22))),"Days late must be a number (default used)","OK")))</f>
        <v/>
      </c>
    </row>
    <row r="23">
      <c r="A23" s="29" t="n"/>
      <c r="B23" s="26" t="n"/>
      <c r="C23" s="35">
        <f>IF(A23="","",COUNTIFS(Receivables!$A$7:$A$306,A23,Receivables!$M$7:$M$306,"&gt;0"))</f>
        <v/>
      </c>
      <c r="D23" s="17">
        <f>IF(A23="","",SUMIFS(Receivables!$M$7:$M$306,Receivables!$A$7:$A$306,A23))</f>
        <v/>
      </c>
      <c r="E23" s="21">
        <f>IF(A23="","",SUMIFS(Receivables!$M$7:$M$306,Receivables!$A$7:$A$306,A23,Receivables!$L$7:$L$306,"&lt;"&amp;W1))</f>
        <v/>
      </c>
      <c r="F23" s="21">
        <f>IF(A23="","",SUMIFS(Receivables!$O$7:$O$306,Receivables!$A$7:$A$306,A23))</f>
        <v/>
      </c>
      <c r="G23" s="10">
        <f>IF(A23="",IF(B23="","","Fix: add a customer name"),IF(COUNTIF($A$7:A23,A23)&gt;1,"Duplicate (the first row is used)",IF(AND(B23&lt;&gt;"",NOT(ISNUMBER(B23))),"Days late must be a number (default used)","OK")))</f>
        <v/>
      </c>
    </row>
    <row r="24">
      <c r="A24" s="29" t="n"/>
      <c r="B24" s="26" t="n"/>
      <c r="C24" s="35">
        <f>IF(A24="","",COUNTIFS(Receivables!$A$7:$A$306,A24,Receivables!$M$7:$M$306,"&gt;0"))</f>
        <v/>
      </c>
      <c r="D24" s="17">
        <f>IF(A24="","",SUMIFS(Receivables!$M$7:$M$306,Receivables!$A$7:$A$306,A24))</f>
        <v/>
      </c>
      <c r="E24" s="21">
        <f>IF(A24="","",SUMIFS(Receivables!$M$7:$M$306,Receivables!$A$7:$A$306,A24,Receivables!$L$7:$L$306,"&lt;"&amp;W1))</f>
        <v/>
      </c>
      <c r="F24" s="21">
        <f>IF(A24="","",SUMIFS(Receivables!$O$7:$O$306,Receivables!$A$7:$A$306,A24))</f>
        <v/>
      </c>
      <c r="G24" s="10">
        <f>IF(A24="",IF(B24="","","Fix: add a customer name"),IF(COUNTIF($A$7:A24,A24)&gt;1,"Duplicate (the first row is used)",IF(AND(B24&lt;&gt;"",NOT(ISNUMBER(B24))),"Days late must be a number (default used)","OK")))</f>
        <v/>
      </c>
    </row>
    <row r="25">
      <c r="A25" s="29" t="n"/>
      <c r="B25" s="26" t="n"/>
      <c r="C25" s="35">
        <f>IF(A25="","",COUNTIFS(Receivables!$A$7:$A$306,A25,Receivables!$M$7:$M$306,"&gt;0"))</f>
        <v/>
      </c>
      <c r="D25" s="17">
        <f>IF(A25="","",SUMIFS(Receivables!$M$7:$M$306,Receivables!$A$7:$A$306,A25))</f>
        <v/>
      </c>
      <c r="E25" s="21">
        <f>IF(A25="","",SUMIFS(Receivables!$M$7:$M$306,Receivables!$A$7:$A$306,A25,Receivables!$L$7:$L$306,"&lt;"&amp;W1))</f>
        <v/>
      </c>
      <c r="F25" s="21">
        <f>IF(A25="","",SUMIFS(Receivables!$O$7:$O$306,Receivables!$A$7:$A$306,A25))</f>
        <v/>
      </c>
      <c r="G25" s="10">
        <f>IF(A25="",IF(B25="","","Fix: add a customer name"),IF(COUNTIF($A$7:A25,A25)&gt;1,"Duplicate (the first row is used)",IF(AND(B25&lt;&gt;"",NOT(ISNUMBER(B25))),"Days late must be a number (default used)","OK")))</f>
        <v/>
      </c>
    </row>
    <row r="26">
      <c r="A26" s="29" t="n"/>
      <c r="B26" s="26" t="n"/>
      <c r="C26" s="35">
        <f>IF(A26="","",COUNTIFS(Receivables!$A$7:$A$306,A26,Receivables!$M$7:$M$306,"&gt;0"))</f>
        <v/>
      </c>
      <c r="D26" s="17">
        <f>IF(A26="","",SUMIFS(Receivables!$M$7:$M$306,Receivables!$A$7:$A$306,A26))</f>
        <v/>
      </c>
      <c r="E26" s="21">
        <f>IF(A26="","",SUMIFS(Receivables!$M$7:$M$306,Receivables!$A$7:$A$306,A26,Receivables!$L$7:$L$306,"&lt;"&amp;W1))</f>
        <v/>
      </c>
      <c r="F26" s="21">
        <f>IF(A26="","",SUMIFS(Receivables!$O$7:$O$306,Receivables!$A$7:$A$306,A26))</f>
        <v/>
      </c>
      <c r="G26" s="10">
        <f>IF(A26="",IF(B26="","","Fix: add a customer name"),IF(COUNTIF($A$7:A26,A26)&gt;1,"Duplicate (the first row is used)",IF(AND(B26&lt;&gt;"",NOT(ISNUMBER(B26))),"Days late must be a number (default used)","OK")))</f>
        <v/>
      </c>
    </row>
    <row r="27">
      <c r="A27" s="29" t="n"/>
      <c r="B27" s="26" t="n"/>
      <c r="C27" s="35">
        <f>IF(A27="","",COUNTIFS(Receivables!$A$7:$A$306,A27,Receivables!$M$7:$M$306,"&gt;0"))</f>
        <v/>
      </c>
      <c r="D27" s="17">
        <f>IF(A27="","",SUMIFS(Receivables!$M$7:$M$306,Receivables!$A$7:$A$306,A27))</f>
        <v/>
      </c>
      <c r="E27" s="21">
        <f>IF(A27="","",SUMIFS(Receivables!$M$7:$M$306,Receivables!$A$7:$A$306,A27,Receivables!$L$7:$L$306,"&lt;"&amp;W1))</f>
        <v/>
      </c>
      <c r="F27" s="21">
        <f>IF(A27="","",SUMIFS(Receivables!$O$7:$O$306,Receivables!$A$7:$A$306,A27))</f>
        <v/>
      </c>
      <c r="G27" s="10">
        <f>IF(A27="",IF(B27="","","Fix: add a customer name"),IF(COUNTIF($A$7:A27,A27)&gt;1,"Duplicate (the first row is used)",IF(AND(B27&lt;&gt;"",NOT(ISNUMBER(B27))),"Days late must be a number (default used)","OK")))</f>
        <v/>
      </c>
    </row>
    <row r="28">
      <c r="A28" s="29" t="n"/>
      <c r="B28" s="26" t="n"/>
      <c r="C28" s="35">
        <f>IF(A28="","",COUNTIFS(Receivables!$A$7:$A$306,A28,Receivables!$M$7:$M$306,"&gt;0"))</f>
        <v/>
      </c>
      <c r="D28" s="17">
        <f>IF(A28="","",SUMIFS(Receivables!$M$7:$M$306,Receivables!$A$7:$A$306,A28))</f>
        <v/>
      </c>
      <c r="E28" s="21">
        <f>IF(A28="","",SUMIFS(Receivables!$M$7:$M$306,Receivables!$A$7:$A$306,A28,Receivables!$L$7:$L$306,"&lt;"&amp;W1))</f>
        <v/>
      </c>
      <c r="F28" s="21">
        <f>IF(A28="","",SUMIFS(Receivables!$O$7:$O$306,Receivables!$A$7:$A$306,A28))</f>
        <v/>
      </c>
      <c r="G28" s="10">
        <f>IF(A28="",IF(B28="","","Fix: add a customer name"),IF(COUNTIF($A$7:A28,A28)&gt;1,"Duplicate (the first row is used)",IF(AND(B28&lt;&gt;"",NOT(ISNUMBER(B28))),"Days late must be a number (default used)","OK")))</f>
        <v/>
      </c>
    </row>
    <row r="29">
      <c r="A29" s="29" t="n"/>
      <c r="B29" s="26" t="n"/>
      <c r="C29" s="35">
        <f>IF(A29="","",COUNTIFS(Receivables!$A$7:$A$306,A29,Receivables!$M$7:$M$306,"&gt;0"))</f>
        <v/>
      </c>
      <c r="D29" s="17">
        <f>IF(A29="","",SUMIFS(Receivables!$M$7:$M$306,Receivables!$A$7:$A$306,A29))</f>
        <v/>
      </c>
      <c r="E29" s="21">
        <f>IF(A29="","",SUMIFS(Receivables!$M$7:$M$306,Receivables!$A$7:$A$306,A29,Receivables!$L$7:$L$306,"&lt;"&amp;W1))</f>
        <v/>
      </c>
      <c r="F29" s="21">
        <f>IF(A29="","",SUMIFS(Receivables!$O$7:$O$306,Receivables!$A$7:$A$306,A29))</f>
        <v/>
      </c>
      <c r="G29" s="10">
        <f>IF(A29="",IF(B29="","","Fix: add a customer name"),IF(COUNTIF($A$7:A29,A29)&gt;1,"Duplicate (the first row is used)",IF(AND(B29&lt;&gt;"",NOT(ISNUMBER(B29))),"Days late must be a number (default used)","OK")))</f>
        <v/>
      </c>
    </row>
    <row r="30">
      <c r="A30" s="29" t="n"/>
      <c r="B30" s="26" t="n"/>
      <c r="C30" s="35">
        <f>IF(A30="","",COUNTIFS(Receivables!$A$7:$A$306,A30,Receivables!$M$7:$M$306,"&gt;0"))</f>
        <v/>
      </c>
      <c r="D30" s="17">
        <f>IF(A30="","",SUMIFS(Receivables!$M$7:$M$306,Receivables!$A$7:$A$306,A30))</f>
        <v/>
      </c>
      <c r="E30" s="21">
        <f>IF(A30="","",SUMIFS(Receivables!$M$7:$M$306,Receivables!$A$7:$A$306,A30,Receivables!$L$7:$L$306,"&lt;"&amp;W1))</f>
        <v/>
      </c>
      <c r="F30" s="21">
        <f>IF(A30="","",SUMIFS(Receivables!$O$7:$O$306,Receivables!$A$7:$A$306,A30))</f>
        <v/>
      </c>
      <c r="G30" s="10">
        <f>IF(A30="",IF(B30="","","Fix: add a customer name"),IF(COUNTIF($A$7:A30,A30)&gt;1,"Duplicate (the first row is used)",IF(AND(B30&lt;&gt;"",NOT(ISNUMBER(B30))),"Days late must be a number (default used)","OK")))</f>
        <v/>
      </c>
    </row>
    <row r="31">
      <c r="A31" s="29" t="n"/>
      <c r="B31" s="26" t="n"/>
      <c r="C31" s="35">
        <f>IF(A31="","",COUNTIFS(Receivables!$A$7:$A$306,A31,Receivables!$M$7:$M$306,"&gt;0"))</f>
        <v/>
      </c>
      <c r="D31" s="17">
        <f>IF(A31="","",SUMIFS(Receivables!$M$7:$M$306,Receivables!$A$7:$A$306,A31))</f>
        <v/>
      </c>
      <c r="E31" s="21">
        <f>IF(A31="","",SUMIFS(Receivables!$M$7:$M$306,Receivables!$A$7:$A$306,A31,Receivables!$L$7:$L$306,"&lt;"&amp;W1))</f>
        <v/>
      </c>
      <c r="F31" s="21">
        <f>IF(A31="","",SUMIFS(Receivables!$O$7:$O$306,Receivables!$A$7:$A$306,A31))</f>
        <v/>
      </c>
      <c r="G31" s="10">
        <f>IF(A31="",IF(B31="","","Fix: add a customer name"),IF(COUNTIF($A$7:A31,A31)&gt;1,"Duplicate (the first row is used)",IF(AND(B31&lt;&gt;"",NOT(ISNUMBER(B31))),"Days late must be a number (default used)","OK")))</f>
        <v/>
      </c>
    </row>
    <row r="32">
      <c r="A32" s="29" t="n"/>
      <c r="B32" s="26" t="n"/>
      <c r="C32" s="35">
        <f>IF(A32="","",COUNTIFS(Receivables!$A$7:$A$306,A32,Receivables!$M$7:$M$306,"&gt;0"))</f>
        <v/>
      </c>
      <c r="D32" s="17">
        <f>IF(A32="","",SUMIFS(Receivables!$M$7:$M$306,Receivables!$A$7:$A$306,A32))</f>
        <v/>
      </c>
      <c r="E32" s="21">
        <f>IF(A32="","",SUMIFS(Receivables!$M$7:$M$306,Receivables!$A$7:$A$306,A32,Receivables!$L$7:$L$306,"&lt;"&amp;W1))</f>
        <v/>
      </c>
      <c r="F32" s="21">
        <f>IF(A32="","",SUMIFS(Receivables!$O$7:$O$306,Receivables!$A$7:$A$306,A32))</f>
        <v/>
      </c>
      <c r="G32" s="10">
        <f>IF(A32="",IF(B32="","","Fix: add a customer name"),IF(COUNTIF($A$7:A32,A32)&gt;1,"Duplicate (the first row is used)",IF(AND(B32&lt;&gt;"",NOT(ISNUMBER(B32))),"Days late must be a number (default used)","OK")))</f>
        <v/>
      </c>
    </row>
    <row r="33">
      <c r="A33" s="29" t="n"/>
      <c r="B33" s="26" t="n"/>
      <c r="C33" s="35">
        <f>IF(A33="","",COUNTIFS(Receivables!$A$7:$A$306,A33,Receivables!$M$7:$M$306,"&gt;0"))</f>
        <v/>
      </c>
      <c r="D33" s="17">
        <f>IF(A33="","",SUMIFS(Receivables!$M$7:$M$306,Receivables!$A$7:$A$306,A33))</f>
        <v/>
      </c>
      <c r="E33" s="21">
        <f>IF(A33="","",SUMIFS(Receivables!$M$7:$M$306,Receivables!$A$7:$A$306,A33,Receivables!$L$7:$L$306,"&lt;"&amp;W1))</f>
        <v/>
      </c>
      <c r="F33" s="21">
        <f>IF(A33="","",SUMIFS(Receivables!$O$7:$O$306,Receivables!$A$7:$A$306,A33))</f>
        <v/>
      </c>
      <c r="G33" s="10">
        <f>IF(A33="",IF(B33="","","Fix: add a customer name"),IF(COUNTIF($A$7:A33,A33)&gt;1,"Duplicate (the first row is used)",IF(AND(B33&lt;&gt;"",NOT(ISNUMBER(B33))),"Days late must be a number (default used)","OK")))</f>
        <v/>
      </c>
    </row>
    <row r="34">
      <c r="A34" s="29" t="n"/>
      <c r="B34" s="26" t="n"/>
      <c r="C34" s="35">
        <f>IF(A34="","",COUNTIFS(Receivables!$A$7:$A$306,A34,Receivables!$M$7:$M$306,"&gt;0"))</f>
        <v/>
      </c>
      <c r="D34" s="17">
        <f>IF(A34="","",SUMIFS(Receivables!$M$7:$M$306,Receivables!$A$7:$A$306,A34))</f>
        <v/>
      </c>
      <c r="E34" s="21">
        <f>IF(A34="","",SUMIFS(Receivables!$M$7:$M$306,Receivables!$A$7:$A$306,A34,Receivables!$L$7:$L$306,"&lt;"&amp;W1))</f>
        <v/>
      </c>
      <c r="F34" s="21">
        <f>IF(A34="","",SUMIFS(Receivables!$O$7:$O$306,Receivables!$A$7:$A$306,A34))</f>
        <v/>
      </c>
      <c r="G34" s="10">
        <f>IF(A34="",IF(B34="","","Fix: add a customer name"),IF(COUNTIF($A$7:A34,A34)&gt;1,"Duplicate (the first row is used)",IF(AND(B34&lt;&gt;"",NOT(ISNUMBER(B34))),"Days late must be a number (default used)","OK")))</f>
        <v/>
      </c>
    </row>
    <row r="35">
      <c r="A35" s="29" t="n"/>
      <c r="B35" s="26" t="n"/>
      <c r="C35" s="35">
        <f>IF(A35="","",COUNTIFS(Receivables!$A$7:$A$306,A35,Receivables!$M$7:$M$306,"&gt;0"))</f>
        <v/>
      </c>
      <c r="D35" s="17">
        <f>IF(A35="","",SUMIFS(Receivables!$M$7:$M$306,Receivables!$A$7:$A$306,A35))</f>
        <v/>
      </c>
      <c r="E35" s="21">
        <f>IF(A35="","",SUMIFS(Receivables!$M$7:$M$306,Receivables!$A$7:$A$306,A35,Receivables!$L$7:$L$306,"&lt;"&amp;W1))</f>
        <v/>
      </c>
      <c r="F35" s="21">
        <f>IF(A35="","",SUMIFS(Receivables!$O$7:$O$306,Receivables!$A$7:$A$306,A35))</f>
        <v/>
      </c>
      <c r="G35" s="10">
        <f>IF(A35="",IF(B35="","","Fix: add a customer name"),IF(COUNTIF($A$7:A35,A35)&gt;1,"Duplicate (the first row is used)",IF(AND(B35&lt;&gt;"",NOT(ISNUMBER(B35))),"Days late must be a number (default used)","OK")))</f>
        <v/>
      </c>
    </row>
    <row r="36">
      <c r="A36" s="29" t="n"/>
      <c r="B36" s="26" t="n"/>
      <c r="C36" s="35">
        <f>IF(A36="","",COUNTIFS(Receivables!$A$7:$A$306,A36,Receivables!$M$7:$M$306,"&gt;0"))</f>
        <v/>
      </c>
      <c r="D36" s="17">
        <f>IF(A36="","",SUMIFS(Receivables!$M$7:$M$306,Receivables!$A$7:$A$306,A36))</f>
        <v/>
      </c>
      <c r="E36" s="21">
        <f>IF(A36="","",SUMIFS(Receivables!$M$7:$M$306,Receivables!$A$7:$A$306,A36,Receivables!$L$7:$L$306,"&lt;"&amp;W1))</f>
        <v/>
      </c>
      <c r="F36" s="21">
        <f>IF(A36="","",SUMIFS(Receivables!$O$7:$O$306,Receivables!$A$7:$A$306,A36))</f>
        <v/>
      </c>
      <c r="G36" s="10">
        <f>IF(A36="",IF(B36="","","Fix: add a customer name"),IF(COUNTIF($A$7:A36,A36)&gt;1,"Duplicate (the first row is used)",IF(AND(B36&lt;&gt;"",NOT(ISNUMBER(B36))),"Days late must be a number (default used)","OK")))</f>
        <v/>
      </c>
    </row>
    <row r="37">
      <c r="A37" s="29" t="n"/>
      <c r="B37" s="26" t="n"/>
      <c r="C37" s="35">
        <f>IF(A37="","",COUNTIFS(Receivables!$A$7:$A$306,A37,Receivables!$M$7:$M$306,"&gt;0"))</f>
        <v/>
      </c>
      <c r="D37" s="17">
        <f>IF(A37="","",SUMIFS(Receivables!$M$7:$M$306,Receivables!$A$7:$A$306,A37))</f>
        <v/>
      </c>
      <c r="E37" s="21">
        <f>IF(A37="","",SUMIFS(Receivables!$M$7:$M$306,Receivables!$A$7:$A$306,A37,Receivables!$L$7:$L$306,"&lt;"&amp;W1))</f>
        <v/>
      </c>
      <c r="F37" s="21">
        <f>IF(A37="","",SUMIFS(Receivables!$O$7:$O$306,Receivables!$A$7:$A$306,A37))</f>
        <v/>
      </c>
      <c r="G37" s="10">
        <f>IF(A37="",IF(B37="","","Fix: add a customer name"),IF(COUNTIF($A$7:A37,A37)&gt;1,"Duplicate (the first row is used)",IF(AND(B37&lt;&gt;"",NOT(ISNUMBER(B37))),"Days late must be a number (default used)","OK")))</f>
        <v/>
      </c>
    </row>
    <row r="38">
      <c r="A38" s="29" t="n"/>
      <c r="B38" s="26" t="n"/>
      <c r="C38" s="35">
        <f>IF(A38="","",COUNTIFS(Receivables!$A$7:$A$306,A38,Receivables!$M$7:$M$306,"&gt;0"))</f>
        <v/>
      </c>
      <c r="D38" s="17">
        <f>IF(A38="","",SUMIFS(Receivables!$M$7:$M$306,Receivables!$A$7:$A$306,A38))</f>
        <v/>
      </c>
      <c r="E38" s="21">
        <f>IF(A38="","",SUMIFS(Receivables!$M$7:$M$306,Receivables!$A$7:$A$306,A38,Receivables!$L$7:$L$306,"&lt;"&amp;W1))</f>
        <v/>
      </c>
      <c r="F38" s="21">
        <f>IF(A38="","",SUMIFS(Receivables!$O$7:$O$306,Receivables!$A$7:$A$306,A38))</f>
        <v/>
      </c>
      <c r="G38" s="10">
        <f>IF(A38="",IF(B38="","","Fix: add a customer name"),IF(COUNTIF($A$7:A38,A38)&gt;1,"Duplicate (the first row is used)",IF(AND(B38&lt;&gt;"",NOT(ISNUMBER(B38))),"Days late must be a number (default used)","OK")))</f>
        <v/>
      </c>
    </row>
    <row r="39">
      <c r="A39" s="29" t="n"/>
      <c r="B39" s="26" t="n"/>
      <c r="C39" s="35">
        <f>IF(A39="","",COUNTIFS(Receivables!$A$7:$A$306,A39,Receivables!$M$7:$M$306,"&gt;0"))</f>
        <v/>
      </c>
      <c r="D39" s="17">
        <f>IF(A39="","",SUMIFS(Receivables!$M$7:$M$306,Receivables!$A$7:$A$306,A39))</f>
        <v/>
      </c>
      <c r="E39" s="21">
        <f>IF(A39="","",SUMIFS(Receivables!$M$7:$M$306,Receivables!$A$7:$A$306,A39,Receivables!$L$7:$L$306,"&lt;"&amp;W1))</f>
        <v/>
      </c>
      <c r="F39" s="21">
        <f>IF(A39="","",SUMIFS(Receivables!$O$7:$O$306,Receivables!$A$7:$A$306,A39))</f>
        <v/>
      </c>
      <c r="G39" s="10">
        <f>IF(A39="",IF(B39="","","Fix: add a customer name"),IF(COUNTIF($A$7:A39,A39)&gt;1,"Duplicate (the first row is used)",IF(AND(B39&lt;&gt;"",NOT(ISNUMBER(B39))),"Days late must be a number (default used)","OK")))</f>
        <v/>
      </c>
    </row>
    <row r="40">
      <c r="A40" s="29" t="n"/>
      <c r="B40" s="26" t="n"/>
      <c r="C40" s="35">
        <f>IF(A40="","",COUNTIFS(Receivables!$A$7:$A$306,A40,Receivables!$M$7:$M$306,"&gt;0"))</f>
        <v/>
      </c>
      <c r="D40" s="17">
        <f>IF(A40="","",SUMIFS(Receivables!$M$7:$M$306,Receivables!$A$7:$A$306,A40))</f>
        <v/>
      </c>
      <c r="E40" s="21">
        <f>IF(A40="","",SUMIFS(Receivables!$M$7:$M$306,Receivables!$A$7:$A$306,A40,Receivables!$L$7:$L$306,"&lt;"&amp;W1))</f>
        <v/>
      </c>
      <c r="F40" s="21">
        <f>IF(A40="","",SUMIFS(Receivables!$O$7:$O$306,Receivables!$A$7:$A$306,A40))</f>
        <v/>
      </c>
      <c r="G40" s="10">
        <f>IF(A40="",IF(B40="","","Fix: add a customer name"),IF(COUNTIF($A$7:A40,A40)&gt;1,"Duplicate (the first row is used)",IF(AND(B40&lt;&gt;"",NOT(ISNUMBER(B40))),"Days late must be a number (default used)","OK")))</f>
        <v/>
      </c>
    </row>
    <row r="41">
      <c r="A41" s="29" t="n"/>
      <c r="B41" s="26" t="n"/>
      <c r="C41" s="35">
        <f>IF(A41="","",COUNTIFS(Receivables!$A$7:$A$306,A41,Receivables!$M$7:$M$306,"&gt;0"))</f>
        <v/>
      </c>
      <c r="D41" s="17">
        <f>IF(A41="","",SUMIFS(Receivables!$M$7:$M$306,Receivables!$A$7:$A$306,A41))</f>
        <v/>
      </c>
      <c r="E41" s="21">
        <f>IF(A41="","",SUMIFS(Receivables!$M$7:$M$306,Receivables!$A$7:$A$306,A41,Receivables!$L$7:$L$306,"&lt;"&amp;W1))</f>
        <v/>
      </c>
      <c r="F41" s="21">
        <f>IF(A41="","",SUMIFS(Receivables!$O$7:$O$306,Receivables!$A$7:$A$306,A41))</f>
        <v/>
      </c>
      <c r="G41" s="10">
        <f>IF(A41="",IF(B41="","","Fix: add a customer name"),IF(COUNTIF($A$7:A41,A41)&gt;1,"Duplicate (the first row is used)",IF(AND(B41&lt;&gt;"",NOT(ISNUMBER(B41))),"Days late must be a number (default used)","OK")))</f>
        <v/>
      </c>
    </row>
    <row r="42">
      <c r="A42" s="29" t="n"/>
      <c r="B42" s="26" t="n"/>
      <c r="C42" s="35">
        <f>IF(A42="","",COUNTIFS(Receivables!$A$7:$A$306,A42,Receivables!$M$7:$M$306,"&gt;0"))</f>
        <v/>
      </c>
      <c r="D42" s="17">
        <f>IF(A42="","",SUMIFS(Receivables!$M$7:$M$306,Receivables!$A$7:$A$306,A42))</f>
        <v/>
      </c>
      <c r="E42" s="21">
        <f>IF(A42="","",SUMIFS(Receivables!$M$7:$M$306,Receivables!$A$7:$A$306,A42,Receivables!$L$7:$L$306,"&lt;"&amp;W1))</f>
        <v/>
      </c>
      <c r="F42" s="21">
        <f>IF(A42="","",SUMIFS(Receivables!$O$7:$O$306,Receivables!$A$7:$A$306,A42))</f>
        <v/>
      </c>
      <c r="G42" s="10">
        <f>IF(A42="",IF(B42="","","Fix: add a customer name"),IF(COUNTIF($A$7:A42,A42)&gt;1,"Duplicate (the first row is used)",IF(AND(B42&lt;&gt;"",NOT(ISNUMBER(B42))),"Days late must be a number (default used)","OK")))</f>
        <v/>
      </c>
    </row>
    <row r="43">
      <c r="A43" s="29" t="n"/>
      <c r="B43" s="26" t="n"/>
      <c r="C43" s="35">
        <f>IF(A43="","",COUNTIFS(Receivables!$A$7:$A$306,A43,Receivables!$M$7:$M$306,"&gt;0"))</f>
        <v/>
      </c>
      <c r="D43" s="17">
        <f>IF(A43="","",SUMIFS(Receivables!$M$7:$M$306,Receivables!$A$7:$A$306,A43))</f>
        <v/>
      </c>
      <c r="E43" s="21">
        <f>IF(A43="","",SUMIFS(Receivables!$M$7:$M$306,Receivables!$A$7:$A$306,A43,Receivables!$L$7:$L$306,"&lt;"&amp;W1))</f>
        <v/>
      </c>
      <c r="F43" s="21">
        <f>IF(A43="","",SUMIFS(Receivables!$O$7:$O$306,Receivables!$A$7:$A$306,A43))</f>
        <v/>
      </c>
      <c r="G43" s="10">
        <f>IF(A43="",IF(B43="","","Fix: add a customer name"),IF(COUNTIF($A$7:A43,A43)&gt;1,"Duplicate (the first row is used)",IF(AND(B43&lt;&gt;"",NOT(ISNUMBER(B43))),"Days late must be a number (default used)","OK")))</f>
        <v/>
      </c>
    </row>
    <row r="44">
      <c r="A44" s="29" t="n"/>
      <c r="B44" s="26" t="n"/>
      <c r="C44" s="35">
        <f>IF(A44="","",COUNTIFS(Receivables!$A$7:$A$306,A44,Receivables!$M$7:$M$306,"&gt;0"))</f>
        <v/>
      </c>
      <c r="D44" s="17">
        <f>IF(A44="","",SUMIFS(Receivables!$M$7:$M$306,Receivables!$A$7:$A$306,A44))</f>
        <v/>
      </c>
      <c r="E44" s="21">
        <f>IF(A44="","",SUMIFS(Receivables!$M$7:$M$306,Receivables!$A$7:$A$306,A44,Receivables!$L$7:$L$306,"&lt;"&amp;W1))</f>
        <v/>
      </c>
      <c r="F44" s="21">
        <f>IF(A44="","",SUMIFS(Receivables!$O$7:$O$306,Receivables!$A$7:$A$306,A44))</f>
        <v/>
      </c>
      <c r="G44" s="10">
        <f>IF(A44="",IF(B44="","","Fix: add a customer name"),IF(COUNTIF($A$7:A44,A44)&gt;1,"Duplicate (the first row is used)",IF(AND(B44&lt;&gt;"",NOT(ISNUMBER(B44))),"Days late must be a number (default used)","OK")))</f>
        <v/>
      </c>
    </row>
    <row r="45">
      <c r="A45" s="29" t="n"/>
      <c r="B45" s="26" t="n"/>
      <c r="C45" s="35">
        <f>IF(A45="","",COUNTIFS(Receivables!$A$7:$A$306,A45,Receivables!$M$7:$M$306,"&gt;0"))</f>
        <v/>
      </c>
      <c r="D45" s="17">
        <f>IF(A45="","",SUMIFS(Receivables!$M$7:$M$306,Receivables!$A$7:$A$306,A45))</f>
        <v/>
      </c>
      <c r="E45" s="21">
        <f>IF(A45="","",SUMIFS(Receivables!$M$7:$M$306,Receivables!$A$7:$A$306,A45,Receivables!$L$7:$L$306,"&lt;"&amp;W1))</f>
        <v/>
      </c>
      <c r="F45" s="21">
        <f>IF(A45="","",SUMIFS(Receivables!$O$7:$O$306,Receivables!$A$7:$A$306,A45))</f>
        <v/>
      </c>
      <c r="G45" s="10">
        <f>IF(A45="",IF(B45="","","Fix: add a customer name"),IF(COUNTIF($A$7:A45,A45)&gt;1,"Duplicate (the first row is used)",IF(AND(B45&lt;&gt;"",NOT(ISNUMBER(B45))),"Days late must be a number (default used)","OK")))</f>
        <v/>
      </c>
    </row>
    <row r="46">
      <c r="A46" s="29" t="n"/>
      <c r="B46" s="26" t="n"/>
      <c r="C46" s="35">
        <f>IF(A46="","",COUNTIFS(Receivables!$A$7:$A$306,A46,Receivables!$M$7:$M$306,"&gt;0"))</f>
        <v/>
      </c>
      <c r="D46" s="17">
        <f>IF(A46="","",SUMIFS(Receivables!$M$7:$M$306,Receivables!$A$7:$A$306,A46))</f>
        <v/>
      </c>
      <c r="E46" s="21">
        <f>IF(A46="","",SUMIFS(Receivables!$M$7:$M$306,Receivables!$A$7:$A$306,A46,Receivables!$L$7:$L$306,"&lt;"&amp;W1))</f>
        <v/>
      </c>
      <c r="F46" s="21">
        <f>IF(A46="","",SUMIFS(Receivables!$O$7:$O$306,Receivables!$A$7:$A$306,A46))</f>
        <v/>
      </c>
      <c r="G46" s="10">
        <f>IF(A46="",IF(B46="","","Fix: add a customer name"),IF(COUNTIF($A$7:A46,A46)&gt;1,"Duplicate (the first row is used)",IF(AND(B46&lt;&gt;"",NOT(ISNUMBER(B46))),"Days late must be a number (default used)","OK")))</f>
        <v/>
      </c>
    </row>
  </sheetData>
  <sheetProtection selectLockedCells="0" selectUnlockedCells="0" sheet="1" objects="0" insertRows="1" insertHyperlinks="1" autoFilter="1" scenarios="0" formatColumns="0" deleteColumns="1" insertColumns="1" pivotTables="1" deleteRows="1" formatCells="1" formatRows="0" sort="1"/>
  <conditionalFormatting sqref="G7:G46">
    <cfRule type="expression" priority="1" dxfId="3">
      <formula>AND(G7&lt;&gt;"",G7&lt;&gt;"OK")</formula>
    </cfRule>
  </conditionalFormatting>
  <dataValidations count="1">
    <dataValidation sqref="B7:B46" showDropDown="0" showInputMessage="0" showErrorMessage="1" allowBlank="1" error="Whole days, -365 to 365" type="whole" operator="between">
      <formula1>-365</formula1>
      <formula2>365</formula2>
    </dataValidation>
  </dataValidations>
  <printOptions horizontalCentered="1"/>
  <pageMargins left="0.4" right="0.4"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R30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6" customWidth="1" min="3" max="3"/>
    <col width="13" customWidth="1" min="4" max="4"/>
    <col width="8" customWidth="1" min="5" max="5"/>
    <col width="12" customWidth="1" min="6" max="6"/>
    <col width="12" customWidth="1" min="7" max="7"/>
    <col width="13" customWidth="1" min="8" max="8"/>
    <col width="9" customWidth="1" min="9" max="9"/>
    <col width="13" customWidth="1" min="10" max="10"/>
    <col width="8" customWidth="1" min="11" max="11"/>
    <col width="13" customWidth="1" min="12" max="12"/>
    <col width="12" customWidth="1" min="13" max="13"/>
    <col width="7" customWidth="1" min="14" max="14"/>
    <col width="12" customWidth="1" min="15" max="15"/>
    <col width="19" customWidth="1" min="16" max="16"/>
    <col width="30" customWidth="1" min="17" max="17"/>
    <col hidden="1" width="13" customWidth="1" min="18" max="18"/>
  </cols>
  <sheetData>
    <row r="1" ht="24" customHeight="1">
      <c r="A1" s="1" t="inlineStr">
        <is>
          <t>Receivables: invoices you're waiting to be paid</t>
        </is>
      </c>
    </row>
    <row r="2">
      <c r="A2" s="2" t="inlineStr">
        <is>
          <t>Expected date = promised date if you have one, otherwise due date + the customer's usual days late (+ any stress-test delay).</t>
        </is>
      </c>
    </row>
    <row r="6" ht="30" customHeight="1">
      <c r="A6" s="15" t="inlineStr">
        <is>
          <t>Customer</t>
        </is>
      </c>
      <c r="B6" s="15" t="inlineStr">
        <is>
          <t>Invoice #</t>
        </is>
      </c>
      <c r="C6" s="15" t="inlineStr">
        <is>
          <t>Category</t>
        </is>
      </c>
      <c r="D6" s="15" t="inlineStr">
        <is>
          <t>Invoice date</t>
        </is>
      </c>
      <c r="E6" s="15" t="inlineStr">
        <is>
          <t>Terms (days)</t>
        </is>
      </c>
      <c r="F6" s="15" t="inlineStr">
        <is>
          <t>Amount</t>
        </is>
      </c>
      <c r="G6" s="15" t="inlineStr">
        <is>
          <t>Received so far</t>
        </is>
      </c>
      <c r="H6" s="15" t="inlineStr">
        <is>
          <t>Promised date (optional)</t>
        </is>
      </c>
      <c r="I6" s="15" t="inlineStr">
        <is>
          <t>Doubtful?</t>
        </is>
      </c>
      <c r="J6" s="15" t="inlineStr">
        <is>
          <t>Due date</t>
        </is>
      </c>
      <c r="K6" s="15" t="inlineStr">
        <is>
          <t>Days late used</t>
        </is>
      </c>
      <c r="L6" s="15" t="inlineStr">
        <is>
          <t>Expected date</t>
        </is>
      </c>
      <c r="M6" s="15" t="inlineStr">
        <is>
          <t>Open amount</t>
        </is>
      </c>
      <c r="N6" s="15" t="inlineStr">
        <is>
          <t>Week</t>
        </is>
      </c>
      <c r="O6" s="15" t="inlineStr">
        <is>
          <t>In forecast</t>
        </is>
      </c>
      <c r="P6" s="15" t="inlineStr">
        <is>
          <t>Status</t>
        </is>
      </c>
      <c r="Q6" s="15" t="inlineStr">
        <is>
          <t>Check</t>
        </is>
      </c>
    </row>
    <row r="7">
      <c r="A7" s="29" t="n"/>
      <c r="B7" s="29" t="n"/>
      <c r="C7" s="29" t="n"/>
      <c r="D7" s="24" t="n"/>
      <c r="E7" s="26" t="n"/>
      <c r="F7" s="34" t="n"/>
      <c r="G7" s="34" t="n"/>
      <c r="H7" s="24" t="n"/>
      <c r="I7" s="29" t="n"/>
      <c r="J7" s="32">
        <f>IF(R7&lt;&gt;1,"",IF(ISNUMBER(D7),INT(D7)+IF(ISNUMBER(E7),INT(E7),DefTerms),""))</f>
        <v/>
      </c>
      <c r="K7" s="35">
        <f>IF(R7&lt;&gt;1,"",IF(ISNUMBER(H7),0,IF(AND(A7&lt;&gt;"",ISNUMBER(MATCH(A7,CustName,0))),IF(ISNUMBER(INDEX(CustLate,MATCH(A7,CustName,0))),INT(INDEX(CustLate,MATCH(A7,CustName,0))),DefLate),DefLate)))</f>
        <v/>
      </c>
      <c r="L7" s="32">
        <f>IF(R7&lt;&gt;1,"",IF(ISNUMBER(H7),INT(H7),J7+K7)+StressDays)</f>
        <v/>
      </c>
      <c r="M7" s="21">
        <f>IF(R7&lt;&gt;1,0,F7-N(G7))</f>
        <v/>
      </c>
      <c r="N7" s="35">
        <f>IF(OR(R7&lt;&gt;1,M7&lt;=0),"",IF(I7="Yes","",IF(L7&lt;W1,IF(OverdueW1="No","",1),IF(L7&lt;=W1+90,INT((L7-W1)/7)+1,""))))</f>
        <v/>
      </c>
      <c r="O7" s="36">
        <f>IF(ISNUMBER(N7),M7*CollectPct,0)</f>
        <v/>
      </c>
      <c r="P7" s="10">
        <f>IF(R7="","",IF(R7=0,"Not counted",IF(M7&lt;=0,"Paid",IF(I7="Yes","Doubtful (left out)",IF(L7&lt;W1,IF(OverdueW1="No","Overdue (left out)","Overdue → Week 1"),IF(L7&lt;=W1+90,"Week "&amp;N7,"After Week 13"))))))</f>
        <v/>
      </c>
      <c r="Q7" s="10">
        <f>IF(R7="","",IF(R7=0,IF(NOT(ISNUMBER(F7)),"Fix: amount missing",IF(F7&lt;=0,"Fix: amount must be above 0",IF(AND(NOT(ISNUMBER(D7)),NOT(ISNUMBER(H7))),"Fix: add an invoice date or a promised date",IF(AND(D7&lt;&gt;"",NOT(ISNUMBER(D7))),"Fix: invoice date isn't a date",IF(AND(E7&lt;&gt;"",NOT(ISNUMBER(E7))),"Fix: terms must be a number",IF(AND(G7&lt;&gt;"",NOT(ISNUMBER(G7))),"Fix: received must be a number",IF(AND(H7&lt;&gt;"",NOT(ISNUMBER(H7))),"Fix: promised date isn't a date","Fix: received is more than the amount"))))))),IF(AND(C7&lt;&gt;"",ISNUMBER(MATCH(C7,InCats,0))),"OK","Category not on Settings (counted as Other)")))</f>
        <v/>
      </c>
      <c r="R7">
        <f>IF(COUNTA(A7:I7)=0,"",IF(AND(ISNUMBER(F7),F7&gt;0,OR(ISNUMBER(D7),ISNUMBER(H7)),OR(D7="",ISNUMBER(D7)),OR(E7="",ISNUMBER(E7)),OR(G7="",ISNUMBER(G7)),OR(H7="",ISNUMBER(H7))),IF(N(G7)&gt;F7,0,1),0))</f>
        <v/>
      </c>
    </row>
    <row r="8">
      <c r="A8" s="29" t="n"/>
      <c r="B8" s="29" t="n"/>
      <c r="C8" s="29" t="n"/>
      <c r="D8" s="24" t="n"/>
      <c r="E8" s="26" t="n"/>
      <c r="F8" s="34" t="n"/>
      <c r="G8" s="34" t="n"/>
      <c r="H8" s="24" t="n"/>
      <c r="I8" s="29" t="n"/>
      <c r="J8" s="32">
        <f>IF(R8&lt;&gt;1,"",IF(ISNUMBER(D8),INT(D8)+IF(ISNUMBER(E8),INT(E8),DefTerms),""))</f>
        <v/>
      </c>
      <c r="K8" s="35">
        <f>IF(R8&lt;&gt;1,"",IF(ISNUMBER(H8),0,IF(AND(A8&lt;&gt;"",ISNUMBER(MATCH(A8,CustName,0))),IF(ISNUMBER(INDEX(CustLate,MATCH(A8,CustName,0))),INT(INDEX(CustLate,MATCH(A8,CustName,0))),DefLate),DefLate)))</f>
        <v/>
      </c>
      <c r="L8" s="32">
        <f>IF(R8&lt;&gt;1,"",IF(ISNUMBER(H8),INT(H8),J8+K8)+StressDays)</f>
        <v/>
      </c>
      <c r="M8" s="21">
        <f>IF(R8&lt;&gt;1,0,F8-N(G8))</f>
        <v/>
      </c>
      <c r="N8" s="35">
        <f>IF(OR(R8&lt;&gt;1,M8&lt;=0),"",IF(I8="Yes","",IF(L8&lt;W1,IF(OverdueW1="No","",1),IF(L8&lt;=W1+90,INT((L8-W1)/7)+1,""))))</f>
        <v/>
      </c>
      <c r="O8" s="36">
        <f>IF(ISNUMBER(N8),M8*CollectPct,0)</f>
        <v/>
      </c>
      <c r="P8" s="10">
        <f>IF(R8="","",IF(R8=0,"Not counted",IF(M8&lt;=0,"Paid",IF(I8="Yes","Doubtful (left out)",IF(L8&lt;W1,IF(OverdueW1="No","Overdue (left out)","Overdue → Week 1"),IF(L8&lt;=W1+90,"Week "&amp;N8,"After Week 13"))))))</f>
        <v/>
      </c>
      <c r="Q8" s="10">
        <f>IF(R8="","",IF(R8=0,IF(NOT(ISNUMBER(F8)),"Fix: amount missing",IF(F8&lt;=0,"Fix: amount must be above 0",IF(AND(NOT(ISNUMBER(D8)),NOT(ISNUMBER(H8))),"Fix: add an invoice date or a promised date",IF(AND(D8&lt;&gt;"",NOT(ISNUMBER(D8))),"Fix: invoice date isn't a date",IF(AND(E8&lt;&gt;"",NOT(ISNUMBER(E8))),"Fix: terms must be a number",IF(AND(G8&lt;&gt;"",NOT(ISNUMBER(G8))),"Fix: received must be a number",IF(AND(H8&lt;&gt;"",NOT(ISNUMBER(H8))),"Fix: promised date isn't a date","Fix: received is more than the amount"))))))),IF(AND(C8&lt;&gt;"",ISNUMBER(MATCH(C8,InCats,0))),"OK","Category not on Settings (counted as Other)")))</f>
        <v/>
      </c>
      <c r="R8">
        <f>IF(COUNTA(A8:I8)=0,"",IF(AND(ISNUMBER(F8),F8&gt;0,OR(ISNUMBER(D8),ISNUMBER(H8)),OR(D8="",ISNUMBER(D8)),OR(E8="",ISNUMBER(E8)),OR(G8="",ISNUMBER(G8)),OR(H8="",ISNUMBER(H8))),IF(N(G8)&gt;F8,0,1),0))</f>
        <v/>
      </c>
    </row>
    <row r="9">
      <c r="A9" s="29" t="n"/>
      <c r="B9" s="29" t="n"/>
      <c r="C9" s="29" t="n"/>
      <c r="D9" s="24" t="n"/>
      <c r="E9" s="26" t="n"/>
      <c r="F9" s="34" t="n"/>
      <c r="G9" s="34" t="n"/>
      <c r="H9" s="24" t="n"/>
      <c r="I9" s="29" t="n"/>
      <c r="J9" s="32">
        <f>IF(R9&lt;&gt;1,"",IF(ISNUMBER(D9),INT(D9)+IF(ISNUMBER(E9),INT(E9),DefTerms),""))</f>
        <v/>
      </c>
      <c r="K9" s="35">
        <f>IF(R9&lt;&gt;1,"",IF(ISNUMBER(H9),0,IF(AND(A9&lt;&gt;"",ISNUMBER(MATCH(A9,CustName,0))),IF(ISNUMBER(INDEX(CustLate,MATCH(A9,CustName,0))),INT(INDEX(CustLate,MATCH(A9,CustName,0))),DefLate),DefLate)))</f>
        <v/>
      </c>
      <c r="L9" s="32">
        <f>IF(R9&lt;&gt;1,"",IF(ISNUMBER(H9),INT(H9),J9+K9)+StressDays)</f>
        <v/>
      </c>
      <c r="M9" s="21">
        <f>IF(R9&lt;&gt;1,0,F9-N(G9))</f>
        <v/>
      </c>
      <c r="N9" s="35">
        <f>IF(OR(R9&lt;&gt;1,M9&lt;=0),"",IF(I9="Yes","",IF(L9&lt;W1,IF(OverdueW1="No","",1),IF(L9&lt;=W1+90,INT((L9-W1)/7)+1,""))))</f>
        <v/>
      </c>
      <c r="O9" s="36">
        <f>IF(ISNUMBER(N9),M9*CollectPct,0)</f>
        <v/>
      </c>
      <c r="P9" s="10">
        <f>IF(R9="","",IF(R9=0,"Not counted",IF(M9&lt;=0,"Paid",IF(I9="Yes","Doubtful (left out)",IF(L9&lt;W1,IF(OverdueW1="No","Overdue (left out)","Overdue → Week 1"),IF(L9&lt;=W1+90,"Week "&amp;N9,"After Week 13"))))))</f>
        <v/>
      </c>
      <c r="Q9" s="10">
        <f>IF(R9="","",IF(R9=0,IF(NOT(ISNUMBER(F9)),"Fix: amount missing",IF(F9&lt;=0,"Fix: amount must be above 0",IF(AND(NOT(ISNUMBER(D9)),NOT(ISNUMBER(H9))),"Fix: add an invoice date or a promised date",IF(AND(D9&lt;&gt;"",NOT(ISNUMBER(D9))),"Fix: invoice date isn't a date",IF(AND(E9&lt;&gt;"",NOT(ISNUMBER(E9))),"Fix: terms must be a number",IF(AND(G9&lt;&gt;"",NOT(ISNUMBER(G9))),"Fix: received must be a number",IF(AND(H9&lt;&gt;"",NOT(ISNUMBER(H9))),"Fix: promised date isn't a date","Fix: received is more than the amount"))))))),IF(AND(C9&lt;&gt;"",ISNUMBER(MATCH(C9,InCats,0))),"OK","Category not on Settings (counted as Other)")))</f>
        <v/>
      </c>
      <c r="R9">
        <f>IF(COUNTA(A9:I9)=0,"",IF(AND(ISNUMBER(F9),F9&gt;0,OR(ISNUMBER(D9),ISNUMBER(H9)),OR(D9="",ISNUMBER(D9)),OR(E9="",ISNUMBER(E9)),OR(G9="",ISNUMBER(G9)),OR(H9="",ISNUMBER(H9))),IF(N(G9)&gt;F9,0,1),0))</f>
        <v/>
      </c>
    </row>
    <row r="10">
      <c r="A10" s="29" t="n"/>
      <c r="B10" s="29" t="n"/>
      <c r="C10" s="29" t="n"/>
      <c r="D10" s="24" t="n"/>
      <c r="E10" s="26" t="n"/>
      <c r="F10" s="34" t="n"/>
      <c r="G10" s="34" t="n"/>
      <c r="H10" s="24" t="n"/>
      <c r="I10" s="29" t="n"/>
      <c r="J10" s="32">
        <f>IF(R10&lt;&gt;1,"",IF(ISNUMBER(D10),INT(D10)+IF(ISNUMBER(E10),INT(E10),DefTerms),""))</f>
        <v/>
      </c>
      <c r="K10" s="35">
        <f>IF(R10&lt;&gt;1,"",IF(ISNUMBER(H10),0,IF(AND(A10&lt;&gt;"",ISNUMBER(MATCH(A10,CustName,0))),IF(ISNUMBER(INDEX(CustLate,MATCH(A10,CustName,0))),INT(INDEX(CustLate,MATCH(A10,CustName,0))),DefLate),DefLate)))</f>
        <v/>
      </c>
      <c r="L10" s="32">
        <f>IF(R10&lt;&gt;1,"",IF(ISNUMBER(H10),INT(H10),J10+K10)+StressDays)</f>
        <v/>
      </c>
      <c r="M10" s="21">
        <f>IF(R10&lt;&gt;1,0,F10-N(G10))</f>
        <v/>
      </c>
      <c r="N10" s="35">
        <f>IF(OR(R10&lt;&gt;1,M10&lt;=0),"",IF(I10="Yes","",IF(L10&lt;W1,IF(OverdueW1="No","",1),IF(L10&lt;=W1+90,INT((L10-W1)/7)+1,""))))</f>
        <v/>
      </c>
      <c r="O10" s="36">
        <f>IF(ISNUMBER(N10),M10*CollectPct,0)</f>
        <v/>
      </c>
      <c r="P10" s="10">
        <f>IF(R10="","",IF(R10=0,"Not counted",IF(M10&lt;=0,"Paid",IF(I10="Yes","Doubtful (left out)",IF(L10&lt;W1,IF(OverdueW1="No","Overdue (left out)","Overdue → Week 1"),IF(L10&lt;=W1+90,"Week "&amp;N10,"After Week 13"))))))</f>
        <v/>
      </c>
      <c r="Q10" s="10">
        <f>IF(R10="","",IF(R10=0,IF(NOT(ISNUMBER(F10)),"Fix: amount missing",IF(F10&lt;=0,"Fix: amount must be above 0",IF(AND(NOT(ISNUMBER(D10)),NOT(ISNUMBER(H10))),"Fix: add an invoice date or a promised date",IF(AND(D10&lt;&gt;"",NOT(ISNUMBER(D10))),"Fix: invoice date isn't a date",IF(AND(E10&lt;&gt;"",NOT(ISNUMBER(E10))),"Fix: terms must be a number",IF(AND(G10&lt;&gt;"",NOT(ISNUMBER(G10))),"Fix: received must be a number",IF(AND(H10&lt;&gt;"",NOT(ISNUMBER(H10))),"Fix: promised date isn't a date","Fix: received is more than the amount"))))))),IF(AND(C10&lt;&gt;"",ISNUMBER(MATCH(C10,InCats,0))),"OK","Category not on Settings (counted as Other)")))</f>
        <v/>
      </c>
      <c r="R10">
        <f>IF(COUNTA(A10:I10)=0,"",IF(AND(ISNUMBER(F10),F10&gt;0,OR(ISNUMBER(D10),ISNUMBER(H10)),OR(D10="",ISNUMBER(D10)),OR(E10="",ISNUMBER(E10)),OR(G10="",ISNUMBER(G10)),OR(H10="",ISNUMBER(H10))),IF(N(G10)&gt;F10,0,1),0))</f>
        <v/>
      </c>
    </row>
    <row r="11">
      <c r="A11" s="29" t="n"/>
      <c r="B11" s="29" t="n"/>
      <c r="C11" s="29" t="n"/>
      <c r="D11" s="24" t="n"/>
      <c r="E11" s="26" t="n"/>
      <c r="F11" s="34" t="n"/>
      <c r="G11" s="34" t="n"/>
      <c r="H11" s="24" t="n"/>
      <c r="I11" s="29" t="n"/>
      <c r="J11" s="32">
        <f>IF(R11&lt;&gt;1,"",IF(ISNUMBER(D11),INT(D11)+IF(ISNUMBER(E11),INT(E11),DefTerms),""))</f>
        <v/>
      </c>
      <c r="K11" s="35">
        <f>IF(R11&lt;&gt;1,"",IF(ISNUMBER(H11),0,IF(AND(A11&lt;&gt;"",ISNUMBER(MATCH(A11,CustName,0))),IF(ISNUMBER(INDEX(CustLate,MATCH(A11,CustName,0))),INT(INDEX(CustLate,MATCH(A11,CustName,0))),DefLate),DefLate)))</f>
        <v/>
      </c>
      <c r="L11" s="32">
        <f>IF(R11&lt;&gt;1,"",IF(ISNUMBER(H11),INT(H11),J11+K11)+StressDays)</f>
        <v/>
      </c>
      <c r="M11" s="21">
        <f>IF(R11&lt;&gt;1,0,F11-N(G11))</f>
        <v/>
      </c>
      <c r="N11" s="35">
        <f>IF(OR(R11&lt;&gt;1,M11&lt;=0),"",IF(I11="Yes","",IF(L11&lt;W1,IF(OverdueW1="No","",1),IF(L11&lt;=W1+90,INT((L11-W1)/7)+1,""))))</f>
        <v/>
      </c>
      <c r="O11" s="36">
        <f>IF(ISNUMBER(N11),M11*CollectPct,0)</f>
        <v/>
      </c>
      <c r="P11" s="10">
        <f>IF(R11="","",IF(R11=0,"Not counted",IF(M11&lt;=0,"Paid",IF(I11="Yes","Doubtful (left out)",IF(L11&lt;W1,IF(OverdueW1="No","Overdue (left out)","Overdue → Week 1"),IF(L11&lt;=W1+90,"Week "&amp;N11,"After Week 13"))))))</f>
        <v/>
      </c>
      <c r="Q11" s="10">
        <f>IF(R11="","",IF(R11=0,IF(NOT(ISNUMBER(F11)),"Fix: amount missing",IF(F11&lt;=0,"Fix: amount must be above 0",IF(AND(NOT(ISNUMBER(D11)),NOT(ISNUMBER(H11))),"Fix: add an invoice date or a promised date",IF(AND(D11&lt;&gt;"",NOT(ISNUMBER(D11))),"Fix: invoice date isn't a date",IF(AND(E11&lt;&gt;"",NOT(ISNUMBER(E11))),"Fix: terms must be a number",IF(AND(G11&lt;&gt;"",NOT(ISNUMBER(G11))),"Fix: received must be a number",IF(AND(H11&lt;&gt;"",NOT(ISNUMBER(H11))),"Fix: promised date isn't a date","Fix: received is more than the amount"))))))),IF(AND(C11&lt;&gt;"",ISNUMBER(MATCH(C11,InCats,0))),"OK","Category not on Settings (counted as Other)")))</f>
        <v/>
      </c>
      <c r="R11">
        <f>IF(COUNTA(A11:I11)=0,"",IF(AND(ISNUMBER(F11),F11&gt;0,OR(ISNUMBER(D11),ISNUMBER(H11)),OR(D11="",ISNUMBER(D11)),OR(E11="",ISNUMBER(E11)),OR(G11="",ISNUMBER(G11)),OR(H11="",ISNUMBER(H11))),IF(N(G11)&gt;F11,0,1),0))</f>
        <v/>
      </c>
    </row>
    <row r="12">
      <c r="A12" s="29" t="n"/>
      <c r="B12" s="29" t="n"/>
      <c r="C12" s="29" t="n"/>
      <c r="D12" s="24" t="n"/>
      <c r="E12" s="26" t="n"/>
      <c r="F12" s="34" t="n"/>
      <c r="G12" s="34" t="n"/>
      <c r="H12" s="24" t="n"/>
      <c r="I12" s="29" t="n"/>
      <c r="J12" s="32">
        <f>IF(R12&lt;&gt;1,"",IF(ISNUMBER(D12),INT(D12)+IF(ISNUMBER(E12),INT(E12),DefTerms),""))</f>
        <v/>
      </c>
      <c r="K12" s="35">
        <f>IF(R12&lt;&gt;1,"",IF(ISNUMBER(H12),0,IF(AND(A12&lt;&gt;"",ISNUMBER(MATCH(A12,CustName,0))),IF(ISNUMBER(INDEX(CustLate,MATCH(A12,CustName,0))),INT(INDEX(CustLate,MATCH(A12,CustName,0))),DefLate),DefLate)))</f>
        <v/>
      </c>
      <c r="L12" s="32">
        <f>IF(R12&lt;&gt;1,"",IF(ISNUMBER(H12),INT(H12),J12+K12)+StressDays)</f>
        <v/>
      </c>
      <c r="M12" s="21">
        <f>IF(R12&lt;&gt;1,0,F12-N(G12))</f>
        <v/>
      </c>
      <c r="N12" s="35">
        <f>IF(OR(R12&lt;&gt;1,M12&lt;=0),"",IF(I12="Yes","",IF(L12&lt;W1,IF(OverdueW1="No","",1),IF(L12&lt;=W1+90,INT((L12-W1)/7)+1,""))))</f>
        <v/>
      </c>
      <c r="O12" s="36">
        <f>IF(ISNUMBER(N12),M12*CollectPct,0)</f>
        <v/>
      </c>
      <c r="P12" s="10">
        <f>IF(R12="","",IF(R12=0,"Not counted",IF(M12&lt;=0,"Paid",IF(I12="Yes","Doubtful (left out)",IF(L12&lt;W1,IF(OverdueW1="No","Overdue (left out)","Overdue → Week 1"),IF(L12&lt;=W1+90,"Week "&amp;N12,"After Week 13"))))))</f>
        <v/>
      </c>
      <c r="Q12" s="10">
        <f>IF(R12="","",IF(R12=0,IF(NOT(ISNUMBER(F12)),"Fix: amount missing",IF(F12&lt;=0,"Fix: amount must be above 0",IF(AND(NOT(ISNUMBER(D12)),NOT(ISNUMBER(H12))),"Fix: add an invoice date or a promised date",IF(AND(D12&lt;&gt;"",NOT(ISNUMBER(D12))),"Fix: invoice date isn't a date",IF(AND(E12&lt;&gt;"",NOT(ISNUMBER(E12))),"Fix: terms must be a number",IF(AND(G12&lt;&gt;"",NOT(ISNUMBER(G12))),"Fix: received must be a number",IF(AND(H12&lt;&gt;"",NOT(ISNUMBER(H12))),"Fix: promised date isn't a date","Fix: received is more than the amount"))))))),IF(AND(C12&lt;&gt;"",ISNUMBER(MATCH(C12,InCats,0))),"OK","Category not on Settings (counted as Other)")))</f>
        <v/>
      </c>
      <c r="R12">
        <f>IF(COUNTA(A12:I12)=0,"",IF(AND(ISNUMBER(F12),F12&gt;0,OR(ISNUMBER(D12),ISNUMBER(H12)),OR(D12="",ISNUMBER(D12)),OR(E12="",ISNUMBER(E12)),OR(G12="",ISNUMBER(G12)),OR(H12="",ISNUMBER(H12))),IF(N(G12)&gt;F12,0,1),0))</f>
        <v/>
      </c>
    </row>
    <row r="13">
      <c r="A13" s="29" t="n"/>
      <c r="B13" s="29" t="n"/>
      <c r="C13" s="29" t="n"/>
      <c r="D13" s="24" t="n"/>
      <c r="E13" s="26" t="n"/>
      <c r="F13" s="34" t="n"/>
      <c r="G13" s="34" t="n"/>
      <c r="H13" s="24" t="n"/>
      <c r="I13" s="29" t="n"/>
      <c r="J13" s="32">
        <f>IF(R13&lt;&gt;1,"",IF(ISNUMBER(D13),INT(D13)+IF(ISNUMBER(E13),INT(E13),DefTerms),""))</f>
        <v/>
      </c>
      <c r="K13" s="35">
        <f>IF(R13&lt;&gt;1,"",IF(ISNUMBER(H13),0,IF(AND(A13&lt;&gt;"",ISNUMBER(MATCH(A13,CustName,0))),IF(ISNUMBER(INDEX(CustLate,MATCH(A13,CustName,0))),INT(INDEX(CustLate,MATCH(A13,CustName,0))),DefLate),DefLate)))</f>
        <v/>
      </c>
      <c r="L13" s="32">
        <f>IF(R13&lt;&gt;1,"",IF(ISNUMBER(H13),INT(H13),J13+K13)+StressDays)</f>
        <v/>
      </c>
      <c r="M13" s="21">
        <f>IF(R13&lt;&gt;1,0,F13-N(G13))</f>
        <v/>
      </c>
      <c r="N13" s="35">
        <f>IF(OR(R13&lt;&gt;1,M13&lt;=0),"",IF(I13="Yes","",IF(L13&lt;W1,IF(OverdueW1="No","",1),IF(L13&lt;=W1+90,INT((L13-W1)/7)+1,""))))</f>
        <v/>
      </c>
      <c r="O13" s="36">
        <f>IF(ISNUMBER(N13),M13*CollectPct,0)</f>
        <v/>
      </c>
      <c r="P13" s="10">
        <f>IF(R13="","",IF(R13=0,"Not counted",IF(M13&lt;=0,"Paid",IF(I13="Yes","Doubtful (left out)",IF(L13&lt;W1,IF(OverdueW1="No","Overdue (left out)","Overdue → Week 1"),IF(L13&lt;=W1+90,"Week "&amp;N13,"After Week 13"))))))</f>
        <v/>
      </c>
      <c r="Q13" s="10">
        <f>IF(R13="","",IF(R13=0,IF(NOT(ISNUMBER(F13)),"Fix: amount missing",IF(F13&lt;=0,"Fix: amount must be above 0",IF(AND(NOT(ISNUMBER(D13)),NOT(ISNUMBER(H13))),"Fix: add an invoice date or a promised date",IF(AND(D13&lt;&gt;"",NOT(ISNUMBER(D13))),"Fix: invoice date isn't a date",IF(AND(E13&lt;&gt;"",NOT(ISNUMBER(E13))),"Fix: terms must be a number",IF(AND(G13&lt;&gt;"",NOT(ISNUMBER(G13))),"Fix: received must be a number",IF(AND(H13&lt;&gt;"",NOT(ISNUMBER(H13))),"Fix: promised date isn't a date","Fix: received is more than the amount"))))))),IF(AND(C13&lt;&gt;"",ISNUMBER(MATCH(C13,InCats,0))),"OK","Category not on Settings (counted as Other)")))</f>
        <v/>
      </c>
      <c r="R13">
        <f>IF(COUNTA(A13:I13)=0,"",IF(AND(ISNUMBER(F13),F13&gt;0,OR(ISNUMBER(D13),ISNUMBER(H13)),OR(D13="",ISNUMBER(D13)),OR(E13="",ISNUMBER(E13)),OR(G13="",ISNUMBER(G13)),OR(H13="",ISNUMBER(H13))),IF(N(G13)&gt;F13,0,1),0))</f>
        <v/>
      </c>
    </row>
    <row r="14">
      <c r="A14" s="29" t="n"/>
      <c r="B14" s="29" t="n"/>
      <c r="C14" s="29" t="n"/>
      <c r="D14" s="24" t="n"/>
      <c r="E14" s="26" t="n"/>
      <c r="F14" s="34" t="n"/>
      <c r="G14" s="34" t="n"/>
      <c r="H14" s="24" t="n"/>
      <c r="I14" s="29" t="n"/>
      <c r="J14" s="32">
        <f>IF(R14&lt;&gt;1,"",IF(ISNUMBER(D14),INT(D14)+IF(ISNUMBER(E14),INT(E14),DefTerms),""))</f>
        <v/>
      </c>
      <c r="K14" s="35">
        <f>IF(R14&lt;&gt;1,"",IF(ISNUMBER(H14),0,IF(AND(A14&lt;&gt;"",ISNUMBER(MATCH(A14,CustName,0))),IF(ISNUMBER(INDEX(CustLate,MATCH(A14,CustName,0))),INT(INDEX(CustLate,MATCH(A14,CustName,0))),DefLate),DefLate)))</f>
        <v/>
      </c>
      <c r="L14" s="32">
        <f>IF(R14&lt;&gt;1,"",IF(ISNUMBER(H14),INT(H14),J14+K14)+StressDays)</f>
        <v/>
      </c>
      <c r="M14" s="21">
        <f>IF(R14&lt;&gt;1,0,F14-N(G14))</f>
        <v/>
      </c>
      <c r="N14" s="35">
        <f>IF(OR(R14&lt;&gt;1,M14&lt;=0),"",IF(I14="Yes","",IF(L14&lt;W1,IF(OverdueW1="No","",1),IF(L14&lt;=W1+90,INT((L14-W1)/7)+1,""))))</f>
        <v/>
      </c>
      <c r="O14" s="36">
        <f>IF(ISNUMBER(N14),M14*CollectPct,0)</f>
        <v/>
      </c>
      <c r="P14" s="10">
        <f>IF(R14="","",IF(R14=0,"Not counted",IF(M14&lt;=0,"Paid",IF(I14="Yes","Doubtful (left out)",IF(L14&lt;W1,IF(OverdueW1="No","Overdue (left out)","Overdue → Week 1"),IF(L14&lt;=W1+90,"Week "&amp;N14,"After Week 13"))))))</f>
        <v/>
      </c>
      <c r="Q14" s="10">
        <f>IF(R14="","",IF(R14=0,IF(NOT(ISNUMBER(F14)),"Fix: amount missing",IF(F14&lt;=0,"Fix: amount must be above 0",IF(AND(NOT(ISNUMBER(D14)),NOT(ISNUMBER(H14))),"Fix: add an invoice date or a promised date",IF(AND(D14&lt;&gt;"",NOT(ISNUMBER(D14))),"Fix: invoice date isn't a date",IF(AND(E14&lt;&gt;"",NOT(ISNUMBER(E14))),"Fix: terms must be a number",IF(AND(G14&lt;&gt;"",NOT(ISNUMBER(G14))),"Fix: received must be a number",IF(AND(H14&lt;&gt;"",NOT(ISNUMBER(H14))),"Fix: promised date isn't a date","Fix: received is more than the amount"))))))),IF(AND(C14&lt;&gt;"",ISNUMBER(MATCH(C14,InCats,0))),"OK","Category not on Settings (counted as Other)")))</f>
        <v/>
      </c>
      <c r="R14">
        <f>IF(COUNTA(A14:I14)=0,"",IF(AND(ISNUMBER(F14),F14&gt;0,OR(ISNUMBER(D14),ISNUMBER(H14)),OR(D14="",ISNUMBER(D14)),OR(E14="",ISNUMBER(E14)),OR(G14="",ISNUMBER(G14)),OR(H14="",ISNUMBER(H14))),IF(N(G14)&gt;F14,0,1),0))</f>
        <v/>
      </c>
    </row>
    <row r="15">
      <c r="A15" s="29" t="n"/>
      <c r="B15" s="29" t="n"/>
      <c r="C15" s="29" t="n"/>
      <c r="D15" s="24" t="n"/>
      <c r="E15" s="26" t="n"/>
      <c r="F15" s="34" t="n"/>
      <c r="G15" s="34" t="n"/>
      <c r="H15" s="24" t="n"/>
      <c r="I15" s="29" t="n"/>
      <c r="J15" s="32">
        <f>IF(R15&lt;&gt;1,"",IF(ISNUMBER(D15),INT(D15)+IF(ISNUMBER(E15),INT(E15),DefTerms),""))</f>
        <v/>
      </c>
      <c r="K15" s="35">
        <f>IF(R15&lt;&gt;1,"",IF(ISNUMBER(H15),0,IF(AND(A15&lt;&gt;"",ISNUMBER(MATCH(A15,CustName,0))),IF(ISNUMBER(INDEX(CustLate,MATCH(A15,CustName,0))),INT(INDEX(CustLate,MATCH(A15,CustName,0))),DefLate),DefLate)))</f>
        <v/>
      </c>
      <c r="L15" s="32">
        <f>IF(R15&lt;&gt;1,"",IF(ISNUMBER(H15),INT(H15),J15+K15)+StressDays)</f>
        <v/>
      </c>
      <c r="M15" s="21">
        <f>IF(R15&lt;&gt;1,0,F15-N(G15))</f>
        <v/>
      </c>
      <c r="N15" s="35">
        <f>IF(OR(R15&lt;&gt;1,M15&lt;=0),"",IF(I15="Yes","",IF(L15&lt;W1,IF(OverdueW1="No","",1),IF(L15&lt;=W1+90,INT((L15-W1)/7)+1,""))))</f>
        <v/>
      </c>
      <c r="O15" s="36">
        <f>IF(ISNUMBER(N15),M15*CollectPct,0)</f>
        <v/>
      </c>
      <c r="P15" s="10">
        <f>IF(R15="","",IF(R15=0,"Not counted",IF(M15&lt;=0,"Paid",IF(I15="Yes","Doubtful (left out)",IF(L15&lt;W1,IF(OverdueW1="No","Overdue (left out)","Overdue → Week 1"),IF(L15&lt;=W1+90,"Week "&amp;N15,"After Week 13"))))))</f>
        <v/>
      </c>
      <c r="Q15" s="10">
        <f>IF(R15="","",IF(R15=0,IF(NOT(ISNUMBER(F15)),"Fix: amount missing",IF(F15&lt;=0,"Fix: amount must be above 0",IF(AND(NOT(ISNUMBER(D15)),NOT(ISNUMBER(H15))),"Fix: add an invoice date or a promised date",IF(AND(D15&lt;&gt;"",NOT(ISNUMBER(D15))),"Fix: invoice date isn't a date",IF(AND(E15&lt;&gt;"",NOT(ISNUMBER(E15))),"Fix: terms must be a number",IF(AND(G15&lt;&gt;"",NOT(ISNUMBER(G15))),"Fix: received must be a number",IF(AND(H15&lt;&gt;"",NOT(ISNUMBER(H15))),"Fix: promised date isn't a date","Fix: received is more than the amount"))))))),IF(AND(C15&lt;&gt;"",ISNUMBER(MATCH(C15,InCats,0))),"OK","Category not on Settings (counted as Other)")))</f>
        <v/>
      </c>
      <c r="R15">
        <f>IF(COUNTA(A15:I15)=0,"",IF(AND(ISNUMBER(F15),F15&gt;0,OR(ISNUMBER(D15),ISNUMBER(H15)),OR(D15="",ISNUMBER(D15)),OR(E15="",ISNUMBER(E15)),OR(G15="",ISNUMBER(G15)),OR(H15="",ISNUMBER(H15))),IF(N(G15)&gt;F15,0,1),0))</f>
        <v/>
      </c>
    </row>
    <row r="16">
      <c r="A16" s="29" t="n"/>
      <c r="B16" s="29" t="n"/>
      <c r="C16" s="29" t="n"/>
      <c r="D16" s="24" t="n"/>
      <c r="E16" s="26" t="n"/>
      <c r="F16" s="34" t="n"/>
      <c r="G16" s="34" t="n"/>
      <c r="H16" s="24" t="n"/>
      <c r="I16" s="29" t="n"/>
      <c r="J16" s="32">
        <f>IF(R16&lt;&gt;1,"",IF(ISNUMBER(D16),INT(D16)+IF(ISNUMBER(E16),INT(E16),DefTerms),""))</f>
        <v/>
      </c>
      <c r="K16" s="35">
        <f>IF(R16&lt;&gt;1,"",IF(ISNUMBER(H16),0,IF(AND(A16&lt;&gt;"",ISNUMBER(MATCH(A16,CustName,0))),IF(ISNUMBER(INDEX(CustLate,MATCH(A16,CustName,0))),INT(INDEX(CustLate,MATCH(A16,CustName,0))),DefLate),DefLate)))</f>
        <v/>
      </c>
      <c r="L16" s="32">
        <f>IF(R16&lt;&gt;1,"",IF(ISNUMBER(H16),INT(H16),J16+K16)+StressDays)</f>
        <v/>
      </c>
      <c r="M16" s="21">
        <f>IF(R16&lt;&gt;1,0,F16-N(G16))</f>
        <v/>
      </c>
      <c r="N16" s="35">
        <f>IF(OR(R16&lt;&gt;1,M16&lt;=0),"",IF(I16="Yes","",IF(L16&lt;W1,IF(OverdueW1="No","",1),IF(L16&lt;=W1+90,INT((L16-W1)/7)+1,""))))</f>
        <v/>
      </c>
      <c r="O16" s="36">
        <f>IF(ISNUMBER(N16),M16*CollectPct,0)</f>
        <v/>
      </c>
      <c r="P16" s="10">
        <f>IF(R16="","",IF(R16=0,"Not counted",IF(M16&lt;=0,"Paid",IF(I16="Yes","Doubtful (left out)",IF(L16&lt;W1,IF(OverdueW1="No","Overdue (left out)","Overdue → Week 1"),IF(L16&lt;=W1+90,"Week "&amp;N16,"After Week 13"))))))</f>
        <v/>
      </c>
      <c r="Q16" s="10">
        <f>IF(R16="","",IF(R16=0,IF(NOT(ISNUMBER(F16)),"Fix: amount missing",IF(F16&lt;=0,"Fix: amount must be above 0",IF(AND(NOT(ISNUMBER(D16)),NOT(ISNUMBER(H16))),"Fix: add an invoice date or a promised date",IF(AND(D16&lt;&gt;"",NOT(ISNUMBER(D16))),"Fix: invoice date isn't a date",IF(AND(E16&lt;&gt;"",NOT(ISNUMBER(E16))),"Fix: terms must be a number",IF(AND(G16&lt;&gt;"",NOT(ISNUMBER(G16))),"Fix: received must be a number",IF(AND(H16&lt;&gt;"",NOT(ISNUMBER(H16))),"Fix: promised date isn't a date","Fix: received is more than the amount"))))))),IF(AND(C16&lt;&gt;"",ISNUMBER(MATCH(C16,InCats,0))),"OK","Category not on Settings (counted as Other)")))</f>
        <v/>
      </c>
      <c r="R16">
        <f>IF(COUNTA(A16:I16)=0,"",IF(AND(ISNUMBER(F16),F16&gt;0,OR(ISNUMBER(D16),ISNUMBER(H16)),OR(D16="",ISNUMBER(D16)),OR(E16="",ISNUMBER(E16)),OR(G16="",ISNUMBER(G16)),OR(H16="",ISNUMBER(H16))),IF(N(G16)&gt;F16,0,1),0))</f>
        <v/>
      </c>
    </row>
    <row r="17">
      <c r="A17" s="29" t="n"/>
      <c r="B17" s="29" t="n"/>
      <c r="C17" s="29" t="n"/>
      <c r="D17" s="24" t="n"/>
      <c r="E17" s="26" t="n"/>
      <c r="F17" s="34" t="n"/>
      <c r="G17" s="34" t="n"/>
      <c r="H17" s="24" t="n"/>
      <c r="I17" s="29" t="n"/>
      <c r="J17" s="32">
        <f>IF(R17&lt;&gt;1,"",IF(ISNUMBER(D17),INT(D17)+IF(ISNUMBER(E17),INT(E17),DefTerms),""))</f>
        <v/>
      </c>
      <c r="K17" s="35">
        <f>IF(R17&lt;&gt;1,"",IF(ISNUMBER(H17),0,IF(AND(A17&lt;&gt;"",ISNUMBER(MATCH(A17,CustName,0))),IF(ISNUMBER(INDEX(CustLate,MATCH(A17,CustName,0))),INT(INDEX(CustLate,MATCH(A17,CustName,0))),DefLate),DefLate)))</f>
        <v/>
      </c>
      <c r="L17" s="32">
        <f>IF(R17&lt;&gt;1,"",IF(ISNUMBER(H17),INT(H17),J17+K17)+StressDays)</f>
        <v/>
      </c>
      <c r="M17" s="21">
        <f>IF(R17&lt;&gt;1,0,F17-N(G17))</f>
        <v/>
      </c>
      <c r="N17" s="35">
        <f>IF(OR(R17&lt;&gt;1,M17&lt;=0),"",IF(I17="Yes","",IF(L17&lt;W1,IF(OverdueW1="No","",1),IF(L17&lt;=W1+90,INT((L17-W1)/7)+1,""))))</f>
        <v/>
      </c>
      <c r="O17" s="36">
        <f>IF(ISNUMBER(N17),M17*CollectPct,0)</f>
        <v/>
      </c>
      <c r="P17" s="10">
        <f>IF(R17="","",IF(R17=0,"Not counted",IF(M17&lt;=0,"Paid",IF(I17="Yes","Doubtful (left out)",IF(L17&lt;W1,IF(OverdueW1="No","Overdue (left out)","Overdue → Week 1"),IF(L17&lt;=W1+90,"Week "&amp;N17,"After Week 13"))))))</f>
        <v/>
      </c>
      <c r="Q17" s="10">
        <f>IF(R17="","",IF(R17=0,IF(NOT(ISNUMBER(F17)),"Fix: amount missing",IF(F17&lt;=0,"Fix: amount must be above 0",IF(AND(NOT(ISNUMBER(D17)),NOT(ISNUMBER(H17))),"Fix: add an invoice date or a promised date",IF(AND(D17&lt;&gt;"",NOT(ISNUMBER(D17))),"Fix: invoice date isn't a date",IF(AND(E17&lt;&gt;"",NOT(ISNUMBER(E17))),"Fix: terms must be a number",IF(AND(G17&lt;&gt;"",NOT(ISNUMBER(G17))),"Fix: received must be a number",IF(AND(H17&lt;&gt;"",NOT(ISNUMBER(H17))),"Fix: promised date isn't a date","Fix: received is more than the amount"))))))),IF(AND(C17&lt;&gt;"",ISNUMBER(MATCH(C17,InCats,0))),"OK","Category not on Settings (counted as Other)")))</f>
        <v/>
      </c>
      <c r="R17">
        <f>IF(COUNTA(A17:I17)=0,"",IF(AND(ISNUMBER(F17),F17&gt;0,OR(ISNUMBER(D17),ISNUMBER(H17)),OR(D17="",ISNUMBER(D17)),OR(E17="",ISNUMBER(E17)),OR(G17="",ISNUMBER(G17)),OR(H17="",ISNUMBER(H17))),IF(N(G17)&gt;F17,0,1),0))</f>
        <v/>
      </c>
    </row>
    <row r="18">
      <c r="A18" s="29" t="n"/>
      <c r="B18" s="29" t="n"/>
      <c r="C18" s="29" t="n"/>
      <c r="D18" s="24" t="n"/>
      <c r="E18" s="26" t="n"/>
      <c r="F18" s="34" t="n"/>
      <c r="G18" s="34" t="n"/>
      <c r="H18" s="24" t="n"/>
      <c r="I18" s="29" t="n"/>
      <c r="J18" s="32">
        <f>IF(R18&lt;&gt;1,"",IF(ISNUMBER(D18),INT(D18)+IF(ISNUMBER(E18),INT(E18),DefTerms),""))</f>
        <v/>
      </c>
      <c r="K18" s="35">
        <f>IF(R18&lt;&gt;1,"",IF(ISNUMBER(H18),0,IF(AND(A18&lt;&gt;"",ISNUMBER(MATCH(A18,CustName,0))),IF(ISNUMBER(INDEX(CustLate,MATCH(A18,CustName,0))),INT(INDEX(CustLate,MATCH(A18,CustName,0))),DefLate),DefLate)))</f>
        <v/>
      </c>
      <c r="L18" s="32">
        <f>IF(R18&lt;&gt;1,"",IF(ISNUMBER(H18),INT(H18),J18+K18)+StressDays)</f>
        <v/>
      </c>
      <c r="M18" s="21">
        <f>IF(R18&lt;&gt;1,0,F18-N(G18))</f>
        <v/>
      </c>
      <c r="N18" s="35">
        <f>IF(OR(R18&lt;&gt;1,M18&lt;=0),"",IF(I18="Yes","",IF(L18&lt;W1,IF(OverdueW1="No","",1),IF(L18&lt;=W1+90,INT((L18-W1)/7)+1,""))))</f>
        <v/>
      </c>
      <c r="O18" s="36">
        <f>IF(ISNUMBER(N18),M18*CollectPct,0)</f>
        <v/>
      </c>
      <c r="P18" s="10">
        <f>IF(R18="","",IF(R18=0,"Not counted",IF(M18&lt;=0,"Paid",IF(I18="Yes","Doubtful (left out)",IF(L18&lt;W1,IF(OverdueW1="No","Overdue (left out)","Overdue → Week 1"),IF(L18&lt;=W1+90,"Week "&amp;N18,"After Week 13"))))))</f>
        <v/>
      </c>
      <c r="Q18" s="10">
        <f>IF(R18="","",IF(R18=0,IF(NOT(ISNUMBER(F18)),"Fix: amount missing",IF(F18&lt;=0,"Fix: amount must be above 0",IF(AND(NOT(ISNUMBER(D18)),NOT(ISNUMBER(H18))),"Fix: add an invoice date or a promised date",IF(AND(D18&lt;&gt;"",NOT(ISNUMBER(D18))),"Fix: invoice date isn't a date",IF(AND(E18&lt;&gt;"",NOT(ISNUMBER(E18))),"Fix: terms must be a number",IF(AND(G18&lt;&gt;"",NOT(ISNUMBER(G18))),"Fix: received must be a number",IF(AND(H18&lt;&gt;"",NOT(ISNUMBER(H18))),"Fix: promised date isn't a date","Fix: received is more than the amount"))))))),IF(AND(C18&lt;&gt;"",ISNUMBER(MATCH(C18,InCats,0))),"OK","Category not on Settings (counted as Other)")))</f>
        <v/>
      </c>
      <c r="R18">
        <f>IF(COUNTA(A18:I18)=0,"",IF(AND(ISNUMBER(F18),F18&gt;0,OR(ISNUMBER(D18),ISNUMBER(H18)),OR(D18="",ISNUMBER(D18)),OR(E18="",ISNUMBER(E18)),OR(G18="",ISNUMBER(G18)),OR(H18="",ISNUMBER(H18))),IF(N(G18)&gt;F18,0,1),0))</f>
        <v/>
      </c>
    </row>
    <row r="19">
      <c r="A19" s="29" t="n"/>
      <c r="B19" s="29" t="n"/>
      <c r="C19" s="29" t="n"/>
      <c r="D19" s="24" t="n"/>
      <c r="E19" s="26" t="n"/>
      <c r="F19" s="34" t="n"/>
      <c r="G19" s="34" t="n"/>
      <c r="H19" s="24" t="n"/>
      <c r="I19" s="29" t="n"/>
      <c r="J19" s="32">
        <f>IF(R19&lt;&gt;1,"",IF(ISNUMBER(D19),INT(D19)+IF(ISNUMBER(E19),INT(E19),DefTerms),""))</f>
        <v/>
      </c>
      <c r="K19" s="35">
        <f>IF(R19&lt;&gt;1,"",IF(ISNUMBER(H19),0,IF(AND(A19&lt;&gt;"",ISNUMBER(MATCH(A19,CustName,0))),IF(ISNUMBER(INDEX(CustLate,MATCH(A19,CustName,0))),INT(INDEX(CustLate,MATCH(A19,CustName,0))),DefLate),DefLate)))</f>
        <v/>
      </c>
      <c r="L19" s="32">
        <f>IF(R19&lt;&gt;1,"",IF(ISNUMBER(H19),INT(H19),J19+K19)+StressDays)</f>
        <v/>
      </c>
      <c r="M19" s="21">
        <f>IF(R19&lt;&gt;1,0,F19-N(G19))</f>
        <v/>
      </c>
      <c r="N19" s="35">
        <f>IF(OR(R19&lt;&gt;1,M19&lt;=0),"",IF(I19="Yes","",IF(L19&lt;W1,IF(OverdueW1="No","",1),IF(L19&lt;=W1+90,INT((L19-W1)/7)+1,""))))</f>
        <v/>
      </c>
      <c r="O19" s="36">
        <f>IF(ISNUMBER(N19),M19*CollectPct,0)</f>
        <v/>
      </c>
      <c r="P19" s="10">
        <f>IF(R19="","",IF(R19=0,"Not counted",IF(M19&lt;=0,"Paid",IF(I19="Yes","Doubtful (left out)",IF(L19&lt;W1,IF(OverdueW1="No","Overdue (left out)","Overdue → Week 1"),IF(L19&lt;=W1+90,"Week "&amp;N19,"After Week 13"))))))</f>
        <v/>
      </c>
      <c r="Q19" s="10">
        <f>IF(R19="","",IF(R19=0,IF(NOT(ISNUMBER(F19)),"Fix: amount missing",IF(F19&lt;=0,"Fix: amount must be above 0",IF(AND(NOT(ISNUMBER(D19)),NOT(ISNUMBER(H19))),"Fix: add an invoice date or a promised date",IF(AND(D19&lt;&gt;"",NOT(ISNUMBER(D19))),"Fix: invoice date isn't a date",IF(AND(E19&lt;&gt;"",NOT(ISNUMBER(E19))),"Fix: terms must be a number",IF(AND(G19&lt;&gt;"",NOT(ISNUMBER(G19))),"Fix: received must be a number",IF(AND(H19&lt;&gt;"",NOT(ISNUMBER(H19))),"Fix: promised date isn't a date","Fix: received is more than the amount"))))))),IF(AND(C19&lt;&gt;"",ISNUMBER(MATCH(C19,InCats,0))),"OK","Category not on Settings (counted as Other)")))</f>
        <v/>
      </c>
      <c r="R19">
        <f>IF(COUNTA(A19:I19)=0,"",IF(AND(ISNUMBER(F19),F19&gt;0,OR(ISNUMBER(D19),ISNUMBER(H19)),OR(D19="",ISNUMBER(D19)),OR(E19="",ISNUMBER(E19)),OR(G19="",ISNUMBER(G19)),OR(H19="",ISNUMBER(H19))),IF(N(G19)&gt;F19,0,1),0))</f>
        <v/>
      </c>
    </row>
    <row r="20">
      <c r="A20" s="29" t="n"/>
      <c r="B20" s="29" t="n"/>
      <c r="C20" s="29" t="n"/>
      <c r="D20" s="24" t="n"/>
      <c r="E20" s="26" t="n"/>
      <c r="F20" s="34" t="n"/>
      <c r="G20" s="34" t="n"/>
      <c r="H20" s="24" t="n"/>
      <c r="I20" s="29" t="n"/>
      <c r="J20" s="32">
        <f>IF(R20&lt;&gt;1,"",IF(ISNUMBER(D20),INT(D20)+IF(ISNUMBER(E20),INT(E20),DefTerms),""))</f>
        <v/>
      </c>
      <c r="K20" s="35">
        <f>IF(R20&lt;&gt;1,"",IF(ISNUMBER(H20),0,IF(AND(A20&lt;&gt;"",ISNUMBER(MATCH(A20,CustName,0))),IF(ISNUMBER(INDEX(CustLate,MATCH(A20,CustName,0))),INT(INDEX(CustLate,MATCH(A20,CustName,0))),DefLate),DefLate)))</f>
        <v/>
      </c>
      <c r="L20" s="32">
        <f>IF(R20&lt;&gt;1,"",IF(ISNUMBER(H20),INT(H20),J20+K20)+StressDays)</f>
        <v/>
      </c>
      <c r="M20" s="21">
        <f>IF(R20&lt;&gt;1,0,F20-N(G20))</f>
        <v/>
      </c>
      <c r="N20" s="35">
        <f>IF(OR(R20&lt;&gt;1,M20&lt;=0),"",IF(I20="Yes","",IF(L20&lt;W1,IF(OverdueW1="No","",1),IF(L20&lt;=W1+90,INT((L20-W1)/7)+1,""))))</f>
        <v/>
      </c>
      <c r="O20" s="36">
        <f>IF(ISNUMBER(N20),M20*CollectPct,0)</f>
        <v/>
      </c>
      <c r="P20" s="10">
        <f>IF(R20="","",IF(R20=0,"Not counted",IF(M20&lt;=0,"Paid",IF(I20="Yes","Doubtful (left out)",IF(L20&lt;W1,IF(OverdueW1="No","Overdue (left out)","Overdue → Week 1"),IF(L20&lt;=W1+90,"Week "&amp;N20,"After Week 13"))))))</f>
        <v/>
      </c>
      <c r="Q20" s="10">
        <f>IF(R20="","",IF(R20=0,IF(NOT(ISNUMBER(F20)),"Fix: amount missing",IF(F20&lt;=0,"Fix: amount must be above 0",IF(AND(NOT(ISNUMBER(D20)),NOT(ISNUMBER(H20))),"Fix: add an invoice date or a promised date",IF(AND(D20&lt;&gt;"",NOT(ISNUMBER(D20))),"Fix: invoice date isn't a date",IF(AND(E20&lt;&gt;"",NOT(ISNUMBER(E20))),"Fix: terms must be a number",IF(AND(G20&lt;&gt;"",NOT(ISNUMBER(G20))),"Fix: received must be a number",IF(AND(H20&lt;&gt;"",NOT(ISNUMBER(H20))),"Fix: promised date isn't a date","Fix: received is more than the amount"))))))),IF(AND(C20&lt;&gt;"",ISNUMBER(MATCH(C20,InCats,0))),"OK","Category not on Settings (counted as Other)")))</f>
        <v/>
      </c>
      <c r="R20">
        <f>IF(COUNTA(A20:I20)=0,"",IF(AND(ISNUMBER(F20),F20&gt;0,OR(ISNUMBER(D20),ISNUMBER(H20)),OR(D20="",ISNUMBER(D20)),OR(E20="",ISNUMBER(E20)),OR(G20="",ISNUMBER(G20)),OR(H20="",ISNUMBER(H20))),IF(N(G20)&gt;F20,0,1),0))</f>
        <v/>
      </c>
    </row>
    <row r="21">
      <c r="A21" s="29" t="n"/>
      <c r="B21" s="29" t="n"/>
      <c r="C21" s="29" t="n"/>
      <c r="D21" s="24" t="n"/>
      <c r="E21" s="26" t="n"/>
      <c r="F21" s="34" t="n"/>
      <c r="G21" s="34" t="n"/>
      <c r="H21" s="24" t="n"/>
      <c r="I21" s="29" t="n"/>
      <c r="J21" s="32">
        <f>IF(R21&lt;&gt;1,"",IF(ISNUMBER(D21),INT(D21)+IF(ISNUMBER(E21),INT(E21),DefTerms),""))</f>
        <v/>
      </c>
      <c r="K21" s="35">
        <f>IF(R21&lt;&gt;1,"",IF(ISNUMBER(H21),0,IF(AND(A21&lt;&gt;"",ISNUMBER(MATCH(A21,CustName,0))),IF(ISNUMBER(INDEX(CustLate,MATCH(A21,CustName,0))),INT(INDEX(CustLate,MATCH(A21,CustName,0))),DefLate),DefLate)))</f>
        <v/>
      </c>
      <c r="L21" s="32">
        <f>IF(R21&lt;&gt;1,"",IF(ISNUMBER(H21),INT(H21),J21+K21)+StressDays)</f>
        <v/>
      </c>
      <c r="M21" s="21">
        <f>IF(R21&lt;&gt;1,0,F21-N(G21))</f>
        <v/>
      </c>
      <c r="N21" s="35">
        <f>IF(OR(R21&lt;&gt;1,M21&lt;=0),"",IF(I21="Yes","",IF(L21&lt;W1,IF(OverdueW1="No","",1),IF(L21&lt;=W1+90,INT((L21-W1)/7)+1,""))))</f>
        <v/>
      </c>
      <c r="O21" s="36">
        <f>IF(ISNUMBER(N21),M21*CollectPct,0)</f>
        <v/>
      </c>
      <c r="P21" s="10">
        <f>IF(R21="","",IF(R21=0,"Not counted",IF(M21&lt;=0,"Paid",IF(I21="Yes","Doubtful (left out)",IF(L21&lt;W1,IF(OverdueW1="No","Overdue (left out)","Overdue → Week 1"),IF(L21&lt;=W1+90,"Week "&amp;N21,"After Week 13"))))))</f>
        <v/>
      </c>
      <c r="Q21" s="10">
        <f>IF(R21="","",IF(R21=0,IF(NOT(ISNUMBER(F21)),"Fix: amount missing",IF(F21&lt;=0,"Fix: amount must be above 0",IF(AND(NOT(ISNUMBER(D21)),NOT(ISNUMBER(H21))),"Fix: add an invoice date or a promised date",IF(AND(D21&lt;&gt;"",NOT(ISNUMBER(D21))),"Fix: invoice date isn't a date",IF(AND(E21&lt;&gt;"",NOT(ISNUMBER(E21))),"Fix: terms must be a number",IF(AND(G21&lt;&gt;"",NOT(ISNUMBER(G21))),"Fix: received must be a number",IF(AND(H21&lt;&gt;"",NOT(ISNUMBER(H21))),"Fix: promised date isn't a date","Fix: received is more than the amount"))))))),IF(AND(C21&lt;&gt;"",ISNUMBER(MATCH(C21,InCats,0))),"OK","Category not on Settings (counted as Other)")))</f>
        <v/>
      </c>
      <c r="R21">
        <f>IF(COUNTA(A21:I21)=0,"",IF(AND(ISNUMBER(F21),F21&gt;0,OR(ISNUMBER(D21),ISNUMBER(H21)),OR(D21="",ISNUMBER(D21)),OR(E21="",ISNUMBER(E21)),OR(G21="",ISNUMBER(G21)),OR(H21="",ISNUMBER(H21))),IF(N(G21)&gt;F21,0,1),0))</f>
        <v/>
      </c>
    </row>
    <row r="22">
      <c r="A22" s="29" t="n"/>
      <c r="B22" s="29" t="n"/>
      <c r="C22" s="29" t="n"/>
      <c r="D22" s="24" t="n"/>
      <c r="E22" s="26" t="n"/>
      <c r="F22" s="34" t="n"/>
      <c r="G22" s="34" t="n"/>
      <c r="H22" s="24" t="n"/>
      <c r="I22" s="29" t="n"/>
      <c r="J22" s="32">
        <f>IF(R22&lt;&gt;1,"",IF(ISNUMBER(D22),INT(D22)+IF(ISNUMBER(E22),INT(E22),DefTerms),""))</f>
        <v/>
      </c>
      <c r="K22" s="35">
        <f>IF(R22&lt;&gt;1,"",IF(ISNUMBER(H22),0,IF(AND(A22&lt;&gt;"",ISNUMBER(MATCH(A22,CustName,0))),IF(ISNUMBER(INDEX(CustLate,MATCH(A22,CustName,0))),INT(INDEX(CustLate,MATCH(A22,CustName,0))),DefLate),DefLate)))</f>
        <v/>
      </c>
      <c r="L22" s="32">
        <f>IF(R22&lt;&gt;1,"",IF(ISNUMBER(H22),INT(H22),J22+K22)+StressDays)</f>
        <v/>
      </c>
      <c r="M22" s="21">
        <f>IF(R22&lt;&gt;1,0,F22-N(G22))</f>
        <v/>
      </c>
      <c r="N22" s="35">
        <f>IF(OR(R22&lt;&gt;1,M22&lt;=0),"",IF(I22="Yes","",IF(L22&lt;W1,IF(OverdueW1="No","",1),IF(L22&lt;=W1+90,INT((L22-W1)/7)+1,""))))</f>
        <v/>
      </c>
      <c r="O22" s="36">
        <f>IF(ISNUMBER(N22),M22*CollectPct,0)</f>
        <v/>
      </c>
      <c r="P22" s="10">
        <f>IF(R22="","",IF(R22=0,"Not counted",IF(M22&lt;=0,"Paid",IF(I22="Yes","Doubtful (left out)",IF(L22&lt;W1,IF(OverdueW1="No","Overdue (left out)","Overdue → Week 1"),IF(L22&lt;=W1+90,"Week "&amp;N22,"After Week 13"))))))</f>
        <v/>
      </c>
      <c r="Q22" s="10">
        <f>IF(R22="","",IF(R22=0,IF(NOT(ISNUMBER(F22)),"Fix: amount missing",IF(F22&lt;=0,"Fix: amount must be above 0",IF(AND(NOT(ISNUMBER(D22)),NOT(ISNUMBER(H22))),"Fix: add an invoice date or a promised date",IF(AND(D22&lt;&gt;"",NOT(ISNUMBER(D22))),"Fix: invoice date isn't a date",IF(AND(E22&lt;&gt;"",NOT(ISNUMBER(E22))),"Fix: terms must be a number",IF(AND(G22&lt;&gt;"",NOT(ISNUMBER(G22))),"Fix: received must be a number",IF(AND(H22&lt;&gt;"",NOT(ISNUMBER(H22))),"Fix: promised date isn't a date","Fix: received is more than the amount"))))))),IF(AND(C22&lt;&gt;"",ISNUMBER(MATCH(C22,InCats,0))),"OK","Category not on Settings (counted as Other)")))</f>
        <v/>
      </c>
      <c r="R22">
        <f>IF(COUNTA(A22:I22)=0,"",IF(AND(ISNUMBER(F22),F22&gt;0,OR(ISNUMBER(D22),ISNUMBER(H22)),OR(D22="",ISNUMBER(D22)),OR(E22="",ISNUMBER(E22)),OR(G22="",ISNUMBER(G22)),OR(H22="",ISNUMBER(H22))),IF(N(G22)&gt;F22,0,1),0))</f>
        <v/>
      </c>
    </row>
    <row r="23">
      <c r="A23" s="29" t="n"/>
      <c r="B23" s="29" t="n"/>
      <c r="C23" s="29" t="n"/>
      <c r="D23" s="24" t="n"/>
      <c r="E23" s="26" t="n"/>
      <c r="F23" s="34" t="n"/>
      <c r="G23" s="34" t="n"/>
      <c r="H23" s="24" t="n"/>
      <c r="I23" s="29" t="n"/>
      <c r="J23" s="32">
        <f>IF(R23&lt;&gt;1,"",IF(ISNUMBER(D23),INT(D23)+IF(ISNUMBER(E23),INT(E23),DefTerms),""))</f>
        <v/>
      </c>
      <c r="K23" s="35">
        <f>IF(R23&lt;&gt;1,"",IF(ISNUMBER(H23),0,IF(AND(A23&lt;&gt;"",ISNUMBER(MATCH(A23,CustName,0))),IF(ISNUMBER(INDEX(CustLate,MATCH(A23,CustName,0))),INT(INDEX(CustLate,MATCH(A23,CustName,0))),DefLate),DefLate)))</f>
        <v/>
      </c>
      <c r="L23" s="32">
        <f>IF(R23&lt;&gt;1,"",IF(ISNUMBER(H23),INT(H23),J23+K23)+StressDays)</f>
        <v/>
      </c>
      <c r="M23" s="21">
        <f>IF(R23&lt;&gt;1,0,F23-N(G23))</f>
        <v/>
      </c>
      <c r="N23" s="35">
        <f>IF(OR(R23&lt;&gt;1,M23&lt;=0),"",IF(I23="Yes","",IF(L23&lt;W1,IF(OverdueW1="No","",1),IF(L23&lt;=W1+90,INT((L23-W1)/7)+1,""))))</f>
        <v/>
      </c>
      <c r="O23" s="36">
        <f>IF(ISNUMBER(N23),M23*CollectPct,0)</f>
        <v/>
      </c>
      <c r="P23" s="10">
        <f>IF(R23="","",IF(R23=0,"Not counted",IF(M23&lt;=0,"Paid",IF(I23="Yes","Doubtful (left out)",IF(L23&lt;W1,IF(OverdueW1="No","Overdue (left out)","Overdue → Week 1"),IF(L23&lt;=W1+90,"Week "&amp;N23,"After Week 13"))))))</f>
        <v/>
      </c>
      <c r="Q23" s="10">
        <f>IF(R23="","",IF(R23=0,IF(NOT(ISNUMBER(F23)),"Fix: amount missing",IF(F23&lt;=0,"Fix: amount must be above 0",IF(AND(NOT(ISNUMBER(D23)),NOT(ISNUMBER(H23))),"Fix: add an invoice date or a promised date",IF(AND(D23&lt;&gt;"",NOT(ISNUMBER(D23))),"Fix: invoice date isn't a date",IF(AND(E23&lt;&gt;"",NOT(ISNUMBER(E23))),"Fix: terms must be a number",IF(AND(G23&lt;&gt;"",NOT(ISNUMBER(G23))),"Fix: received must be a number",IF(AND(H23&lt;&gt;"",NOT(ISNUMBER(H23))),"Fix: promised date isn't a date","Fix: received is more than the amount"))))))),IF(AND(C23&lt;&gt;"",ISNUMBER(MATCH(C23,InCats,0))),"OK","Category not on Settings (counted as Other)")))</f>
        <v/>
      </c>
      <c r="R23">
        <f>IF(COUNTA(A23:I23)=0,"",IF(AND(ISNUMBER(F23),F23&gt;0,OR(ISNUMBER(D23),ISNUMBER(H23)),OR(D23="",ISNUMBER(D23)),OR(E23="",ISNUMBER(E23)),OR(G23="",ISNUMBER(G23)),OR(H23="",ISNUMBER(H23))),IF(N(G23)&gt;F23,0,1),0))</f>
        <v/>
      </c>
    </row>
    <row r="24">
      <c r="A24" s="29" t="n"/>
      <c r="B24" s="29" t="n"/>
      <c r="C24" s="29" t="n"/>
      <c r="D24" s="24" t="n"/>
      <c r="E24" s="26" t="n"/>
      <c r="F24" s="34" t="n"/>
      <c r="G24" s="34" t="n"/>
      <c r="H24" s="24" t="n"/>
      <c r="I24" s="29" t="n"/>
      <c r="J24" s="32">
        <f>IF(R24&lt;&gt;1,"",IF(ISNUMBER(D24),INT(D24)+IF(ISNUMBER(E24),INT(E24),DefTerms),""))</f>
        <v/>
      </c>
      <c r="K24" s="35">
        <f>IF(R24&lt;&gt;1,"",IF(ISNUMBER(H24),0,IF(AND(A24&lt;&gt;"",ISNUMBER(MATCH(A24,CustName,0))),IF(ISNUMBER(INDEX(CustLate,MATCH(A24,CustName,0))),INT(INDEX(CustLate,MATCH(A24,CustName,0))),DefLate),DefLate)))</f>
        <v/>
      </c>
      <c r="L24" s="32">
        <f>IF(R24&lt;&gt;1,"",IF(ISNUMBER(H24),INT(H24),J24+K24)+StressDays)</f>
        <v/>
      </c>
      <c r="M24" s="21">
        <f>IF(R24&lt;&gt;1,0,F24-N(G24))</f>
        <v/>
      </c>
      <c r="N24" s="35">
        <f>IF(OR(R24&lt;&gt;1,M24&lt;=0),"",IF(I24="Yes","",IF(L24&lt;W1,IF(OverdueW1="No","",1),IF(L24&lt;=W1+90,INT((L24-W1)/7)+1,""))))</f>
        <v/>
      </c>
      <c r="O24" s="36">
        <f>IF(ISNUMBER(N24),M24*CollectPct,0)</f>
        <v/>
      </c>
      <c r="P24" s="10">
        <f>IF(R24="","",IF(R24=0,"Not counted",IF(M24&lt;=0,"Paid",IF(I24="Yes","Doubtful (left out)",IF(L24&lt;W1,IF(OverdueW1="No","Overdue (left out)","Overdue → Week 1"),IF(L24&lt;=W1+90,"Week "&amp;N24,"After Week 13"))))))</f>
        <v/>
      </c>
      <c r="Q24" s="10">
        <f>IF(R24="","",IF(R24=0,IF(NOT(ISNUMBER(F24)),"Fix: amount missing",IF(F24&lt;=0,"Fix: amount must be above 0",IF(AND(NOT(ISNUMBER(D24)),NOT(ISNUMBER(H24))),"Fix: add an invoice date or a promised date",IF(AND(D24&lt;&gt;"",NOT(ISNUMBER(D24))),"Fix: invoice date isn't a date",IF(AND(E24&lt;&gt;"",NOT(ISNUMBER(E24))),"Fix: terms must be a number",IF(AND(G24&lt;&gt;"",NOT(ISNUMBER(G24))),"Fix: received must be a number",IF(AND(H24&lt;&gt;"",NOT(ISNUMBER(H24))),"Fix: promised date isn't a date","Fix: received is more than the amount"))))))),IF(AND(C24&lt;&gt;"",ISNUMBER(MATCH(C24,InCats,0))),"OK","Category not on Settings (counted as Other)")))</f>
        <v/>
      </c>
      <c r="R24">
        <f>IF(COUNTA(A24:I24)=0,"",IF(AND(ISNUMBER(F24),F24&gt;0,OR(ISNUMBER(D24),ISNUMBER(H24)),OR(D24="",ISNUMBER(D24)),OR(E24="",ISNUMBER(E24)),OR(G24="",ISNUMBER(G24)),OR(H24="",ISNUMBER(H24))),IF(N(G24)&gt;F24,0,1),0))</f>
        <v/>
      </c>
    </row>
    <row r="25">
      <c r="A25" s="29" t="n"/>
      <c r="B25" s="29" t="n"/>
      <c r="C25" s="29" t="n"/>
      <c r="D25" s="24" t="n"/>
      <c r="E25" s="26" t="n"/>
      <c r="F25" s="34" t="n"/>
      <c r="G25" s="34" t="n"/>
      <c r="H25" s="24" t="n"/>
      <c r="I25" s="29" t="n"/>
      <c r="J25" s="32">
        <f>IF(R25&lt;&gt;1,"",IF(ISNUMBER(D25),INT(D25)+IF(ISNUMBER(E25),INT(E25),DefTerms),""))</f>
        <v/>
      </c>
      <c r="K25" s="35">
        <f>IF(R25&lt;&gt;1,"",IF(ISNUMBER(H25),0,IF(AND(A25&lt;&gt;"",ISNUMBER(MATCH(A25,CustName,0))),IF(ISNUMBER(INDEX(CustLate,MATCH(A25,CustName,0))),INT(INDEX(CustLate,MATCH(A25,CustName,0))),DefLate),DefLate)))</f>
        <v/>
      </c>
      <c r="L25" s="32">
        <f>IF(R25&lt;&gt;1,"",IF(ISNUMBER(H25),INT(H25),J25+K25)+StressDays)</f>
        <v/>
      </c>
      <c r="M25" s="21">
        <f>IF(R25&lt;&gt;1,0,F25-N(G25))</f>
        <v/>
      </c>
      <c r="N25" s="35">
        <f>IF(OR(R25&lt;&gt;1,M25&lt;=0),"",IF(I25="Yes","",IF(L25&lt;W1,IF(OverdueW1="No","",1),IF(L25&lt;=W1+90,INT((L25-W1)/7)+1,""))))</f>
        <v/>
      </c>
      <c r="O25" s="36">
        <f>IF(ISNUMBER(N25),M25*CollectPct,0)</f>
        <v/>
      </c>
      <c r="P25" s="10">
        <f>IF(R25="","",IF(R25=0,"Not counted",IF(M25&lt;=0,"Paid",IF(I25="Yes","Doubtful (left out)",IF(L25&lt;W1,IF(OverdueW1="No","Overdue (left out)","Overdue → Week 1"),IF(L25&lt;=W1+90,"Week "&amp;N25,"After Week 13"))))))</f>
        <v/>
      </c>
      <c r="Q25" s="10">
        <f>IF(R25="","",IF(R25=0,IF(NOT(ISNUMBER(F25)),"Fix: amount missing",IF(F25&lt;=0,"Fix: amount must be above 0",IF(AND(NOT(ISNUMBER(D25)),NOT(ISNUMBER(H25))),"Fix: add an invoice date or a promised date",IF(AND(D25&lt;&gt;"",NOT(ISNUMBER(D25))),"Fix: invoice date isn't a date",IF(AND(E25&lt;&gt;"",NOT(ISNUMBER(E25))),"Fix: terms must be a number",IF(AND(G25&lt;&gt;"",NOT(ISNUMBER(G25))),"Fix: received must be a number",IF(AND(H25&lt;&gt;"",NOT(ISNUMBER(H25))),"Fix: promised date isn't a date","Fix: received is more than the amount"))))))),IF(AND(C25&lt;&gt;"",ISNUMBER(MATCH(C25,InCats,0))),"OK","Category not on Settings (counted as Other)")))</f>
        <v/>
      </c>
      <c r="R25">
        <f>IF(COUNTA(A25:I25)=0,"",IF(AND(ISNUMBER(F25),F25&gt;0,OR(ISNUMBER(D25),ISNUMBER(H25)),OR(D25="",ISNUMBER(D25)),OR(E25="",ISNUMBER(E25)),OR(G25="",ISNUMBER(G25)),OR(H25="",ISNUMBER(H25))),IF(N(G25)&gt;F25,0,1),0))</f>
        <v/>
      </c>
    </row>
    <row r="26">
      <c r="A26" s="29" t="n"/>
      <c r="B26" s="29" t="n"/>
      <c r="C26" s="29" t="n"/>
      <c r="D26" s="24" t="n"/>
      <c r="E26" s="26" t="n"/>
      <c r="F26" s="34" t="n"/>
      <c r="G26" s="34" t="n"/>
      <c r="H26" s="24" t="n"/>
      <c r="I26" s="29" t="n"/>
      <c r="J26" s="32">
        <f>IF(R26&lt;&gt;1,"",IF(ISNUMBER(D26),INT(D26)+IF(ISNUMBER(E26),INT(E26),DefTerms),""))</f>
        <v/>
      </c>
      <c r="K26" s="35">
        <f>IF(R26&lt;&gt;1,"",IF(ISNUMBER(H26),0,IF(AND(A26&lt;&gt;"",ISNUMBER(MATCH(A26,CustName,0))),IF(ISNUMBER(INDEX(CustLate,MATCH(A26,CustName,0))),INT(INDEX(CustLate,MATCH(A26,CustName,0))),DefLate),DefLate)))</f>
        <v/>
      </c>
      <c r="L26" s="32">
        <f>IF(R26&lt;&gt;1,"",IF(ISNUMBER(H26),INT(H26),J26+K26)+StressDays)</f>
        <v/>
      </c>
      <c r="M26" s="21">
        <f>IF(R26&lt;&gt;1,0,F26-N(G26))</f>
        <v/>
      </c>
      <c r="N26" s="35">
        <f>IF(OR(R26&lt;&gt;1,M26&lt;=0),"",IF(I26="Yes","",IF(L26&lt;W1,IF(OverdueW1="No","",1),IF(L26&lt;=W1+90,INT((L26-W1)/7)+1,""))))</f>
        <v/>
      </c>
      <c r="O26" s="36">
        <f>IF(ISNUMBER(N26),M26*CollectPct,0)</f>
        <v/>
      </c>
      <c r="P26" s="10">
        <f>IF(R26="","",IF(R26=0,"Not counted",IF(M26&lt;=0,"Paid",IF(I26="Yes","Doubtful (left out)",IF(L26&lt;W1,IF(OverdueW1="No","Overdue (left out)","Overdue → Week 1"),IF(L26&lt;=W1+90,"Week "&amp;N26,"After Week 13"))))))</f>
        <v/>
      </c>
      <c r="Q26" s="10">
        <f>IF(R26="","",IF(R26=0,IF(NOT(ISNUMBER(F26)),"Fix: amount missing",IF(F26&lt;=0,"Fix: amount must be above 0",IF(AND(NOT(ISNUMBER(D26)),NOT(ISNUMBER(H26))),"Fix: add an invoice date or a promised date",IF(AND(D26&lt;&gt;"",NOT(ISNUMBER(D26))),"Fix: invoice date isn't a date",IF(AND(E26&lt;&gt;"",NOT(ISNUMBER(E26))),"Fix: terms must be a number",IF(AND(G26&lt;&gt;"",NOT(ISNUMBER(G26))),"Fix: received must be a number",IF(AND(H26&lt;&gt;"",NOT(ISNUMBER(H26))),"Fix: promised date isn't a date","Fix: received is more than the amount"))))))),IF(AND(C26&lt;&gt;"",ISNUMBER(MATCH(C26,InCats,0))),"OK","Category not on Settings (counted as Other)")))</f>
        <v/>
      </c>
      <c r="R26">
        <f>IF(COUNTA(A26:I26)=0,"",IF(AND(ISNUMBER(F26),F26&gt;0,OR(ISNUMBER(D26),ISNUMBER(H26)),OR(D26="",ISNUMBER(D26)),OR(E26="",ISNUMBER(E26)),OR(G26="",ISNUMBER(G26)),OR(H26="",ISNUMBER(H26))),IF(N(G26)&gt;F26,0,1),0))</f>
        <v/>
      </c>
    </row>
    <row r="27">
      <c r="A27" s="29" t="n"/>
      <c r="B27" s="29" t="n"/>
      <c r="C27" s="29" t="n"/>
      <c r="D27" s="24" t="n"/>
      <c r="E27" s="26" t="n"/>
      <c r="F27" s="34" t="n"/>
      <c r="G27" s="34" t="n"/>
      <c r="H27" s="24" t="n"/>
      <c r="I27" s="29" t="n"/>
      <c r="J27" s="32">
        <f>IF(R27&lt;&gt;1,"",IF(ISNUMBER(D27),INT(D27)+IF(ISNUMBER(E27),INT(E27),DefTerms),""))</f>
        <v/>
      </c>
      <c r="K27" s="35">
        <f>IF(R27&lt;&gt;1,"",IF(ISNUMBER(H27),0,IF(AND(A27&lt;&gt;"",ISNUMBER(MATCH(A27,CustName,0))),IF(ISNUMBER(INDEX(CustLate,MATCH(A27,CustName,0))),INT(INDEX(CustLate,MATCH(A27,CustName,0))),DefLate),DefLate)))</f>
        <v/>
      </c>
      <c r="L27" s="32">
        <f>IF(R27&lt;&gt;1,"",IF(ISNUMBER(H27),INT(H27),J27+K27)+StressDays)</f>
        <v/>
      </c>
      <c r="M27" s="21">
        <f>IF(R27&lt;&gt;1,0,F27-N(G27))</f>
        <v/>
      </c>
      <c r="N27" s="35">
        <f>IF(OR(R27&lt;&gt;1,M27&lt;=0),"",IF(I27="Yes","",IF(L27&lt;W1,IF(OverdueW1="No","",1),IF(L27&lt;=W1+90,INT((L27-W1)/7)+1,""))))</f>
        <v/>
      </c>
      <c r="O27" s="36">
        <f>IF(ISNUMBER(N27),M27*CollectPct,0)</f>
        <v/>
      </c>
      <c r="P27" s="10">
        <f>IF(R27="","",IF(R27=0,"Not counted",IF(M27&lt;=0,"Paid",IF(I27="Yes","Doubtful (left out)",IF(L27&lt;W1,IF(OverdueW1="No","Overdue (left out)","Overdue → Week 1"),IF(L27&lt;=W1+90,"Week "&amp;N27,"After Week 13"))))))</f>
        <v/>
      </c>
      <c r="Q27" s="10">
        <f>IF(R27="","",IF(R27=0,IF(NOT(ISNUMBER(F27)),"Fix: amount missing",IF(F27&lt;=0,"Fix: amount must be above 0",IF(AND(NOT(ISNUMBER(D27)),NOT(ISNUMBER(H27))),"Fix: add an invoice date or a promised date",IF(AND(D27&lt;&gt;"",NOT(ISNUMBER(D27))),"Fix: invoice date isn't a date",IF(AND(E27&lt;&gt;"",NOT(ISNUMBER(E27))),"Fix: terms must be a number",IF(AND(G27&lt;&gt;"",NOT(ISNUMBER(G27))),"Fix: received must be a number",IF(AND(H27&lt;&gt;"",NOT(ISNUMBER(H27))),"Fix: promised date isn't a date","Fix: received is more than the amount"))))))),IF(AND(C27&lt;&gt;"",ISNUMBER(MATCH(C27,InCats,0))),"OK","Category not on Settings (counted as Other)")))</f>
        <v/>
      </c>
      <c r="R27">
        <f>IF(COUNTA(A27:I27)=0,"",IF(AND(ISNUMBER(F27),F27&gt;0,OR(ISNUMBER(D27),ISNUMBER(H27)),OR(D27="",ISNUMBER(D27)),OR(E27="",ISNUMBER(E27)),OR(G27="",ISNUMBER(G27)),OR(H27="",ISNUMBER(H27))),IF(N(G27)&gt;F27,0,1),0))</f>
        <v/>
      </c>
    </row>
    <row r="28">
      <c r="A28" s="29" t="n"/>
      <c r="B28" s="29" t="n"/>
      <c r="C28" s="29" t="n"/>
      <c r="D28" s="24" t="n"/>
      <c r="E28" s="26" t="n"/>
      <c r="F28" s="34" t="n"/>
      <c r="G28" s="34" t="n"/>
      <c r="H28" s="24" t="n"/>
      <c r="I28" s="29" t="n"/>
      <c r="J28" s="32">
        <f>IF(R28&lt;&gt;1,"",IF(ISNUMBER(D28),INT(D28)+IF(ISNUMBER(E28),INT(E28),DefTerms),""))</f>
        <v/>
      </c>
      <c r="K28" s="35">
        <f>IF(R28&lt;&gt;1,"",IF(ISNUMBER(H28),0,IF(AND(A28&lt;&gt;"",ISNUMBER(MATCH(A28,CustName,0))),IF(ISNUMBER(INDEX(CustLate,MATCH(A28,CustName,0))),INT(INDEX(CustLate,MATCH(A28,CustName,0))),DefLate),DefLate)))</f>
        <v/>
      </c>
      <c r="L28" s="32">
        <f>IF(R28&lt;&gt;1,"",IF(ISNUMBER(H28),INT(H28),J28+K28)+StressDays)</f>
        <v/>
      </c>
      <c r="M28" s="21">
        <f>IF(R28&lt;&gt;1,0,F28-N(G28))</f>
        <v/>
      </c>
      <c r="N28" s="35">
        <f>IF(OR(R28&lt;&gt;1,M28&lt;=0),"",IF(I28="Yes","",IF(L28&lt;W1,IF(OverdueW1="No","",1),IF(L28&lt;=W1+90,INT((L28-W1)/7)+1,""))))</f>
        <v/>
      </c>
      <c r="O28" s="36">
        <f>IF(ISNUMBER(N28),M28*CollectPct,0)</f>
        <v/>
      </c>
      <c r="P28" s="10">
        <f>IF(R28="","",IF(R28=0,"Not counted",IF(M28&lt;=0,"Paid",IF(I28="Yes","Doubtful (left out)",IF(L28&lt;W1,IF(OverdueW1="No","Overdue (left out)","Overdue → Week 1"),IF(L28&lt;=W1+90,"Week "&amp;N28,"After Week 13"))))))</f>
        <v/>
      </c>
      <c r="Q28" s="10">
        <f>IF(R28="","",IF(R28=0,IF(NOT(ISNUMBER(F28)),"Fix: amount missing",IF(F28&lt;=0,"Fix: amount must be above 0",IF(AND(NOT(ISNUMBER(D28)),NOT(ISNUMBER(H28))),"Fix: add an invoice date or a promised date",IF(AND(D28&lt;&gt;"",NOT(ISNUMBER(D28))),"Fix: invoice date isn't a date",IF(AND(E28&lt;&gt;"",NOT(ISNUMBER(E28))),"Fix: terms must be a number",IF(AND(G28&lt;&gt;"",NOT(ISNUMBER(G28))),"Fix: received must be a number",IF(AND(H28&lt;&gt;"",NOT(ISNUMBER(H28))),"Fix: promised date isn't a date","Fix: received is more than the amount"))))))),IF(AND(C28&lt;&gt;"",ISNUMBER(MATCH(C28,InCats,0))),"OK","Category not on Settings (counted as Other)")))</f>
        <v/>
      </c>
      <c r="R28">
        <f>IF(COUNTA(A28:I28)=0,"",IF(AND(ISNUMBER(F28),F28&gt;0,OR(ISNUMBER(D28),ISNUMBER(H28)),OR(D28="",ISNUMBER(D28)),OR(E28="",ISNUMBER(E28)),OR(G28="",ISNUMBER(G28)),OR(H28="",ISNUMBER(H28))),IF(N(G28)&gt;F28,0,1),0))</f>
        <v/>
      </c>
    </row>
    <row r="29">
      <c r="A29" s="29" t="n"/>
      <c r="B29" s="29" t="n"/>
      <c r="C29" s="29" t="n"/>
      <c r="D29" s="24" t="n"/>
      <c r="E29" s="26" t="n"/>
      <c r="F29" s="34" t="n"/>
      <c r="G29" s="34" t="n"/>
      <c r="H29" s="24" t="n"/>
      <c r="I29" s="29" t="n"/>
      <c r="J29" s="32">
        <f>IF(R29&lt;&gt;1,"",IF(ISNUMBER(D29),INT(D29)+IF(ISNUMBER(E29),INT(E29),DefTerms),""))</f>
        <v/>
      </c>
      <c r="K29" s="35">
        <f>IF(R29&lt;&gt;1,"",IF(ISNUMBER(H29),0,IF(AND(A29&lt;&gt;"",ISNUMBER(MATCH(A29,CustName,0))),IF(ISNUMBER(INDEX(CustLate,MATCH(A29,CustName,0))),INT(INDEX(CustLate,MATCH(A29,CustName,0))),DefLate),DefLate)))</f>
        <v/>
      </c>
      <c r="L29" s="32">
        <f>IF(R29&lt;&gt;1,"",IF(ISNUMBER(H29),INT(H29),J29+K29)+StressDays)</f>
        <v/>
      </c>
      <c r="M29" s="21">
        <f>IF(R29&lt;&gt;1,0,F29-N(G29))</f>
        <v/>
      </c>
      <c r="N29" s="35">
        <f>IF(OR(R29&lt;&gt;1,M29&lt;=0),"",IF(I29="Yes","",IF(L29&lt;W1,IF(OverdueW1="No","",1),IF(L29&lt;=W1+90,INT((L29-W1)/7)+1,""))))</f>
        <v/>
      </c>
      <c r="O29" s="36">
        <f>IF(ISNUMBER(N29),M29*CollectPct,0)</f>
        <v/>
      </c>
      <c r="P29" s="10">
        <f>IF(R29="","",IF(R29=0,"Not counted",IF(M29&lt;=0,"Paid",IF(I29="Yes","Doubtful (left out)",IF(L29&lt;W1,IF(OverdueW1="No","Overdue (left out)","Overdue → Week 1"),IF(L29&lt;=W1+90,"Week "&amp;N29,"After Week 13"))))))</f>
        <v/>
      </c>
      <c r="Q29" s="10">
        <f>IF(R29="","",IF(R29=0,IF(NOT(ISNUMBER(F29)),"Fix: amount missing",IF(F29&lt;=0,"Fix: amount must be above 0",IF(AND(NOT(ISNUMBER(D29)),NOT(ISNUMBER(H29))),"Fix: add an invoice date or a promised date",IF(AND(D29&lt;&gt;"",NOT(ISNUMBER(D29))),"Fix: invoice date isn't a date",IF(AND(E29&lt;&gt;"",NOT(ISNUMBER(E29))),"Fix: terms must be a number",IF(AND(G29&lt;&gt;"",NOT(ISNUMBER(G29))),"Fix: received must be a number",IF(AND(H29&lt;&gt;"",NOT(ISNUMBER(H29))),"Fix: promised date isn't a date","Fix: received is more than the amount"))))))),IF(AND(C29&lt;&gt;"",ISNUMBER(MATCH(C29,InCats,0))),"OK","Category not on Settings (counted as Other)")))</f>
        <v/>
      </c>
      <c r="R29">
        <f>IF(COUNTA(A29:I29)=0,"",IF(AND(ISNUMBER(F29),F29&gt;0,OR(ISNUMBER(D29),ISNUMBER(H29)),OR(D29="",ISNUMBER(D29)),OR(E29="",ISNUMBER(E29)),OR(G29="",ISNUMBER(G29)),OR(H29="",ISNUMBER(H29))),IF(N(G29)&gt;F29,0,1),0))</f>
        <v/>
      </c>
    </row>
    <row r="30">
      <c r="A30" s="29" t="n"/>
      <c r="B30" s="29" t="n"/>
      <c r="C30" s="29" t="n"/>
      <c r="D30" s="24" t="n"/>
      <c r="E30" s="26" t="n"/>
      <c r="F30" s="34" t="n"/>
      <c r="G30" s="34" t="n"/>
      <c r="H30" s="24" t="n"/>
      <c r="I30" s="29" t="n"/>
      <c r="J30" s="32">
        <f>IF(R30&lt;&gt;1,"",IF(ISNUMBER(D30),INT(D30)+IF(ISNUMBER(E30),INT(E30),DefTerms),""))</f>
        <v/>
      </c>
      <c r="K30" s="35">
        <f>IF(R30&lt;&gt;1,"",IF(ISNUMBER(H30),0,IF(AND(A30&lt;&gt;"",ISNUMBER(MATCH(A30,CustName,0))),IF(ISNUMBER(INDEX(CustLate,MATCH(A30,CustName,0))),INT(INDEX(CustLate,MATCH(A30,CustName,0))),DefLate),DefLate)))</f>
        <v/>
      </c>
      <c r="L30" s="32">
        <f>IF(R30&lt;&gt;1,"",IF(ISNUMBER(H30),INT(H30),J30+K30)+StressDays)</f>
        <v/>
      </c>
      <c r="M30" s="21">
        <f>IF(R30&lt;&gt;1,0,F30-N(G30))</f>
        <v/>
      </c>
      <c r="N30" s="35">
        <f>IF(OR(R30&lt;&gt;1,M30&lt;=0),"",IF(I30="Yes","",IF(L30&lt;W1,IF(OverdueW1="No","",1),IF(L30&lt;=W1+90,INT((L30-W1)/7)+1,""))))</f>
        <v/>
      </c>
      <c r="O30" s="36">
        <f>IF(ISNUMBER(N30),M30*CollectPct,0)</f>
        <v/>
      </c>
      <c r="P30" s="10">
        <f>IF(R30="","",IF(R30=0,"Not counted",IF(M30&lt;=0,"Paid",IF(I30="Yes","Doubtful (left out)",IF(L30&lt;W1,IF(OverdueW1="No","Overdue (left out)","Overdue → Week 1"),IF(L30&lt;=W1+90,"Week "&amp;N30,"After Week 13"))))))</f>
        <v/>
      </c>
      <c r="Q30" s="10">
        <f>IF(R30="","",IF(R30=0,IF(NOT(ISNUMBER(F30)),"Fix: amount missing",IF(F30&lt;=0,"Fix: amount must be above 0",IF(AND(NOT(ISNUMBER(D30)),NOT(ISNUMBER(H30))),"Fix: add an invoice date or a promised date",IF(AND(D30&lt;&gt;"",NOT(ISNUMBER(D30))),"Fix: invoice date isn't a date",IF(AND(E30&lt;&gt;"",NOT(ISNUMBER(E30))),"Fix: terms must be a number",IF(AND(G30&lt;&gt;"",NOT(ISNUMBER(G30))),"Fix: received must be a number",IF(AND(H30&lt;&gt;"",NOT(ISNUMBER(H30))),"Fix: promised date isn't a date","Fix: received is more than the amount"))))))),IF(AND(C30&lt;&gt;"",ISNUMBER(MATCH(C30,InCats,0))),"OK","Category not on Settings (counted as Other)")))</f>
        <v/>
      </c>
      <c r="R30">
        <f>IF(COUNTA(A30:I30)=0,"",IF(AND(ISNUMBER(F30),F30&gt;0,OR(ISNUMBER(D30),ISNUMBER(H30)),OR(D30="",ISNUMBER(D30)),OR(E30="",ISNUMBER(E30)),OR(G30="",ISNUMBER(G30)),OR(H30="",ISNUMBER(H30))),IF(N(G30)&gt;F30,0,1),0))</f>
        <v/>
      </c>
    </row>
    <row r="31">
      <c r="A31" s="29" t="n"/>
      <c r="B31" s="29" t="n"/>
      <c r="C31" s="29" t="n"/>
      <c r="D31" s="24" t="n"/>
      <c r="E31" s="26" t="n"/>
      <c r="F31" s="34" t="n"/>
      <c r="G31" s="34" t="n"/>
      <c r="H31" s="24" t="n"/>
      <c r="I31" s="29" t="n"/>
      <c r="J31" s="32">
        <f>IF(R31&lt;&gt;1,"",IF(ISNUMBER(D31),INT(D31)+IF(ISNUMBER(E31),INT(E31),DefTerms),""))</f>
        <v/>
      </c>
      <c r="K31" s="35">
        <f>IF(R31&lt;&gt;1,"",IF(ISNUMBER(H31),0,IF(AND(A31&lt;&gt;"",ISNUMBER(MATCH(A31,CustName,0))),IF(ISNUMBER(INDEX(CustLate,MATCH(A31,CustName,0))),INT(INDEX(CustLate,MATCH(A31,CustName,0))),DefLate),DefLate)))</f>
        <v/>
      </c>
      <c r="L31" s="32">
        <f>IF(R31&lt;&gt;1,"",IF(ISNUMBER(H31),INT(H31),J31+K31)+StressDays)</f>
        <v/>
      </c>
      <c r="M31" s="21">
        <f>IF(R31&lt;&gt;1,0,F31-N(G31))</f>
        <v/>
      </c>
      <c r="N31" s="35">
        <f>IF(OR(R31&lt;&gt;1,M31&lt;=0),"",IF(I31="Yes","",IF(L31&lt;W1,IF(OverdueW1="No","",1),IF(L31&lt;=W1+90,INT((L31-W1)/7)+1,""))))</f>
        <v/>
      </c>
      <c r="O31" s="36">
        <f>IF(ISNUMBER(N31),M31*CollectPct,0)</f>
        <v/>
      </c>
      <c r="P31" s="10">
        <f>IF(R31="","",IF(R31=0,"Not counted",IF(M31&lt;=0,"Paid",IF(I31="Yes","Doubtful (left out)",IF(L31&lt;W1,IF(OverdueW1="No","Overdue (left out)","Overdue → Week 1"),IF(L31&lt;=W1+90,"Week "&amp;N31,"After Week 13"))))))</f>
        <v/>
      </c>
      <c r="Q31" s="10">
        <f>IF(R31="","",IF(R31=0,IF(NOT(ISNUMBER(F31)),"Fix: amount missing",IF(F31&lt;=0,"Fix: amount must be above 0",IF(AND(NOT(ISNUMBER(D31)),NOT(ISNUMBER(H31))),"Fix: add an invoice date or a promised date",IF(AND(D31&lt;&gt;"",NOT(ISNUMBER(D31))),"Fix: invoice date isn't a date",IF(AND(E31&lt;&gt;"",NOT(ISNUMBER(E31))),"Fix: terms must be a number",IF(AND(G31&lt;&gt;"",NOT(ISNUMBER(G31))),"Fix: received must be a number",IF(AND(H31&lt;&gt;"",NOT(ISNUMBER(H31))),"Fix: promised date isn't a date","Fix: received is more than the amount"))))))),IF(AND(C31&lt;&gt;"",ISNUMBER(MATCH(C31,InCats,0))),"OK","Category not on Settings (counted as Other)")))</f>
        <v/>
      </c>
      <c r="R31">
        <f>IF(COUNTA(A31:I31)=0,"",IF(AND(ISNUMBER(F31),F31&gt;0,OR(ISNUMBER(D31),ISNUMBER(H31)),OR(D31="",ISNUMBER(D31)),OR(E31="",ISNUMBER(E31)),OR(G31="",ISNUMBER(G31)),OR(H31="",ISNUMBER(H31))),IF(N(G31)&gt;F31,0,1),0))</f>
        <v/>
      </c>
    </row>
    <row r="32">
      <c r="A32" s="29" t="n"/>
      <c r="B32" s="29" t="n"/>
      <c r="C32" s="29" t="n"/>
      <c r="D32" s="24" t="n"/>
      <c r="E32" s="26" t="n"/>
      <c r="F32" s="34" t="n"/>
      <c r="G32" s="34" t="n"/>
      <c r="H32" s="24" t="n"/>
      <c r="I32" s="29" t="n"/>
      <c r="J32" s="32">
        <f>IF(R32&lt;&gt;1,"",IF(ISNUMBER(D32),INT(D32)+IF(ISNUMBER(E32),INT(E32),DefTerms),""))</f>
        <v/>
      </c>
      <c r="K32" s="35">
        <f>IF(R32&lt;&gt;1,"",IF(ISNUMBER(H32),0,IF(AND(A32&lt;&gt;"",ISNUMBER(MATCH(A32,CustName,0))),IF(ISNUMBER(INDEX(CustLate,MATCH(A32,CustName,0))),INT(INDEX(CustLate,MATCH(A32,CustName,0))),DefLate),DefLate)))</f>
        <v/>
      </c>
      <c r="L32" s="32">
        <f>IF(R32&lt;&gt;1,"",IF(ISNUMBER(H32),INT(H32),J32+K32)+StressDays)</f>
        <v/>
      </c>
      <c r="M32" s="21">
        <f>IF(R32&lt;&gt;1,0,F32-N(G32))</f>
        <v/>
      </c>
      <c r="N32" s="35">
        <f>IF(OR(R32&lt;&gt;1,M32&lt;=0),"",IF(I32="Yes","",IF(L32&lt;W1,IF(OverdueW1="No","",1),IF(L32&lt;=W1+90,INT((L32-W1)/7)+1,""))))</f>
        <v/>
      </c>
      <c r="O32" s="36">
        <f>IF(ISNUMBER(N32),M32*CollectPct,0)</f>
        <v/>
      </c>
      <c r="P32" s="10">
        <f>IF(R32="","",IF(R32=0,"Not counted",IF(M32&lt;=0,"Paid",IF(I32="Yes","Doubtful (left out)",IF(L32&lt;W1,IF(OverdueW1="No","Overdue (left out)","Overdue → Week 1"),IF(L32&lt;=W1+90,"Week "&amp;N32,"After Week 13"))))))</f>
        <v/>
      </c>
      <c r="Q32" s="10">
        <f>IF(R32="","",IF(R32=0,IF(NOT(ISNUMBER(F32)),"Fix: amount missing",IF(F32&lt;=0,"Fix: amount must be above 0",IF(AND(NOT(ISNUMBER(D32)),NOT(ISNUMBER(H32))),"Fix: add an invoice date or a promised date",IF(AND(D32&lt;&gt;"",NOT(ISNUMBER(D32))),"Fix: invoice date isn't a date",IF(AND(E32&lt;&gt;"",NOT(ISNUMBER(E32))),"Fix: terms must be a number",IF(AND(G32&lt;&gt;"",NOT(ISNUMBER(G32))),"Fix: received must be a number",IF(AND(H32&lt;&gt;"",NOT(ISNUMBER(H32))),"Fix: promised date isn't a date","Fix: received is more than the amount"))))))),IF(AND(C32&lt;&gt;"",ISNUMBER(MATCH(C32,InCats,0))),"OK","Category not on Settings (counted as Other)")))</f>
        <v/>
      </c>
      <c r="R32">
        <f>IF(COUNTA(A32:I32)=0,"",IF(AND(ISNUMBER(F32),F32&gt;0,OR(ISNUMBER(D32),ISNUMBER(H32)),OR(D32="",ISNUMBER(D32)),OR(E32="",ISNUMBER(E32)),OR(G32="",ISNUMBER(G32)),OR(H32="",ISNUMBER(H32))),IF(N(G32)&gt;F32,0,1),0))</f>
        <v/>
      </c>
    </row>
    <row r="33">
      <c r="A33" s="29" t="n"/>
      <c r="B33" s="29" t="n"/>
      <c r="C33" s="29" t="n"/>
      <c r="D33" s="24" t="n"/>
      <c r="E33" s="26" t="n"/>
      <c r="F33" s="34" t="n"/>
      <c r="G33" s="34" t="n"/>
      <c r="H33" s="24" t="n"/>
      <c r="I33" s="29" t="n"/>
      <c r="J33" s="32">
        <f>IF(R33&lt;&gt;1,"",IF(ISNUMBER(D33),INT(D33)+IF(ISNUMBER(E33),INT(E33),DefTerms),""))</f>
        <v/>
      </c>
      <c r="K33" s="35">
        <f>IF(R33&lt;&gt;1,"",IF(ISNUMBER(H33),0,IF(AND(A33&lt;&gt;"",ISNUMBER(MATCH(A33,CustName,0))),IF(ISNUMBER(INDEX(CustLate,MATCH(A33,CustName,0))),INT(INDEX(CustLate,MATCH(A33,CustName,0))),DefLate),DefLate)))</f>
        <v/>
      </c>
      <c r="L33" s="32">
        <f>IF(R33&lt;&gt;1,"",IF(ISNUMBER(H33),INT(H33),J33+K33)+StressDays)</f>
        <v/>
      </c>
      <c r="M33" s="21">
        <f>IF(R33&lt;&gt;1,0,F33-N(G33))</f>
        <v/>
      </c>
      <c r="N33" s="35">
        <f>IF(OR(R33&lt;&gt;1,M33&lt;=0),"",IF(I33="Yes","",IF(L33&lt;W1,IF(OverdueW1="No","",1),IF(L33&lt;=W1+90,INT((L33-W1)/7)+1,""))))</f>
        <v/>
      </c>
      <c r="O33" s="36">
        <f>IF(ISNUMBER(N33),M33*CollectPct,0)</f>
        <v/>
      </c>
      <c r="P33" s="10">
        <f>IF(R33="","",IF(R33=0,"Not counted",IF(M33&lt;=0,"Paid",IF(I33="Yes","Doubtful (left out)",IF(L33&lt;W1,IF(OverdueW1="No","Overdue (left out)","Overdue → Week 1"),IF(L33&lt;=W1+90,"Week "&amp;N33,"After Week 13"))))))</f>
        <v/>
      </c>
      <c r="Q33" s="10">
        <f>IF(R33="","",IF(R33=0,IF(NOT(ISNUMBER(F33)),"Fix: amount missing",IF(F33&lt;=0,"Fix: amount must be above 0",IF(AND(NOT(ISNUMBER(D33)),NOT(ISNUMBER(H33))),"Fix: add an invoice date or a promised date",IF(AND(D33&lt;&gt;"",NOT(ISNUMBER(D33))),"Fix: invoice date isn't a date",IF(AND(E33&lt;&gt;"",NOT(ISNUMBER(E33))),"Fix: terms must be a number",IF(AND(G33&lt;&gt;"",NOT(ISNUMBER(G33))),"Fix: received must be a number",IF(AND(H33&lt;&gt;"",NOT(ISNUMBER(H33))),"Fix: promised date isn't a date","Fix: received is more than the amount"))))))),IF(AND(C33&lt;&gt;"",ISNUMBER(MATCH(C33,InCats,0))),"OK","Category not on Settings (counted as Other)")))</f>
        <v/>
      </c>
      <c r="R33">
        <f>IF(COUNTA(A33:I33)=0,"",IF(AND(ISNUMBER(F33),F33&gt;0,OR(ISNUMBER(D33),ISNUMBER(H33)),OR(D33="",ISNUMBER(D33)),OR(E33="",ISNUMBER(E33)),OR(G33="",ISNUMBER(G33)),OR(H33="",ISNUMBER(H33))),IF(N(G33)&gt;F33,0,1),0))</f>
        <v/>
      </c>
    </row>
    <row r="34">
      <c r="A34" s="29" t="n"/>
      <c r="B34" s="29" t="n"/>
      <c r="C34" s="29" t="n"/>
      <c r="D34" s="24" t="n"/>
      <c r="E34" s="26" t="n"/>
      <c r="F34" s="34" t="n"/>
      <c r="G34" s="34" t="n"/>
      <c r="H34" s="24" t="n"/>
      <c r="I34" s="29" t="n"/>
      <c r="J34" s="32">
        <f>IF(R34&lt;&gt;1,"",IF(ISNUMBER(D34),INT(D34)+IF(ISNUMBER(E34),INT(E34),DefTerms),""))</f>
        <v/>
      </c>
      <c r="K34" s="35">
        <f>IF(R34&lt;&gt;1,"",IF(ISNUMBER(H34),0,IF(AND(A34&lt;&gt;"",ISNUMBER(MATCH(A34,CustName,0))),IF(ISNUMBER(INDEX(CustLate,MATCH(A34,CustName,0))),INT(INDEX(CustLate,MATCH(A34,CustName,0))),DefLate),DefLate)))</f>
        <v/>
      </c>
      <c r="L34" s="32">
        <f>IF(R34&lt;&gt;1,"",IF(ISNUMBER(H34),INT(H34),J34+K34)+StressDays)</f>
        <v/>
      </c>
      <c r="M34" s="21">
        <f>IF(R34&lt;&gt;1,0,F34-N(G34))</f>
        <v/>
      </c>
      <c r="N34" s="35">
        <f>IF(OR(R34&lt;&gt;1,M34&lt;=0),"",IF(I34="Yes","",IF(L34&lt;W1,IF(OverdueW1="No","",1),IF(L34&lt;=W1+90,INT((L34-W1)/7)+1,""))))</f>
        <v/>
      </c>
      <c r="O34" s="36">
        <f>IF(ISNUMBER(N34),M34*CollectPct,0)</f>
        <v/>
      </c>
      <c r="P34" s="10">
        <f>IF(R34="","",IF(R34=0,"Not counted",IF(M34&lt;=0,"Paid",IF(I34="Yes","Doubtful (left out)",IF(L34&lt;W1,IF(OverdueW1="No","Overdue (left out)","Overdue → Week 1"),IF(L34&lt;=W1+90,"Week "&amp;N34,"After Week 13"))))))</f>
        <v/>
      </c>
      <c r="Q34" s="10">
        <f>IF(R34="","",IF(R34=0,IF(NOT(ISNUMBER(F34)),"Fix: amount missing",IF(F34&lt;=0,"Fix: amount must be above 0",IF(AND(NOT(ISNUMBER(D34)),NOT(ISNUMBER(H34))),"Fix: add an invoice date or a promised date",IF(AND(D34&lt;&gt;"",NOT(ISNUMBER(D34))),"Fix: invoice date isn't a date",IF(AND(E34&lt;&gt;"",NOT(ISNUMBER(E34))),"Fix: terms must be a number",IF(AND(G34&lt;&gt;"",NOT(ISNUMBER(G34))),"Fix: received must be a number",IF(AND(H34&lt;&gt;"",NOT(ISNUMBER(H34))),"Fix: promised date isn't a date","Fix: received is more than the amount"))))))),IF(AND(C34&lt;&gt;"",ISNUMBER(MATCH(C34,InCats,0))),"OK","Category not on Settings (counted as Other)")))</f>
        <v/>
      </c>
      <c r="R34">
        <f>IF(COUNTA(A34:I34)=0,"",IF(AND(ISNUMBER(F34),F34&gt;0,OR(ISNUMBER(D34),ISNUMBER(H34)),OR(D34="",ISNUMBER(D34)),OR(E34="",ISNUMBER(E34)),OR(G34="",ISNUMBER(G34)),OR(H34="",ISNUMBER(H34))),IF(N(G34)&gt;F34,0,1),0))</f>
        <v/>
      </c>
    </row>
    <row r="35">
      <c r="A35" s="29" t="n"/>
      <c r="B35" s="29" t="n"/>
      <c r="C35" s="29" t="n"/>
      <c r="D35" s="24" t="n"/>
      <c r="E35" s="26" t="n"/>
      <c r="F35" s="34" t="n"/>
      <c r="G35" s="34" t="n"/>
      <c r="H35" s="24" t="n"/>
      <c r="I35" s="29" t="n"/>
      <c r="J35" s="32">
        <f>IF(R35&lt;&gt;1,"",IF(ISNUMBER(D35),INT(D35)+IF(ISNUMBER(E35),INT(E35),DefTerms),""))</f>
        <v/>
      </c>
      <c r="K35" s="35">
        <f>IF(R35&lt;&gt;1,"",IF(ISNUMBER(H35),0,IF(AND(A35&lt;&gt;"",ISNUMBER(MATCH(A35,CustName,0))),IF(ISNUMBER(INDEX(CustLate,MATCH(A35,CustName,0))),INT(INDEX(CustLate,MATCH(A35,CustName,0))),DefLate),DefLate)))</f>
        <v/>
      </c>
      <c r="L35" s="32">
        <f>IF(R35&lt;&gt;1,"",IF(ISNUMBER(H35),INT(H35),J35+K35)+StressDays)</f>
        <v/>
      </c>
      <c r="M35" s="21">
        <f>IF(R35&lt;&gt;1,0,F35-N(G35))</f>
        <v/>
      </c>
      <c r="N35" s="35">
        <f>IF(OR(R35&lt;&gt;1,M35&lt;=0),"",IF(I35="Yes","",IF(L35&lt;W1,IF(OverdueW1="No","",1),IF(L35&lt;=W1+90,INT((L35-W1)/7)+1,""))))</f>
        <v/>
      </c>
      <c r="O35" s="36">
        <f>IF(ISNUMBER(N35),M35*CollectPct,0)</f>
        <v/>
      </c>
      <c r="P35" s="10">
        <f>IF(R35="","",IF(R35=0,"Not counted",IF(M35&lt;=0,"Paid",IF(I35="Yes","Doubtful (left out)",IF(L35&lt;W1,IF(OverdueW1="No","Overdue (left out)","Overdue → Week 1"),IF(L35&lt;=W1+90,"Week "&amp;N35,"After Week 13"))))))</f>
        <v/>
      </c>
      <c r="Q35" s="10">
        <f>IF(R35="","",IF(R35=0,IF(NOT(ISNUMBER(F35)),"Fix: amount missing",IF(F35&lt;=0,"Fix: amount must be above 0",IF(AND(NOT(ISNUMBER(D35)),NOT(ISNUMBER(H35))),"Fix: add an invoice date or a promised date",IF(AND(D35&lt;&gt;"",NOT(ISNUMBER(D35))),"Fix: invoice date isn't a date",IF(AND(E35&lt;&gt;"",NOT(ISNUMBER(E35))),"Fix: terms must be a number",IF(AND(G35&lt;&gt;"",NOT(ISNUMBER(G35))),"Fix: received must be a number",IF(AND(H35&lt;&gt;"",NOT(ISNUMBER(H35))),"Fix: promised date isn't a date","Fix: received is more than the amount"))))))),IF(AND(C35&lt;&gt;"",ISNUMBER(MATCH(C35,InCats,0))),"OK","Category not on Settings (counted as Other)")))</f>
        <v/>
      </c>
      <c r="R35">
        <f>IF(COUNTA(A35:I35)=0,"",IF(AND(ISNUMBER(F35),F35&gt;0,OR(ISNUMBER(D35),ISNUMBER(H35)),OR(D35="",ISNUMBER(D35)),OR(E35="",ISNUMBER(E35)),OR(G35="",ISNUMBER(G35)),OR(H35="",ISNUMBER(H35))),IF(N(G35)&gt;F35,0,1),0))</f>
        <v/>
      </c>
    </row>
    <row r="36">
      <c r="A36" s="29" t="n"/>
      <c r="B36" s="29" t="n"/>
      <c r="C36" s="29" t="n"/>
      <c r="D36" s="24" t="n"/>
      <c r="E36" s="26" t="n"/>
      <c r="F36" s="34" t="n"/>
      <c r="G36" s="34" t="n"/>
      <c r="H36" s="24" t="n"/>
      <c r="I36" s="29" t="n"/>
      <c r="J36" s="32">
        <f>IF(R36&lt;&gt;1,"",IF(ISNUMBER(D36),INT(D36)+IF(ISNUMBER(E36),INT(E36),DefTerms),""))</f>
        <v/>
      </c>
      <c r="K36" s="35">
        <f>IF(R36&lt;&gt;1,"",IF(ISNUMBER(H36),0,IF(AND(A36&lt;&gt;"",ISNUMBER(MATCH(A36,CustName,0))),IF(ISNUMBER(INDEX(CustLate,MATCH(A36,CustName,0))),INT(INDEX(CustLate,MATCH(A36,CustName,0))),DefLate),DefLate)))</f>
        <v/>
      </c>
      <c r="L36" s="32">
        <f>IF(R36&lt;&gt;1,"",IF(ISNUMBER(H36),INT(H36),J36+K36)+StressDays)</f>
        <v/>
      </c>
      <c r="M36" s="21">
        <f>IF(R36&lt;&gt;1,0,F36-N(G36))</f>
        <v/>
      </c>
      <c r="N36" s="35">
        <f>IF(OR(R36&lt;&gt;1,M36&lt;=0),"",IF(I36="Yes","",IF(L36&lt;W1,IF(OverdueW1="No","",1),IF(L36&lt;=W1+90,INT((L36-W1)/7)+1,""))))</f>
        <v/>
      </c>
      <c r="O36" s="36">
        <f>IF(ISNUMBER(N36),M36*CollectPct,0)</f>
        <v/>
      </c>
      <c r="P36" s="10">
        <f>IF(R36="","",IF(R36=0,"Not counted",IF(M36&lt;=0,"Paid",IF(I36="Yes","Doubtful (left out)",IF(L36&lt;W1,IF(OverdueW1="No","Overdue (left out)","Overdue → Week 1"),IF(L36&lt;=W1+90,"Week "&amp;N36,"After Week 13"))))))</f>
        <v/>
      </c>
      <c r="Q36" s="10">
        <f>IF(R36="","",IF(R36=0,IF(NOT(ISNUMBER(F36)),"Fix: amount missing",IF(F36&lt;=0,"Fix: amount must be above 0",IF(AND(NOT(ISNUMBER(D36)),NOT(ISNUMBER(H36))),"Fix: add an invoice date or a promised date",IF(AND(D36&lt;&gt;"",NOT(ISNUMBER(D36))),"Fix: invoice date isn't a date",IF(AND(E36&lt;&gt;"",NOT(ISNUMBER(E36))),"Fix: terms must be a number",IF(AND(G36&lt;&gt;"",NOT(ISNUMBER(G36))),"Fix: received must be a number",IF(AND(H36&lt;&gt;"",NOT(ISNUMBER(H36))),"Fix: promised date isn't a date","Fix: received is more than the amount"))))))),IF(AND(C36&lt;&gt;"",ISNUMBER(MATCH(C36,InCats,0))),"OK","Category not on Settings (counted as Other)")))</f>
        <v/>
      </c>
      <c r="R36">
        <f>IF(COUNTA(A36:I36)=0,"",IF(AND(ISNUMBER(F36),F36&gt;0,OR(ISNUMBER(D36),ISNUMBER(H36)),OR(D36="",ISNUMBER(D36)),OR(E36="",ISNUMBER(E36)),OR(G36="",ISNUMBER(G36)),OR(H36="",ISNUMBER(H36))),IF(N(G36)&gt;F36,0,1),0))</f>
        <v/>
      </c>
    </row>
    <row r="37">
      <c r="A37" s="29" t="n"/>
      <c r="B37" s="29" t="n"/>
      <c r="C37" s="29" t="n"/>
      <c r="D37" s="24" t="n"/>
      <c r="E37" s="26" t="n"/>
      <c r="F37" s="34" t="n"/>
      <c r="G37" s="34" t="n"/>
      <c r="H37" s="24" t="n"/>
      <c r="I37" s="29" t="n"/>
      <c r="J37" s="32">
        <f>IF(R37&lt;&gt;1,"",IF(ISNUMBER(D37),INT(D37)+IF(ISNUMBER(E37),INT(E37),DefTerms),""))</f>
        <v/>
      </c>
      <c r="K37" s="35">
        <f>IF(R37&lt;&gt;1,"",IF(ISNUMBER(H37),0,IF(AND(A37&lt;&gt;"",ISNUMBER(MATCH(A37,CustName,0))),IF(ISNUMBER(INDEX(CustLate,MATCH(A37,CustName,0))),INT(INDEX(CustLate,MATCH(A37,CustName,0))),DefLate),DefLate)))</f>
        <v/>
      </c>
      <c r="L37" s="32">
        <f>IF(R37&lt;&gt;1,"",IF(ISNUMBER(H37),INT(H37),J37+K37)+StressDays)</f>
        <v/>
      </c>
      <c r="M37" s="21">
        <f>IF(R37&lt;&gt;1,0,F37-N(G37))</f>
        <v/>
      </c>
      <c r="N37" s="35">
        <f>IF(OR(R37&lt;&gt;1,M37&lt;=0),"",IF(I37="Yes","",IF(L37&lt;W1,IF(OverdueW1="No","",1),IF(L37&lt;=W1+90,INT((L37-W1)/7)+1,""))))</f>
        <v/>
      </c>
      <c r="O37" s="36">
        <f>IF(ISNUMBER(N37),M37*CollectPct,0)</f>
        <v/>
      </c>
      <c r="P37" s="10">
        <f>IF(R37="","",IF(R37=0,"Not counted",IF(M37&lt;=0,"Paid",IF(I37="Yes","Doubtful (left out)",IF(L37&lt;W1,IF(OverdueW1="No","Overdue (left out)","Overdue → Week 1"),IF(L37&lt;=W1+90,"Week "&amp;N37,"After Week 13"))))))</f>
        <v/>
      </c>
      <c r="Q37" s="10">
        <f>IF(R37="","",IF(R37=0,IF(NOT(ISNUMBER(F37)),"Fix: amount missing",IF(F37&lt;=0,"Fix: amount must be above 0",IF(AND(NOT(ISNUMBER(D37)),NOT(ISNUMBER(H37))),"Fix: add an invoice date or a promised date",IF(AND(D37&lt;&gt;"",NOT(ISNUMBER(D37))),"Fix: invoice date isn't a date",IF(AND(E37&lt;&gt;"",NOT(ISNUMBER(E37))),"Fix: terms must be a number",IF(AND(G37&lt;&gt;"",NOT(ISNUMBER(G37))),"Fix: received must be a number",IF(AND(H37&lt;&gt;"",NOT(ISNUMBER(H37))),"Fix: promised date isn't a date","Fix: received is more than the amount"))))))),IF(AND(C37&lt;&gt;"",ISNUMBER(MATCH(C37,InCats,0))),"OK","Category not on Settings (counted as Other)")))</f>
        <v/>
      </c>
      <c r="R37">
        <f>IF(COUNTA(A37:I37)=0,"",IF(AND(ISNUMBER(F37),F37&gt;0,OR(ISNUMBER(D37),ISNUMBER(H37)),OR(D37="",ISNUMBER(D37)),OR(E37="",ISNUMBER(E37)),OR(G37="",ISNUMBER(G37)),OR(H37="",ISNUMBER(H37))),IF(N(G37)&gt;F37,0,1),0))</f>
        <v/>
      </c>
    </row>
    <row r="38">
      <c r="A38" s="29" t="n"/>
      <c r="B38" s="29" t="n"/>
      <c r="C38" s="29" t="n"/>
      <c r="D38" s="24" t="n"/>
      <c r="E38" s="26" t="n"/>
      <c r="F38" s="34" t="n"/>
      <c r="G38" s="34" t="n"/>
      <c r="H38" s="24" t="n"/>
      <c r="I38" s="29" t="n"/>
      <c r="J38" s="32">
        <f>IF(R38&lt;&gt;1,"",IF(ISNUMBER(D38),INT(D38)+IF(ISNUMBER(E38),INT(E38),DefTerms),""))</f>
        <v/>
      </c>
      <c r="K38" s="35">
        <f>IF(R38&lt;&gt;1,"",IF(ISNUMBER(H38),0,IF(AND(A38&lt;&gt;"",ISNUMBER(MATCH(A38,CustName,0))),IF(ISNUMBER(INDEX(CustLate,MATCH(A38,CustName,0))),INT(INDEX(CustLate,MATCH(A38,CustName,0))),DefLate),DefLate)))</f>
        <v/>
      </c>
      <c r="L38" s="32">
        <f>IF(R38&lt;&gt;1,"",IF(ISNUMBER(H38),INT(H38),J38+K38)+StressDays)</f>
        <v/>
      </c>
      <c r="M38" s="21">
        <f>IF(R38&lt;&gt;1,0,F38-N(G38))</f>
        <v/>
      </c>
      <c r="N38" s="35">
        <f>IF(OR(R38&lt;&gt;1,M38&lt;=0),"",IF(I38="Yes","",IF(L38&lt;W1,IF(OverdueW1="No","",1),IF(L38&lt;=W1+90,INT((L38-W1)/7)+1,""))))</f>
        <v/>
      </c>
      <c r="O38" s="36">
        <f>IF(ISNUMBER(N38),M38*CollectPct,0)</f>
        <v/>
      </c>
      <c r="P38" s="10">
        <f>IF(R38="","",IF(R38=0,"Not counted",IF(M38&lt;=0,"Paid",IF(I38="Yes","Doubtful (left out)",IF(L38&lt;W1,IF(OverdueW1="No","Overdue (left out)","Overdue → Week 1"),IF(L38&lt;=W1+90,"Week "&amp;N38,"After Week 13"))))))</f>
        <v/>
      </c>
      <c r="Q38" s="10">
        <f>IF(R38="","",IF(R38=0,IF(NOT(ISNUMBER(F38)),"Fix: amount missing",IF(F38&lt;=0,"Fix: amount must be above 0",IF(AND(NOT(ISNUMBER(D38)),NOT(ISNUMBER(H38))),"Fix: add an invoice date or a promised date",IF(AND(D38&lt;&gt;"",NOT(ISNUMBER(D38))),"Fix: invoice date isn't a date",IF(AND(E38&lt;&gt;"",NOT(ISNUMBER(E38))),"Fix: terms must be a number",IF(AND(G38&lt;&gt;"",NOT(ISNUMBER(G38))),"Fix: received must be a number",IF(AND(H38&lt;&gt;"",NOT(ISNUMBER(H38))),"Fix: promised date isn't a date","Fix: received is more than the amount"))))))),IF(AND(C38&lt;&gt;"",ISNUMBER(MATCH(C38,InCats,0))),"OK","Category not on Settings (counted as Other)")))</f>
        <v/>
      </c>
      <c r="R38">
        <f>IF(COUNTA(A38:I38)=0,"",IF(AND(ISNUMBER(F38),F38&gt;0,OR(ISNUMBER(D38),ISNUMBER(H38)),OR(D38="",ISNUMBER(D38)),OR(E38="",ISNUMBER(E38)),OR(G38="",ISNUMBER(G38)),OR(H38="",ISNUMBER(H38))),IF(N(G38)&gt;F38,0,1),0))</f>
        <v/>
      </c>
    </row>
    <row r="39">
      <c r="A39" s="29" t="n"/>
      <c r="B39" s="29" t="n"/>
      <c r="C39" s="29" t="n"/>
      <c r="D39" s="24" t="n"/>
      <c r="E39" s="26" t="n"/>
      <c r="F39" s="34" t="n"/>
      <c r="G39" s="34" t="n"/>
      <c r="H39" s="24" t="n"/>
      <c r="I39" s="29" t="n"/>
      <c r="J39" s="32">
        <f>IF(R39&lt;&gt;1,"",IF(ISNUMBER(D39),INT(D39)+IF(ISNUMBER(E39),INT(E39),DefTerms),""))</f>
        <v/>
      </c>
      <c r="K39" s="35">
        <f>IF(R39&lt;&gt;1,"",IF(ISNUMBER(H39),0,IF(AND(A39&lt;&gt;"",ISNUMBER(MATCH(A39,CustName,0))),IF(ISNUMBER(INDEX(CustLate,MATCH(A39,CustName,0))),INT(INDEX(CustLate,MATCH(A39,CustName,0))),DefLate),DefLate)))</f>
        <v/>
      </c>
      <c r="L39" s="32">
        <f>IF(R39&lt;&gt;1,"",IF(ISNUMBER(H39),INT(H39),J39+K39)+StressDays)</f>
        <v/>
      </c>
      <c r="M39" s="21">
        <f>IF(R39&lt;&gt;1,0,F39-N(G39))</f>
        <v/>
      </c>
      <c r="N39" s="35">
        <f>IF(OR(R39&lt;&gt;1,M39&lt;=0),"",IF(I39="Yes","",IF(L39&lt;W1,IF(OverdueW1="No","",1),IF(L39&lt;=W1+90,INT((L39-W1)/7)+1,""))))</f>
        <v/>
      </c>
      <c r="O39" s="36">
        <f>IF(ISNUMBER(N39),M39*CollectPct,0)</f>
        <v/>
      </c>
      <c r="P39" s="10">
        <f>IF(R39="","",IF(R39=0,"Not counted",IF(M39&lt;=0,"Paid",IF(I39="Yes","Doubtful (left out)",IF(L39&lt;W1,IF(OverdueW1="No","Overdue (left out)","Overdue → Week 1"),IF(L39&lt;=W1+90,"Week "&amp;N39,"After Week 13"))))))</f>
        <v/>
      </c>
      <c r="Q39" s="10">
        <f>IF(R39="","",IF(R39=0,IF(NOT(ISNUMBER(F39)),"Fix: amount missing",IF(F39&lt;=0,"Fix: amount must be above 0",IF(AND(NOT(ISNUMBER(D39)),NOT(ISNUMBER(H39))),"Fix: add an invoice date or a promised date",IF(AND(D39&lt;&gt;"",NOT(ISNUMBER(D39))),"Fix: invoice date isn't a date",IF(AND(E39&lt;&gt;"",NOT(ISNUMBER(E39))),"Fix: terms must be a number",IF(AND(G39&lt;&gt;"",NOT(ISNUMBER(G39))),"Fix: received must be a number",IF(AND(H39&lt;&gt;"",NOT(ISNUMBER(H39))),"Fix: promised date isn't a date","Fix: received is more than the amount"))))))),IF(AND(C39&lt;&gt;"",ISNUMBER(MATCH(C39,InCats,0))),"OK","Category not on Settings (counted as Other)")))</f>
        <v/>
      </c>
      <c r="R39">
        <f>IF(COUNTA(A39:I39)=0,"",IF(AND(ISNUMBER(F39),F39&gt;0,OR(ISNUMBER(D39),ISNUMBER(H39)),OR(D39="",ISNUMBER(D39)),OR(E39="",ISNUMBER(E39)),OR(G39="",ISNUMBER(G39)),OR(H39="",ISNUMBER(H39))),IF(N(G39)&gt;F39,0,1),0))</f>
        <v/>
      </c>
    </row>
    <row r="40">
      <c r="A40" s="29" t="n"/>
      <c r="B40" s="29" t="n"/>
      <c r="C40" s="29" t="n"/>
      <c r="D40" s="24" t="n"/>
      <c r="E40" s="26" t="n"/>
      <c r="F40" s="34" t="n"/>
      <c r="G40" s="34" t="n"/>
      <c r="H40" s="24" t="n"/>
      <c r="I40" s="29" t="n"/>
      <c r="J40" s="32">
        <f>IF(R40&lt;&gt;1,"",IF(ISNUMBER(D40),INT(D40)+IF(ISNUMBER(E40),INT(E40),DefTerms),""))</f>
        <v/>
      </c>
      <c r="K40" s="35">
        <f>IF(R40&lt;&gt;1,"",IF(ISNUMBER(H40),0,IF(AND(A40&lt;&gt;"",ISNUMBER(MATCH(A40,CustName,0))),IF(ISNUMBER(INDEX(CustLate,MATCH(A40,CustName,0))),INT(INDEX(CustLate,MATCH(A40,CustName,0))),DefLate),DefLate)))</f>
        <v/>
      </c>
      <c r="L40" s="32">
        <f>IF(R40&lt;&gt;1,"",IF(ISNUMBER(H40),INT(H40),J40+K40)+StressDays)</f>
        <v/>
      </c>
      <c r="M40" s="21">
        <f>IF(R40&lt;&gt;1,0,F40-N(G40))</f>
        <v/>
      </c>
      <c r="N40" s="35">
        <f>IF(OR(R40&lt;&gt;1,M40&lt;=0),"",IF(I40="Yes","",IF(L40&lt;W1,IF(OverdueW1="No","",1),IF(L40&lt;=W1+90,INT((L40-W1)/7)+1,""))))</f>
        <v/>
      </c>
      <c r="O40" s="36">
        <f>IF(ISNUMBER(N40),M40*CollectPct,0)</f>
        <v/>
      </c>
      <c r="P40" s="10">
        <f>IF(R40="","",IF(R40=0,"Not counted",IF(M40&lt;=0,"Paid",IF(I40="Yes","Doubtful (left out)",IF(L40&lt;W1,IF(OverdueW1="No","Overdue (left out)","Overdue → Week 1"),IF(L40&lt;=W1+90,"Week "&amp;N40,"After Week 13"))))))</f>
        <v/>
      </c>
      <c r="Q40" s="10">
        <f>IF(R40="","",IF(R40=0,IF(NOT(ISNUMBER(F40)),"Fix: amount missing",IF(F40&lt;=0,"Fix: amount must be above 0",IF(AND(NOT(ISNUMBER(D40)),NOT(ISNUMBER(H40))),"Fix: add an invoice date or a promised date",IF(AND(D40&lt;&gt;"",NOT(ISNUMBER(D40))),"Fix: invoice date isn't a date",IF(AND(E40&lt;&gt;"",NOT(ISNUMBER(E40))),"Fix: terms must be a number",IF(AND(G40&lt;&gt;"",NOT(ISNUMBER(G40))),"Fix: received must be a number",IF(AND(H40&lt;&gt;"",NOT(ISNUMBER(H40))),"Fix: promised date isn't a date","Fix: received is more than the amount"))))))),IF(AND(C40&lt;&gt;"",ISNUMBER(MATCH(C40,InCats,0))),"OK","Category not on Settings (counted as Other)")))</f>
        <v/>
      </c>
      <c r="R40">
        <f>IF(COUNTA(A40:I40)=0,"",IF(AND(ISNUMBER(F40),F40&gt;0,OR(ISNUMBER(D40),ISNUMBER(H40)),OR(D40="",ISNUMBER(D40)),OR(E40="",ISNUMBER(E40)),OR(G40="",ISNUMBER(G40)),OR(H40="",ISNUMBER(H40))),IF(N(G40)&gt;F40,0,1),0))</f>
        <v/>
      </c>
    </row>
    <row r="41">
      <c r="A41" s="29" t="n"/>
      <c r="B41" s="29" t="n"/>
      <c r="C41" s="29" t="n"/>
      <c r="D41" s="24" t="n"/>
      <c r="E41" s="26" t="n"/>
      <c r="F41" s="34" t="n"/>
      <c r="G41" s="34" t="n"/>
      <c r="H41" s="24" t="n"/>
      <c r="I41" s="29" t="n"/>
      <c r="J41" s="32">
        <f>IF(R41&lt;&gt;1,"",IF(ISNUMBER(D41),INT(D41)+IF(ISNUMBER(E41),INT(E41),DefTerms),""))</f>
        <v/>
      </c>
      <c r="K41" s="35">
        <f>IF(R41&lt;&gt;1,"",IF(ISNUMBER(H41),0,IF(AND(A41&lt;&gt;"",ISNUMBER(MATCH(A41,CustName,0))),IF(ISNUMBER(INDEX(CustLate,MATCH(A41,CustName,0))),INT(INDEX(CustLate,MATCH(A41,CustName,0))),DefLate),DefLate)))</f>
        <v/>
      </c>
      <c r="L41" s="32">
        <f>IF(R41&lt;&gt;1,"",IF(ISNUMBER(H41),INT(H41),J41+K41)+StressDays)</f>
        <v/>
      </c>
      <c r="M41" s="21">
        <f>IF(R41&lt;&gt;1,0,F41-N(G41))</f>
        <v/>
      </c>
      <c r="N41" s="35">
        <f>IF(OR(R41&lt;&gt;1,M41&lt;=0),"",IF(I41="Yes","",IF(L41&lt;W1,IF(OverdueW1="No","",1),IF(L41&lt;=W1+90,INT((L41-W1)/7)+1,""))))</f>
        <v/>
      </c>
      <c r="O41" s="36">
        <f>IF(ISNUMBER(N41),M41*CollectPct,0)</f>
        <v/>
      </c>
      <c r="P41" s="10">
        <f>IF(R41="","",IF(R41=0,"Not counted",IF(M41&lt;=0,"Paid",IF(I41="Yes","Doubtful (left out)",IF(L41&lt;W1,IF(OverdueW1="No","Overdue (left out)","Overdue → Week 1"),IF(L41&lt;=W1+90,"Week "&amp;N41,"After Week 13"))))))</f>
        <v/>
      </c>
      <c r="Q41" s="10">
        <f>IF(R41="","",IF(R41=0,IF(NOT(ISNUMBER(F41)),"Fix: amount missing",IF(F41&lt;=0,"Fix: amount must be above 0",IF(AND(NOT(ISNUMBER(D41)),NOT(ISNUMBER(H41))),"Fix: add an invoice date or a promised date",IF(AND(D41&lt;&gt;"",NOT(ISNUMBER(D41))),"Fix: invoice date isn't a date",IF(AND(E41&lt;&gt;"",NOT(ISNUMBER(E41))),"Fix: terms must be a number",IF(AND(G41&lt;&gt;"",NOT(ISNUMBER(G41))),"Fix: received must be a number",IF(AND(H41&lt;&gt;"",NOT(ISNUMBER(H41))),"Fix: promised date isn't a date","Fix: received is more than the amount"))))))),IF(AND(C41&lt;&gt;"",ISNUMBER(MATCH(C41,InCats,0))),"OK","Category not on Settings (counted as Other)")))</f>
        <v/>
      </c>
      <c r="R41">
        <f>IF(COUNTA(A41:I41)=0,"",IF(AND(ISNUMBER(F41),F41&gt;0,OR(ISNUMBER(D41),ISNUMBER(H41)),OR(D41="",ISNUMBER(D41)),OR(E41="",ISNUMBER(E41)),OR(G41="",ISNUMBER(G41)),OR(H41="",ISNUMBER(H41))),IF(N(G41)&gt;F41,0,1),0))</f>
        <v/>
      </c>
    </row>
    <row r="42">
      <c r="A42" s="29" t="n"/>
      <c r="B42" s="29" t="n"/>
      <c r="C42" s="29" t="n"/>
      <c r="D42" s="24" t="n"/>
      <c r="E42" s="26" t="n"/>
      <c r="F42" s="34" t="n"/>
      <c r="G42" s="34" t="n"/>
      <c r="H42" s="24" t="n"/>
      <c r="I42" s="29" t="n"/>
      <c r="J42" s="32">
        <f>IF(R42&lt;&gt;1,"",IF(ISNUMBER(D42),INT(D42)+IF(ISNUMBER(E42),INT(E42),DefTerms),""))</f>
        <v/>
      </c>
      <c r="K42" s="35">
        <f>IF(R42&lt;&gt;1,"",IF(ISNUMBER(H42),0,IF(AND(A42&lt;&gt;"",ISNUMBER(MATCH(A42,CustName,0))),IF(ISNUMBER(INDEX(CustLate,MATCH(A42,CustName,0))),INT(INDEX(CustLate,MATCH(A42,CustName,0))),DefLate),DefLate)))</f>
        <v/>
      </c>
      <c r="L42" s="32">
        <f>IF(R42&lt;&gt;1,"",IF(ISNUMBER(H42),INT(H42),J42+K42)+StressDays)</f>
        <v/>
      </c>
      <c r="M42" s="21">
        <f>IF(R42&lt;&gt;1,0,F42-N(G42))</f>
        <v/>
      </c>
      <c r="N42" s="35">
        <f>IF(OR(R42&lt;&gt;1,M42&lt;=0),"",IF(I42="Yes","",IF(L42&lt;W1,IF(OverdueW1="No","",1),IF(L42&lt;=W1+90,INT((L42-W1)/7)+1,""))))</f>
        <v/>
      </c>
      <c r="O42" s="36">
        <f>IF(ISNUMBER(N42),M42*CollectPct,0)</f>
        <v/>
      </c>
      <c r="P42" s="10">
        <f>IF(R42="","",IF(R42=0,"Not counted",IF(M42&lt;=0,"Paid",IF(I42="Yes","Doubtful (left out)",IF(L42&lt;W1,IF(OverdueW1="No","Overdue (left out)","Overdue → Week 1"),IF(L42&lt;=W1+90,"Week "&amp;N42,"After Week 13"))))))</f>
        <v/>
      </c>
      <c r="Q42" s="10">
        <f>IF(R42="","",IF(R42=0,IF(NOT(ISNUMBER(F42)),"Fix: amount missing",IF(F42&lt;=0,"Fix: amount must be above 0",IF(AND(NOT(ISNUMBER(D42)),NOT(ISNUMBER(H42))),"Fix: add an invoice date or a promised date",IF(AND(D42&lt;&gt;"",NOT(ISNUMBER(D42))),"Fix: invoice date isn't a date",IF(AND(E42&lt;&gt;"",NOT(ISNUMBER(E42))),"Fix: terms must be a number",IF(AND(G42&lt;&gt;"",NOT(ISNUMBER(G42))),"Fix: received must be a number",IF(AND(H42&lt;&gt;"",NOT(ISNUMBER(H42))),"Fix: promised date isn't a date","Fix: received is more than the amount"))))))),IF(AND(C42&lt;&gt;"",ISNUMBER(MATCH(C42,InCats,0))),"OK","Category not on Settings (counted as Other)")))</f>
        <v/>
      </c>
      <c r="R42">
        <f>IF(COUNTA(A42:I42)=0,"",IF(AND(ISNUMBER(F42),F42&gt;0,OR(ISNUMBER(D42),ISNUMBER(H42)),OR(D42="",ISNUMBER(D42)),OR(E42="",ISNUMBER(E42)),OR(G42="",ISNUMBER(G42)),OR(H42="",ISNUMBER(H42))),IF(N(G42)&gt;F42,0,1),0))</f>
        <v/>
      </c>
    </row>
    <row r="43">
      <c r="A43" s="29" t="n"/>
      <c r="B43" s="29" t="n"/>
      <c r="C43" s="29" t="n"/>
      <c r="D43" s="24" t="n"/>
      <c r="E43" s="26" t="n"/>
      <c r="F43" s="34" t="n"/>
      <c r="G43" s="34" t="n"/>
      <c r="H43" s="24" t="n"/>
      <c r="I43" s="29" t="n"/>
      <c r="J43" s="32">
        <f>IF(R43&lt;&gt;1,"",IF(ISNUMBER(D43),INT(D43)+IF(ISNUMBER(E43),INT(E43),DefTerms),""))</f>
        <v/>
      </c>
      <c r="K43" s="35">
        <f>IF(R43&lt;&gt;1,"",IF(ISNUMBER(H43),0,IF(AND(A43&lt;&gt;"",ISNUMBER(MATCH(A43,CustName,0))),IF(ISNUMBER(INDEX(CustLate,MATCH(A43,CustName,0))),INT(INDEX(CustLate,MATCH(A43,CustName,0))),DefLate),DefLate)))</f>
        <v/>
      </c>
      <c r="L43" s="32">
        <f>IF(R43&lt;&gt;1,"",IF(ISNUMBER(H43),INT(H43),J43+K43)+StressDays)</f>
        <v/>
      </c>
      <c r="M43" s="21">
        <f>IF(R43&lt;&gt;1,0,F43-N(G43))</f>
        <v/>
      </c>
      <c r="N43" s="35">
        <f>IF(OR(R43&lt;&gt;1,M43&lt;=0),"",IF(I43="Yes","",IF(L43&lt;W1,IF(OverdueW1="No","",1),IF(L43&lt;=W1+90,INT((L43-W1)/7)+1,""))))</f>
        <v/>
      </c>
      <c r="O43" s="36">
        <f>IF(ISNUMBER(N43),M43*CollectPct,0)</f>
        <v/>
      </c>
      <c r="P43" s="10">
        <f>IF(R43="","",IF(R43=0,"Not counted",IF(M43&lt;=0,"Paid",IF(I43="Yes","Doubtful (left out)",IF(L43&lt;W1,IF(OverdueW1="No","Overdue (left out)","Overdue → Week 1"),IF(L43&lt;=W1+90,"Week "&amp;N43,"After Week 13"))))))</f>
        <v/>
      </c>
      <c r="Q43" s="10">
        <f>IF(R43="","",IF(R43=0,IF(NOT(ISNUMBER(F43)),"Fix: amount missing",IF(F43&lt;=0,"Fix: amount must be above 0",IF(AND(NOT(ISNUMBER(D43)),NOT(ISNUMBER(H43))),"Fix: add an invoice date or a promised date",IF(AND(D43&lt;&gt;"",NOT(ISNUMBER(D43))),"Fix: invoice date isn't a date",IF(AND(E43&lt;&gt;"",NOT(ISNUMBER(E43))),"Fix: terms must be a number",IF(AND(G43&lt;&gt;"",NOT(ISNUMBER(G43))),"Fix: received must be a number",IF(AND(H43&lt;&gt;"",NOT(ISNUMBER(H43))),"Fix: promised date isn't a date","Fix: received is more than the amount"))))))),IF(AND(C43&lt;&gt;"",ISNUMBER(MATCH(C43,InCats,0))),"OK","Category not on Settings (counted as Other)")))</f>
        <v/>
      </c>
      <c r="R43">
        <f>IF(COUNTA(A43:I43)=0,"",IF(AND(ISNUMBER(F43),F43&gt;0,OR(ISNUMBER(D43),ISNUMBER(H43)),OR(D43="",ISNUMBER(D43)),OR(E43="",ISNUMBER(E43)),OR(G43="",ISNUMBER(G43)),OR(H43="",ISNUMBER(H43))),IF(N(G43)&gt;F43,0,1),0))</f>
        <v/>
      </c>
    </row>
    <row r="44">
      <c r="A44" s="29" t="n"/>
      <c r="B44" s="29" t="n"/>
      <c r="C44" s="29" t="n"/>
      <c r="D44" s="24" t="n"/>
      <c r="E44" s="26" t="n"/>
      <c r="F44" s="34" t="n"/>
      <c r="G44" s="34" t="n"/>
      <c r="H44" s="24" t="n"/>
      <c r="I44" s="29" t="n"/>
      <c r="J44" s="32">
        <f>IF(R44&lt;&gt;1,"",IF(ISNUMBER(D44),INT(D44)+IF(ISNUMBER(E44),INT(E44),DefTerms),""))</f>
        <v/>
      </c>
      <c r="K44" s="35">
        <f>IF(R44&lt;&gt;1,"",IF(ISNUMBER(H44),0,IF(AND(A44&lt;&gt;"",ISNUMBER(MATCH(A44,CustName,0))),IF(ISNUMBER(INDEX(CustLate,MATCH(A44,CustName,0))),INT(INDEX(CustLate,MATCH(A44,CustName,0))),DefLate),DefLate)))</f>
        <v/>
      </c>
      <c r="L44" s="32">
        <f>IF(R44&lt;&gt;1,"",IF(ISNUMBER(H44),INT(H44),J44+K44)+StressDays)</f>
        <v/>
      </c>
      <c r="M44" s="21">
        <f>IF(R44&lt;&gt;1,0,F44-N(G44))</f>
        <v/>
      </c>
      <c r="N44" s="35">
        <f>IF(OR(R44&lt;&gt;1,M44&lt;=0),"",IF(I44="Yes","",IF(L44&lt;W1,IF(OverdueW1="No","",1),IF(L44&lt;=W1+90,INT((L44-W1)/7)+1,""))))</f>
        <v/>
      </c>
      <c r="O44" s="36">
        <f>IF(ISNUMBER(N44),M44*CollectPct,0)</f>
        <v/>
      </c>
      <c r="P44" s="10">
        <f>IF(R44="","",IF(R44=0,"Not counted",IF(M44&lt;=0,"Paid",IF(I44="Yes","Doubtful (left out)",IF(L44&lt;W1,IF(OverdueW1="No","Overdue (left out)","Overdue → Week 1"),IF(L44&lt;=W1+90,"Week "&amp;N44,"After Week 13"))))))</f>
        <v/>
      </c>
      <c r="Q44" s="10">
        <f>IF(R44="","",IF(R44=0,IF(NOT(ISNUMBER(F44)),"Fix: amount missing",IF(F44&lt;=0,"Fix: amount must be above 0",IF(AND(NOT(ISNUMBER(D44)),NOT(ISNUMBER(H44))),"Fix: add an invoice date or a promised date",IF(AND(D44&lt;&gt;"",NOT(ISNUMBER(D44))),"Fix: invoice date isn't a date",IF(AND(E44&lt;&gt;"",NOT(ISNUMBER(E44))),"Fix: terms must be a number",IF(AND(G44&lt;&gt;"",NOT(ISNUMBER(G44))),"Fix: received must be a number",IF(AND(H44&lt;&gt;"",NOT(ISNUMBER(H44))),"Fix: promised date isn't a date","Fix: received is more than the amount"))))))),IF(AND(C44&lt;&gt;"",ISNUMBER(MATCH(C44,InCats,0))),"OK","Category not on Settings (counted as Other)")))</f>
        <v/>
      </c>
      <c r="R44">
        <f>IF(COUNTA(A44:I44)=0,"",IF(AND(ISNUMBER(F44),F44&gt;0,OR(ISNUMBER(D44),ISNUMBER(H44)),OR(D44="",ISNUMBER(D44)),OR(E44="",ISNUMBER(E44)),OR(G44="",ISNUMBER(G44)),OR(H44="",ISNUMBER(H44))),IF(N(G44)&gt;F44,0,1),0))</f>
        <v/>
      </c>
    </row>
    <row r="45">
      <c r="A45" s="29" t="n"/>
      <c r="B45" s="29" t="n"/>
      <c r="C45" s="29" t="n"/>
      <c r="D45" s="24" t="n"/>
      <c r="E45" s="26" t="n"/>
      <c r="F45" s="34" t="n"/>
      <c r="G45" s="34" t="n"/>
      <c r="H45" s="24" t="n"/>
      <c r="I45" s="29" t="n"/>
      <c r="J45" s="32">
        <f>IF(R45&lt;&gt;1,"",IF(ISNUMBER(D45),INT(D45)+IF(ISNUMBER(E45),INT(E45),DefTerms),""))</f>
        <v/>
      </c>
      <c r="K45" s="35">
        <f>IF(R45&lt;&gt;1,"",IF(ISNUMBER(H45),0,IF(AND(A45&lt;&gt;"",ISNUMBER(MATCH(A45,CustName,0))),IF(ISNUMBER(INDEX(CustLate,MATCH(A45,CustName,0))),INT(INDEX(CustLate,MATCH(A45,CustName,0))),DefLate),DefLate)))</f>
        <v/>
      </c>
      <c r="L45" s="32">
        <f>IF(R45&lt;&gt;1,"",IF(ISNUMBER(H45),INT(H45),J45+K45)+StressDays)</f>
        <v/>
      </c>
      <c r="M45" s="21">
        <f>IF(R45&lt;&gt;1,0,F45-N(G45))</f>
        <v/>
      </c>
      <c r="N45" s="35">
        <f>IF(OR(R45&lt;&gt;1,M45&lt;=0),"",IF(I45="Yes","",IF(L45&lt;W1,IF(OverdueW1="No","",1),IF(L45&lt;=W1+90,INT((L45-W1)/7)+1,""))))</f>
        <v/>
      </c>
      <c r="O45" s="36">
        <f>IF(ISNUMBER(N45),M45*CollectPct,0)</f>
        <v/>
      </c>
      <c r="P45" s="10">
        <f>IF(R45="","",IF(R45=0,"Not counted",IF(M45&lt;=0,"Paid",IF(I45="Yes","Doubtful (left out)",IF(L45&lt;W1,IF(OverdueW1="No","Overdue (left out)","Overdue → Week 1"),IF(L45&lt;=W1+90,"Week "&amp;N45,"After Week 13"))))))</f>
        <v/>
      </c>
      <c r="Q45" s="10">
        <f>IF(R45="","",IF(R45=0,IF(NOT(ISNUMBER(F45)),"Fix: amount missing",IF(F45&lt;=0,"Fix: amount must be above 0",IF(AND(NOT(ISNUMBER(D45)),NOT(ISNUMBER(H45))),"Fix: add an invoice date or a promised date",IF(AND(D45&lt;&gt;"",NOT(ISNUMBER(D45))),"Fix: invoice date isn't a date",IF(AND(E45&lt;&gt;"",NOT(ISNUMBER(E45))),"Fix: terms must be a number",IF(AND(G45&lt;&gt;"",NOT(ISNUMBER(G45))),"Fix: received must be a number",IF(AND(H45&lt;&gt;"",NOT(ISNUMBER(H45))),"Fix: promised date isn't a date","Fix: received is more than the amount"))))))),IF(AND(C45&lt;&gt;"",ISNUMBER(MATCH(C45,InCats,0))),"OK","Category not on Settings (counted as Other)")))</f>
        <v/>
      </c>
      <c r="R45">
        <f>IF(COUNTA(A45:I45)=0,"",IF(AND(ISNUMBER(F45),F45&gt;0,OR(ISNUMBER(D45),ISNUMBER(H45)),OR(D45="",ISNUMBER(D45)),OR(E45="",ISNUMBER(E45)),OR(G45="",ISNUMBER(G45)),OR(H45="",ISNUMBER(H45))),IF(N(G45)&gt;F45,0,1),0))</f>
        <v/>
      </c>
    </row>
    <row r="46">
      <c r="A46" s="29" t="n"/>
      <c r="B46" s="29" t="n"/>
      <c r="C46" s="29" t="n"/>
      <c r="D46" s="24" t="n"/>
      <c r="E46" s="26" t="n"/>
      <c r="F46" s="34" t="n"/>
      <c r="G46" s="34" t="n"/>
      <c r="H46" s="24" t="n"/>
      <c r="I46" s="29" t="n"/>
      <c r="J46" s="32">
        <f>IF(R46&lt;&gt;1,"",IF(ISNUMBER(D46),INT(D46)+IF(ISNUMBER(E46),INT(E46),DefTerms),""))</f>
        <v/>
      </c>
      <c r="K46" s="35">
        <f>IF(R46&lt;&gt;1,"",IF(ISNUMBER(H46),0,IF(AND(A46&lt;&gt;"",ISNUMBER(MATCH(A46,CustName,0))),IF(ISNUMBER(INDEX(CustLate,MATCH(A46,CustName,0))),INT(INDEX(CustLate,MATCH(A46,CustName,0))),DefLate),DefLate)))</f>
        <v/>
      </c>
      <c r="L46" s="32">
        <f>IF(R46&lt;&gt;1,"",IF(ISNUMBER(H46),INT(H46),J46+K46)+StressDays)</f>
        <v/>
      </c>
      <c r="M46" s="21">
        <f>IF(R46&lt;&gt;1,0,F46-N(G46))</f>
        <v/>
      </c>
      <c r="N46" s="35">
        <f>IF(OR(R46&lt;&gt;1,M46&lt;=0),"",IF(I46="Yes","",IF(L46&lt;W1,IF(OverdueW1="No","",1),IF(L46&lt;=W1+90,INT((L46-W1)/7)+1,""))))</f>
        <v/>
      </c>
      <c r="O46" s="36">
        <f>IF(ISNUMBER(N46),M46*CollectPct,0)</f>
        <v/>
      </c>
      <c r="P46" s="10">
        <f>IF(R46="","",IF(R46=0,"Not counted",IF(M46&lt;=0,"Paid",IF(I46="Yes","Doubtful (left out)",IF(L46&lt;W1,IF(OverdueW1="No","Overdue (left out)","Overdue → Week 1"),IF(L46&lt;=W1+90,"Week "&amp;N46,"After Week 13"))))))</f>
        <v/>
      </c>
      <c r="Q46" s="10">
        <f>IF(R46="","",IF(R46=0,IF(NOT(ISNUMBER(F46)),"Fix: amount missing",IF(F46&lt;=0,"Fix: amount must be above 0",IF(AND(NOT(ISNUMBER(D46)),NOT(ISNUMBER(H46))),"Fix: add an invoice date or a promised date",IF(AND(D46&lt;&gt;"",NOT(ISNUMBER(D46))),"Fix: invoice date isn't a date",IF(AND(E46&lt;&gt;"",NOT(ISNUMBER(E46))),"Fix: terms must be a number",IF(AND(G46&lt;&gt;"",NOT(ISNUMBER(G46))),"Fix: received must be a number",IF(AND(H46&lt;&gt;"",NOT(ISNUMBER(H46))),"Fix: promised date isn't a date","Fix: received is more than the amount"))))))),IF(AND(C46&lt;&gt;"",ISNUMBER(MATCH(C46,InCats,0))),"OK","Category not on Settings (counted as Other)")))</f>
        <v/>
      </c>
      <c r="R46">
        <f>IF(COUNTA(A46:I46)=0,"",IF(AND(ISNUMBER(F46),F46&gt;0,OR(ISNUMBER(D46),ISNUMBER(H46)),OR(D46="",ISNUMBER(D46)),OR(E46="",ISNUMBER(E46)),OR(G46="",ISNUMBER(G46)),OR(H46="",ISNUMBER(H46))),IF(N(G46)&gt;F46,0,1),0))</f>
        <v/>
      </c>
    </row>
    <row r="47">
      <c r="A47" s="29" t="n"/>
      <c r="B47" s="29" t="n"/>
      <c r="C47" s="29" t="n"/>
      <c r="D47" s="24" t="n"/>
      <c r="E47" s="26" t="n"/>
      <c r="F47" s="34" t="n"/>
      <c r="G47" s="34" t="n"/>
      <c r="H47" s="24" t="n"/>
      <c r="I47" s="29" t="n"/>
      <c r="J47" s="32">
        <f>IF(R47&lt;&gt;1,"",IF(ISNUMBER(D47),INT(D47)+IF(ISNUMBER(E47),INT(E47),DefTerms),""))</f>
        <v/>
      </c>
      <c r="K47" s="35">
        <f>IF(R47&lt;&gt;1,"",IF(ISNUMBER(H47),0,IF(AND(A47&lt;&gt;"",ISNUMBER(MATCH(A47,CustName,0))),IF(ISNUMBER(INDEX(CustLate,MATCH(A47,CustName,0))),INT(INDEX(CustLate,MATCH(A47,CustName,0))),DefLate),DefLate)))</f>
        <v/>
      </c>
      <c r="L47" s="32">
        <f>IF(R47&lt;&gt;1,"",IF(ISNUMBER(H47),INT(H47),J47+K47)+StressDays)</f>
        <v/>
      </c>
      <c r="M47" s="21">
        <f>IF(R47&lt;&gt;1,0,F47-N(G47))</f>
        <v/>
      </c>
      <c r="N47" s="35">
        <f>IF(OR(R47&lt;&gt;1,M47&lt;=0),"",IF(I47="Yes","",IF(L47&lt;W1,IF(OverdueW1="No","",1),IF(L47&lt;=W1+90,INT((L47-W1)/7)+1,""))))</f>
        <v/>
      </c>
      <c r="O47" s="36">
        <f>IF(ISNUMBER(N47),M47*CollectPct,0)</f>
        <v/>
      </c>
      <c r="P47" s="10">
        <f>IF(R47="","",IF(R47=0,"Not counted",IF(M47&lt;=0,"Paid",IF(I47="Yes","Doubtful (left out)",IF(L47&lt;W1,IF(OverdueW1="No","Overdue (left out)","Overdue → Week 1"),IF(L47&lt;=W1+90,"Week "&amp;N47,"After Week 13"))))))</f>
        <v/>
      </c>
      <c r="Q47" s="10">
        <f>IF(R47="","",IF(R47=0,IF(NOT(ISNUMBER(F47)),"Fix: amount missing",IF(F47&lt;=0,"Fix: amount must be above 0",IF(AND(NOT(ISNUMBER(D47)),NOT(ISNUMBER(H47))),"Fix: add an invoice date or a promised date",IF(AND(D47&lt;&gt;"",NOT(ISNUMBER(D47))),"Fix: invoice date isn't a date",IF(AND(E47&lt;&gt;"",NOT(ISNUMBER(E47))),"Fix: terms must be a number",IF(AND(G47&lt;&gt;"",NOT(ISNUMBER(G47))),"Fix: received must be a number",IF(AND(H47&lt;&gt;"",NOT(ISNUMBER(H47))),"Fix: promised date isn't a date","Fix: received is more than the amount"))))))),IF(AND(C47&lt;&gt;"",ISNUMBER(MATCH(C47,InCats,0))),"OK","Category not on Settings (counted as Other)")))</f>
        <v/>
      </c>
      <c r="R47">
        <f>IF(COUNTA(A47:I47)=0,"",IF(AND(ISNUMBER(F47),F47&gt;0,OR(ISNUMBER(D47),ISNUMBER(H47)),OR(D47="",ISNUMBER(D47)),OR(E47="",ISNUMBER(E47)),OR(G47="",ISNUMBER(G47)),OR(H47="",ISNUMBER(H47))),IF(N(G47)&gt;F47,0,1),0))</f>
        <v/>
      </c>
    </row>
    <row r="48">
      <c r="A48" s="29" t="n"/>
      <c r="B48" s="29" t="n"/>
      <c r="C48" s="29" t="n"/>
      <c r="D48" s="24" t="n"/>
      <c r="E48" s="26" t="n"/>
      <c r="F48" s="34" t="n"/>
      <c r="G48" s="34" t="n"/>
      <c r="H48" s="24" t="n"/>
      <c r="I48" s="29" t="n"/>
      <c r="J48" s="32">
        <f>IF(R48&lt;&gt;1,"",IF(ISNUMBER(D48),INT(D48)+IF(ISNUMBER(E48),INT(E48),DefTerms),""))</f>
        <v/>
      </c>
      <c r="K48" s="35">
        <f>IF(R48&lt;&gt;1,"",IF(ISNUMBER(H48),0,IF(AND(A48&lt;&gt;"",ISNUMBER(MATCH(A48,CustName,0))),IF(ISNUMBER(INDEX(CustLate,MATCH(A48,CustName,0))),INT(INDEX(CustLate,MATCH(A48,CustName,0))),DefLate),DefLate)))</f>
        <v/>
      </c>
      <c r="L48" s="32">
        <f>IF(R48&lt;&gt;1,"",IF(ISNUMBER(H48),INT(H48),J48+K48)+StressDays)</f>
        <v/>
      </c>
      <c r="M48" s="21">
        <f>IF(R48&lt;&gt;1,0,F48-N(G48))</f>
        <v/>
      </c>
      <c r="N48" s="35">
        <f>IF(OR(R48&lt;&gt;1,M48&lt;=0),"",IF(I48="Yes","",IF(L48&lt;W1,IF(OverdueW1="No","",1),IF(L48&lt;=W1+90,INT((L48-W1)/7)+1,""))))</f>
        <v/>
      </c>
      <c r="O48" s="36">
        <f>IF(ISNUMBER(N48),M48*CollectPct,0)</f>
        <v/>
      </c>
      <c r="P48" s="10">
        <f>IF(R48="","",IF(R48=0,"Not counted",IF(M48&lt;=0,"Paid",IF(I48="Yes","Doubtful (left out)",IF(L48&lt;W1,IF(OverdueW1="No","Overdue (left out)","Overdue → Week 1"),IF(L48&lt;=W1+90,"Week "&amp;N48,"After Week 13"))))))</f>
        <v/>
      </c>
      <c r="Q48" s="10">
        <f>IF(R48="","",IF(R48=0,IF(NOT(ISNUMBER(F48)),"Fix: amount missing",IF(F48&lt;=0,"Fix: amount must be above 0",IF(AND(NOT(ISNUMBER(D48)),NOT(ISNUMBER(H48))),"Fix: add an invoice date or a promised date",IF(AND(D48&lt;&gt;"",NOT(ISNUMBER(D48))),"Fix: invoice date isn't a date",IF(AND(E48&lt;&gt;"",NOT(ISNUMBER(E48))),"Fix: terms must be a number",IF(AND(G48&lt;&gt;"",NOT(ISNUMBER(G48))),"Fix: received must be a number",IF(AND(H48&lt;&gt;"",NOT(ISNUMBER(H48))),"Fix: promised date isn't a date","Fix: received is more than the amount"))))))),IF(AND(C48&lt;&gt;"",ISNUMBER(MATCH(C48,InCats,0))),"OK","Category not on Settings (counted as Other)")))</f>
        <v/>
      </c>
      <c r="R48">
        <f>IF(COUNTA(A48:I48)=0,"",IF(AND(ISNUMBER(F48),F48&gt;0,OR(ISNUMBER(D48),ISNUMBER(H48)),OR(D48="",ISNUMBER(D48)),OR(E48="",ISNUMBER(E48)),OR(G48="",ISNUMBER(G48)),OR(H48="",ISNUMBER(H48))),IF(N(G48)&gt;F48,0,1),0))</f>
        <v/>
      </c>
    </row>
    <row r="49">
      <c r="A49" s="29" t="n"/>
      <c r="B49" s="29" t="n"/>
      <c r="C49" s="29" t="n"/>
      <c r="D49" s="24" t="n"/>
      <c r="E49" s="26" t="n"/>
      <c r="F49" s="34" t="n"/>
      <c r="G49" s="34" t="n"/>
      <c r="H49" s="24" t="n"/>
      <c r="I49" s="29" t="n"/>
      <c r="J49" s="32">
        <f>IF(R49&lt;&gt;1,"",IF(ISNUMBER(D49),INT(D49)+IF(ISNUMBER(E49),INT(E49),DefTerms),""))</f>
        <v/>
      </c>
      <c r="K49" s="35">
        <f>IF(R49&lt;&gt;1,"",IF(ISNUMBER(H49),0,IF(AND(A49&lt;&gt;"",ISNUMBER(MATCH(A49,CustName,0))),IF(ISNUMBER(INDEX(CustLate,MATCH(A49,CustName,0))),INT(INDEX(CustLate,MATCH(A49,CustName,0))),DefLate),DefLate)))</f>
        <v/>
      </c>
      <c r="L49" s="32">
        <f>IF(R49&lt;&gt;1,"",IF(ISNUMBER(H49),INT(H49),J49+K49)+StressDays)</f>
        <v/>
      </c>
      <c r="M49" s="21">
        <f>IF(R49&lt;&gt;1,0,F49-N(G49))</f>
        <v/>
      </c>
      <c r="N49" s="35">
        <f>IF(OR(R49&lt;&gt;1,M49&lt;=0),"",IF(I49="Yes","",IF(L49&lt;W1,IF(OverdueW1="No","",1),IF(L49&lt;=W1+90,INT((L49-W1)/7)+1,""))))</f>
        <v/>
      </c>
      <c r="O49" s="36">
        <f>IF(ISNUMBER(N49),M49*CollectPct,0)</f>
        <v/>
      </c>
      <c r="P49" s="10">
        <f>IF(R49="","",IF(R49=0,"Not counted",IF(M49&lt;=0,"Paid",IF(I49="Yes","Doubtful (left out)",IF(L49&lt;W1,IF(OverdueW1="No","Overdue (left out)","Overdue → Week 1"),IF(L49&lt;=W1+90,"Week "&amp;N49,"After Week 13"))))))</f>
        <v/>
      </c>
      <c r="Q49" s="10">
        <f>IF(R49="","",IF(R49=0,IF(NOT(ISNUMBER(F49)),"Fix: amount missing",IF(F49&lt;=0,"Fix: amount must be above 0",IF(AND(NOT(ISNUMBER(D49)),NOT(ISNUMBER(H49))),"Fix: add an invoice date or a promised date",IF(AND(D49&lt;&gt;"",NOT(ISNUMBER(D49))),"Fix: invoice date isn't a date",IF(AND(E49&lt;&gt;"",NOT(ISNUMBER(E49))),"Fix: terms must be a number",IF(AND(G49&lt;&gt;"",NOT(ISNUMBER(G49))),"Fix: received must be a number",IF(AND(H49&lt;&gt;"",NOT(ISNUMBER(H49))),"Fix: promised date isn't a date","Fix: received is more than the amount"))))))),IF(AND(C49&lt;&gt;"",ISNUMBER(MATCH(C49,InCats,0))),"OK","Category not on Settings (counted as Other)")))</f>
        <v/>
      </c>
      <c r="R49">
        <f>IF(COUNTA(A49:I49)=0,"",IF(AND(ISNUMBER(F49),F49&gt;0,OR(ISNUMBER(D49),ISNUMBER(H49)),OR(D49="",ISNUMBER(D49)),OR(E49="",ISNUMBER(E49)),OR(G49="",ISNUMBER(G49)),OR(H49="",ISNUMBER(H49))),IF(N(G49)&gt;F49,0,1),0))</f>
        <v/>
      </c>
    </row>
    <row r="50">
      <c r="A50" s="29" t="n"/>
      <c r="B50" s="29" t="n"/>
      <c r="C50" s="29" t="n"/>
      <c r="D50" s="24" t="n"/>
      <c r="E50" s="26" t="n"/>
      <c r="F50" s="34" t="n"/>
      <c r="G50" s="34" t="n"/>
      <c r="H50" s="24" t="n"/>
      <c r="I50" s="29" t="n"/>
      <c r="J50" s="32">
        <f>IF(R50&lt;&gt;1,"",IF(ISNUMBER(D50),INT(D50)+IF(ISNUMBER(E50),INT(E50),DefTerms),""))</f>
        <v/>
      </c>
      <c r="K50" s="35">
        <f>IF(R50&lt;&gt;1,"",IF(ISNUMBER(H50),0,IF(AND(A50&lt;&gt;"",ISNUMBER(MATCH(A50,CustName,0))),IF(ISNUMBER(INDEX(CustLate,MATCH(A50,CustName,0))),INT(INDEX(CustLate,MATCH(A50,CustName,0))),DefLate),DefLate)))</f>
        <v/>
      </c>
      <c r="L50" s="32">
        <f>IF(R50&lt;&gt;1,"",IF(ISNUMBER(H50),INT(H50),J50+K50)+StressDays)</f>
        <v/>
      </c>
      <c r="M50" s="21">
        <f>IF(R50&lt;&gt;1,0,F50-N(G50))</f>
        <v/>
      </c>
      <c r="N50" s="35">
        <f>IF(OR(R50&lt;&gt;1,M50&lt;=0),"",IF(I50="Yes","",IF(L50&lt;W1,IF(OverdueW1="No","",1),IF(L50&lt;=W1+90,INT((L50-W1)/7)+1,""))))</f>
        <v/>
      </c>
      <c r="O50" s="36">
        <f>IF(ISNUMBER(N50),M50*CollectPct,0)</f>
        <v/>
      </c>
      <c r="P50" s="10">
        <f>IF(R50="","",IF(R50=0,"Not counted",IF(M50&lt;=0,"Paid",IF(I50="Yes","Doubtful (left out)",IF(L50&lt;W1,IF(OverdueW1="No","Overdue (left out)","Overdue → Week 1"),IF(L50&lt;=W1+90,"Week "&amp;N50,"After Week 13"))))))</f>
        <v/>
      </c>
      <c r="Q50" s="10">
        <f>IF(R50="","",IF(R50=0,IF(NOT(ISNUMBER(F50)),"Fix: amount missing",IF(F50&lt;=0,"Fix: amount must be above 0",IF(AND(NOT(ISNUMBER(D50)),NOT(ISNUMBER(H50))),"Fix: add an invoice date or a promised date",IF(AND(D50&lt;&gt;"",NOT(ISNUMBER(D50))),"Fix: invoice date isn't a date",IF(AND(E50&lt;&gt;"",NOT(ISNUMBER(E50))),"Fix: terms must be a number",IF(AND(G50&lt;&gt;"",NOT(ISNUMBER(G50))),"Fix: received must be a number",IF(AND(H50&lt;&gt;"",NOT(ISNUMBER(H50))),"Fix: promised date isn't a date","Fix: received is more than the amount"))))))),IF(AND(C50&lt;&gt;"",ISNUMBER(MATCH(C50,InCats,0))),"OK","Category not on Settings (counted as Other)")))</f>
        <v/>
      </c>
      <c r="R50">
        <f>IF(COUNTA(A50:I50)=0,"",IF(AND(ISNUMBER(F50),F50&gt;0,OR(ISNUMBER(D50),ISNUMBER(H50)),OR(D50="",ISNUMBER(D50)),OR(E50="",ISNUMBER(E50)),OR(G50="",ISNUMBER(G50)),OR(H50="",ISNUMBER(H50))),IF(N(G50)&gt;F50,0,1),0))</f>
        <v/>
      </c>
    </row>
    <row r="51">
      <c r="A51" s="29" t="n"/>
      <c r="B51" s="29" t="n"/>
      <c r="C51" s="29" t="n"/>
      <c r="D51" s="24" t="n"/>
      <c r="E51" s="26" t="n"/>
      <c r="F51" s="34" t="n"/>
      <c r="G51" s="34" t="n"/>
      <c r="H51" s="24" t="n"/>
      <c r="I51" s="29" t="n"/>
      <c r="J51" s="32">
        <f>IF(R51&lt;&gt;1,"",IF(ISNUMBER(D51),INT(D51)+IF(ISNUMBER(E51),INT(E51),DefTerms),""))</f>
        <v/>
      </c>
      <c r="K51" s="35">
        <f>IF(R51&lt;&gt;1,"",IF(ISNUMBER(H51),0,IF(AND(A51&lt;&gt;"",ISNUMBER(MATCH(A51,CustName,0))),IF(ISNUMBER(INDEX(CustLate,MATCH(A51,CustName,0))),INT(INDEX(CustLate,MATCH(A51,CustName,0))),DefLate),DefLate)))</f>
        <v/>
      </c>
      <c r="L51" s="32">
        <f>IF(R51&lt;&gt;1,"",IF(ISNUMBER(H51),INT(H51),J51+K51)+StressDays)</f>
        <v/>
      </c>
      <c r="M51" s="21">
        <f>IF(R51&lt;&gt;1,0,F51-N(G51))</f>
        <v/>
      </c>
      <c r="N51" s="35">
        <f>IF(OR(R51&lt;&gt;1,M51&lt;=0),"",IF(I51="Yes","",IF(L51&lt;W1,IF(OverdueW1="No","",1),IF(L51&lt;=W1+90,INT((L51-W1)/7)+1,""))))</f>
        <v/>
      </c>
      <c r="O51" s="36">
        <f>IF(ISNUMBER(N51),M51*CollectPct,0)</f>
        <v/>
      </c>
      <c r="P51" s="10">
        <f>IF(R51="","",IF(R51=0,"Not counted",IF(M51&lt;=0,"Paid",IF(I51="Yes","Doubtful (left out)",IF(L51&lt;W1,IF(OverdueW1="No","Overdue (left out)","Overdue → Week 1"),IF(L51&lt;=W1+90,"Week "&amp;N51,"After Week 13"))))))</f>
        <v/>
      </c>
      <c r="Q51" s="10">
        <f>IF(R51="","",IF(R51=0,IF(NOT(ISNUMBER(F51)),"Fix: amount missing",IF(F51&lt;=0,"Fix: amount must be above 0",IF(AND(NOT(ISNUMBER(D51)),NOT(ISNUMBER(H51))),"Fix: add an invoice date or a promised date",IF(AND(D51&lt;&gt;"",NOT(ISNUMBER(D51))),"Fix: invoice date isn't a date",IF(AND(E51&lt;&gt;"",NOT(ISNUMBER(E51))),"Fix: terms must be a number",IF(AND(G51&lt;&gt;"",NOT(ISNUMBER(G51))),"Fix: received must be a number",IF(AND(H51&lt;&gt;"",NOT(ISNUMBER(H51))),"Fix: promised date isn't a date","Fix: received is more than the amount"))))))),IF(AND(C51&lt;&gt;"",ISNUMBER(MATCH(C51,InCats,0))),"OK","Category not on Settings (counted as Other)")))</f>
        <v/>
      </c>
      <c r="R51">
        <f>IF(COUNTA(A51:I51)=0,"",IF(AND(ISNUMBER(F51),F51&gt;0,OR(ISNUMBER(D51),ISNUMBER(H51)),OR(D51="",ISNUMBER(D51)),OR(E51="",ISNUMBER(E51)),OR(G51="",ISNUMBER(G51)),OR(H51="",ISNUMBER(H51))),IF(N(G51)&gt;F51,0,1),0))</f>
        <v/>
      </c>
    </row>
    <row r="52">
      <c r="A52" s="29" t="n"/>
      <c r="B52" s="29" t="n"/>
      <c r="C52" s="29" t="n"/>
      <c r="D52" s="24" t="n"/>
      <c r="E52" s="26" t="n"/>
      <c r="F52" s="34" t="n"/>
      <c r="G52" s="34" t="n"/>
      <c r="H52" s="24" t="n"/>
      <c r="I52" s="29" t="n"/>
      <c r="J52" s="32">
        <f>IF(R52&lt;&gt;1,"",IF(ISNUMBER(D52),INT(D52)+IF(ISNUMBER(E52),INT(E52),DefTerms),""))</f>
        <v/>
      </c>
      <c r="K52" s="35">
        <f>IF(R52&lt;&gt;1,"",IF(ISNUMBER(H52),0,IF(AND(A52&lt;&gt;"",ISNUMBER(MATCH(A52,CustName,0))),IF(ISNUMBER(INDEX(CustLate,MATCH(A52,CustName,0))),INT(INDEX(CustLate,MATCH(A52,CustName,0))),DefLate),DefLate)))</f>
        <v/>
      </c>
      <c r="L52" s="32">
        <f>IF(R52&lt;&gt;1,"",IF(ISNUMBER(H52),INT(H52),J52+K52)+StressDays)</f>
        <v/>
      </c>
      <c r="M52" s="21">
        <f>IF(R52&lt;&gt;1,0,F52-N(G52))</f>
        <v/>
      </c>
      <c r="N52" s="35">
        <f>IF(OR(R52&lt;&gt;1,M52&lt;=0),"",IF(I52="Yes","",IF(L52&lt;W1,IF(OverdueW1="No","",1),IF(L52&lt;=W1+90,INT((L52-W1)/7)+1,""))))</f>
        <v/>
      </c>
      <c r="O52" s="36">
        <f>IF(ISNUMBER(N52),M52*CollectPct,0)</f>
        <v/>
      </c>
      <c r="P52" s="10">
        <f>IF(R52="","",IF(R52=0,"Not counted",IF(M52&lt;=0,"Paid",IF(I52="Yes","Doubtful (left out)",IF(L52&lt;W1,IF(OverdueW1="No","Overdue (left out)","Overdue → Week 1"),IF(L52&lt;=W1+90,"Week "&amp;N52,"After Week 13"))))))</f>
        <v/>
      </c>
      <c r="Q52" s="10">
        <f>IF(R52="","",IF(R52=0,IF(NOT(ISNUMBER(F52)),"Fix: amount missing",IF(F52&lt;=0,"Fix: amount must be above 0",IF(AND(NOT(ISNUMBER(D52)),NOT(ISNUMBER(H52))),"Fix: add an invoice date or a promised date",IF(AND(D52&lt;&gt;"",NOT(ISNUMBER(D52))),"Fix: invoice date isn't a date",IF(AND(E52&lt;&gt;"",NOT(ISNUMBER(E52))),"Fix: terms must be a number",IF(AND(G52&lt;&gt;"",NOT(ISNUMBER(G52))),"Fix: received must be a number",IF(AND(H52&lt;&gt;"",NOT(ISNUMBER(H52))),"Fix: promised date isn't a date","Fix: received is more than the amount"))))))),IF(AND(C52&lt;&gt;"",ISNUMBER(MATCH(C52,InCats,0))),"OK","Category not on Settings (counted as Other)")))</f>
        <v/>
      </c>
      <c r="R52">
        <f>IF(COUNTA(A52:I52)=0,"",IF(AND(ISNUMBER(F52),F52&gt;0,OR(ISNUMBER(D52),ISNUMBER(H52)),OR(D52="",ISNUMBER(D52)),OR(E52="",ISNUMBER(E52)),OR(G52="",ISNUMBER(G52)),OR(H52="",ISNUMBER(H52))),IF(N(G52)&gt;F52,0,1),0))</f>
        <v/>
      </c>
    </row>
    <row r="53">
      <c r="A53" s="29" t="n"/>
      <c r="B53" s="29" t="n"/>
      <c r="C53" s="29" t="n"/>
      <c r="D53" s="24" t="n"/>
      <c r="E53" s="26" t="n"/>
      <c r="F53" s="34" t="n"/>
      <c r="G53" s="34" t="n"/>
      <c r="H53" s="24" t="n"/>
      <c r="I53" s="29" t="n"/>
      <c r="J53" s="32">
        <f>IF(R53&lt;&gt;1,"",IF(ISNUMBER(D53),INT(D53)+IF(ISNUMBER(E53),INT(E53),DefTerms),""))</f>
        <v/>
      </c>
      <c r="K53" s="35">
        <f>IF(R53&lt;&gt;1,"",IF(ISNUMBER(H53),0,IF(AND(A53&lt;&gt;"",ISNUMBER(MATCH(A53,CustName,0))),IF(ISNUMBER(INDEX(CustLate,MATCH(A53,CustName,0))),INT(INDEX(CustLate,MATCH(A53,CustName,0))),DefLate),DefLate)))</f>
        <v/>
      </c>
      <c r="L53" s="32">
        <f>IF(R53&lt;&gt;1,"",IF(ISNUMBER(H53),INT(H53),J53+K53)+StressDays)</f>
        <v/>
      </c>
      <c r="M53" s="21">
        <f>IF(R53&lt;&gt;1,0,F53-N(G53))</f>
        <v/>
      </c>
      <c r="N53" s="35">
        <f>IF(OR(R53&lt;&gt;1,M53&lt;=0),"",IF(I53="Yes","",IF(L53&lt;W1,IF(OverdueW1="No","",1),IF(L53&lt;=W1+90,INT((L53-W1)/7)+1,""))))</f>
        <v/>
      </c>
      <c r="O53" s="36">
        <f>IF(ISNUMBER(N53),M53*CollectPct,0)</f>
        <v/>
      </c>
      <c r="P53" s="10">
        <f>IF(R53="","",IF(R53=0,"Not counted",IF(M53&lt;=0,"Paid",IF(I53="Yes","Doubtful (left out)",IF(L53&lt;W1,IF(OverdueW1="No","Overdue (left out)","Overdue → Week 1"),IF(L53&lt;=W1+90,"Week "&amp;N53,"After Week 13"))))))</f>
        <v/>
      </c>
      <c r="Q53" s="10">
        <f>IF(R53="","",IF(R53=0,IF(NOT(ISNUMBER(F53)),"Fix: amount missing",IF(F53&lt;=0,"Fix: amount must be above 0",IF(AND(NOT(ISNUMBER(D53)),NOT(ISNUMBER(H53))),"Fix: add an invoice date or a promised date",IF(AND(D53&lt;&gt;"",NOT(ISNUMBER(D53))),"Fix: invoice date isn't a date",IF(AND(E53&lt;&gt;"",NOT(ISNUMBER(E53))),"Fix: terms must be a number",IF(AND(G53&lt;&gt;"",NOT(ISNUMBER(G53))),"Fix: received must be a number",IF(AND(H53&lt;&gt;"",NOT(ISNUMBER(H53))),"Fix: promised date isn't a date","Fix: received is more than the amount"))))))),IF(AND(C53&lt;&gt;"",ISNUMBER(MATCH(C53,InCats,0))),"OK","Category not on Settings (counted as Other)")))</f>
        <v/>
      </c>
      <c r="R53">
        <f>IF(COUNTA(A53:I53)=0,"",IF(AND(ISNUMBER(F53),F53&gt;0,OR(ISNUMBER(D53),ISNUMBER(H53)),OR(D53="",ISNUMBER(D53)),OR(E53="",ISNUMBER(E53)),OR(G53="",ISNUMBER(G53)),OR(H53="",ISNUMBER(H53))),IF(N(G53)&gt;F53,0,1),0))</f>
        <v/>
      </c>
    </row>
    <row r="54">
      <c r="A54" s="29" t="n"/>
      <c r="B54" s="29" t="n"/>
      <c r="C54" s="29" t="n"/>
      <c r="D54" s="24" t="n"/>
      <c r="E54" s="26" t="n"/>
      <c r="F54" s="34" t="n"/>
      <c r="G54" s="34" t="n"/>
      <c r="H54" s="24" t="n"/>
      <c r="I54" s="29" t="n"/>
      <c r="J54" s="32">
        <f>IF(R54&lt;&gt;1,"",IF(ISNUMBER(D54),INT(D54)+IF(ISNUMBER(E54),INT(E54),DefTerms),""))</f>
        <v/>
      </c>
      <c r="K54" s="35">
        <f>IF(R54&lt;&gt;1,"",IF(ISNUMBER(H54),0,IF(AND(A54&lt;&gt;"",ISNUMBER(MATCH(A54,CustName,0))),IF(ISNUMBER(INDEX(CustLate,MATCH(A54,CustName,0))),INT(INDEX(CustLate,MATCH(A54,CustName,0))),DefLate),DefLate)))</f>
        <v/>
      </c>
      <c r="L54" s="32">
        <f>IF(R54&lt;&gt;1,"",IF(ISNUMBER(H54),INT(H54),J54+K54)+StressDays)</f>
        <v/>
      </c>
      <c r="M54" s="21">
        <f>IF(R54&lt;&gt;1,0,F54-N(G54))</f>
        <v/>
      </c>
      <c r="N54" s="35">
        <f>IF(OR(R54&lt;&gt;1,M54&lt;=0),"",IF(I54="Yes","",IF(L54&lt;W1,IF(OverdueW1="No","",1),IF(L54&lt;=W1+90,INT((L54-W1)/7)+1,""))))</f>
        <v/>
      </c>
      <c r="O54" s="36">
        <f>IF(ISNUMBER(N54),M54*CollectPct,0)</f>
        <v/>
      </c>
      <c r="P54" s="10">
        <f>IF(R54="","",IF(R54=0,"Not counted",IF(M54&lt;=0,"Paid",IF(I54="Yes","Doubtful (left out)",IF(L54&lt;W1,IF(OverdueW1="No","Overdue (left out)","Overdue → Week 1"),IF(L54&lt;=W1+90,"Week "&amp;N54,"After Week 13"))))))</f>
        <v/>
      </c>
      <c r="Q54" s="10">
        <f>IF(R54="","",IF(R54=0,IF(NOT(ISNUMBER(F54)),"Fix: amount missing",IF(F54&lt;=0,"Fix: amount must be above 0",IF(AND(NOT(ISNUMBER(D54)),NOT(ISNUMBER(H54))),"Fix: add an invoice date or a promised date",IF(AND(D54&lt;&gt;"",NOT(ISNUMBER(D54))),"Fix: invoice date isn't a date",IF(AND(E54&lt;&gt;"",NOT(ISNUMBER(E54))),"Fix: terms must be a number",IF(AND(G54&lt;&gt;"",NOT(ISNUMBER(G54))),"Fix: received must be a number",IF(AND(H54&lt;&gt;"",NOT(ISNUMBER(H54))),"Fix: promised date isn't a date","Fix: received is more than the amount"))))))),IF(AND(C54&lt;&gt;"",ISNUMBER(MATCH(C54,InCats,0))),"OK","Category not on Settings (counted as Other)")))</f>
        <v/>
      </c>
      <c r="R54">
        <f>IF(COUNTA(A54:I54)=0,"",IF(AND(ISNUMBER(F54),F54&gt;0,OR(ISNUMBER(D54),ISNUMBER(H54)),OR(D54="",ISNUMBER(D54)),OR(E54="",ISNUMBER(E54)),OR(G54="",ISNUMBER(G54)),OR(H54="",ISNUMBER(H54))),IF(N(G54)&gt;F54,0,1),0))</f>
        <v/>
      </c>
    </row>
    <row r="55">
      <c r="A55" s="29" t="n"/>
      <c r="B55" s="29" t="n"/>
      <c r="C55" s="29" t="n"/>
      <c r="D55" s="24" t="n"/>
      <c r="E55" s="26" t="n"/>
      <c r="F55" s="34" t="n"/>
      <c r="G55" s="34" t="n"/>
      <c r="H55" s="24" t="n"/>
      <c r="I55" s="29" t="n"/>
      <c r="J55" s="32">
        <f>IF(R55&lt;&gt;1,"",IF(ISNUMBER(D55),INT(D55)+IF(ISNUMBER(E55),INT(E55),DefTerms),""))</f>
        <v/>
      </c>
      <c r="K55" s="35">
        <f>IF(R55&lt;&gt;1,"",IF(ISNUMBER(H55),0,IF(AND(A55&lt;&gt;"",ISNUMBER(MATCH(A55,CustName,0))),IF(ISNUMBER(INDEX(CustLate,MATCH(A55,CustName,0))),INT(INDEX(CustLate,MATCH(A55,CustName,0))),DefLate),DefLate)))</f>
        <v/>
      </c>
      <c r="L55" s="32">
        <f>IF(R55&lt;&gt;1,"",IF(ISNUMBER(H55),INT(H55),J55+K55)+StressDays)</f>
        <v/>
      </c>
      <c r="M55" s="21">
        <f>IF(R55&lt;&gt;1,0,F55-N(G55))</f>
        <v/>
      </c>
      <c r="N55" s="35">
        <f>IF(OR(R55&lt;&gt;1,M55&lt;=0),"",IF(I55="Yes","",IF(L55&lt;W1,IF(OverdueW1="No","",1),IF(L55&lt;=W1+90,INT((L55-W1)/7)+1,""))))</f>
        <v/>
      </c>
      <c r="O55" s="36">
        <f>IF(ISNUMBER(N55),M55*CollectPct,0)</f>
        <v/>
      </c>
      <c r="P55" s="10">
        <f>IF(R55="","",IF(R55=0,"Not counted",IF(M55&lt;=0,"Paid",IF(I55="Yes","Doubtful (left out)",IF(L55&lt;W1,IF(OverdueW1="No","Overdue (left out)","Overdue → Week 1"),IF(L55&lt;=W1+90,"Week "&amp;N55,"After Week 13"))))))</f>
        <v/>
      </c>
      <c r="Q55" s="10">
        <f>IF(R55="","",IF(R55=0,IF(NOT(ISNUMBER(F55)),"Fix: amount missing",IF(F55&lt;=0,"Fix: amount must be above 0",IF(AND(NOT(ISNUMBER(D55)),NOT(ISNUMBER(H55))),"Fix: add an invoice date or a promised date",IF(AND(D55&lt;&gt;"",NOT(ISNUMBER(D55))),"Fix: invoice date isn't a date",IF(AND(E55&lt;&gt;"",NOT(ISNUMBER(E55))),"Fix: terms must be a number",IF(AND(G55&lt;&gt;"",NOT(ISNUMBER(G55))),"Fix: received must be a number",IF(AND(H55&lt;&gt;"",NOT(ISNUMBER(H55))),"Fix: promised date isn't a date","Fix: received is more than the amount"))))))),IF(AND(C55&lt;&gt;"",ISNUMBER(MATCH(C55,InCats,0))),"OK","Category not on Settings (counted as Other)")))</f>
        <v/>
      </c>
      <c r="R55">
        <f>IF(COUNTA(A55:I55)=0,"",IF(AND(ISNUMBER(F55),F55&gt;0,OR(ISNUMBER(D55),ISNUMBER(H55)),OR(D55="",ISNUMBER(D55)),OR(E55="",ISNUMBER(E55)),OR(G55="",ISNUMBER(G55)),OR(H55="",ISNUMBER(H55))),IF(N(G55)&gt;F55,0,1),0))</f>
        <v/>
      </c>
    </row>
    <row r="56">
      <c r="A56" s="29" t="n"/>
      <c r="B56" s="29" t="n"/>
      <c r="C56" s="29" t="n"/>
      <c r="D56" s="24" t="n"/>
      <c r="E56" s="26" t="n"/>
      <c r="F56" s="34" t="n"/>
      <c r="G56" s="34" t="n"/>
      <c r="H56" s="24" t="n"/>
      <c r="I56" s="29" t="n"/>
      <c r="J56" s="32">
        <f>IF(R56&lt;&gt;1,"",IF(ISNUMBER(D56),INT(D56)+IF(ISNUMBER(E56),INT(E56),DefTerms),""))</f>
        <v/>
      </c>
      <c r="K56" s="35">
        <f>IF(R56&lt;&gt;1,"",IF(ISNUMBER(H56),0,IF(AND(A56&lt;&gt;"",ISNUMBER(MATCH(A56,CustName,0))),IF(ISNUMBER(INDEX(CustLate,MATCH(A56,CustName,0))),INT(INDEX(CustLate,MATCH(A56,CustName,0))),DefLate),DefLate)))</f>
        <v/>
      </c>
      <c r="L56" s="32">
        <f>IF(R56&lt;&gt;1,"",IF(ISNUMBER(H56),INT(H56),J56+K56)+StressDays)</f>
        <v/>
      </c>
      <c r="M56" s="21">
        <f>IF(R56&lt;&gt;1,0,F56-N(G56))</f>
        <v/>
      </c>
      <c r="N56" s="35">
        <f>IF(OR(R56&lt;&gt;1,M56&lt;=0),"",IF(I56="Yes","",IF(L56&lt;W1,IF(OverdueW1="No","",1),IF(L56&lt;=W1+90,INT((L56-W1)/7)+1,""))))</f>
        <v/>
      </c>
      <c r="O56" s="36">
        <f>IF(ISNUMBER(N56),M56*CollectPct,0)</f>
        <v/>
      </c>
      <c r="P56" s="10">
        <f>IF(R56="","",IF(R56=0,"Not counted",IF(M56&lt;=0,"Paid",IF(I56="Yes","Doubtful (left out)",IF(L56&lt;W1,IF(OverdueW1="No","Overdue (left out)","Overdue → Week 1"),IF(L56&lt;=W1+90,"Week "&amp;N56,"After Week 13"))))))</f>
        <v/>
      </c>
      <c r="Q56" s="10">
        <f>IF(R56="","",IF(R56=0,IF(NOT(ISNUMBER(F56)),"Fix: amount missing",IF(F56&lt;=0,"Fix: amount must be above 0",IF(AND(NOT(ISNUMBER(D56)),NOT(ISNUMBER(H56))),"Fix: add an invoice date or a promised date",IF(AND(D56&lt;&gt;"",NOT(ISNUMBER(D56))),"Fix: invoice date isn't a date",IF(AND(E56&lt;&gt;"",NOT(ISNUMBER(E56))),"Fix: terms must be a number",IF(AND(G56&lt;&gt;"",NOT(ISNUMBER(G56))),"Fix: received must be a number",IF(AND(H56&lt;&gt;"",NOT(ISNUMBER(H56))),"Fix: promised date isn't a date","Fix: received is more than the amount"))))))),IF(AND(C56&lt;&gt;"",ISNUMBER(MATCH(C56,InCats,0))),"OK","Category not on Settings (counted as Other)")))</f>
        <v/>
      </c>
      <c r="R56">
        <f>IF(COUNTA(A56:I56)=0,"",IF(AND(ISNUMBER(F56),F56&gt;0,OR(ISNUMBER(D56),ISNUMBER(H56)),OR(D56="",ISNUMBER(D56)),OR(E56="",ISNUMBER(E56)),OR(G56="",ISNUMBER(G56)),OR(H56="",ISNUMBER(H56))),IF(N(G56)&gt;F56,0,1),0))</f>
        <v/>
      </c>
    </row>
    <row r="57">
      <c r="A57" s="29" t="n"/>
      <c r="B57" s="29" t="n"/>
      <c r="C57" s="29" t="n"/>
      <c r="D57" s="24" t="n"/>
      <c r="E57" s="26" t="n"/>
      <c r="F57" s="34" t="n"/>
      <c r="G57" s="34" t="n"/>
      <c r="H57" s="24" t="n"/>
      <c r="I57" s="29" t="n"/>
      <c r="J57" s="32">
        <f>IF(R57&lt;&gt;1,"",IF(ISNUMBER(D57),INT(D57)+IF(ISNUMBER(E57),INT(E57),DefTerms),""))</f>
        <v/>
      </c>
      <c r="K57" s="35">
        <f>IF(R57&lt;&gt;1,"",IF(ISNUMBER(H57),0,IF(AND(A57&lt;&gt;"",ISNUMBER(MATCH(A57,CustName,0))),IF(ISNUMBER(INDEX(CustLate,MATCH(A57,CustName,0))),INT(INDEX(CustLate,MATCH(A57,CustName,0))),DefLate),DefLate)))</f>
        <v/>
      </c>
      <c r="L57" s="32">
        <f>IF(R57&lt;&gt;1,"",IF(ISNUMBER(H57),INT(H57),J57+K57)+StressDays)</f>
        <v/>
      </c>
      <c r="M57" s="21">
        <f>IF(R57&lt;&gt;1,0,F57-N(G57))</f>
        <v/>
      </c>
      <c r="N57" s="35">
        <f>IF(OR(R57&lt;&gt;1,M57&lt;=0),"",IF(I57="Yes","",IF(L57&lt;W1,IF(OverdueW1="No","",1),IF(L57&lt;=W1+90,INT((L57-W1)/7)+1,""))))</f>
        <v/>
      </c>
      <c r="O57" s="36">
        <f>IF(ISNUMBER(N57),M57*CollectPct,0)</f>
        <v/>
      </c>
      <c r="P57" s="10">
        <f>IF(R57="","",IF(R57=0,"Not counted",IF(M57&lt;=0,"Paid",IF(I57="Yes","Doubtful (left out)",IF(L57&lt;W1,IF(OverdueW1="No","Overdue (left out)","Overdue → Week 1"),IF(L57&lt;=W1+90,"Week "&amp;N57,"After Week 13"))))))</f>
        <v/>
      </c>
      <c r="Q57" s="10">
        <f>IF(R57="","",IF(R57=0,IF(NOT(ISNUMBER(F57)),"Fix: amount missing",IF(F57&lt;=0,"Fix: amount must be above 0",IF(AND(NOT(ISNUMBER(D57)),NOT(ISNUMBER(H57))),"Fix: add an invoice date or a promised date",IF(AND(D57&lt;&gt;"",NOT(ISNUMBER(D57))),"Fix: invoice date isn't a date",IF(AND(E57&lt;&gt;"",NOT(ISNUMBER(E57))),"Fix: terms must be a number",IF(AND(G57&lt;&gt;"",NOT(ISNUMBER(G57))),"Fix: received must be a number",IF(AND(H57&lt;&gt;"",NOT(ISNUMBER(H57))),"Fix: promised date isn't a date","Fix: received is more than the amount"))))))),IF(AND(C57&lt;&gt;"",ISNUMBER(MATCH(C57,InCats,0))),"OK","Category not on Settings (counted as Other)")))</f>
        <v/>
      </c>
      <c r="R57">
        <f>IF(COUNTA(A57:I57)=0,"",IF(AND(ISNUMBER(F57),F57&gt;0,OR(ISNUMBER(D57),ISNUMBER(H57)),OR(D57="",ISNUMBER(D57)),OR(E57="",ISNUMBER(E57)),OR(G57="",ISNUMBER(G57)),OR(H57="",ISNUMBER(H57))),IF(N(G57)&gt;F57,0,1),0))</f>
        <v/>
      </c>
    </row>
    <row r="58">
      <c r="A58" s="29" t="n"/>
      <c r="B58" s="29" t="n"/>
      <c r="C58" s="29" t="n"/>
      <c r="D58" s="24" t="n"/>
      <c r="E58" s="26" t="n"/>
      <c r="F58" s="34" t="n"/>
      <c r="G58" s="34" t="n"/>
      <c r="H58" s="24" t="n"/>
      <c r="I58" s="29" t="n"/>
      <c r="J58" s="32">
        <f>IF(R58&lt;&gt;1,"",IF(ISNUMBER(D58),INT(D58)+IF(ISNUMBER(E58),INT(E58),DefTerms),""))</f>
        <v/>
      </c>
      <c r="K58" s="35">
        <f>IF(R58&lt;&gt;1,"",IF(ISNUMBER(H58),0,IF(AND(A58&lt;&gt;"",ISNUMBER(MATCH(A58,CustName,0))),IF(ISNUMBER(INDEX(CustLate,MATCH(A58,CustName,0))),INT(INDEX(CustLate,MATCH(A58,CustName,0))),DefLate),DefLate)))</f>
        <v/>
      </c>
      <c r="L58" s="32">
        <f>IF(R58&lt;&gt;1,"",IF(ISNUMBER(H58),INT(H58),J58+K58)+StressDays)</f>
        <v/>
      </c>
      <c r="M58" s="21">
        <f>IF(R58&lt;&gt;1,0,F58-N(G58))</f>
        <v/>
      </c>
      <c r="N58" s="35">
        <f>IF(OR(R58&lt;&gt;1,M58&lt;=0),"",IF(I58="Yes","",IF(L58&lt;W1,IF(OverdueW1="No","",1),IF(L58&lt;=W1+90,INT((L58-W1)/7)+1,""))))</f>
        <v/>
      </c>
      <c r="O58" s="36">
        <f>IF(ISNUMBER(N58),M58*CollectPct,0)</f>
        <v/>
      </c>
      <c r="P58" s="10">
        <f>IF(R58="","",IF(R58=0,"Not counted",IF(M58&lt;=0,"Paid",IF(I58="Yes","Doubtful (left out)",IF(L58&lt;W1,IF(OverdueW1="No","Overdue (left out)","Overdue → Week 1"),IF(L58&lt;=W1+90,"Week "&amp;N58,"After Week 13"))))))</f>
        <v/>
      </c>
      <c r="Q58" s="10">
        <f>IF(R58="","",IF(R58=0,IF(NOT(ISNUMBER(F58)),"Fix: amount missing",IF(F58&lt;=0,"Fix: amount must be above 0",IF(AND(NOT(ISNUMBER(D58)),NOT(ISNUMBER(H58))),"Fix: add an invoice date or a promised date",IF(AND(D58&lt;&gt;"",NOT(ISNUMBER(D58))),"Fix: invoice date isn't a date",IF(AND(E58&lt;&gt;"",NOT(ISNUMBER(E58))),"Fix: terms must be a number",IF(AND(G58&lt;&gt;"",NOT(ISNUMBER(G58))),"Fix: received must be a number",IF(AND(H58&lt;&gt;"",NOT(ISNUMBER(H58))),"Fix: promised date isn't a date","Fix: received is more than the amount"))))))),IF(AND(C58&lt;&gt;"",ISNUMBER(MATCH(C58,InCats,0))),"OK","Category not on Settings (counted as Other)")))</f>
        <v/>
      </c>
      <c r="R58">
        <f>IF(COUNTA(A58:I58)=0,"",IF(AND(ISNUMBER(F58),F58&gt;0,OR(ISNUMBER(D58),ISNUMBER(H58)),OR(D58="",ISNUMBER(D58)),OR(E58="",ISNUMBER(E58)),OR(G58="",ISNUMBER(G58)),OR(H58="",ISNUMBER(H58))),IF(N(G58)&gt;F58,0,1),0))</f>
        <v/>
      </c>
    </row>
    <row r="59">
      <c r="A59" s="29" t="n"/>
      <c r="B59" s="29" t="n"/>
      <c r="C59" s="29" t="n"/>
      <c r="D59" s="24" t="n"/>
      <c r="E59" s="26" t="n"/>
      <c r="F59" s="34" t="n"/>
      <c r="G59" s="34" t="n"/>
      <c r="H59" s="24" t="n"/>
      <c r="I59" s="29" t="n"/>
      <c r="J59" s="32">
        <f>IF(R59&lt;&gt;1,"",IF(ISNUMBER(D59),INT(D59)+IF(ISNUMBER(E59),INT(E59),DefTerms),""))</f>
        <v/>
      </c>
      <c r="K59" s="35">
        <f>IF(R59&lt;&gt;1,"",IF(ISNUMBER(H59),0,IF(AND(A59&lt;&gt;"",ISNUMBER(MATCH(A59,CustName,0))),IF(ISNUMBER(INDEX(CustLate,MATCH(A59,CustName,0))),INT(INDEX(CustLate,MATCH(A59,CustName,0))),DefLate),DefLate)))</f>
        <v/>
      </c>
      <c r="L59" s="32">
        <f>IF(R59&lt;&gt;1,"",IF(ISNUMBER(H59),INT(H59),J59+K59)+StressDays)</f>
        <v/>
      </c>
      <c r="M59" s="21">
        <f>IF(R59&lt;&gt;1,0,F59-N(G59))</f>
        <v/>
      </c>
      <c r="N59" s="35">
        <f>IF(OR(R59&lt;&gt;1,M59&lt;=0),"",IF(I59="Yes","",IF(L59&lt;W1,IF(OverdueW1="No","",1),IF(L59&lt;=W1+90,INT((L59-W1)/7)+1,""))))</f>
        <v/>
      </c>
      <c r="O59" s="36">
        <f>IF(ISNUMBER(N59),M59*CollectPct,0)</f>
        <v/>
      </c>
      <c r="P59" s="10">
        <f>IF(R59="","",IF(R59=0,"Not counted",IF(M59&lt;=0,"Paid",IF(I59="Yes","Doubtful (left out)",IF(L59&lt;W1,IF(OverdueW1="No","Overdue (left out)","Overdue → Week 1"),IF(L59&lt;=W1+90,"Week "&amp;N59,"After Week 13"))))))</f>
        <v/>
      </c>
      <c r="Q59" s="10">
        <f>IF(R59="","",IF(R59=0,IF(NOT(ISNUMBER(F59)),"Fix: amount missing",IF(F59&lt;=0,"Fix: amount must be above 0",IF(AND(NOT(ISNUMBER(D59)),NOT(ISNUMBER(H59))),"Fix: add an invoice date or a promised date",IF(AND(D59&lt;&gt;"",NOT(ISNUMBER(D59))),"Fix: invoice date isn't a date",IF(AND(E59&lt;&gt;"",NOT(ISNUMBER(E59))),"Fix: terms must be a number",IF(AND(G59&lt;&gt;"",NOT(ISNUMBER(G59))),"Fix: received must be a number",IF(AND(H59&lt;&gt;"",NOT(ISNUMBER(H59))),"Fix: promised date isn't a date","Fix: received is more than the amount"))))))),IF(AND(C59&lt;&gt;"",ISNUMBER(MATCH(C59,InCats,0))),"OK","Category not on Settings (counted as Other)")))</f>
        <v/>
      </c>
      <c r="R59">
        <f>IF(COUNTA(A59:I59)=0,"",IF(AND(ISNUMBER(F59),F59&gt;0,OR(ISNUMBER(D59),ISNUMBER(H59)),OR(D59="",ISNUMBER(D59)),OR(E59="",ISNUMBER(E59)),OR(G59="",ISNUMBER(G59)),OR(H59="",ISNUMBER(H59))),IF(N(G59)&gt;F59,0,1),0))</f>
        <v/>
      </c>
    </row>
    <row r="60">
      <c r="A60" s="29" t="n"/>
      <c r="B60" s="29" t="n"/>
      <c r="C60" s="29" t="n"/>
      <c r="D60" s="24" t="n"/>
      <c r="E60" s="26" t="n"/>
      <c r="F60" s="34" t="n"/>
      <c r="G60" s="34" t="n"/>
      <c r="H60" s="24" t="n"/>
      <c r="I60" s="29" t="n"/>
      <c r="J60" s="32">
        <f>IF(R60&lt;&gt;1,"",IF(ISNUMBER(D60),INT(D60)+IF(ISNUMBER(E60),INT(E60),DefTerms),""))</f>
        <v/>
      </c>
      <c r="K60" s="35">
        <f>IF(R60&lt;&gt;1,"",IF(ISNUMBER(H60),0,IF(AND(A60&lt;&gt;"",ISNUMBER(MATCH(A60,CustName,0))),IF(ISNUMBER(INDEX(CustLate,MATCH(A60,CustName,0))),INT(INDEX(CustLate,MATCH(A60,CustName,0))),DefLate),DefLate)))</f>
        <v/>
      </c>
      <c r="L60" s="32">
        <f>IF(R60&lt;&gt;1,"",IF(ISNUMBER(H60),INT(H60),J60+K60)+StressDays)</f>
        <v/>
      </c>
      <c r="M60" s="21">
        <f>IF(R60&lt;&gt;1,0,F60-N(G60))</f>
        <v/>
      </c>
      <c r="N60" s="35">
        <f>IF(OR(R60&lt;&gt;1,M60&lt;=0),"",IF(I60="Yes","",IF(L60&lt;W1,IF(OverdueW1="No","",1),IF(L60&lt;=W1+90,INT((L60-W1)/7)+1,""))))</f>
        <v/>
      </c>
      <c r="O60" s="36">
        <f>IF(ISNUMBER(N60),M60*CollectPct,0)</f>
        <v/>
      </c>
      <c r="P60" s="10">
        <f>IF(R60="","",IF(R60=0,"Not counted",IF(M60&lt;=0,"Paid",IF(I60="Yes","Doubtful (left out)",IF(L60&lt;W1,IF(OverdueW1="No","Overdue (left out)","Overdue → Week 1"),IF(L60&lt;=W1+90,"Week "&amp;N60,"After Week 13"))))))</f>
        <v/>
      </c>
      <c r="Q60" s="10">
        <f>IF(R60="","",IF(R60=0,IF(NOT(ISNUMBER(F60)),"Fix: amount missing",IF(F60&lt;=0,"Fix: amount must be above 0",IF(AND(NOT(ISNUMBER(D60)),NOT(ISNUMBER(H60))),"Fix: add an invoice date or a promised date",IF(AND(D60&lt;&gt;"",NOT(ISNUMBER(D60))),"Fix: invoice date isn't a date",IF(AND(E60&lt;&gt;"",NOT(ISNUMBER(E60))),"Fix: terms must be a number",IF(AND(G60&lt;&gt;"",NOT(ISNUMBER(G60))),"Fix: received must be a number",IF(AND(H60&lt;&gt;"",NOT(ISNUMBER(H60))),"Fix: promised date isn't a date","Fix: received is more than the amount"))))))),IF(AND(C60&lt;&gt;"",ISNUMBER(MATCH(C60,InCats,0))),"OK","Category not on Settings (counted as Other)")))</f>
        <v/>
      </c>
      <c r="R60">
        <f>IF(COUNTA(A60:I60)=0,"",IF(AND(ISNUMBER(F60),F60&gt;0,OR(ISNUMBER(D60),ISNUMBER(H60)),OR(D60="",ISNUMBER(D60)),OR(E60="",ISNUMBER(E60)),OR(G60="",ISNUMBER(G60)),OR(H60="",ISNUMBER(H60))),IF(N(G60)&gt;F60,0,1),0))</f>
        <v/>
      </c>
    </row>
    <row r="61">
      <c r="A61" s="29" t="n"/>
      <c r="B61" s="29" t="n"/>
      <c r="C61" s="29" t="n"/>
      <c r="D61" s="24" t="n"/>
      <c r="E61" s="26" t="n"/>
      <c r="F61" s="34" t="n"/>
      <c r="G61" s="34" t="n"/>
      <c r="H61" s="24" t="n"/>
      <c r="I61" s="29" t="n"/>
      <c r="J61" s="32">
        <f>IF(R61&lt;&gt;1,"",IF(ISNUMBER(D61),INT(D61)+IF(ISNUMBER(E61),INT(E61),DefTerms),""))</f>
        <v/>
      </c>
      <c r="K61" s="35">
        <f>IF(R61&lt;&gt;1,"",IF(ISNUMBER(H61),0,IF(AND(A61&lt;&gt;"",ISNUMBER(MATCH(A61,CustName,0))),IF(ISNUMBER(INDEX(CustLate,MATCH(A61,CustName,0))),INT(INDEX(CustLate,MATCH(A61,CustName,0))),DefLate),DefLate)))</f>
        <v/>
      </c>
      <c r="L61" s="32">
        <f>IF(R61&lt;&gt;1,"",IF(ISNUMBER(H61),INT(H61),J61+K61)+StressDays)</f>
        <v/>
      </c>
      <c r="M61" s="21">
        <f>IF(R61&lt;&gt;1,0,F61-N(G61))</f>
        <v/>
      </c>
      <c r="N61" s="35">
        <f>IF(OR(R61&lt;&gt;1,M61&lt;=0),"",IF(I61="Yes","",IF(L61&lt;W1,IF(OverdueW1="No","",1),IF(L61&lt;=W1+90,INT((L61-W1)/7)+1,""))))</f>
        <v/>
      </c>
      <c r="O61" s="36">
        <f>IF(ISNUMBER(N61),M61*CollectPct,0)</f>
        <v/>
      </c>
      <c r="P61" s="10">
        <f>IF(R61="","",IF(R61=0,"Not counted",IF(M61&lt;=0,"Paid",IF(I61="Yes","Doubtful (left out)",IF(L61&lt;W1,IF(OverdueW1="No","Overdue (left out)","Overdue → Week 1"),IF(L61&lt;=W1+90,"Week "&amp;N61,"After Week 13"))))))</f>
        <v/>
      </c>
      <c r="Q61" s="10">
        <f>IF(R61="","",IF(R61=0,IF(NOT(ISNUMBER(F61)),"Fix: amount missing",IF(F61&lt;=0,"Fix: amount must be above 0",IF(AND(NOT(ISNUMBER(D61)),NOT(ISNUMBER(H61))),"Fix: add an invoice date or a promised date",IF(AND(D61&lt;&gt;"",NOT(ISNUMBER(D61))),"Fix: invoice date isn't a date",IF(AND(E61&lt;&gt;"",NOT(ISNUMBER(E61))),"Fix: terms must be a number",IF(AND(G61&lt;&gt;"",NOT(ISNUMBER(G61))),"Fix: received must be a number",IF(AND(H61&lt;&gt;"",NOT(ISNUMBER(H61))),"Fix: promised date isn't a date","Fix: received is more than the amount"))))))),IF(AND(C61&lt;&gt;"",ISNUMBER(MATCH(C61,InCats,0))),"OK","Category not on Settings (counted as Other)")))</f>
        <v/>
      </c>
      <c r="R61">
        <f>IF(COUNTA(A61:I61)=0,"",IF(AND(ISNUMBER(F61),F61&gt;0,OR(ISNUMBER(D61),ISNUMBER(H61)),OR(D61="",ISNUMBER(D61)),OR(E61="",ISNUMBER(E61)),OR(G61="",ISNUMBER(G61)),OR(H61="",ISNUMBER(H61))),IF(N(G61)&gt;F61,0,1),0))</f>
        <v/>
      </c>
    </row>
    <row r="62">
      <c r="A62" s="29" t="n"/>
      <c r="B62" s="29" t="n"/>
      <c r="C62" s="29" t="n"/>
      <c r="D62" s="24" t="n"/>
      <c r="E62" s="26" t="n"/>
      <c r="F62" s="34" t="n"/>
      <c r="G62" s="34" t="n"/>
      <c r="H62" s="24" t="n"/>
      <c r="I62" s="29" t="n"/>
      <c r="J62" s="32">
        <f>IF(R62&lt;&gt;1,"",IF(ISNUMBER(D62),INT(D62)+IF(ISNUMBER(E62),INT(E62),DefTerms),""))</f>
        <v/>
      </c>
      <c r="K62" s="35">
        <f>IF(R62&lt;&gt;1,"",IF(ISNUMBER(H62),0,IF(AND(A62&lt;&gt;"",ISNUMBER(MATCH(A62,CustName,0))),IF(ISNUMBER(INDEX(CustLate,MATCH(A62,CustName,0))),INT(INDEX(CustLate,MATCH(A62,CustName,0))),DefLate),DefLate)))</f>
        <v/>
      </c>
      <c r="L62" s="32">
        <f>IF(R62&lt;&gt;1,"",IF(ISNUMBER(H62),INT(H62),J62+K62)+StressDays)</f>
        <v/>
      </c>
      <c r="M62" s="21">
        <f>IF(R62&lt;&gt;1,0,F62-N(G62))</f>
        <v/>
      </c>
      <c r="N62" s="35">
        <f>IF(OR(R62&lt;&gt;1,M62&lt;=0),"",IF(I62="Yes","",IF(L62&lt;W1,IF(OverdueW1="No","",1),IF(L62&lt;=W1+90,INT((L62-W1)/7)+1,""))))</f>
        <v/>
      </c>
      <c r="O62" s="36">
        <f>IF(ISNUMBER(N62),M62*CollectPct,0)</f>
        <v/>
      </c>
      <c r="P62" s="10">
        <f>IF(R62="","",IF(R62=0,"Not counted",IF(M62&lt;=0,"Paid",IF(I62="Yes","Doubtful (left out)",IF(L62&lt;W1,IF(OverdueW1="No","Overdue (left out)","Overdue → Week 1"),IF(L62&lt;=W1+90,"Week "&amp;N62,"After Week 13"))))))</f>
        <v/>
      </c>
      <c r="Q62" s="10">
        <f>IF(R62="","",IF(R62=0,IF(NOT(ISNUMBER(F62)),"Fix: amount missing",IF(F62&lt;=0,"Fix: amount must be above 0",IF(AND(NOT(ISNUMBER(D62)),NOT(ISNUMBER(H62))),"Fix: add an invoice date or a promised date",IF(AND(D62&lt;&gt;"",NOT(ISNUMBER(D62))),"Fix: invoice date isn't a date",IF(AND(E62&lt;&gt;"",NOT(ISNUMBER(E62))),"Fix: terms must be a number",IF(AND(G62&lt;&gt;"",NOT(ISNUMBER(G62))),"Fix: received must be a number",IF(AND(H62&lt;&gt;"",NOT(ISNUMBER(H62))),"Fix: promised date isn't a date","Fix: received is more than the amount"))))))),IF(AND(C62&lt;&gt;"",ISNUMBER(MATCH(C62,InCats,0))),"OK","Category not on Settings (counted as Other)")))</f>
        <v/>
      </c>
      <c r="R62">
        <f>IF(COUNTA(A62:I62)=0,"",IF(AND(ISNUMBER(F62),F62&gt;0,OR(ISNUMBER(D62),ISNUMBER(H62)),OR(D62="",ISNUMBER(D62)),OR(E62="",ISNUMBER(E62)),OR(G62="",ISNUMBER(G62)),OR(H62="",ISNUMBER(H62))),IF(N(G62)&gt;F62,0,1),0))</f>
        <v/>
      </c>
    </row>
    <row r="63">
      <c r="A63" s="29" t="n"/>
      <c r="B63" s="29" t="n"/>
      <c r="C63" s="29" t="n"/>
      <c r="D63" s="24" t="n"/>
      <c r="E63" s="26" t="n"/>
      <c r="F63" s="34" t="n"/>
      <c r="G63" s="34" t="n"/>
      <c r="H63" s="24" t="n"/>
      <c r="I63" s="29" t="n"/>
      <c r="J63" s="32">
        <f>IF(R63&lt;&gt;1,"",IF(ISNUMBER(D63),INT(D63)+IF(ISNUMBER(E63),INT(E63),DefTerms),""))</f>
        <v/>
      </c>
      <c r="K63" s="35">
        <f>IF(R63&lt;&gt;1,"",IF(ISNUMBER(H63),0,IF(AND(A63&lt;&gt;"",ISNUMBER(MATCH(A63,CustName,0))),IF(ISNUMBER(INDEX(CustLate,MATCH(A63,CustName,0))),INT(INDEX(CustLate,MATCH(A63,CustName,0))),DefLate),DefLate)))</f>
        <v/>
      </c>
      <c r="L63" s="32">
        <f>IF(R63&lt;&gt;1,"",IF(ISNUMBER(H63),INT(H63),J63+K63)+StressDays)</f>
        <v/>
      </c>
      <c r="M63" s="21">
        <f>IF(R63&lt;&gt;1,0,F63-N(G63))</f>
        <v/>
      </c>
      <c r="N63" s="35">
        <f>IF(OR(R63&lt;&gt;1,M63&lt;=0),"",IF(I63="Yes","",IF(L63&lt;W1,IF(OverdueW1="No","",1),IF(L63&lt;=W1+90,INT((L63-W1)/7)+1,""))))</f>
        <v/>
      </c>
      <c r="O63" s="36">
        <f>IF(ISNUMBER(N63),M63*CollectPct,0)</f>
        <v/>
      </c>
      <c r="P63" s="10">
        <f>IF(R63="","",IF(R63=0,"Not counted",IF(M63&lt;=0,"Paid",IF(I63="Yes","Doubtful (left out)",IF(L63&lt;W1,IF(OverdueW1="No","Overdue (left out)","Overdue → Week 1"),IF(L63&lt;=W1+90,"Week "&amp;N63,"After Week 13"))))))</f>
        <v/>
      </c>
      <c r="Q63" s="10">
        <f>IF(R63="","",IF(R63=0,IF(NOT(ISNUMBER(F63)),"Fix: amount missing",IF(F63&lt;=0,"Fix: amount must be above 0",IF(AND(NOT(ISNUMBER(D63)),NOT(ISNUMBER(H63))),"Fix: add an invoice date or a promised date",IF(AND(D63&lt;&gt;"",NOT(ISNUMBER(D63))),"Fix: invoice date isn't a date",IF(AND(E63&lt;&gt;"",NOT(ISNUMBER(E63))),"Fix: terms must be a number",IF(AND(G63&lt;&gt;"",NOT(ISNUMBER(G63))),"Fix: received must be a number",IF(AND(H63&lt;&gt;"",NOT(ISNUMBER(H63))),"Fix: promised date isn't a date","Fix: received is more than the amount"))))))),IF(AND(C63&lt;&gt;"",ISNUMBER(MATCH(C63,InCats,0))),"OK","Category not on Settings (counted as Other)")))</f>
        <v/>
      </c>
      <c r="R63">
        <f>IF(COUNTA(A63:I63)=0,"",IF(AND(ISNUMBER(F63),F63&gt;0,OR(ISNUMBER(D63),ISNUMBER(H63)),OR(D63="",ISNUMBER(D63)),OR(E63="",ISNUMBER(E63)),OR(G63="",ISNUMBER(G63)),OR(H63="",ISNUMBER(H63))),IF(N(G63)&gt;F63,0,1),0))</f>
        <v/>
      </c>
    </row>
    <row r="64">
      <c r="A64" s="29" t="n"/>
      <c r="B64" s="29" t="n"/>
      <c r="C64" s="29" t="n"/>
      <c r="D64" s="24" t="n"/>
      <c r="E64" s="26" t="n"/>
      <c r="F64" s="34" t="n"/>
      <c r="G64" s="34" t="n"/>
      <c r="H64" s="24" t="n"/>
      <c r="I64" s="29" t="n"/>
      <c r="J64" s="32">
        <f>IF(R64&lt;&gt;1,"",IF(ISNUMBER(D64),INT(D64)+IF(ISNUMBER(E64),INT(E64),DefTerms),""))</f>
        <v/>
      </c>
      <c r="K64" s="35">
        <f>IF(R64&lt;&gt;1,"",IF(ISNUMBER(H64),0,IF(AND(A64&lt;&gt;"",ISNUMBER(MATCH(A64,CustName,0))),IF(ISNUMBER(INDEX(CustLate,MATCH(A64,CustName,0))),INT(INDEX(CustLate,MATCH(A64,CustName,0))),DefLate),DefLate)))</f>
        <v/>
      </c>
      <c r="L64" s="32">
        <f>IF(R64&lt;&gt;1,"",IF(ISNUMBER(H64),INT(H64),J64+K64)+StressDays)</f>
        <v/>
      </c>
      <c r="M64" s="21">
        <f>IF(R64&lt;&gt;1,0,F64-N(G64))</f>
        <v/>
      </c>
      <c r="N64" s="35">
        <f>IF(OR(R64&lt;&gt;1,M64&lt;=0),"",IF(I64="Yes","",IF(L64&lt;W1,IF(OverdueW1="No","",1),IF(L64&lt;=W1+90,INT((L64-W1)/7)+1,""))))</f>
        <v/>
      </c>
      <c r="O64" s="36">
        <f>IF(ISNUMBER(N64),M64*CollectPct,0)</f>
        <v/>
      </c>
      <c r="P64" s="10">
        <f>IF(R64="","",IF(R64=0,"Not counted",IF(M64&lt;=0,"Paid",IF(I64="Yes","Doubtful (left out)",IF(L64&lt;W1,IF(OverdueW1="No","Overdue (left out)","Overdue → Week 1"),IF(L64&lt;=W1+90,"Week "&amp;N64,"After Week 13"))))))</f>
        <v/>
      </c>
      <c r="Q64" s="10">
        <f>IF(R64="","",IF(R64=0,IF(NOT(ISNUMBER(F64)),"Fix: amount missing",IF(F64&lt;=0,"Fix: amount must be above 0",IF(AND(NOT(ISNUMBER(D64)),NOT(ISNUMBER(H64))),"Fix: add an invoice date or a promised date",IF(AND(D64&lt;&gt;"",NOT(ISNUMBER(D64))),"Fix: invoice date isn't a date",IF(AND(E64&lt;&gt;"",NOT(ISNUMBER(E64))),"Fix: terms must be a number",IF(AND(G64&lt;&gt;"",NOT(ISNUMBER(G64))),"Fix: received must be a number",IF(AND(H64&lt;&gt;"",NOT(ISNUMBER(H64))),"Fix: promised date isn't a date","Fix: received is more than the amount"))))))),IF(AND(C64&lt;&gt;"",ISNUMBER(MATCH(C64,InCats,0))),"OK","Category not on Settings (counted as Other)")))</f>
        <v/>
      </c>
      <c r="R64">
        <f>IF(COUNTA(A64:I64)=0,"",IF(AND(ISNUMBER(F64),F64&gt;0,OR(ISNUMBER(D64),ISNUMBER(H64)),OR(D64="",ISNUMBER(D64)),OR(E64="",ISNUMBER(E64)),OR(G64="",ISNUMBER(G64)),OR(H64="",ISNUMBER(H64))),IF(N(G64)&gt;F64,0,1),0))</f>
        <v/>
      </c>
    </row>
    <row r="65">
      <c r="A65" s="29" t="n"/>
      <c r="B65" s="29" t="n"/>
      <c r="C65" s="29" t="n"/>
      <c r="D65" s="24" t="n"/>
      <c r="E65" s="26" t="n"/>
      <c r="F65" s="34" t="n"/>
      <c r="G65" s="34" t="n"/>
      <c r="H65" s="24" t="n"/>
      <c r="I65" s="29" t="n"/>
      <c r="J65" s="32">
        <f>IF(R65&lt;&gt;1,"",IF(ISNUMBER(D65),INT(D65)+IF(ISNUMBER(E65),INT(E65),DefTerms),""))</f>
        <v/>
      </c>
      <c r="K65" s="35">
        <f>IF(R65&lt;&gt;1,"",IF(ISNUMBER(H65),0,IF(AND(A65&lt;&gt;"",ISNUMBER(MATCH(A65,CustName,0))),IF(ISNUMBER(INDEX(CustLate,MATCH(A65,CustName,0))),INT(INDEX(CustLate,MATCH(A65,CustName,0))),DefLate),DefLate)))</f>
        <v/>
      </c>
      <c r="L65" s="32">
        <f>IF(R65&lt;&gt;1,"",IF(ISNUMBER(H65),INT(H65),J65+K65)+StressDays)</f>
        <v/>
      </c>
      <c r="M65" s="21">
        <f>IF(R65&lt;&gt;1,0,F65-N(G65))</f>
        <v/>
      </c>
      <c r="N65" s="35">
        <f>IF(OR(R65&lt;&gt;1,M65&lt;=0),"",IF(I65="Yes","",IF(L65&lt;W1,IF(OverdueW1="No","",1),IF(L65&lt;=W1+90,INT((L65-W1)/7)+1,""))))</f>
        <v/>
      </c>
      <c r="O65" s="36">
        <f>IF(ISNUMBER(N65),M65*CollectPct,0)</f>
        <v/>
      </c>
      <c r="P65" s="10">
        <f>IF(R65="","",IF(R65=0,"Not counted",IF(M65&lt;=0,"Paid",IF(I65="Yes","Doubtful (left out)",IF(L65&lt;W1,IF(OverdueW1="No","Overdue (left out)","Overdue → Week 1"),IF(L65&lt;=W1+90,"Week "&amp;N65,"After Week 13"))))))</f>
        <v/>
      </c>
      <c r="Q65" s="10">
        <f>IF(R65="","",IF(R65=0,IF(NOT(ISNUMBER(F65)),"Fix: amount missing",IF(F65&lt;=0,"Fix: amount must be above 0",IF(AND(NOT(ISNUMBER(D65)),NOT(ISNUMBER(H65))),"Fix: add an invoice date or a promised date",IF(AND(D65&lt;&gt;"",NOT(ISNUMBER(D65))),"Fix: invoice date isn't a date",IF(AND(E65&lt;&gt;"",NOT(ISNUMBER(E65))),"Fix: terms must be a number",IF(AND(G65&lt;&gt;"",NOT(ISNUMBER(G65))),"Fix: received must be a number",IF(AND(H65&lt;&gt;"",NOT(ISNUMBER(H65))),"Fix: promised date isn't a date","Fix: received is more than the amount"))))))),IF(AND(C65&lt;&gt;"",ISNUMBER(MATCH(C65,InCats,0))),"OK","Category not on Settings (counted as Other)")))</f>
        <v/>
      </c>
      <c r="R65">
        <f>IF(COUNTA(A65:I65)=0,"",IF(AND(ISNUMBER(F65),F65&gt;0,OR(ISNUMBER(D65),ISNUMBER(H65)),OR(D65="",ISNUMBER(D65)),OR(E65="",ISNUMBER(E65)),OR(G65="",ISNUMBER(G65)),OR(H65="",ISNUMBER(H65))),IF(N(G65)&gt;F65,0,1),0))</f>
        <v/>
      </c>
    </row>
    <row r="66">
      <c r="A66" s="29" t="n"/>
      <c r="B66" s="29" t="n"/>
      <c r="C66" s="29" t="n"/>
      <c r="D66" s="24" t="n"/>
      <c r="E66" s="26" t="n"/>
      <c r="F66" s="34" t="n"/>
      <c r="G66" s="34" t="n"/>
      <c r="H66" s="24" t="n"/>
      <c r="I66" s="29" t="n"/>
      <c r="J66" s="32">
        <f>IF(R66&lt;&gt;1,"",IF(ISNUMBER(D66),INT(D66)+IF(ISNUMBER(E66),INT(E66),DefTerms),""))</f>
        <v/>
      </c>
      <c r="K66" s="35">
        <f>IF(R66&lt;&gt;1,"",IF(ISNUMBER(H66),0,IF(AND(A66&lt;&gt;"",ISNUMBER(MATCH(A66,CustName,0))),IF(ISNUMBER(INDEX(CustLate,MATCH(A66,CustName,0))),INT(INDEX(CustLate,MATCH(A66,CustName,0))),DefLate),DefLate)))</f>
        <v/>
      </c>
      <c r="L66" s="32">
        <f>IF(R66&lt;&gt;1,"",IF(ISNUMBER(H66),INT(H66),J66+K66)+StressDays)</f>
        <v/>
      </c>
      <c r="M66" s="21">
        <f>IF(R66&lt;&gt;1,0,F66-N(G66))</f>
        <v/>
      </c>
      <c r="N66" s="35">
        <f>IF(OR(R66&lt;&gt;1,M66&lt;=0),"",IF(I66="Yes","",IF(L66&lt;W1,IF(OverdueW1="No","",1),IF(L66&lt;=W1+90,INT((L66-W1)/7)+1,""))))</f>
        <v/>
      </c>
      <c r="O66" s="36">
        <f>IF(ISNUMBER(N66),M66*CollectPct,0)</f>
        <v/>
      </c>
      <c r="P66" s="10">
        <f>IF(R66="","",IF(R66=0,"Not counted",IF(M66&lt;=0,"Paid",IF(I66="Yes","Doubtful (left out)",IF(L66&lt;W1,IF(OverdueW1="No","Overdue (left out)","Overdue → Week 1"),IF(L66&lt;=W1+90,"Week "&amp;N66,"After Week 13"))))))</f>
        <v/>
      </c>
      <c r="Q66" s="10">
        <f>IF(R66="","",IF(R66=0,IF(NOT(ISNUMBER(F66)),"Fix: amount missing",IF(F66&lt;=0,"Fix: amount must be above 0",IF(AND(NOT(ISNUMBER(D66)),NOT(ISNUMBER(H66))),"Fix: add an invoice date or a promised date",IF(AND(D66&lt;&gt;"",NOT(ISNUMBER(D66))),"Fix: invoice date isn't a date",IF(AND(E66&lt;&gt;"",NOT(ISNUMBER(E66))),"Fix: terms must be a number",IF(AND(G66&lt;&gt;"",NOT(ISNUMBER(G66))),"Fix: received must be a number",IF(AND(H66&lt;&gt;"",NOT(ISNUMBER(H66))),"Fix: promised date isn't a date","Fix: received is more than the amount"))))))),IF(AND(C66&lt;&gt;"",ISNUMBER(MATCH(C66,InCats,0))),"OK","Category not on Settings (counted as Other)")))</f>
        <v/>
      </c>
      <c r="R66">
        <f>IF(COUNTA(A66:I66)=0,"",IF(AND(ISNUMBER(F66),F66&gt;0,OR(ISNUMBER(D66),ISNUMBER(H66)),OR(D66="",ISNUMBER(D66)),OR(E66="",ISNUMBER(E66)),OR(G66="",ISNUMBER(G66)),OR(H66="",ISNUMBER(H66))),IF(N(G66)&gt;F66,0,1),0))</f>
        <v/>
      </c>
    </row>
    <row r="67">
      <c r="A67" s="29" t="n"/>
      <c r="B67" s="29" t="n"/>
      <c r="C67" s="29" t="n"/>
      <c r="D67" s="24" t="n"/>
      <c r="E67" s="26" t="n"/>
      <c r="F67" s="34" t="n"/>
      <c r="G67" s="34" t="n"/>
      <c r="H67" s="24" t="n"/>
      <c r="I67" s="29" t="n"/>
      <c r="J67" s="32">
        <f>IF(R67&lt;&gt;1,"",IF(ISNUMBER(D67),INT(D67)+IF(ISNUMBER(E67),INT(E67),DefTerms),""))</f>
        <v/>
      </c>
      <c r="K67" s="35">
        <f>IF(R67&lt;&gt;1,"",IF(ISNUMBER(H67),0,IF(AND(A67&lt;&gt;"",ISNUMBER(MATCH(A67,CustName,0))),IF(ISNUMBER(INDEX(CustLate,MATCH(A67,CustName,0))),INT(INDEX(CustLate,MATCH(A67,CustName,0))),DefLate),DefLate)))</f>
        <v/>
      </c>
      <c r="L67" s="32">
        <f>IF(R67&lt;&gt;1,"",IF(ISNUMBER(H67),INT(H67),J67+K67)+StressDays)</f>
        <v/>
      </c>
      <c r="M67" s="21">
        <f>IF(R67&lt;&gt;1,0,F67-N(G67))</f>
        <v/>
      </c>
      <c r="N67" s="35">
        <f>IF(OR(R67&lt;&gt;1,M67&lt;=0),"",IF(I67="Yes","",IF(L67&lt;W1,IF(OverdueW1="No","",1),IF(L67&lt;=W1+90,INT((L67-W1)/7)+1,""))))</f>
        <v/>
      </c>
      <c r="O67" s="36">
        <f>IF(ISNUMBER(N67),M67*CollectPct,0)</f>
        <v/>
      </c>
      <c r="P67" s="10">
        <f>IF(R67="","",IF(R67=0,"Not counted",IF(M67&lt;=0,"Paid",IF(I67="Yes","Doubtful (left out)",IF(L67&lt;W1,IF(OverdueW1="No","Overdue (left out)","Overdue → Week 1"),IF(L67&lt;=W1+90,"Week "&amp;N67,"After Week 13"))))))</f>
        <v/>
      </c>
      <c r="Q67" s="10">
        <f>IF(R67="","",IF(R67=0,IF(NOT(ISNUMBER(F67)),"Fix: amount missing",IF(F67&lt;=0,"Fix: amount must be above 0",IF(AND(NOT(ISNUMBER(D67)),NOT(ISNUMBER(H67))),"Fix: add an invoice date or a promised date",IF(AND(D67&lt;&gt;"",NOT(ISNUMBER(D67))),"Fix: invoice date isn't a date",IF(AND(E67&lt;&gt;"",NOT(ISNUMBER(E67))),"Fix: terms must be a number",IF(AND(G67&lt;&gt;"",NOT(ISNUMBER(G67))),"Fix: received must be a number",IF(AND(H67&lt;&gt;"",NOT(ISNUMBER(H67))),"Fix: promised date isn't a date","Fix: received is more than the amount"))))))),IF(AND(C67&lt;&gt;"",ISNUMBER(MATCH(C67,InCats,0))),"OK","Category not on Settings (counted as Other)")))</f>
        <v/>
      </c>
      <c r="R67">
        <f>IF(COUNTA(A67:I67)=0,"",IF(AND(ISNUMBER(F67),F67&gt;0,OR(ISNUMBER(D67),ISNUMBER(H67)),OR(D67="",ISNUMBER(D67)),OR(E67="",ISNUMBER(E67)),OR(G67="",ISNUMBER(G67)),OR(H67="",ISNUMBER(H67))),IF(N(G67)&gt;F67,0,1),0))</f>
        <v/>
      </c>
    </row>
    <row r="68">
      <c r="A68" s="29" t="n"/>
      <c r="B68" s="29" t="n"/>
      <c r="C68" s="29" t="n"/>
      <c r="D68" s="24" t="n"/>
      <c r="E68" s="26" t="n"/>
      <c r="F68" s="34" t="n"/>
      <c r="G68" s="34" t="n"/>
      <c r="H68" s="24" t="n"/>
      <c r="I68" s="29" t="n"/>
      <c r="J68" s="32">
        <f>IF(R68&lt;&gt;1,"",IF(ISNUMBER(D68),INT(D68)+IF(ISNUMBER(E68),INT(E68),DefTerms),""))</f>
        <v/>
      </c>
      <c r="K68" s="35">
        <f>IF(R68&lt;&gt;1,"",IF(ISNUMBER(H68),0,IF(AND(A68&lt;&gt;"",ISNUMBER(MATCH(A68,CustName,0))),IF(ISNUMBER(INDEX(CustLate,MATCH(A68,CustName,0))),INT(INDEX(CustLate,MATCH(A68,CustName,0))),DefLate),DefLate)))</f>
        <v/>
      </c>
      <c r="L68" s="32">
        <f>IF(R68&lt;&gt;1,"",IF(ISNUMBER(H68),INT(H68),J68+K68)+StressDays)</f>
        <v/>
      </c>
      <c r="M68" s="21">
        <f>IF(R68&lt;&gt;1,0,F68-N(G68))</f>
        <v/>
      </c>
      <c r="N68" s="35">
        <f>IF(OR(R68&lt;&gt;1,M68&lt;=0),"",IF(I68="Yes","",IF(L68&lt;W1,IF(OverdueW1="No","",1),IF(L68&lt;=W1+90,INT((L68-W1)/7)+1,""))))</f>
        <v/>
      </c>
      <c r="O68" s="36">
        <f>IF(ISNUMBER(N68),M68*CollectPct,0)</f>
        <v/>
      </c>
      <c r="P68" s="10">
        <f>IF(R68="","",IF(R68=0,"Not counted",IF(M68&lt;=0,"Paid",IF(I68="Yes","Doubtful (left out)",IF(L68&lt;W1,IF(OverdueW1="No","Overdue (left out)","Overdue → Week 1"),IF(L68&lt;=W1+90,"Week "&amp;N68,"After Week 13"))))))</f>
        <v/>
      </c>
      <c r="Q68" s="10">
        <f>IF(R68="","",IF(R68=0,IF(NOT(ISNUMBER(F68)),"Fix: amount missing",IF(F68&lt;=0,"Fix: amount must be above 0",IF(AND(NOT(ISNUMBER(D68)),NOT(ISNUMBER(H68))),"Fix: add an invoice date or a promised date",IF(AND(D68&lt;&gt;"",NOT(ISNUMBER(D68))),"Fix: invoice date isn't a date",IF(AND(E68&lt;&gt;"",NOT(ISNUMBER(E68))),"Fix: terms must be a number",IF(AND(G68&lt;&gt;"",NOT(ISNUMBER(G68))),"Fix: received must be a number",IF(AND(H68&lt;&gt;"",NOT(ISNUMBER(H68))),"Fix: promised date isn't a date","Fix: received is more than the amount"))))))),IF(AND(C68&lt;&gt;"",ISNUMBER(MATCH(C68,InCats,0))),"OK","Category not on Settings (counted as Other)")))</f>
        <v/>
      </c>
      <c r="R68">
        <f>IF(COUNTA(A68:I68)=0,"",IF(AND(ISNUMBER(F68),F68&gt;0,OR(ISNUMBER(D68),ISNUMBER(H68)),OR(D68="",ISNUMBER(D68)),OR(E68="",ISNUMBER(E68)),OR(G68="",ISNUMBER(G68)),OR(H68="",ISNUMBER(H68))),IF(N(G68)&gt;F68,0,1),0))</f>
        <v/>
      </c>
    </row>
    <row r="69">
      <c r="A69" s="29" t="n"/>
      <c r="B69" s="29" t="n"/>
      <c r="C69" s="29" t="n"/>
      <c r="D69" s="24" t="n"/>
      <c r="E69" s="26" t="n"/>
      <c r="F69" s="34" t="n"/>
      <c r="G69" s="34" t="n"/>
      <c r="H69" s="24" t="n"/>
      <c r="I69" s="29" t="n"/>
      <c r="J69" s="32">
        <f>IF(R69&lt;&gt;1,"",IF(ISNUMBER(D69),INT(D69)+IF(ISNUMBER(E69),INT(E69),DefTerms),""))</f>
        <v/>
      </c>
      <c r="K69" s="35">
        <f>IF(R69&lt;&gt;1,"",IF(ISNUMBER(H69),0,IF(AND(A69&lt;&gt;"",ISNUMBER(MATCH(A69,CustName,0))),IF(ISNUMBER(INDEX(CustLate,MATCH(A69,CustName,0))),INT(INDEX(CustLate,MATCH(A69,CustName,0))),DefLate),DefLate)))</f>
        <v/>
      </c>
      <c r="L69" s="32">
        <f>IF(R69&lt;&gt;1,"",IF(ISNUMBER(H69),INT(H69),J69+K69)+StressDays)</f>
        <v/>
      </c>
      <c r="M69" s="21">
        <f>IF(R69&lt;&gt;1,0,F69-N(G69))</f>
        <v/>
      </c>
      <c r="N69" s="35">
        <f>IF(OR(R69&lt;&gt;1,M69&lt;=0),"",IF(I69="Yes","",IF(L69&lt;W1,IF(OverdueW1="No","",1),IF(L69&lt;=W1+90,INT((L69-W1)/7)+1,""))))</f>
        <v/>
      </c>
      <c r="O69" s="36">
        <f>IF(ISNUMBER(N69),M69*CollectPct,0)</f>
        <v/>
      </c>
      <c r="P69" s="10">
        <f>IF(R69="","",IF(R69=0,"Not counted",IF(M69&lt;=0,"Paid",IF(I69="Yes","Doubtful (left out)",IF(L69&lt;W1,IF(OverdueW1="No","Overdue (left out)","Overdue → Week 1"),IF(L69&lt;=W1+90,"Week "&amp;N69,"After Week 13"))))))</f>
        <v/>
      </c>
      <c r="Q69" s="10">
        <f>IF(R69="","",IF(R69=0,IF(NOT(ISNUMBER(F69)),"Fix: amount missing",IF(F69&lt;=0,"Fix: amount must be above 0",IF(AND(NOT(ISNUMBER(D69)),NOT(ISNUMBER(H69))),"Fix: add an invoice date or a promised date",IF(AND(D69&lt;&gt;"",NOT(ISNUMBER(D69))),"Fix: invoice date isn't a date",IF(AND(E69&lt;&gt;"",NOT(ISNUMBER(E69))),"Fix: terms must be a number",IF(AND(G69&lt;&gt;"",NOT(ISNUMBER(G69))),"Fix: received must be a number",IF(AND(H69&lt;&gt;"",NOT(ISNUMBER(H69))),"Fix: promised date isn't a date","Fix: received is more than the amount"))))))),IF(AND(C69&lt;&gt;"",ISNUMBER(MATCH(C69,InCats,0))),"OK","Category not on Settings (counted as Other)")))</f>
        <v/>
      </c>
      <c r="R69">
        <f>IF(COUNTA(A69:I69)=0,"",IF(AND(ISNUMBER(F69),F69&gt;0,OR(ISNUMBER(D69),ISNUMBER(H69)),OR(D69="",ISNUMBER(D69)),OR(E69="",ISNUMBER(E69)),OR(G69="",ISNUMBER(G69)),OR(H69="",ISNUMBER(H69))),IF(N(G69)&gt;F69,0,1),0))</f>
        <v/>
      </c>
    </row>
    <row r="70">
      <c r="A70" s="29" t="n"/>
      <c r="B70" s="29" t="n"/>
      <c r="C70" s="29" t="n"/>
      <c r="D70" s="24" t="n"/>
      <c r="E70" s="26" t="n"/>
      <c r="F70" s="34" t="n"/>
      <c r="G70" s="34" t="n"/>
      <c r="H70" s="24" t="n"/>
      <c r="I70" s="29" t="n"/>
      <c r="J70" s="32">
        <f>IF(R70&lt;&gt;1,"",IF(ISNUMBER(D70),INT(D70)+IF(ISNUMBER(E70),INT(E70),DefTerms),""))</f>
        <v/>
      </c>
      <c r="K70" s="35">
        <f>IF(R70&lt;&gt;1,"",IF(ISNUMBER(H70),0,IF(AND(A70&lt;&gt;"",ISNUMBER(MATCH(A70,CustName,0))),IF(ISNUMBER(INDEX(CustLate,MATCH(A70,CustName,0))),INT(INDEX(CustLate,MATCH(A70,CustName,0))),DefLate),DefLate)))</f>
        <v/>
      </c>
      <c r="L70" s="32">
        <f>IF(R70&lt;&gt;1,"",IF(ISNUMBER(H70),INT(H70),J70+K70)+StressDays)</f>
        <v/>
      </c>
      <c r="M70" s="21">
        <f>IF(R70&lt;&gt;1,0,F70-N(G70))</f>
        <v/>
      </c>
      <c r="N70" s="35">
        <f>IF(OR(R70&lt;&gt;1,M70&lt;=0),"",IF(I70="Yes","",IF(L70&lt;W1,IF(OverdueW1="No","",1),IF(L70&lt;=W1+90,INT((L70-W1)/7)+1,""))))</f>
        <v/>
      </c>
      <c r="O70" s="36">
        <f>IF(ISNUMBER(N70),M70*CollectPct,0)</f>
        <v/>
      </c>
      <c r="P70" s="10">
        <f>IF(R70="","",IF(R70=0,"Not counted",IF(M70&lt;=0,"Paid",IF(I70="Yes","Doubtful (left out)",IF(L70&lt;W1,IF(OverdueW1="No","Overdue (left out)","Overdue → Week 1"),IF(L70&lt;=W1+90,"Week "&amp;N70,"After Week 13"))))))</f>
        <v/>
      </c>
      <c r="Q70" s="10">
        <f>IF(R70="","",IF(R70=0,IF(NOT(ISNUMBER(F70)),"Fix: amount missing",IF(F70&lt;=0,"Fix: amount must be above 0",IF(AND(NOT(ISNUMBER(D70)),NOT(ISNUMBER(H70))),"Fix: add an invoice date or a promised date",IF(AND(D70&lt;&gt;"",NOT(ISNUMBER(D70))),"Fix: invoice date isn't a date",IF(AND(E70&lt;&gt;"",NOT(ISNUMBER(E70))),"Fix: terms must be a number",IF(AND(G70&lt;&gt;"",NOT(ISNUMBER(G70))),"Fix: received must be a number",IF(AND(H70&lt;&gt;"",NOT(ISNUMBER(H70))),"Fix: promised date isn't a date","Fix: received is more than the amount"))))))),IF(AND(C70&lt;&gt;"",ISNUMBER(MATCH(C70,InCats,0))),"OK","Category not on Settings (counted as Other)")))</f>
        <v/>
      </c>
      <c r="R70">
        <f>IF(COUNTA(A70:I70)=0,"",IF(AND(ISNUMBER(F70),F70&gt;0,OR(ISNUMBER(D70),ISNUMBER(H70)),OR(D70="",ISNUMBER(D70)),OR(E70="",ISNUMBER(E70)),OR(G70="",ISNUMBER(G70)),OR(H70="",ISNUMBER(H70))),IF(N(G70)&gt;F70,0,1),0))</f>
        <v/>
      </c>
    </row>
    <row r="71">
      <c r="A71" s="29" t="n"/>
      <c r="B71" s="29" t="n"/>
      <c r="C71" s="29" t="n"/>
      <c r="D71" s="24" t="n"/>
      <c r="E71" s="26" t="n"/>
      <c r="F71" s="34" t="n"/>
      <c r="G71" s="34" t="n"/>
      <c r="H71" s="24" t="n"/>
      <c r="I71" s="29" t="n"/>
      <c r="J71" s="32">
        <f>IF(R71&lt;&gt;1,"",IF(ISNUMBER(D71),INT(D71)+IF(ISNUMBER(E71),INT(E71),DefTerms),""))</f>
        <v/>
      </c>
      <c r="K71" s="35">
        <f>IF(R71&lt;&gt;1,"",IF(ISNUMBER(H71),0,IF(AND(A71&lt;&gt;"",ISNUMBER(MATCH(A71,CustName,0))),IF(ISNUMBER(INDEX(CustLate,MATCH(A71,CustName,0))),INT(INDEX(CustLate,MATCH(A71,CustName,0))),DefLate),DefLate)))</f>
        <v/>
      </c>
      <c r="L71" s="32">
        <f>IF(R71&lt;&gt;1,"",IF(ISNUMBER(H71),INT(H71),J71+K71)+StressDays)</f>
        <v/>
      </c>
      <c r="M71" s="21">
        <f>IF(R71&lt;&gt;1,0,F71-N(G71))</f>
        <v/>
      </c>
      <c r="N71" s="35">
        <f>IF(OR(R71&lt;&gt;1,M71&lt;=0),"",IF(I71="Yes","",IF(L71&lt;W1,IF(OverdueW1="No","",1),IF(L71&lt;=W1+90,INT((L71-W1)/7)+1,""))))</f>
        <v/>
      </c>
      <c r="O71" s="36">
        <f>IF(ISNUMBER(N71),M71*CollectPct,0)</f>
        <v/>
      </c>
      <c r="P71" s="10">
        <f>IF(R71="","",IF(R71=0,"Not counted",IF(M71&lt;=0,"Paid",IF(I71="Yes","Doubtful (left out)",IF(L71&lt;W1,IF(OverdueW1="No","Overdue (left out)","Overdue → Week 1"),IF(L71&lt;=W1+90,"Week "&amp;N71,"After Week 13"))))))</f>
        <v/>
      </c>
      <c r="Q71" s="10">
        <f>IF(R71="","",IF(R71=0,IF(NOT(ISNUMBER(F71)),"Fix: amount missing",IF(F71&lt;=0,"Fix: amount must be above 0",IF(AND(NOT(ISNUMBER(D71)),NOT(ISNUMBER(H71))),"Fix: add an invoice date or a promised date",IF(AND(D71&lt;&gt;"",NOT(ISNUMBER(D71))),"Fix: invoice date isn't a date",IF(AND(E71&lt;&gt;"",NOT(ISNUMBER(E71))),"Fix: terms must be a number",IF(AND(G71&lt;&gt;"",NOT(ISNUMBER(G71))),"Fix: received must be a number",IF(AND(H71&lt;&gt;"",NOT(ISNUMBER(H71))),"Fix: promised date isn't a date","Fix: received is more than the amount"))))))),IF(AND(C71&lt;&gt;"",ISNUMBER(MATCH(C71,InCats,0))),"OK","Category not on Settings (counted as Other)")))</f>
        <v/>
      </c>
      <c r="R71">
        <f>IF(COUNTA(A71:I71)=0,"",IF(AND(ISNUMBER(F71),F71&gt;0,OR(ISNUMBER(D71),ISNUMBER(H71)),OR(D71="",ISNUMBER(D71)),OR(E71="",ISNUMBER(E71)),OR(G71="",ISNUMBER(G71)),OR(H71="",ISNUMBER(H71))),IF(N(G71)&gt;F71,0,1),0))</f>
        <v/>
      </c>
    </row>
    <row r="72">
      <c r="A72" s="29" t="n"/>
      <c r="B72" s="29" t="n"/>
      <c r="C72" s="29" t="n"/>
      <c r="D72" s="24" t="n"/>
      <c r="E72" s="26" t="n"/>
      <c r="F72" s="34" t="n"/>
      <c r="G72" s="34" t="n"/>
      <c r="H72" s="24" t="n"/>
      <c r="I72" s="29" t="n"/>
      <c r="J72" s="32">
        <f>IF(R72&lt;&gt;1,"",IF(ISNUMBER(D72),INT(D72)+IF(ISNUMBER(E72),INT(E72),DefTerms),""))</f>
        <v/>
      </c>
      <c r="K72" s="35">
        <f>IF(R72&lt;&gt;1,"",IF(ISNUMBER(H72),0,IF(AND(A72&lt;&gt;"",ISNUMBER(MATCH(A72,CustName,0))),IF(ISNUMBER(INDEX(CustLate,MATCH(A72,CustName,0))),INT(INDEX(CustLate,MATCH(A72,CustName,0))),DefLate),DefLate)))</f>
        <v/>
      </c>
      <c r="L72" s="32">
        <f>IF(R72&lt;&gt;1,"",IF(ISNUMBER(H72),INT(H72),J72+K72)+StressDays)</f>
        <v/>
      </c>
      <c r="M72" s="21">
        <f>IF(R72&lt;&gt;1,0,F72-N(G72))</f>
        <v/>
      </c>
      <c r="N72" s="35">
        <f>IF(OR(R72&lt;&gt;1,M72&lt;=0),"",IF(I72="Yes","",IF(L72&lt;W1,IF(OverdueW1="No","",1),IF(L72&lt;=W1+90,INT((L72-W1)/7)+1,""))))</f>
        <v/>
      </c>
      <c r="O72" s="36">
        <f>IF(ISNUMBER(N72),M72*CollectPct,0)</f>
        <v/>
      </c>
      <c r="P72" s="10">
        <f>IF(R72="","",IF(R72=0,"Not counted",IF(M72&lt;=0,"Paid",IF(I72="Yes","Doubtful (left out)",IF(L72&lt;W1,IF(OverdueW1="No","Overdue (left out)","Overdue → Week 1"),IF(L72&lt;=W1+90,"Week "&amp;N72,"After Week 13"))))))</f>
        <v/>
      </c>
      <c r="Q72" s="10">
        <f>IF(R72="","",IF(R72=0,IF(NOT(ISNUMBER(F72)),"Fix: amount missing",IF(F72&lt;=0,"Fix: amount must be above 0",IF(AND(NOT(ISNUMBER(D72)),NOT(ISNUMBER(H72))),"Fix: add an invoice date or a promised date",IF(AND(D72&lt;&gt;"",NOT(ISNUMBER(D72))),"Fix: invoice date isn't a date",IF(AND(E72&lt;&gt;"",NOT(ISNUMBER(E72))),"Fix: terms must be a number",IF(AND(G72&lt;&gt;"",NOT(ISNUMBER(G72))),"Fix: received must be a number",IF(AND(H72&lt;&gt;"",NOT(ISNUMBER(H72))),"Fix: promised date isn't a date","Fix: received is more than the amount"))))))),IF(AND(C72&lt;&gt;"",ISNUMBER(MATCH(C72,InCats,0))),"OK","Category not on Settings (counted as Other)")))</f>
        <v/>
      </c>
      <c r="R72">
        <f>IF(COUNTA(A72:I72)=0,"",IF(AND(ISNUMBER(F72),F72&gt;0,OR(ISNUMBER(D72),ISNUMBER(H72)),OR(D72="",ISNUMBER(D72)),OR(E72="",ISNUMBER(E72)),OR(G72="",ISNUMBER(G72)),OR(H72="",ISNUMBER(H72))),IF(N(G72)&gt;F72,0,1),0))</f>
        <v/>
      </c>
    </row>
    <row r="73">
      <c r="A73" s="29" t="n"/>
      <c r="B73" s="29" t="n"/>
      <c r="C73" s="29" t="n"/>
      <c r="D73" s="24" t="n"/>
      <c r="E73" s="26" t="n"/>
      <c r="F73" s="34" t="n"/>
      <c r="G73" s="34" t="n"/>
      <c r="H73" s="24" t="n"/>
      <c r="I73" s="29" t="n"/>
      <c r="J73" s="32">
        <f>IF(R73&lt;&gt;1,"",IF(ISNUMBER(D73),INT(D73)+IF(ISNUMBER(E73),INT(E73),DefTerms),""))</f>
        <v/>
      </c>
      <c r="K73" s="35">
        <f>IF(R73&lt;&gt;1,"",IF(ISNUMBER(H73),0,IF(AND(A73&lt;&gt;"",ISNUMBER(MATCH(A73,CustName,0))),IF(ISNUMBER(INDEX(CustLate,MATCH(A73,CustName,0))),INT(INDEX(CustLate,MATCH(A73,CustName,0))),DefLate),DefLate)))</f>
        <v/>
      </c>
      <c r="L73" s="32">
        <f>IF(R73&lt;&gt;1,"",IF(ISNUMBER(H73),INT(H73),J73+K73)+StressDays)</f>
        <v/>
      </c>
      <c r="M73" s="21">
        <f>IF(R73&lt;&gt;1,0,F73-N(G73))</f>
        <v/>
      </c>
      <c r="N73" s="35">
        <f>IF(OR(R73&lt;&gt;1,M73&lt;=0),"",IF(I73="Yes","",IF(L73&lt;W1,IF(OverdueW1="No","",1),IF(L73&lt;=W1+90,INT((L73-W1)/7)+1,""))))</f>
        <v/>
      </c>
      <c r="O73" s="36">
        <f>IF(ISNUMBER(N73),M73*CollectPct,0)</f>
        <v/>
      </c>
      <c r="P73" s="10">
        <f>IF(R73="","",IF(R73=0,"Not counted",IF(M73&lt;=0,"Paid",IF(I73="Yes","Doubtful (left out)",IF(L73&lt;W1,IF(OverdueW1="No","Overdue (left out)","Overdue → Week 1"),IF(L73&lt;=W1+90,"Week "&amp;N73,"After Week 13"))))))</f>
        <v/>
      </c>
      <c r="Q73" s="10">
        <f>IF(R73="","",IF(R73=0,IF(NOT(ISNUMBER(F73)),"Fix: amount missing",IF(F73&lt;=0,"Fix: amount must be above 0",IF(AND(NOT(ISNUMBER(D73)),NOT(ISNUMBER(H73))),"Fix: add an invoice date or a promised date",IF(AND(D73&lt;&gt;"",NOT(ISNUMBER(D73))),"Fix: invoice date isn't a date",IF(AND(E73&lt;&gt;"",NOT(ISNUMBER(E73))),"Fix: terms must be a number",IF(AND(G73&lt;&gt;"",NOT(ISNUMBER(G73))),"Fix: received must be a number",IF(AND(H73&lt;&gt;"",NOT(ISNUMBER(H73))),"Fix: promised date isn't a date","Fix: received is more than the amount"))))))),IF(AND(C73&lt;&gt;"",ISNUMBER(MATCH(C73,InCats,0))),"OK","Category not on Settings (counted as Other)")))</f>
        <v/>
      </c>
      <c r="R73">
        <f>IF(COUNTA(A73:I73)=0,"",IF(AND(ISNUMBER(F73),F73&gt;0,OR(ISNUMBER(D73),ISNUMBER(H73)),OR(D73="",ISNUMBER(D73)),OR(E73="",ISNUMBER(E73)),OR(G73="",ISNUMBER(G73)),OR(H73="",ISNUMBER(H73))),IF(N(G73)&gt;F73,0,1),0))</f>
        <v/>
      </c>
    </row>
    <row r="74">
      <c r="A74" s="29" t="n"/>
      <c r="B74" s="29" t="n"/>
      <c r="C74" s="29" t="n"/>
      <c r="D74" s="24" t="n"/>
      <c r="E74" s="26" t="n"/>
      <c r="F74" s="34" t="n"/>
      <c r="G74" s="34" t="n"/>
      <c r="H74" s="24" t="n"/>
      <c r="I74" s="29" t="n"/>
      <c r="J74" s="32">
        <f>IF(R74&lt;&gt;1,"",IF(ISNUMBER(D74),INT(D74)+IF(ISNUMBER(E74),INT(E74),DefTerms),""))</f>
        <v/>
      </c>
      <c r="K74" s="35">
        <f>IF(R74&lt;&gt;1,"",IF(ISNUMBER(H74),0,IF(AND(A74&lt;&gt;"",ISNUMBER(MATCH(A74,CustName,0))),IF(ISNUMBER(INDEX(CustLate,MATCH(A74,CustName,0))),INT(INDEX(CustLate,MATCH(A74,CustName,0))),DefLate),DefLate)))</f>
        <v/>
      </c>
      <c r="L74" s="32">
        <f>IF(R74&lt;&gt;1,"",IF(ISNUMBER(H74),INT(H74),J74+K74)+StressDays)</f>
        <v/>
      </c>
      <c r="M74" s="21">
        <f>IF(R74&lt;&gt;1,0,F74-N(G74))</f>
        <v/>
      </c>
      <c r="N74" s="35">
        <f>IF(OR(R74&lt;&gt;1,M74&lt;=0),"",IF(I74="Yes","",IF(L74&lt;W1,IF(OverdueW1="No","",1),IF(L74&lt;=W1+90,INT((L74-W1)/7)+1,""))))</f>
        <v/>
      </c>
      <c r="O74" s="36">
        <f>IF(ISNUMBER(N74),M74*CollectPct,0)</f>
        <v/>
      </c>
      <c r="P74" s="10">
        <f>IF(R74="","",IF(R74=0,"Not counted",IF(M74&lt;=0,"Paid",IF(I74="Yes","Doubtful (left out)",IF(L74&lt;W1,IF(OverdueW1="No","Overdue (left out)","Overdue → Week 1"),IF(L74&lt;=W1+90,"Week "&amp;N74,"After Week 13"))))))</f>
        <v/>
      </c>
      <c r="Q74" s="10">
        <f>IF(R74="","",IF(R74=0,IF(NOT(ISNUMBER(F74)),"Fix: amount missing",IF(F74&lt;=0,"Fix: amount must be above 0",IF(AND(NOT(ISNUMBER(D74)),NOT(ISNUMBER(H74))),"Fix: add an invoice date or a promised date",IF(AND(D74&lt;&gt;"",NOT(ISNUMBER(D74))),"Fix: invoice date isn't a date",IF(AND(E74&lt;&gt;"",NOT(ISNUMBER(E74))),"Fix: terms must be a number",IF(AND(G74&lt;&gt;"",NOT(ISNUMBER(G74))),"Fix: received must be a number",IF(AND(H74&lt;&gt;"",NOT(ISNUMBER(H74))),"Fix: promised date isn't a date","Fix: received is more than the amount"))))))),IF(AND(C74&lt;&gt;"",ISNUMBER(MATCH(C74,InCats,0))),"OK","Category not on Settings (counted as Other)")))</f>
        <v/>
      </c>
      <c r="R74">
        <f>IF(COUNTA(A74:I74)=0,"",IF(AND(ISNUMBER(F74),F74&gt;0,OR(ISNUMBER(D74),ISNUMBER(H74)),OR(D74="",ISNUMBER(D74)),OR(E74="",ISNUMBER(E74)),OR(G74="",ISNUMBER(G74)),OR(H74="",ISNUMBER(H74))),IF(N(G74)&gt;F74,0,1),0))</f>
        <v/>
      </c>
    </row>
    <row r="75">
      <c r="A75" s="29" t="n"/>
      <c r="B75" s="29" t="n"/>
      <c r="C75" s="29" t="n"/>
      <c r="D75" s="24" t="n"/>
      <c r="E75" s="26" t="n"/>
      <c r="F75" s="34" t="n"/>
      <c r="G75" s="34" t="n"/>
      <c r="H75" s="24" t="n"/>
      <c r="I75" s="29" t="n"/>
      <c r="J75" s="32">
        <f>IF(R75&lt;&gt;1,"",IF(ISNUMBER(D75),INT(D75)+IF(ISNUMBER(E75),INT(E75),DefTerms),""))</f>
        <v/>
      </c>
      <c r="K75" s="35">
        <f>IF(R75&lt;&gt;1,"",IF(ISNUMBER(H75),0,IF(AND(A75&lt;&gt;"",ISNUMBER(MATCH(A75,CustName,0))),IF(ISNUMBER(INDEX(CustLate,MATCH(A75,CustName,0))),INT(INDEX(CustLate,MATCH(A75,CustName,0))),DefLate),DefLate)))</f>
        <v/>
      </c>
      <c r="L75" s="32">
        <f>IF(R75&lt;&gt;1,"",IF(ISNUMBER(H75),INT(H75),J75+K75)+StressDays)</f>
        <v/>
      </c>
      <c r="M75" s="21">
        <f>IF(R75&lt;&gt;1,0,F75-N(G75))</f>
        <v/>
      </c>
      <c r="N75" s="35">
        <f>IF(OR(R75&lt;&gt;1,M75&lt;=0),"",IF(I75="Yes","",IF(L75&lt;W1,IF(OverdueW1="No","",1),IF(L75&lt;=W1+90,INT((L75-W1)/7)+1,""))))</f>
        <v/>
      </c>
      <c r="O75" s="36">
        <f>IF(ISNUMBER(N75),M75*CollectPct,0)</f>
        <v/>
      </c>
      <c r="P75" s="10">
        <f>IF(R75="","",IF(R75=0,"Not counted",IF(M75&lt;=0,"Paid",IF(I75="Yes","Doubtful (left out)",IF(L75&lt;W1,IF(OverdueW1="No","Overdue (left out)","Overdue → Week 1"),IF(L75&lt;=W1+90,"Week "&amp;N75,"After Week 13"))))))</f>
        <v/>
      </c>
      <c r="Q75" s="10">
        <f>IF(R75="","",IF(R75=0,IF(NOT(ISNUMBER(F75)),"Fix: amount missing",IF(F75&lt;=0,"Fix: amount must be above 0",IF(AND(NOT(ISNUMBER(D75)),NOT(ISNUMBER(H75))),"Fix: add an invoice date or a promised date",IF(AND(D75&lt;&gt;"",NOT(ISNUMBER(D75))),"Fix: invoice date isn't a date",IF(AND(E75&lt;&gt;"",NOT(ISNUMBER(E75))),"Fix: terms must be a number",IF(AND(G75&lt;&gt;"",NOT(ISNUMBER(G75))),"Fix: received must be a number",IF(AND(H75&lt;&gt;"",NOT(ISNUMBER(H75))),"Fix: promised date isn't a date","Fix: received is more than the amount"))))))),IF(AND(C75&lt;&gt;"",ISNUMBER(MATCH(C75,InCats,0))),"OK","Category not on Settings (counted as Other)")))</f>
        <v/>
      </c>
      <c r="R75">
        <f>IF(COUNTA(A75:I75)=0,"",IF(AND(ISNUMBER(F75),F75&gt;0,OR(ISNUMBER(D75),ISNUMBER(H75)),OR(D75="",ISNUMBER(D75)),OR(E75="",ISNUMBER(E75)),OR(G75="",ISNUMBER(G75)),OR(H75="",ISNUMBER(H75))),IF(N(G75)&gt;F75,0,1),0))</f>
        <v/>
      </c>
    </row>
    <row r="76">
      <c r="A76" s="29" t="n"/>
      <c r="B76" s="29" t="n"/>
      <c r="C76" s="29" t="n"/>
      <c r="D76" s="24" t="n"/>
      <c r="E76" s="26" t="n"/>
      <c r="F76" s="34" t="n"/>
      <c r="G76" s="34" t="n"/>
      <c r="H76" s="24" t="n"/>
      <c r="I76" s="29" t="n"/>
      <c r="J76" s="32">
        <f>IF(R76&lt;&gt;1,"",IF(ISNUMBER(D76),INT(D76)+IF(ISNUMBER(E76),INT(E76),DefTerms),""))</f>
        <v/>
      </c>
      <c r="K76" s="35">
        <f>IF(R76&lt;&gt;1,"",IF(ISNUMBER(H76),0,IF(AND(A76&lt;&gt;"",ISNUMBER(MATCH(A76,CustName,0))),IF(ISNUMBER(INDEX(CustLate,MATCH(A76,CustName,0))),INT(INDEX(CustLate,MATCH(A76,CustName,0))),DefLate),DefLate)))</f>
        <v/>
      </c>
      <c r="L76" s="32">
        <f>IF(R76&lt;&gt;1,"",IF(ISNUMBER(H76),INT(H76),J76+K76)+StressDays)</f>
        <v/>
      </c>
      <c r="M76" s="21">
        <f>IF(R76&lt;&gt;1,0,F76-N(G76))</f>
        <v/>
      </c>
      <c r="N76" s="35">
        <f>IF(OR(R76&lt;&gt;1,M76&lt;=0),"",IF(I76="Yes","",IF(L76&lt;W1,IF(OverdueW1="No","",1),IF(L76&lt;=W1+90,INT((L76-W1)/7)+1,""))))</f>
        <v/>
      </c>
      <c r="O76" s="36">
        <f>IF(ISNUMBER(N76),M76*CollectPct,0)</f>
        <v/>
      </c>
      <c r="P76" s="10">
        <f>IF(R76="","",IF(R76=0,"Not counted",IF(M76&lt;=0,"Paid",IF(I76="Yes","Doubtful (left out)",IF(L76&lt;W1,IF(OverdueW1="No","Overdue (left out)","Overdue → Week 1"),IF(L76&lt;=W1+90,"Week "&amp;N76,"After Week 13"))))))</f>
        <v/>
      </c>
      <c r="Q76" s="10">
        <f>IF(R76="","",IF(R76=0,IF(NOT(ISNUMBER(F76)),"Fix: amount missing",IF(F76&lt;=0,"Fix: amount must be above 0",IF(AND(NOT(ISNUMBER(D76)),NOT(ISNUMBER(H76))),"Fix: add an invoice date or a promised date",IF(AND(D76&lt;&gt;"",NOT(ISNUMBER(D76))),"Fix: invoice date isn't a date",IF(AND(E76&lt;&gt;"",NOT(ISNUMBER(E76))),"Fix: terms must be a number",IF(AND(G76&lt;&gt;"",NOT(ISNUMBER(G76))),"Fix: received must be a number",IF(AND(H76&lt;&gt;"",NOT(ISNUMBER(H76))),"Fix: promised date isn't a date","Fix: received is more than the amount"))))))),IF(AND(C76&lt;&gt;"",ISNUMBER(MATCH(C76,InCats,0))),"OK","Category not on Settings (counted as Other)")))</f>
        <v/>
      </c>
      <c r="R76">
        <f>IF(COUNTA(A76:I76)=0,"",IF(AND(ISNUMBER(F76),F76&gt;0,OR(ISNUMBER(D76),ISNUMBER(H76)),OR(D76="",ISNUMBER(D76)),OR(E76="",ISNUMBER(E76)),OR(G76="",ISNUMBER(G76)),OR(H76="",ISNUMBER(H76))),IF(N(G76)&gt;F76,0,1),0))</f>
        <v/>
      </c>
    </row>
    <row r="77">
      <c r="A77" s="29" t="n"/>
      <c r="B77" s="29" t="n"/>
      <c r="C77" s="29" t="n"/>
      <c r="D77" s="24" t="n"/>
      <c r="E77" s="26" t="n"/>
      <c r="F77" s="34" t="n"/>
      <c r="G77" s="34" t="n"/>
      <c r="H77" s="24" t="n"/>
      <c r="I77" s="29" t="n"/>
      <c r="J77" s="32">
        <f>IF(R77&lt;&gt;1,"",IF(ISNUMBER(D77),INT(D77)+IF(ISNUMBER(E77),INT(E77),DefTerms),""))</f>
        <v/>
      </c>
      <c r="K77" s="35">
        <f>IF(R77&lt;&gt;1,"",IF(ISNUMBER(H77),0,IF(AND(A77&lt;&gt;"",ISNUMBER(MATCH(A77,CustName,0))),IF(ISNUMBER(INDEX(CustLate,MATCH(A77,CustName,0))),INT(INDEX(CustLate,MATCH(A77,CustName,0))),DefLate),DefLate)))</f>
        <v/>
      </c>
      <c r="L77" s="32">
        <f>IF(R77&lt;&gt;1,"",IF(ISNUMBER(H77),INT(H77),J77+K77)+StressDays)</f>
        <v/>
      </c>
      <c r="M77" s="21">
        <f>IF(R77&lt;&gt;1,0,F77-N(G77))</f>
        <v/>
      </c>
      <c r="N77" s="35">
        <f>IF(OR(R77&lt;&gt;1,M77&lt;=0),"",IF(I77="Yes","",IF(L77&lt;W1,IF(OverdueW1="No","",1),IF(L77&lt;=W1+90,INT((L77-W1)/7)+1,""))))</f>
        <v/>
      </c>
      <c r="O77" s="36">
        <f>IF(ISNUMBER(N77),M77*CollectPct,0)</f>
        <v/>
      </c>
      <c r="P77" s="10">
        <f>IF(R77="","",IF(R77=0,"Not counted",IF(M77&lt;=0,"Paid",IF(I77="Yes","Doubtful (left out)",IF(L77&lt;W1,IF(OverdueW1="No","Overdue (left out)","Overdue → Week 1"),IF(L77&lt;=W1+90,"Week "&amp;N77,"After Week 13"))))))</f>
        <v/>
      </c>
      <c r="Q77" s="10">
        <f>IF(R77="","",IF(R77=0,IF(NOT(ISNUMBER(F77)),"Fix: amount missing",IF(F77&lt;=0,"Fix: amount must be above 0",IF(AND(NOT(ISNUMBER(D77)),NOT(ISNUMBER(H77))),"Fix: add an invoice date or a promised date",IF(AND(D77&lt;&gt;"",NOT(ISNUMBER(D77))),"Fix: invoice date isn't a date",IF(AND(E77&lt;&gt;"",NOT(ISNUMBER(E77))),"Fix: terms must be a number",IF(AND(G77&lt;&gt;"",NOT(ISNUMBER(G77))),"Fix: received must be a number",IF(AND(H77&lt;&gt;"",NOT(ISNUMBER(H77))),"Fix: promised date isn't a date","Fix: received is more than the amount"))))))),IF(AND(C77&lt;&gt;"",ISNUMBER(MATCH(C77,InCats,0))),"OK","Category not on Settings (counted as Other)")))</f>
        <v/>
      </c>
      <c r="R77">
        <f>IF(COUNTA(A77:I77)=0,"",IF(AND(ISNUMBER(F77),F77&gt;0,OR(ISNUMBER(D77),ISNUMBER(H77)),OR(D77="",ISNUMBER(D77)),OR(E77="",ISNUMBER(E77)),OR(G77="",ISNUMBER(G77)),OR(H77="",ISNUMBER(H77))),IF(N(G77)&gt;F77,0,1),0))</f>
        <v/>
      </c>
    </row>
    <row r="78">
      <c r="A78" s="29" t="n"/>
      <c r="B78" s="29" t="n"/>
      <c r="C78" s="29" t="n"/>
      <c r="D78" s="24" t="n"/>
      <c r="E78" s="26" t="n"/>
      <c r="F78" s="34" t="n"/>
      <c r="G78" s="34" t="n"/>
      <c r="H78" s="24" t="n"/>
      <c r="I78" s="29" t="n"/>
      <c r="J78" s="32">
        <f>IF(R78&lt;&gt;1,"",IF(ISNUMBER(D78),INT(D78)+IF(ISNUMBER(E78),INT(E78),DefTerms),""))</f>
        <v/>
      </c>
      <c r="K78" s="35">
        <f>IF(R78&lt;&gt;1,"",IF(ISNUMBER(H78),0,IF(AND(A78&lt;&gt;"",ISNUMBER(MATCH(A78,CustName,0))),IF(ISNUMBER(INDEX(CustLate,MATCH(A78,CustName,0))),INT(INDEX(CustLate,MATCH(A78,CustName,0))),DefLate),DefLate)))</f>
        <v/>
      </c>
      <c r="L78" s="32">
        <f>IF(R78&lt;&gt;1,"",IF(ISNUMBER(H78),INT(H78),J78+K78)+StressDays)</f>
        <v/>
      </c>
      <c r="M78" s="21">
        <f>IF(R78&lt;&gt;1,0,F78-N(G78))</f>
        <v/>
      </c>
      <c r="N78" s="35">
        <f>IF(OR(R78&lt;&gt;1,M78&lt;=0),"",IF(I78="Yes","",IF(L78&lt;W1,IF(OverdueW1="No","",1),IF(L78&lt;=W1+90,INT((L78-W1)/7)+1,""))))</f>
        <v/>
      </c>
      <c r="O78" s="36">
        <f>IF(ISNUMBER(N78),M78*CollectPct,0)</f>
        <v/>
      </c>
      <c r="P78" s="10">
        <f>IF(R78="","",IF(R78=0,"Not counted",IF(M78&lt;=0,"Paid",IF(I78="Yes","Doubtful (left out)",IF(L78&lt;W1,IF(OverdueW1="No","Overdue (left out)","Overdue → Week 1"),IF(L78&lt;=W1+90,"Week "&amp;N78,"After Week 13"))))))</f>
        <v/>
      </c>
      <c r="Q78" s="10">
        <f>IF(R78="","",IF(R78=0,IF(NOT(ISNUMBER(F78)),"Fix: amount missing",IF(F78&lt;=0,"Fix: amount must be above 0",IF(AND(NOT(ISNUMBER(D78)),NOT(ISNUMBER(H78))),"Fix: add an invoice date or a promised date",IF(AND(D78&lt;&gt;"",NOT(ISNUMBER(D78))),"Fix: invoice date isn't a date",IF(AND(E78&lt;&gt;"",NOT(ISNUMBER(E78))),"Fix: terms must be a number",IF(AND(G78&lt;&gt;"",NOT(ISNUMBER(G78))),"Fix: received must be a number",IF(AND(H78&lt;&gt;"",NOT(ISNUMBER(H78))),"Fix: promised date isn't a date","Fix: received is more than the amount"))))))),IF(AND(C78&lt;&gt;"",ISNUMBER(MATCH(C78,InCats,0))),"OK","Category not on Settings (counted as Other)")))</f>
        <v/>
      </c>
      <c r="R78">
        <f>IF(COUNTA(A78:I78)=0,"",IF(AND(ISNUMBER(F78),F78&gt;0,OR(ISNUMBER(D78),ISNUMBER(H78)),OR(D78="",ISNUMBER(D78)),OR(E78="",ISNUMBER(E78)),OR(G78="",ISNUMBER(G78)),OR(H78="",ISNUMBER(H78))),IF(N(G78)&gt;F78,0,1),0))</f>
        <v/>
      </c>
    </row>
    <row r="79">
      <c r="A79" s="29" t="n"/>
      <c r="B79" s="29" t="n"/>
      <c r="C79" s="29" t="n"/>
      <c r="D79" s="24" t="n"/>
      <c r="E79" s="26" t="n"/>
      <c r="F79" s="34" t="n"/>
      <c r="G79" s="34" t="n"/>
      <c r="H79" s="24" t="n"/>
      <c r="I79" s="29" t="n"/>
      <c r="J79" s="32">
        <f>IF(R79&lt;&gt;1,"",IF(ISNUMBER(D79),INT(D79)+IF(ISNUMBER(E79),INT(E79),DefTerms),""))</f>
        <v/>
      </c>
      <c r="K79" s="35">
        <f>IF(R79&lt;&gt;1,"",IF(ISNUMBER(H79),0,IF(AND(A79&lt;&gt;"",ISNUMBER(MATCH(A79,CustName,0))),IF(ISNUMBER(INDEX(CustLate,MATCH(A79,CustName,0))),INT(INDEX(CustLate,MATCH(A79,CustName,0))),DefLate),DefLate)))</f>
        <v/>
      </c>
      <c r="L79" s="32">
        <f>IF(R79&lt;&gt;1,"",IF(ISNUMBER(H79),INT(H79),J79+K79)+StressDays)</f>
        <v/>
      </c>
      <c r="M79" s="21">
        <f>IF(R79&lt;&gt;1,0,F79-N(G79))</f>
        <v/>
      </c>
      <c r="N79" s="35">
        <f>IF(OR(R79&lt;&gt;1,M79&lt;=0),"",IF(I79="Yes","",IF(L79&lt;W1,IF(OverdueW1="No","",1),IF(L79&lt;=W1+90,INT((L79-W1)/7)+1,""))))</f>
        <v/>
      </c>
      <c r="O79" s="36">
        <f>IF(ISNUMBER(N79),M79*CollectPct,0)</f>
        <v/>
      </c>
      <c r="P79" s="10">
        <f>IF(R79="","",IF(R79=0,"Not counted",IF(M79&lt;=0,"Paid",IF(I79="Yes","Doubtful (left out)",IF(L79&lt;W1,IF(OverdueW1="No","Overdue (left out)","Overdue → Week 1"),IF(L79&lt;=W1+90,"Week "&amp;N79,"After Week 13"))))))</f>
        <v/>
      </c>
      <c r="Q79" s="10">
        <f>IF(R79="","",IF(R79=0,IF(NOT(ISNUMBER(F79)),"Fix: amount missing",IF(F79&lt;=0,"Fix: amount must be above 0",IF(AND(NOT(ISNUMBER(D79)),NOT(ISNUMBER(H79))),"Fix: add an invoice date or a promised date",IF(AND(D79&lt;&gt;"",NOT(ISNUMBER(D79))),"Fix: invoice date isn't a date",IF(AND(E79&lt;&gt;"",NOT(ISNUMBER(E79))),"Fix: terms must be a number",IF(AND(G79&lt;&gt;"",NOT(ISNUMBER(G79))),"Fix: received must be a number",IF(AND(H79&lt;&gt;"",NOT(ISNUMBER(H79))),"Fix: promised date isn't a date","Fix: received is more than the amount"))))))),IF(AND(C79&lt;&gt;"",ISNUMBER(MATCH(C79,InCats,0))),"OK","Category not on Settings (counted as Other)")))</f>
        <v/>
      </c>
      <c r="R79">
        <f>IF(COUNTA(A79:I79)=0,"",IF(AND(ISNUMBER(F79),F79&gt;0,OR(ISNUMBER(D79),ISNUMBER(H79)),OR(D79="",ISNUMBER(D79)),OR(E79="",ISNUMBER(E79)),OR(G79="",ISNUMBER(G79)),OR(H79="",ISNUMBER(H79))),IF(N(G79)&gt;F79,0,1),0))</f>
        <v/>
      </c>
    </row>
    <row r="80">
      <c r="A80" s="29" t="n"/>
      <c r="B80" s="29" t="n"/>
      <c r="C80" s="29" t="n"/>
      <c r="D80" s="24" t="n"/>
      <c r="E80" s="26" t="n"/>
      <c r="F80" s="34" t="n"/>
      <c r="G80" s="34" t="n"/>
      <c r="H80" s="24" t="n"/>
      <c r="I80" s="29" t="n"/>
      <c r="J80" s="32">
        <f>IF(R80&lt;&gt;1,"",IF(ISNUMBER(D80),INT(D80)+IF(ISNUMBER(E80),INT(E80),DefTerms),""))</f>
        <v/>
      </c>
      <c r="K80" s="35">
        <f>IF(R80&lt;&gt;1,"",IF(ISNUMBER(H80),0,IF(AND(A80&lt;&gt;"",ISNUMBER(MATCH(A80,CustName,0))),IF(ISNUMBER(INDEX(CustLate,MATCH(A80,CustName,0))),INT(INDEX(CustLate,MATCH(A80,CustName,0))),DefLate),DefLate)))</f>
        <v/>
      </c>
      <c r="L80" s="32">
        <f>IF(R80&lt;&gt;1,"",IF(ISNUMBER(H80),INT(H80),J80+K80)+StressDays)</f>
        <v/>
      </c>
      <c r="M80" s="21">
        <f>IF(R80&lt;&gt;1,0,F80-N(G80))</f>
        <v/>
      </c>
      <c r="N80" s="35">
        <f>IF(OR(R80&lt;&gt;1,M80&lt;=0),"",IF(I80="Yes","",IF(L80&lt;W1,IF(OverdueW1="No","",1),IF(L80&lt;=W1+90,INT((L80-W1)/7)+1,""))))</f>
        <v/>
      </c>
      <c r="O80" s="36">
        <f>IF(ISNUMBER(N80),M80*CollectPct,0)</f>
        <v/>
      </c>
      <c r="P80" s="10">
        <f>IF(R80="","",IF(R80=0,"Not counted",IF(M80&lt;=0,"Paid",IF(I80="Yes","Doubtful (left out)",IF(L80&lt;W1,IF(OverdueW1="No","Overdue (left out)","Overdue → Week 1"),IF(L80&lt;=W1+90,"Week "&amp;N80,"After Week 13"))))))</f>
        <v/>
      </c>
      <c r="Q80" s="10">
        <f>IF(R80="","",IF(R80=0,IF(NOT(ISNUMBER(F80)),"Fix: amount missing",IF(F80&lt;=0,"Fix: amount must be above 0",IF(AND(NOT(ISNUMBER(D80)),NOT(ISNUMBER(H80))),"Fix: add an invoice date or a promised date",IF(AND(D80&lt;&gt;"",NOT(ISNUMBER(D80))),"Fix: invoice date isn't a date",IF(AND(E80&lt;&gt;"",NOT(ISNUMBER(E80))),"Fix: terms must be a number",IF(AND(G80&lt;&gt;"",NOT(ISNUMBER(G80))),"Fix: received must be a number",IF(AND(H80&lt;&gt;"",NOT(ISNUMBER(H80))),"Fix: promised date isn't a date","Fix: received is more than the amount"))))))),IF(AND(C80&lt;&gt;"",ISNUMBER(MATCH(C80,InCats,0))),"OK","Category not on Settings (counted as Other)")))</f>
        <v/>
      </c>
      <c r="R80">
        <f>IF(COUNTA(A80:I80)=0,"",IF(AND(ISNUMBER(F80),F80&gt;0,OR(ISNUMBER(D80),ISNUMBER(H80)),OR(D80="",ISNUMBER(D80)),OR(E80="",ISNUMBER(E80)),OR(G80="",ISNUMBER(G80)),OR(H80="",ISNUMBER(H80))),IF(N(G80)&gt;F80,0,1),0))</f>
        <v/>
      </c>
    </row>
    <row r="81">
      <c r="A81" s="29" t="n"/>
      <c r="B81" s="29" t="n"/>
      <c r="C81" s="29" t="n"/>
      <c r="D81" s="24" t="n"/>
      <c r="E81" s="26" t="n"/>
      <c r="F81" s="34" t="n"/>
      <c r="G81" s="34" t="n"/>
      <c r="H81" s="24" t="n"/>
      <c r="I81" s="29" t="n"/>
      <c r="J81" s="32">
        <f>IF(R81&lt;&gt;1,"",IF(ISNUMBER(D81),INT(D81)+IF(ISNUMBER(E81),INT(E81),DefTerms),""))</f>
        <v/>
      </c>
      <c r="K81" s="35">
        <f>IF(R81&lt;&gt;1,"",IF(ISNUMBER(H81),0,IF(AND(A81&lt;&gt;"",ISNUMBER(MATCH(A81,CustName,0))),IF(ISNUMBER(INDEX(CustLate,MATCH(A81,CustName,0))),INT(INDEX(CustLate,MATCH(A81,CustName,0))),DefLate),DefLate)))</f>
        <v/>
      </c>
      <c r="L81" s="32">
        <f>IF(R81&lt;&gt;1,"",IF(ISNUMBER(H81),INT(H81),J81+K81)+StressDays)</f>
        <v/>
      </c>
      <c r="M81" s="21">
        <f>IF(R81&lt;&gt;1,0,F81-N(G81))</f>
        <v/>
      </c>
      <c r="N81" s="35">
        <f>IF(OR(R81&lt;&gt;1,M81&lt;=0),"",IF(I81="Yes","",IF(L81&lt;W1,IF(OverdueW1="No","",1),IF(L81&lt;=W1+90,INT((L81-W1)/7)+1,""))))</f>
        <v/>
      </c>
      <c r="O81" s="36">
        <f>IF(ISNUMBER(N81),M81*CollectPct,0)</f>
        <v/>
      </c>
      <c r="P81" s="10">
        <f>IF(R81="","",IF(R81=0,"Not counted",IF(M81&lt;=0,"Paid",IF(I81="Yes","Doubtful (left out)",IF(L81&lt;W1,IF(OverdueW1="No","Overdue (left out)","Overdue → Week 1"),IF(L81&lt;=W1+90,"Week "&amp;N81,"After Week 13"))))))</f>
        <v/>
      </c>
      <c r="Q81" s="10">
        <f>IF(R81="","",IF(R81=0,IF(NOT(ISNUMBER(F81)),"Fix: amount missing",IF(F81&lt;=0,"Fix: amount must be above 0",IF(AND(NOT(ISNUMBER(D81)),NOT(ISNUMBER(H81))),"Fix: add an invoice date or a promised date",IF(AND(D81&lt;&gt;"",NOT(ISNUMBER(D81))),"Fix: invoice date isn't a date",IF(AND(E81&lt;&gt;"",NOT(ISNUMBER(E81))),"Fix: terms must be a number",IF(AND(G81&lt;&gt;"",NOT(ISNUMBER(G81))),"Fix: received must be a number",IF(AND(H81&lt;&gt;"",NOT(ISNUMBER(H81))),"Fix: promised date isn't a date","Fix: received is more than the amount"))))))),IF(AND(C81&lt;&gt;"",ISNUMBER(MATCH(C81,InCats,0))),"OK","Category not on Settings (counted as Other)")))</f>
        <v/>
      </c>
      <c r="R81">
        <f>IF(COUNTA(A81:I81)=0,"",IF(AND(ISNUMBER(F81),F81&gt;0,OR(ISNUMBER(D81),ISNUMBER(H81)),OR(D81="",ISNUMBER(D81)),OR(E81="",ISNUMBER(E81)),OR(G81="",ISNUMBER(G81)),OR(H81="",ISNUMBER(H81))),IF(N(G81)&gt;F81,0,1),0))</f>
        <v/>
      </c>
    </row>
    <row r="82">
      <c r="A82" s="29" t="n"/>
      <c r="B82" s="29" t="n"/>
      <c r="C82" s="29" t="n"/>
      <c r="D82" s="24" t="n"/>
      <c r="E82" s="26" t="n"/>
      <c r="F82" s="34" t="n"/>
      <c r="G82" s="34" t="n"/>
      <c r="H82" s="24" t="n"/>
      <c r="I82" s="29" t="n"/>
      <c r="J82" s="32">
        <f>IF(R82&lt;&gt;1,"",IF(ISNUMBER(D82),INT(D82)+IF(ISNUMBER(E82),INT(E82),DefTerms),""))</f>
        <v/>
      </c>
      <c r="K82" s="35">
        <f>IF(R82&lt;&gt;1,"",IF(ISNUMBER(H82),0,IF(AND(A82&lt;&gt;"",ISNUMBER(MATCH(A82,CustName,0))),IF(ISNUMBER(INDEX(CustLate,MATCH(A82,CustName,0))),INT(INDEX(CustLate,MATCH(A82,CustName,0))),DefLate),DefLate)))</f>
        <v/>
      </c>
      <c r="L82" s="32">
        <f>IF(R82&lt;&gt;1,"",IF(ISNUMBER(H82),INT(H82),J82+K82)+StressDays)</f>
        <v/>
      </c>
      <c r="M82" s="21">
        <f>IF(R82&lt;&gt;1,0,F82-N(G82))</f>
        <v/>
      </c>
      <c r="N82" s="35">
        <f>IF(OR(R82&lt;&gt;1,M82&lt;=0),"",IF(I82="Yes","",IF(L82&lt;W1,IF(OverdueW1="No","",1),IF(L82&lt;=W1+90,INT((L82-W1)/7)+1,""))))</f>
        <v/>
      </c>
      <c r="O82" s="36">
        <f>IF(ISNUMBER(N82),M82*CollectPct,0)</f>
        <v/>
      </c>
      <c r="P82" s="10">
        <f>IF(R82="","",IF(R82=0,"Not counted",IF(M82&lt;=0,"Paid",IF(I82="Yes","Doubtful (left out)",IF(L82&lt;W1,IF(OverdueW1="No","Overdue (left out)","Overdue → Week 1"),IF(L82&lt;=W1+90,"Week "&amp;N82,"After Week 13"))))))</f>
        <v/>
      </c>
      <c r="Q82" s="10">
        <f>IF(R82="","",IF(R82=0,IF(NOT(ISNUMBER(F82)),"Fix: amount missing",IF(F82&lt;=0,"Fix: amount must be above 0",IF(AND(NOT(ISNUMBER(D82)),NOT(ISNUMBER(H82))),"Fix: add an invoice date or a promised date",IF(AND(D82&lt;&gt;"",NOT(ISNUMBER(D82))),"Fix: invoice date isn't a date",IF(AND(E82&lt;&gt;"",NOT(ISNUMBER(E82))),"Fix: terms must be a number",IF(AND(G82&lt;&gt;"",NOT(ISNUMBER(G82))),"Fix: received must be a number",IF(AND(H82&lt;&gt;"",NOT(ISNUMBER(H82))),"Fix: promised date isn't a date","Fix: received is more than the amount"))))))),IF(AND(C82&lt;&gt;"",ISNUMBER(MATCH(C82,InCats,0))),"OK","Category not on Settings (counted as Other)")))</f>
        <v/>
      </c>
      <c r="R82">
        <f>IF(COUNTA(A82:I82)=0,"",IF(AND(ISNUMBER(F82),F82&gt;0,OR(ISNUMBER(D82),ISNUMBER(H82)),OR(D82="",ISNUMBER(D82)),OR(E82="",ISNUMBER(E82)),OR(G82="",ISNUMBER(G82)),OR(H82="",ISNUMBER(H82))),IF(N(G82)&gt;F82,0,1),0))</f>
        <v/>
      </c>
    </row>
    <row r="83">
      <c r="A83" s="29" t="n"/>
      <c r="B83" s="29" t="n"/>
      <c r="C83" s="29" t="n"/>
      <c r="D83" s="24" t="n"/>
      <c r="E83" s="26" t="n"/>
      <c r="F83" s="34" t="n"/>
      <c r="G83" s="34" t="n"/>
      <c r="H83" s="24" t="n"/>
      <c r="I83" s="29" t="n"/>
      <c r="J83" s="32">
        <f>IF(R83&lt;&gt;1,"",IF(ISNUMBER(D83),INT(D83)+IF(ISNUMBER(E83),INT(E83),DefTerms),""))</f>
        <v/>
      </c>
      <c r="K83" s="35">
        <f>IF(R83&lt;&gt;1,"",IF(ISNUMBER(H83),0,IF(AND(A83&lt;&gt;"",ISNUMBER(MATCH(A83,CustName,0))),IF(ISNUMBER(INDEX(CustLate,MATCH(A83,CustName,0))),INT(INDEX(CustLate,MATCH(A83,CustName,0))),DefLate),DefLate)))</f>
        <v/>
      </c>
      <c r="L83" s="32">
        <f>IF(R83&lt;&gt;1,"",IF(ISNUMBER(H83),INT(H83),J83+K83)+StressDays)</f>
        <v/>
      </c>
      <c r="M83" s="21">
        <f>IF(R83&lt;&gt;1,0,F83-N(G83))</f>
        <v/>
      </c>
      <c r="N83" s="35">
        <f>IF(OR(R83&lt;&gt;1,M83&lt;=0),"",IF(I83="Yes","",IF(L83&lt;W1,IF(OverdueW1="No","",1),IF(L83&lt;=W1+90,INT((L83-W1)/7)+1,""))))</f>
        <v/>
      </c>
      <c r="O83" s="36">
        <f>IF(ISNUMBER(N83),M83*CollectPct,0)</f>
        <v/>
      </c>
      <c r="P83" s="10">
        <f>IF(R83="","",IF(R83=0,"Not counted",IF(M83&lt;=0,"Paid",IF(I83="Yes","Doubtful (left out)",IF(L83&lt;W1,IF(OverdueW1="No","Overdue (left out)","Overdue → Week 1"),IF(L83&lt;=W1+90,"Week "&amp;N83,"After Week 13"))))))</f>
        <v/>
      </c>
      <c r="Q83" s="10">
        <f>IF(R83="","",IF(R83=0,IF(NOT(ISNUMBER(F83)),"Fix: amount missing",IF(F83&lt;=0,"Fix: amount must be above 0",IF(AND(NOT(ISNUMBER(D83)),NOT(ISNUMBER(H83))),"Fix: add an invoice date or a promised date",IF(AND(D83&lt;&gt;"",NOT(ISNUMBER(D83))),"Fix: invoice date isn't a date",IF(AND(E83&lt;&gt;"",NOT(ISNUMBER(E83))),"Fix: terms must be a number",IF(AND(G83&lt;&gt;"",NOT(ISNUMBER(G83))),"Fix: received must be a number",IF(AND(H83&lt;&gt;"",NOT(ISNUMBER(H83))),"Fix: promised date isn't a date","Fix: received is more than the amount"))))))),IF(AND(C83&lt;&gt;"",ISNUMBER(MATCH(C83,InCats,0))),"OK","Category not on Settings (counted as Other)")))</f>
        <v/>
      </c>
      <c r="R83">
        <f>IF(COUNTA(A83:I83)=0,"",IF(AND(ISNUMBER(F83),F83&gt;0,OR(ISNUMBER(D83),ISNUMBER(H83)),OR(D83="",ISNUMBER(D83)),OR(E83="",ISNUMBER(E83)),OR(G83="",ISNUMBER(G83)),OR(H83="",ISNUMBER(H83))),IF(N(G83)&gt;F83,0,1),0))</f>
        <v/>
      </c>
    </row>
    <row r="84">
      <c r="A84" s="29" t="n"/>
      <c r="B84" s="29" t="n"/>
      <c r="C84" s="29" t="n"/>
      <c r="D84" s="24" t="n"/>
      <c r="E84" s="26" t="n"/>
      <c r="F84" s="34" t="n"/>
      <c r="G84" s="34" t="n"/>
      <c r="H84" s="24" t="n"/>
      <c r="I84" s="29" t="n"/>
      <c r="J84" s="32">
        <f>IF(R84&lt;&gt;1,"",IF(ISNUMBER(D84),INT(D84)+IF(ISNUMBER(E84),INT(E84),DefTerms),""))</f>
        <v/>
      </c>
      <c r="K84" s="35">
        <f>IF(R84&lt;&gt;1,"",IF(ISNUMBER(H84),0,IF(AND(A84&lt;&gt;"",ISNUMBER(MATCH(A84,CustName,0))),IF(ISNUMBER(INDEX(CustLate,MATCH(A84,CustName,0))),INT(INDEX(CustLate,MATCH(A84,CustName,0))),DefLate),DefLate)))</f>
        <v/>
      </c>
      <c r="L84" s="32">
        <f>IF(R84&lt;&gt;1,"",IF(ISNUMBER(H84),INT(H84),J84+K84)+StressDays)</f>
        <v/>
      </c>
      <c r="M84" s="21">
        <f>IF(R84&lt;&gt;1,0,F84-N(G84))</f>
        <v/>
      </c>
      <c r="N84" s="35">
        <f>IF(OR(R84&lt;&gt;1,M84&lt;=0),"",IF(I84="Yes","",IF(L84&lt;W1,IF(OverdueW1="No","",1),IF(L84&lt;=W1+90,INT((L84-W1)/7)+1,""))))</f>
        <v/>
      </c>
      <c r="O84" s="36">
        <f>IF(ISNUMBER(N84),M84*CollectPct,0)</f>
        <v/>
      </c>
      <c r="P84" s="10">
        <f>IF(R84="","",IF(R84=0,"Not counted",IF(M84&lt;=0,"Paid",IF(I84="Yes","Doubtful (left out)",IF(L84&lt;W1,IF(OverdueW1="No","Overdue (left out)","Overdue → Week 1"),IF(L84&lt;=W1+90,"Week "&amp;N84,"After Week 13"))))))</f>
        <v/>
      </c>
      <c r="Q84" s="10">
        <f>IF(R84="","",IF(R84=0,IF(NOT(ISNUMBER(F84)),"Fix: amount missing",IF(F84&lt;=0,"Fix: amount must be above 0",IF(AND(NOT(ISNUMBER(D84)),NOT(ISNUMBER(H84))),"Fix: add an invoice date or a promised date",IF(AND(D84&lt;&gt;"",NOT(ISNUMBER(D84))),"Fix: invoice date isn't a date",IF(AND(E84&lt;&gt;"",NOT(ISNUMBER(E84))),"Fix: terms must be a number",IF(AND(G84&lt;&gt;"",NOT(ISNUMBER(G84))),"Fix: received must be a number",IF(AND(H84&lt;&gt;"",NOT(ISNUMBER(H84))),"Fix: promised date isn't a date","Fix: received is more than the amount"))))))),IF(AND(C84&lt;&gt;"",ISNUMBER(MATCH(C84,InCats,0))),"OK","Category not on Settings (counted as Other)")))</f>
        <v/>
      </c>
      <c r="R84">
        <f>IF(COUNTA(A84:I84)=0,"",IF(AND(ISNUMBER(F84),F84&gt;0,OR(ISNUMBER(D84),ISNUMBER(H84)),OR(D84="",ISNUMBER(D84)),OR(E84="",ISNUMBER(E84)),OR(G84="",ISNUMBER(G84)),OR(H84="",ISNUMBER(H84))),IF(N(G84)&gt;F84,0,1),0))</f>
        <v/>
      </c>
    </row>
    <row r="85">
      <c r="A85" s="29" t="n"/>
      <c r="B85" s="29" t="n"/>
      <c r="C85" s="29" t="n"/>
      <c r="D85" s="24" t="n"/>
      <c r="E85" s="26" t="n"/>
      <c r="F85" s="34" t="n"/>
      <c r="G85" s="34" t="n"/>
      <c r="H85" s="24" t="n"/>
      <c r="I85" s="29" t="n"/>
      <c r="J85" s="32">
        <f>IF(R85&lt;&gt;1,"",IF(ISNUMBER(D85),INT(D85)+IF(ISNUMBER(E85),INT(E85),DefTerms),""))</f>
        <v/>
      </c>
      <c r="K85" s="35">
        <f>IF(R85&lt;&gt;1,"",IF(ISNUMBER(H85),0,IF(AND(A85&lt;&gt;"",ISNUMBER(MATCH(A85,CustName,0))),IF(ISNUMBER(INDEX(CustLate,MATCH(A85,CustName,0))),INT(INDEX(CustLate,MATCH(A85,CustName,0))),DefLate),DefLate)))</f>
        <v/>
      </c>
      <c r="L85" s="32">
        <f>IF(R85&lt;&gt;1,"",IF(ISNUMBER(H85),INT(H85),J85+K85)+StressDays)</f>
        <v/>
      </c>
      <c r="M85" s="21">
        <f>IF(R85&lt;&gt;1,0,F85-N(G85))</f>
        <v/>
      </c>
      <c r="N85" s="35">
        <f>IF(OR(R85&lt;&gt;1,M85&lt;=0),"",IF(I85="Yes","",IF(L85&lt;W1,IF(OverdueW1="No","",1),IF(L85&lt;=W1+90,INT((L85-W1)/7)+1,""))))</f>
        <v/>
      </c>
      <c r="O85" s="36">
        <f>IF(ISNUMBER(N85),M85*CollectPct,0)</f>
        <v/>
      </c>
      <c r="P85" s="10">
        <f>IF(R85="","",IF(R85=0,"Not counted",IF(M85&lt;=0,"Paid",IF(I85="Yes","Doubtful (left out)",IF(L85&lt;W1,IF(OverdueW1="No","Overdue (left out)","Overdue → Week 1"),IF(L85&lt;=W1+90,"Week "&amp;N85,"After Week 13"))))))</f>
        <v/>
      </c>
      <c r="Q85" s="10">
        <f>IF(R85="","",IF(R85=0,IF(NOT(ISNUMBER(F85)),"Fix: amount missing",IF(F85&lt;=0,"Fix: amount must be above 0",IF(AND(NOT(ISNUMBER(D85)),NOT(ISNUMBER(H85))),"Fix: add an invoice date or a promised date",IF(AND(D85&lt;&gt;"",NOT(ISNUMBER(D85))),"Fix: invoice date isn't a date",IF(AND(E85&lt;&gt;"",NOT(ISNUMBER(E85))),"Fix: terms must be a number",IF(AND(G85&lt;&gt;"",NOT(ISNUMBER(G85))),"Fix: received must be a number",IF(AND(H85&lt;&gt;"",NOT(ISNUMBER(H85))),"Fix: promised date isn't a date","Fix: received is more than the amount"))))))),IF(AND(C85&lt;&gt;"",ISNUMBER(MATCH(C85,InCats,0))),"OK","Category not on Settings (counted as Other)")))</f>
        <v/>
      </c>
      <c r="R85">
        <f>IF(COUNTA(A85:I85)=0,"",IF(AND(ISNUMBER(F85),F85&gt;0,OR(ISNUMBER(D85),ISNUMBER(H85)),OR(D85="",ISNUMBER(D85)),OR(E85="",ISNUMBER(E85)),OR(G85="",ISNUMBER(G85)),OR(H85="",ISNUMBER(H85))),IF(N(G85)&gt;F85,0,1),0))</f>
        <v/>
      </c>
    </row>
    <row r="86">
      <c r="A86" s="29" t="n"/>
      <c r="B86" s="29" t="n"/>
      <c r="C86" s="29" t="n"/>
      <c r="D86" s="24" t="n"/>
      <c r="E86" s="26" t="n"/>
      <c r="F86" s="34" t="n"/>
      <c r="G86" s="34" t="n"/>
      <c r="H86" s="24" t="n"/>
      <c r="I86" s="29" t="n"/>
      <c r="J86" s="32">
        <f>IF(R86&lt;&gt;1,"",IF(ISNUMBER(D86),INT(D86)+IF(ISNUMBER(E86),INT(E86),DefTerms),""))</f>
        <v/>
      </c>
      <c r="K86" s="35">
        <f>IF(R86&lt;&gt;1,"",IF(ISNUMBER(H86),0,IF(AND(A86&lt;&gt;"",ISNUMBER(MATCH(A86,CustName,0))),IF(ISNUMBER(INDEX(CustLate,MATCH(A86,CustName,0))),INT(INDEX(CustLate,MATCH(A86,CustName,0))),DefLate),DefLate)))</f>
        <v/>
      </c>
      <c r="L86" s="32">
        <f>IF(R86&lt;&gt;1,"",IF(ISNUMBER(H86),INT(H86),J86+K86)+StressDays)</f>
        <v/>
      </c>
      <c r="M86" s="21">
        <f>IF(R86&lt;&gt;1,0,F86-N(G86))</f>
        <v/>
      </c>
      <c r="N86" s="35">
        <f>IF(OR(R86&lt;&gt;1,M86&lt;=0),"",IF(I86="Yes","",IF(L86&lt;W1,IF(OverdueW1="No","",1),IF(L86&lt;=W1+90,INT((L86-W1)/7)+1,""))))</f>
        <v/>
      </c>
      <c r="O86" s="36">
        <f>IF(ISNUMBER(N86),M86*CollectPct,0)</f>
        <v/>
      </c>
      <c r="P86" s="10">
        <f>IF(R86="","",IF(R86=0,"Not counted",IF(M86&lt;=0,"Paid",IF(I86="Yes","Doubtful (left out)",IF(L86&lt;W1,IF(OverdueW1="No","Overdue (left out)","Overdue → Week 1"),IF(L86&lt;=W1+90,"Week "&amp;N86,"After Week 13"))))))</f>
        <v/>
      </c>
      <c r="Q86" s="10">
        <f>IF(R86="","",IF(R86=0,IF(NOT(ISNUMBER(F86)),"Fix: amount missing",IF(F86&lt;=0,"Fix: amount must be above 0",IF(AND(NOT(ISNUMBER(D86)),NOT(ISNUMBER(H86))),"Fix: add an invoice date or a promised date",IF(AND(D86&lt;&gt;"",NOT(ISNUMBER(D86))),"Fix: invoice date isn't a date",IF(AND(E86&lt;&gt;"",NOT(ISNUMBER(E86))),"Fix: terms must be a number",IF(AND(G86&lt;&gt;"",NOT(ISNUMBER(G86))),"Fix: received must be a number",IF(AND(H86&lt;&gt;"",NOT(ISNUMBER(H86))),"Fix: promised date isn't a date","Fix: received is more than the amount"))))))),IF(AND(C86&lt;&gt;"",ISNUMBER(MATCH(C86,InCats,0))),"OK","Category not on Settings (counted as Other)")))</f>
        <v/>
      </c>
      <c r="R86">
        <f>IF(COUNTA(A86:I86)=0,"",IF(AND(ISNUMBER(F86),F86&gt;0,OR(ISNUMBER(D86),ISNUMBER(H86)),OR(D86="",ISNUMBER(D86)),OR(E86="",ISNUMBER(E86)),OR(G86="",ISNUMBER(G86)),OR(H86="",ISNUMBER(H86))),IF(N(G86)&gt;F86,0,1),0))</f>
        <v/>
      </c>
    </row>
    <row r="87">
      <c r="A87" s="29" t="n"/>
      <c r="B87" s="29" t="n"/>
      <c r="C87" s="29" t="n"/>
      <c r="D87" s="24" t="n"/>
      <c r="E87" s="26" t="n"/>
      <c r="F87" s="34" t="n"/>
      <c r="G87" s="34" t="n"/>
      <c r="H87" s="24" t="n"/>
      <c r="I87" s="29" t="n"/>
      <c r="J87" s="32">
        <f>IF(R87&lt;&gt;1,"",IF(ISNUMBER(D87),INT(D87)+IF(ISNUMBER(E87),INT(E87),DefTerms),""))</f>
        <v/>
      </c>
      <c r="K87" s="35">
        <f>IF(R87&lt;&gt;1,"",IF(ISNUMBER(H87),0,IF(AND(A87&lt;&gt;"",ISNUMBER(MATCH(A87,CustName,0))),IF(ISNUMBER(INDEX(CustLate,MATCH(A87,CustName,0))),INT(INDEX(CustLate,MATCH(A87,CustName,0))),DefLate),DefLate)))</f>
        <v/>
      </c>
      <c r="L87" s="32">
        <f>IF(R87&lt;&gt;1,"",IF(ISNUMBER(H87),INT(H87),J87+K87)+StressDays)</f>
        <v/>
      </c>
      <c r="M87" s="21">
        <f>IF(R87&lt;&gt;1,0,F87-N(G87))</f>
        <v/>
      </c>
      <c r="N87" s="35">
        <f>IF(OR(R87&lt;&gt;1,M87&lt;=0),"",IF(I87="Yes","",IF(L87&lt;W1,IF(OverdueW1="No","",1),IF(L87&lt;=W1+90,INT((L87-W1)/7)+1,""))))</f>
        <v/>
      </c>
      <c r="O87" s="36">
        <f>IF(ISNUMBER(N87),M87*CollectPct,0)</f>
        <v/>
      </c>
      <c r="P87" s="10">
        <f>IF(R87="","",IF(R87=0,"Not counted",IF(M87&lt;=0,"Paid",IF(I87="Yes","Doubtful (left out)",IF(L87&lt;W1,IF(OverdueW1="No","Overdue (left out)","Overdue → Week 1"),IF(L87&lt;=W1+90,"Week "&amp;N87,"After Week 13"))))))</f>
        <v/>
      </c>
      <c r="Q87" s="10">
        <f>IF(R87="","",IF(R87=0,IF(NOT(ISNUMBER(F87)),"Fix: amount missing",IF(F87&lt;=0,"Fix: amount must be above 0",IF(AND(NOT(ISNUMBER(D87)),NOT(ISNUMBER(H87))),"Fix: add an invoice date or a promised date",IF(AND(D87&lt;&gt;"",NOT(ISNUMBER(D87))),"Fix: invoice date isn't a date",IF(AND(E87&lt;&gt;"",NOT(ISNUMBER(E87))),"Fix: terms must be a number",IF(AND(G87&lt;&gt;"",NOT(ISNUMBER(G87))),"Fix: received must be a number",IF(AND(H87&lt;&gt;"",NOT(ISNUMBER(H87))),"Fix: promised date isn't a date","Fix: received is more than the amount"))))))),IF(AND(C87&lt;&gt;"",ISNUMBER(MATCH(C87,InCats,0))),"OK","Category not on Settings (counted as Other)")))</f>
        <v/>
      </c>
      <c r="R87">
        <f>IF(COUNTA(A87:I87)=0,"",IF(AND(ISNUMBER(F87),F87&gt;0,OR(ISNUMBER(D87),ISNUMBER(H87)),OR(D87="",ISNUMBER(D87)),OR(E87="",ISNUMBER(E87)),OR(G87="",ISNUMBER(G87)),OR(H87="",ISNUMBER(H87))),IF(N(G87)&gt;F87,0,1),0))</f>
        <v/>
      </c>
    </row>
    <row r="88">
      <c r="A88" s="29" t="n"/>
      <c r="B88" s="29" t="n"/>
      <c r="C88" s="29" t="n"/>
      <c r="D88" s="24" t="n"/>
      <c r="E88" s="26" t="n"/>
      <c r="F88" s="34" t="n"/>
      <c r="G88" s="34" t="n"/>
      <c r="H88" s="24" t="n"/>
      <c r="I88" s="29" t="n"/>
      <c r="J88" s="32">
        <f>IF(R88&lt;&gt;1,"",IF(ISNUMBER(D88),INT(D88)+IF(ISNUMBER(E88),INT(E88),DefTerms),""))</f>
        <v/>
      </c>
      <c r="K88" s="35">
        <f>IF(R88&lt;&gt;1,"",IF(ISNUMBER(H88),0,IF(AND(A88&lt;&gt;"",ISNUMBER(MATCH(A88,CustName,0))),IF(ISNUMBER(INDEX(CustLate,MATCH(A88,CustName,0))),INT(INDEX(CustLate,MATCH(A88,CustName,0))),DefLate),DefLate)))</f>
        <v/>
      </c>
      <c r="L88" s="32">
        <f>IF(R88&lt;&gt;1,"",IF(ISNUMBER(H88),INT(H88),J88+K88)+StressDays)</f>
        <v/>
      </c>
      <c r="M88" s="21">
        <f>IF(R88&lt;&gt;1,0,F88-N(G88))</f>
        <v/>
      </c>
      <c r="N88" s="35">
        <f>IF(OR(R88&lt;&gt;1,M88&lt;=0),"",IF(I88="Yes","",IF(L88&lt;W1,IF(OverdueW1="No","",1),IF(L88&lt;=W1+90,INT((L88-W1)/7)+1,""))))</f>
        <v/>
      </c>
      <c r="O88" s="36">
        <f>IF(ISNUMBER(N88),M88*CollectPct,0)</f>
        <v/>
      </c>
      <c r="P88" s="10">
        <f>IF(R88="","",IF(R88=0,"Not counted",IF(M88&lt;=0,"Paid",IF(I88="Yes","Doubtful (left out)",IF(L88&lt;W1,IF(OverdueW1="No","Overdue (left out)","Overdue → Week 1"),IF(L88&lt;=W1+90,"Week "&amp;N88,"After Week 13"))))))</f>
        <v/>
      </c>
      <c r="Q88" s="10">
        <f>IF(R88="","",IF(R88=0,IF(NOT(ISNUMBER(F88)),"Fix: amount missing",IF(F88&lt;=0,"Fix: amount must be above 0",IF(AND(NOT(ISNUMBER(D88)),NOT(ISNUMBER(H88))),"Fix: add an invoice date or a promised date",IF(AND(D88&lt;&gt;"",NOT(ISNUMBER(D88))),"Fix: invoice date isn't a date",IF(AND(E88&lt;&gt;"",NOT(ISNUMBER(E88))),"Fix: terms must be a number",IF(AND(G88&lt;&gt;"",NOT(ISNUMBER(G88))),"Fix: received must be a number",IF(AND(H88&lt;&gt;"",NOT(ISNUMBER(H88))),"Fix: promised date isn't a date","Fix: received is more than the amount"))))))),IF(AND(C88&lt;&gt;"",ISNUMBER(MATCH(C88,InCats,0))),"OK","Category not on Settings (counted as Other)")))</f>
        <v/>
      </c>
      <c r="R88">
        <f>IF(COUNTA(A88:I88)=0,"",IF(AND(ISNUMBER(F88),F88&gt;0,OR(ISNUMBER(D88),ISNUMBER(H88)),OR(D88="",ISNUMBER(D88)),OR(E88="",ISNUMBER(E88)),OR(G88="",ISNUMBER(G88)),OR(H88="",ISNUMBER(H88))),IF(N(G88)&gt;F88,0,1),0))</f>
        <v/>
      </c>
    </row>
    <row r="89">
      <c r="A89" s="29" t="n"/>
      <c r="B89" s="29" t="n"/>
      <c r="C89" s="29" t="n"/>
      <c r="D89" s="24" t="n"/>
      <c r="E89" s="26" t="n"/>
      <c r="F89" s="34" t="n"/>
      <c r="G89" s="34" t="n"/>
      <c r="H89" s="24" t="n"/>
      <c r="I89" s="29" t="n"/>
      <c r="J89" s="32">
        <f>IF(R89&lt;&gt;1,"",IF(ISNUMBER(D89),INT(D89)+IF(ISNUMBER(E89),INT(E89),DefTerms),""))</f>
        <v/>
      </c>
      <c r="K89" s="35">
        <f>IF(R89&lt;&gt;1,"",IF(ISNUMBER(H89),0,IF(AND(A89&lt;&gt;"",ISNUMBER(MATCH(A89,CustName,0))),IF(ISNUMBER(INDEX(CustLate,MATCH(A89,CustName,0))),INT(INDEX(CustLate,MATCH(A89,CustName,0))),DefLate),DefLate)))</f>
        <v/>
      </c>
      <c r="L89" s="32">
        <f>IF(R89&lt;&gt;1,"",IF(ISNUMBER(H89),INT(H89),J89+K89)+StressDays)</f>
        <v/>
      </c>
      <c r="M89" s="21">
        <f>IF(R89&lt;&gt;1,0,F89-N(G89))</f>
        <v/>
      </c>
      <c r="N89" s="35">
        <f>IF(OR(R89&lt;&gt;1,M89&lt;=0),"",IF(I89="Yes","",IF(L89&lt;W1,IF(OverdueW1="No","",1),IF(L89&lt;=W1+90,INT((L89-W1)/7)+1,""))))</f>
        <v/>
      </c>
      <c r="O89" s="36">
        <f>IF(ISNUMBER(N89),M89*CollectPct,0)</f>
        <v/>
      </c>
      <c r="P89" s="10">
        <f>IF(R89="","",IF(R89=0,"Not counted",IF(M89&lt;=0,"Paid",IF(I89="Yes","Doubtful (left out)",IF(L89&lt;W1,IF(OverdueW1="No","Overdue (left out)","Overdue → Week 1"),IF(L89&lt;=W1+90,"Week "&amp;N89,"After Week 13"))))))</f>
        <v/>
      </c>
      <c r="Q89" s="10">
        <f>IF(R89="","",IF(R89=0,IF(NOT(ISNUMBER(F89)),"Fix: amount missing",IF(F89&lt;=0,"Fix: amount must be above 0",IF(AND(NOT(ISNUMBER(D89)),NOT(ISNUMBER(H89))),"Fix: add an invoice date or a promised date",IF(AND(D89&lt;&gt;"",NOT(ISNUMBER(D89))),"Fix: invoice date isn't a date",IF(AND(E89&lt;&gt;"",NOT(ISNUMBER(E89))),"Fix: terms must be a number",IF(AND(G89&lt;&gt;"",NOT(ISNUMBER(G89))),"Fix: received must be a number",IF(AND(H89&lt;&gt;"",NOT(ISNUMBER(H89))),"Fix: promised date isn't a date","Fix: received is more than the amount"))))))),IF(AND(C89&lt;&gt;"",ISNUMBER(MATCH(C89,InCats,0))),"OK","Category not on Settings (counted as Other)")))</f>
        <v/>
      </c>
      <c r="R89">
        <f>IF(COUNTA(A89:I89)=0,"",IF(AND(ISNUMBER(F89),F89&gt;0,OR(ISNUMBER(D89),ISNUMBER(H89)),OR(D89="",ISNUMBER(D89)),OR(E89="",ISNUMBER(E89)),OR(G89="",ISNUMBER(G89)),OR(H89="",ISNUMBER(H89))),IF(N(G89)&gt;F89,0,1),0))</f>
        <v/>
      </c>
    </row>
    <row r="90">
      <c r="A90" s="29" t="n"/>
      <c r="B90" s="29" t="n"/>
      <c r="C90" s="29" t="n"/>
      <c r="D90" s="24" t="n"/>
      <c r="E90" s="26" t="n"/>
      <c r="F90" s="34" t="n"/>
      <c r="G90" s="34" t="n"/>
      <c r="H90" s="24" t="n"/>
      <c r="I90" s="29" t="n"/>
      <c r="J90" s="32">
        <f>IF(R90&lt;&gt;1,"",IF(ISNUMBER(D90),INT(D90)+IF(ISNUMBER(E90),INT(E90),DefTerms),""))</f>
        <v/>
      </c>
      <c r="K90" s="35">
        <f>IF(R90&lt;&gt;1,"",IF(ISNUMBER(H90),0,IF(AND(A90&lt;&gt;"",ISNUMBER(MATCH(A90,CustName,0))),IF(ISNUMBER(INDEX(CustLate,MATCH(A90,CustName,0))),INT(INDEX(CustLate,MATCH(A90,CustName,0))),DefLate),DefLate)))</f>
        <v/>
      </c>
      <c r="L90" s="32">
        <f>IF(R90&lt;&gt;1,"",IF(ISNUMBER(H90),INT(H90),J90+K90)+StressDays)</f>
        <v/>
      </c>
      <c r="M90" s="21">
        <f>IF(R90&lt;&gt;1,0,F90-N(G90))</f>
        <v/>
      </c>
      <c r="N90" s="35">
        <f>IF(OR(R90&lt;&gt;1,M90&lt;=0),"",IF(I90="Yes","",IF(L90&lt;W1,IF(OverdueW1="No","",1),IF(L90&lt;=W1+90,INT((L90-W1)/7)+1,""))))</f>
        <v/>
      </c>
      <c r="O90" s="36">
        <f>IF(ISNUMBER(N90),M90*CollectPct,0)</f>
        <v/>
      </c>
      <c r="P90" s="10">
        <f>IF(R90="","",IF(R90=0,"Not counted",IF(M90&lt;=0,"Paid",IF(I90="Yes","Doubtful (left out)",IF(L90&lt;W1,IF(OverdueW1="No","Overdue (left out)","Overdue → Week 1"),IF(L90&lt;=W1+90,"Week "&amp;N90,"After Week 13"))))))</f>
        <v/>
      </c>
      <c r="Q90" s="10">
        <f>IF(R90="","",IF(R90=0,IF(NOT(ISNUMBER(F90)),"Fix: amount missing",IF(F90&lt;=0,"Fix: amount must be above 0",IF(AND(NOT(ISNUMBER(D90)),NOT(ISNUMBER(H90))),"Fix: add an invoice date or a promised date",IF(AND(D90&lt;&gt;"",NOT(ISNUMBER(D90))),"Fix: invoice date isn't a date",IF(AND(E90&lt;&gt;"",NOT(ISNUMBER(E90))),"Fix: terms must be a number",IF(AND(G90&lt;&gt;"",NOT(ISNUMBER(G90))),"Fix: received must be a number",IF(AND(H90&lt;&gt;"",NOT(ISNUMBER(H90))),"Fix: promised date isn't a date","Fix: received is more than the amount"))))))),IF(AND(C90&lt;&gt;"",ISNUMBER(MATCH(C90,InCats,0))),"OK","Category not on Settings (counted as Other)")))</f>
        <v/>
      </c>
      <c r="R90">
        <f>IF(COUNTA(A90:I90)=0,"",IF(AND(ISNUMBER(F90),F90&gt;0,OR(ISNUMBER(D90),ISNUMBER(H90)),OR(D90="",ISNUMBER(D90)),OR(E90="",ISNUMBER(E90)),OR(G90="",ISNUMBER(G90)),OR(H90="",ISNUMBER(H90))),IF(N(G90)&gt;F90,0,1),0))</f>
        <v/>
      </c>
    </row>
    <row r="91">
      <c r="A91" s="29" t="n"/>
      <c r="B91" s="29" t="n"/>
      <c r="C91" s="29" t="n"/>
      <c r="D91" s="24" t="n"/>
      <c r="E91" s="26" t="n"/>
      <c r="F91" s="34" t="n"/>
      <c r="G91" s="34" t="n"/>
      <c r="H91" s="24" t="n"/>
      <c r="I91" s="29" t="n"/>
      <c r="J91" s="32">
        <f>IF(R91&lt;&gt;1,"",IF(ISNUMBER(D91),INT(D91)+IF(ISNUMBER(E91),INT(E91),DefTerms),""))</f>
        <v/>
      </c>
      <c r="K91" s="35">
        <f>IF(R91&lt;&gt;1,"",IF(ISNUMBER(H91),0,IF(AND(A91&lt;&gt;"",ISNUMBER(MATCH(A91,CustName,0))),IF(ISNUMBER(INDEX(CustLate,MATCH(A91,CustName,0))),INT(INDEX(CustLate,MATCH(A91,CustName,0))),DefLate),DefLate)))</f>
        <v/>
      </c>
      <c r="L91" s="32">
        <f>IF(R91&lt;&gt;1,"",IF(ISNUMBER(H91),INT(H91),J91+K91)+StressDays)</f>
        <v/>
      </c>
      <c r="M91" s="21">
        <f>IF(R91&lt;&gt;1,0,F91-N(G91))</f>
        <v/>
      </c>
      <c r="N91" s="35">
        <f>IF(OR(R91&lt;&gt;1,M91&lt;=0),"",IF(I91="Yes","",IF(L91&lt;W1,IF(OverdueW1="No","",1),IF(L91&lt;=W1+90,INT((L91-W1)/7)+1,""))))</f>
        <v/>
      </c>
      <c r="O91" s="36">
        <f>IF(ISNUMBER(N91),M91*CollectPct,0)</f>
        <v/>
      </c>
      <c r="P91" s="10">
        <f>IF(R91="","",IF(R91=0,"Not counted",IF(M91&lt;=0,"Paid",IF(I91="Yes","Doubtful (left out)",IF(L91&lt;W1,IF(OverdueW1="No","Overdue (left out)","Overdue → Week 1"),IF(L91&lt;=W1+90,"Week "&amp;N91,"After Week 13"))))))</f>
        <v/>
      </c>
      <c r="Q91" s="10">
        <f>IF(R91="","",IF(R91=0,IF(NOT(ISNUMBER(F91)),"Fix: amount missing",IF(F91&lt;=0,"Fix: amount must be above 0",IF(AND(NOT(ISNUMBER(D91)),NOT(ISNUMBER(H91))),"Fix: add an invoice date or a promised date",IF(AND(D91&lt;&gt;"",NOT(ISNUMBER(D91))),"Fix: invoice date isn't a date",IF(AND(E91&lt;&gt;"",NOT(ISNUMBER(E91))),"Fix: terms must be a number",IF(AND(G91&lt;&gt;"",NOT(ISNUMBER(G91))),"Fix: received must be a number",IF(AND(H91&lt;&gt;"",NOT(ISNUMBER(H91))),"Fix: promised date isn't a date","Fix: received is more than the amount"))))))),IF(AND(C91&lt;&gt;"",ISNUMBER(MATCH(C91,InCats,0))),"OK","Category not on Settings (counted as Other)")))</f>
        <v/>
      </c>
      <c r="R91">
        <f>IF(COUNTA(A91:I91)=0,"",IF(AND(ISNUMBER(F91),F91&gt;0,OR(ISNUMBER(D91),ISNUMBER(H91)),OR(D91="",ISNUMBER(D91)),OR(E91="",ISNUMBER(E91)),OR(G91="",ISNUMBER(G91)),OR(H91="",ISNUMBER(H91))),IF(N(G91)&gt;F91,0,1),0))</f>
        <v/>
      </c>
    </row>
    <row r="92">
      <c r="A92" s="29" t="n"/>
      <c r="B92" s="29" t="n"/>
      <c r="C92" s="29" t="n"/>
      <c r="D92" s="24" t="n"/>
      <c r="E92" s="26" t="n"/>
      <c r="F92" s="34" t="n"/>
      <c r="G92" s="34" t="n"/>
      <c r="H92" s="24" t="n"/>
      <c r="I92" s="29" t="n"/>
      <c r="J92" s="32">
        <f>IF(R92&lt;&gt;1,"",IF(ISNUMBER(D92),INT(D92)+IF(ISNUMBER(E92),INT(E92),DefTerms),""))</f>
        <v/>
      </c>
      <c r="K92" s="35">
        <f>IF(R92&lt;&gt;1,"",IF(ISNUMBER(H92),0,IF(AND(A92&lt;&gt;"",ISNUMBER(MATCH(A92,CustName,0))),IF(ISNUMBER(INDEX(CustLate,MATCH(A92,CustName,0))),INT(INDEX(CustLate,MATCH(A92,CustName,0))),DefLate),DefLate)))</f>
        <v/>
      </c>
      <c r="L92" s="32">
        <f>IF(R92&lt;&gt;1,"",IF(ISNUMBER(H92),INT(H92),J92+K92)+StressDays)</f>
        <v/>
      </c>
      <c r="M92" s="21">
        <f>IF(R92&lt;&gt;1,0,F92-N(G92))</f>
        <v/>
      </c>
      <c r="N92" s="35">
        <f>IF(OR(R92&lt;&gt;1,M92&lt;=0),"",IF(I92="Yes","",IF(L92&lt;W1,IF(OverdueW1="No","",1),IF(L92&lt;=W1+90,INT((L92-W1)/7)+1,""))))</f>
        <v/>
      </c>
      <c r="O92" s="36">
        <f>IF(ISNUMBER(N92),M92*CollectPct,0)</f>
        <v/>
      </c>
      <c r="P92" s="10">
        <f>IF(R92="","",IF(R92=0,"Not counted",IF(M92&lt;=0,"Paid",IF(I92="Yes","Doubtful (left out)",IF(L92&lt;W1,IF(OverdueW1="No","Overdue (left out)","Overdue → Week 1"),IF(L92&lt;=W1+90,"Week "&amp;N92,"After Week 13"))))))</f>
        <v/>
      </c>
      <c r="Q92" s="10">
        <f>IF(R92="","",IF(R92=0,IF(NOT(ISNUMBER(F92)),"Fix: amount missing",IF(F92&lt;=0,"Fix: amount must be above 0",IF(AND(NOT(ISNUMBER(D92)),NOT(ISNUMBER(H92))),"Fix: add an invoice date or a promised date",IF(AND(D92&lt;&gt;"",NOT(ISNUMBER(D92))),"Fix: invoice date isn't a date",IF(AND(E92&lt;&gt;"",NOT(ISNUMBER(E92))),"Fix: terms must be a number",IF(AND(G92&lt;&gt;"",NOT(ISNUMBER(G92))),"Fix: received must be a number",IF(AND(H92&lt;&gt;"",NOT(ISNUMBER(H92))),"Fix: promised date isn't a date","Fix: received is more than the amount"))))))),IF(AND(C92&lt;&gt;"",ISNUMBER(MATCH(C92,InCats,0))),"OK","Category not on Settings (counted as Other)")))</f>
        <v/>
      </c>
      <c r="R92">
        <f>IF(COUNTA(A92:I92)=0,"",IF(AND(ISNUMBER(F92),F92&gt;0,OR(ISNUMBER(D92),ISNUMBER(H92)),OR(D92="",ISNUMBER(D92)),OR(E92="",ISNUMBER(E92)),OR(G92="",ISNUMBER(G92)),OR(H92="",ISNUMBER(H92))),IF(N(G92)&gt;F92,0,1),0))</f>
        <v/>
      </c>
    </row>
    <row r="93">
      <c r="A93" s="29" t="n"/>
      <c r="B93" s="29" t="n"/>
      <c r="C93" s="29" t="n"/>
      <c r="D93" s="24" t="n"/>
      <c r="E93" s="26" t="n"/>
      <c r="F93" s="34" t="n"/>
      <c r="G93" s="34" t="n"/>
      <c r="H93" s="24" t="n"/>
      <c r="I93" s="29" t="n"/>
      <c r="J93" s="32">
        <f>IF(R93&lt;&gt;1,"",IF(ISNUMBER(D93),INT(D93)+IF(ISNUMBER(E93),INT(E93),DefTerms),""))</f>
        <v/>
      </c>
      <c r="K93" s="35">
        <f>IF(R93&lt;&gt;1,"",IF(ISNUMBER(H93),0,IF(AND(A93&lt;&gt;"",ISNUMBER(MATCH(A93,CustName,0))),IF(ISNUMBER(INDEX(CustLate,MATCH(A93,CustName,0))),INT(INDEX(CustLate,MATCH(A93,CustName,0))),DefLate),DefLate)))</f>
        <v/>
      </c>
      <c r="L93" s="32">
        <f>IF(R93&lt;&gt;1,"",IF(ISNUMBER(H93),INT(H93),J93+K93)+StressDays)</f>
        <v/>
      </c>
      <c r="M93" s="21">
        <f>IF(R93&lt;&gt;1,0,F93-N(G93))</f>
        <v/>
      </c>
      <c r="N93" s="35">
        <f>IF(OR(R93&lt;&gt;1,M93&lt;=0),"",IF(I93="Yes","",IF(L93&lt;W1,IF(OverdueW1="No","",1),IF(L93&lt;=W1+90,INT((L93-W1)/7)+1,""))))</f>
        <v/>
      </c>
      <c r="O93" s="36">
        <f>IF(ISNUMBER(N93),M93*CollectPct,0)</f>
        <v/>
      </c>
      <c r="P93" s="10">
        <f>IF(R93="","",IF(R93=0,"Not counted",IF(M93&lt;=0,"Paid",IF(I93="Yes","Doubtful (left out)",IF(L93&lt;W1,IF(OverdueW1="No","Overdue (left out)","Overdue → Week 1"),IF(L93&lt;=W1+90,"Week "&amp;N93,"After Week 13"))))))</f>
        <v/>
      </c>
      <c r="Q93" s="10">
        <f>IF(R93="","",IF(R93=0,IF(NOT(ISNUMBER(F93)),"Fix: amount missing",IF(F93&lt;=0,"Fix: amount must be above 0",IF(AND(NOT(ISNUMBER(D93)),NOT(ISNUMBER(H93))),"Fix: add an invoice date or a promised date",IF(AND(D93&lt;&gt;"",NOT(ISNUMBER(D93))),"Fix: invoice date isn't a date",IF(AND(E93&lt;&gt;"",NOT(ISNUMBER(E93))),"Fix: terms must be a number",IF(AND(G93&lt;&gt;"",NOT(ISNUMBER(G93))),"Fix: received must be a number",IF(AND(H93&lt;&gt;"",NOT(ISNUMBER(H93))),"Fix: promised date isn't a date","Fix: received is more than the amount"))))))),IF(AND(C93&lt;&gt;"",ISNUMBER(MATCH(C93,InCats,0))),"OK","Category not on Settings (counted as Other)")))</f>
        <v/>
      </c>
      <c r="R93">
        <f>IF(COUNTA(A93:I93)=0,"",IF(AND(ISNUMBER(F93),F93&gt;0,OR(ISNUMBER(D93),ISNUMBER(H93)),OR(D93="",ISNUMBER(D93)),OR(E93="",ISNUMBER(E93)),OR(G93="",ISNUMBER(G93)),OR(H93="",ISNUMBER(H93))),IF(N(G93)&gt;F93,0,1),0))</f>
        <v/>
      </c>
    </row>
    <row r="94">
      <c r="A94" s="29" t="n"/>
      <c r="B94" s="29" t="n"/>
      <c r="C94" s="29" t="n"/>
      <c r="D94" s="24" t="n"/>
      <c r="E94" s="26" t="n"/>
      <c r="F94" s="34" t="n"/>
      <c r="G94" s="34" t="n"/>
      <c r="H94" s="24" t="n"/>
      <c r="I94" s="29" t="n"/>
      <c r="J94" s="32">
        <f>IF(R94&lt;&gt;1,"",IF(ISNUMBER(D94),INT(D94)+IF(ISNUMBER(E94),INT(E94),DefTerms),""))</f>
        <v/>
      </c>
      <c r="K94" s="35">
        <f>IF(R94&lt;&gt;1,"",IF(ISNUMBER(H94),0,IF(AND(A94&lt;&gt;"",ISNUMBER(MATCH(A94,CustName,0))),IF(ISNUMBER(INDEX(CustLate,MATCH(A94,CustName,0))),INT(INDEX(CustLate,MATCH(A94,CustName,0))),DefLate),DefLate)))</f>
        <v/>
      </c>
      <c r="L94" s="32">
        <f>IF(R94&lt;&gt;1,"",IF(ISNUMBER(H94),INT(H94),J94+K94)+StressDays)</f>
        <v/>
      </c>
      <c r="M94" s="21">
        <f>IF(R94&lt;&gt;1,0,F94-N(G94))</f>
        <v/>
      </c>
      <c r="N94" s="35">
        <f>IF(OR(R94&lt;&gt;1,M94&lt;=0),"",IF(I94="Yes","",IF(L94&lt;W1,IF(OverdueW1="No","",1),IF(L94&lt;=W1+90,INT((L94-W1)/7)+1,""))))</f>
        <v/>
      </c>
      <c r="O94" s="36">
        <f>IF(ISNUMBER(N94),M94*CollectPct,0)</f>
        <v/>
      </c>
      <c r="P94" s="10">
        <f>IF(R94="","",IF(R94=0,"Not counted",IF(M94&lt;=0,"Paid",IF(I94="Yes","Doubtful (left out)",IF(L94&lt;W1,IF(OverdueW1="No","Overdue (left out)","Overdue → Week 1"),IF(L94&lt;=W1+90,"Week "&amp;N94,"After Week 13"))))))</f>
        <v/>
      </c>
      <c r="Q94" s="10">
        <f>IF(R94="","",IF(R94=0,IF(NOT(ISNUMBER(F94)),"Fix: amount missing",IF(F94&lt;=0,"Fix: amount must be above 0",IF(AND(NOT(ISNUMBER(D94)),NOT(ISNUMBER(H94))),"Fix: add an invoice date or a promised date",IF(AND(D94&lt;&gt;"",NOT(ISNUMBER(D94))),"Fix: invoice date isn't a date",IF(AND(E94&lt;&gt;"",NOT(ISNUMBER(E94))),"Fix: terms must be a number",IF(AND(G94&lt;&gt;"",NOT(ISNUMBER(G94))),"Fix: received must be a number",IF(AND(H94&lt;&gt;"",NOT(ISNUMBER(H94))),"Fix: promised date isn't a date","Fix: received is more than the amount"))))))),IF(AND(C94&lt;&gt;"",ISNUMBER(MATCH(C94,InCats,0))),"OK","Category not on Settings (counted as Other)")))</f>
        <v/>
      </c>
      <c r="R94">
        <f>IF(COUNTA(A94:I94)=0,"",IF(AND(ISNUMBER(F94),F94&gt;0,OR(ISNUMBER(D94),ISNUMBER(H94)),OR(D94="",ISNUMBER(D94)),OR(E94="",ISNUMBER(E94)),OR(G94="",ISNUMBER(G94)),OR(H94="",ISNUMBER(H94))),IF(N(G94)&gt;F94,0,1),0))</f>
        <v/>
      </c>
    </row>
    <row r="95">
      <c r="A95" s="29" t="n"/>
      <c r="B95" s="29" t="n"/>
      <c r="C95" s="29" t="n"/>
      <c r="D95" s="24" t="n"/>
      <c r="E95" s="26" t="n"/>
      <c r="F95" s="34" t="n"/>
      <c r="G95" s="34" t="n"/>
      <c r="H95" s="24" t="n"/>
      <c r="I95" s="29" t="n"/>
      <c r="J95" s="32">
        <f>IF(R95&lt;&gt;1,"",IF(ISNUMBER(D95),INT(D95)+IF(ISNUMBER(E95),INT(E95),DefTerms),""))</f>
        <v/>
      </c>
      <c r="K95" s="35">
        <f>IF(R95&lt;&gt;1,"",IF(ISNUMBER(H95),0,IF(AND(A95&lt;&gt;"",ISNUMBER(MATCH(A95,CustName,0))),IF(ISNUMBER(INDEX(CustLate,MATCH(A95,CustName,0))),INT(INDEX(CustLate,MATCH(A95,CustName,0))),DefLate),DefLate)))</f>
        <v/>
      </c>
      <c r="L95" s="32">
        <f>IF(R95&lt;&gt;1,"",IF(ISNUMBER(H95),INT(H95),J95+K95)+StressDays)</f>
        <v/>
      </c>
      <c r="M95" s="21">
        <f>IF(R95&lt;&gt;1,0,F95-N(G95))</f>
        <v/>
      </c>
      <c r="N95" s="35">
        <f>IF(OR(R95&lt;&gt;1,M95&lt;=0),"",IF(I95="Yes","",IF(L95&lt;W1,IF(OverdueW1="No","",1),IF(L95&lt;=W1+90,INT((L95-W1)/7)+1,""))))</f>
        <v/>
      </c>
      <c r="O95" s="36">
        <f>IF(ISNUMBER(N95),M95*CollectPct,0)</f>
        <v/>
      </c>
      <c r="P95" s="10">
        <f>IF(R95="","",IF(R95=0,"Not counted",IF(M95&lt;=0,"Paid",IF(I95="Yes","Doubtful (left out)",IF(L95&lt;W1,IF(OverdueW1="No","Overdue (left out)","Overdue → Week 1"),IF(L95&lt;=W1+90,"Week "&amp;N95,"After Week 13"))))))</f>
        <v/>
      </c>
      <c r="Q95" s="10">
        <f>IF(R95="","",IF(R95=0,IF(NOT(ISNUMBER(F95)),"Fix: amount missing",IF(F95&lt;=0,"Fix: amount must be above 0",IF(AND(NOT(ISNUMBER(D95)),NOT(ISNUMBER(H95))),"Fix: add an invoice date or a promised date",IF(AND(D95&lt;&gt;"",NOT(ISNUMBER(D95))),"Fix: invoice date isn't a date",IF(AND(E95&lt;&gt;"",NOT(ISNUMBER(E95))),"Fix: terms must be a number",IF(AND(G95&lt;&gt;"",NOT(ISNUMBER(G95))),"Fix: received must be a number",IF(AND(H95&lt;&gt;"",NOT(ISNUMBER(H95))),"Fix: promised date isn't a date","Fix: received is more than the amount"))))))),IF(AND(C95&lt;&gt;"",ISNUMBER(MATCH(C95,InCats,0))),"OK","Category not on Settings (counted as Other)")))</f>
        <v/>
      </c>
      <c r="R95">
        <f>IF(COUNTA(A95:I95)=0,"",IF(AND(ISNUMBER(F95),F95&gt;0,OR(ISNUMBER(D95),ISNUMBER(H95)),OR(D95="",ISNUMBER(D95)),OR(E95="",ISNUMBER(E95)),OR(G95="",ISNUMBER(G95)),OR(H95="",ISNUMBER(H95))),IF(N(G95)&gt;F95,0,1),0))</f>
        <v/>
      </c>
    </row>
    <row r="96">
      <c r="A96" s="29" t="n"/>
      <c r="B96" s="29" t="n"/>
      <c r="C96" s="29" t="n"/>
      <c r="D96" s="24" t="n"/>
      <c r="E96" s="26" t="n"/>
      <c r="F96" s="34" t="n"/>
      <c r="G96" s="34" t="n"/>
      <c r="H96" s="24" t="n"/>
      <c r="I96" s="29" t="n"/>
      <c r="J96" s="32">
        <f>IF(R96&lt;&gt;1,"",IF(ISNUMBER(D96),INT(D96)+IF(ISNUMBER(E96),INT(E96),DefTerms),""))</f>
        <v/>
      </c>
      <c r="K96" s="35">
        <f>IF(R96&lt;&gt;1,"",IF(ISNUMBER(H96),0,IF(AND(A96&lt;&gt;"",ISNUMBER(MATCH(A96,CustName,0))),IF(ISNUMBER(INDEX(CustLate,MATCH(A96,CustName,0))),INT(INDEX(CustLate,MATCH(A96,CustName,0))),DefLate),DefLate)))</f>
        <v/>
      </c>
      <c r="L96" s="32">
        <f>IF(R96&lt;&gt;1,"",IF(ISNUMBER(H96),INT(H96),J96+K96)+StressDays)</f>
        <v/>
      </c>
      <c r="M96" s="21">
        <f>IF(R96&lt;&gt;1,0,F96-N(G96))</f>
        <v/>
      </c>
      <c r="N96" s="35">
        <f>IF(OR(R96&lt;&gt;1,M96&lt;=0),"",IF(I96="Yes","",IF(L96&lt;W1,IF(OverdueW1="No","",1),IF(L96&lt;=W1+90,INT((L96-W1)/7)+1,""))))</f>
        <v/>
      </c>
      <c r="O96" s="36">
        <f>IF(ISNUMBER(N96),M96*CollectPct,0)</f>
        <v/>
      </c>
      <c r="P96" s="10">
        <f>IF(R96="","",IF(R96=0,"Not counted",IF(M96&lt;=0,"Paid",IF(I96="Yes","Doubtful (left out)",IF(L96&lt;W1,IF(OverdueW1="No","Overdue (left out)","Overdue → Week 1"),IF(L96&lt;=W1+90,"Week "&amp;N96,"After Week 13"))))))</f>
        <v/>
      </c>
      <c r="Q96" s="10">
        <f>IF(R96="","",IF(R96=0,IF(NOT(ISNUMBER(F96)),"Fix: amount missing",IF(F96&lt;=0,"Fix: amount must be above 0",IF(AND(NOT(ISNUMBER(D96)),NOT(ISNUMBER(H96))),"Fix: add an invoice date or a promised date",IF(AND(D96&lt;&gt;"",NOT(ISNUMBER(D96))),"Fix: invoice date isn't a date",IF(AND(E96&lt;&gt;"",NOT(ISNUMBER(E96))),"Fix: terms must be a number",IF(AND(G96&lt;&gt;"",NOT(ISNUMBER(G96))),"Fix: received must be a number",IF(AND(H96&lt;&gt;"",NOT(ISNUMBER(H96))),"Fix: promised date isn't a date","Fix: received is more than the amount"))))))),IF(AND(C96&lt;&gt;"",ISNUMBER(MATCH(C96,InCats,0))),"OK","Category not on Settings (counted as Other)")))</f>
        <v/>
      </c>
      <c r="R96">
        <f>IF(COUNTA(A96:I96)=0,"",IF(AND(ISNUMBER(F96),F96&gt;0,OR(ISNUMBER(D96),ISNUMBER(H96)),OR(D96="",ISNUMBER(D96)),OR(E96="",ISNUMBER(E96)),OR(G96="",ISNUMBER(G96)),OR(H96="",ISNUMBER(H96))),IF(N(G96)&gt;F96,0,1),0))</f>
        <v/>
      </c>
    </row>
    <row r="97">
      <c r="A97" s="29" t="n"/>
      <c r="B97" s="29" t="n"/>
      <c r="C97" s="29" t="n"/>
      <c r="D97" s="24" t="n"/>
      <c r="E97" s="26" t="n"/>
      <c r="F97" s="34" t="n"/>
      <c r="G97" s="34" t="n"/>
      <c r="H97" s="24" t="n"/>
      <c r="I97" s="29" t="n"/>
      <c r="J97" s="32">
        <f>IF(R97&lt;&gt;1,"",IF(ISNUMBER(D97),INT(D97)+IF(ISNUMBER(E97),INT(E97),DefTerms),""))</f>
        <v/>
      </c>
      <c r="K97" s="35">
        <f>IF(R97&lt;&gt;1,"",IF(ISNUMBER(H97),0,IF(AND(A97&lt;&gt;"",ISNUMBER(MATCH(A97,CustName,0))),IF(ISNUMBER(INDEX(CustLate,MATCH(A97,CustName,0))),INT(INDEX(CustLate,MATCH(A97,CustName,0))),DefLate),DefLate)))</f>
        <v/>
      </c>
      <c r="L97" s="32">
        <f>IF(R97&lt;&gt;1,"",IF(ISNUMBER(H97),INT(H97),J97+K97)+StressDays)</f>
        <v/>
      </c>
      <c r="M97" s="21">
        <f>IF(R97&lt;&gt;1,0,F97-N(G97))</f>
        <v/>
      </c>
      <c r="N97" s="35">
        <f>IF(OR(R97&lt;&gt;1,M97&lt;=0),"",IF(I97="Yes","",IF(L97&lt;W1,IF(OverdueW1="No","",1),IF(L97&lt;=W1+90,INT((L97-W1)/7)+1,""))))</f>
        <v/>
      </c>
      <c r="O97" s="36">
        <f>IF(ISNUMBER(N97),M97*CollectPct,0)</f>
        <v/>
      </c>
      <c r="P97" s="10">
        <f>IF(R97="","",IF(R97=0,"Not counted",IF(M97&lt;=0,"Paid",IF(I97="Yes","Doubtful (left out)",IF(L97&lt;W1,IF(OverdueW1="No","Overdue (left out)","Overdue → Week 1"),IF(L97&lt;=W1+90,"Week "&amp;N97,"After Week 13"))))))</f>
        <v/>
      </c>
      <c r="Q97" s="10">
        <f>IF(R97="","",IF(R97=0,IF(NOT(ISNUMBER(F97)),"Fix: amount missing",IF(F97&lt;=0,"Fix: amount must be above 0",IF(AND(NOT(ISNUMBER(D97)),NOT(ISNUMBER(H97))),"Fix: add an invoice date or a promised date",IF(AND(D97&lt;&gt;"",NOT(ISNUMBER(D97))),"Fix: invoice date isn't a date",IF(AND(E97&lt;&gt;"",NOT(ISNUMBER(E97))),"Fix: terms must be a number",IF(AND(G97&lt;&gt;"",NOT(ISNUMBER(G97))),"Fix: received must be a number",IF(AND(H97&lt;&gt;"",NOT(ISNUMBER(H97))),"Fix: promised date isn't a date","Fix: received is more than the amount"))))))),IF(AND(C97&lt;&gt;"",ISNUMBER(MATCH(C97,InCats,0))),"OK","Category not on Settings (counted as Other)")))</f>
        <v/>
      </c>
      <c r="R97">
        <f>IF(COUNTA(A97:I97)=0,"",IF(AND(ISNUMBER(F97),F97&gt;0,OR(ISNUMBER(D97),ISNUMBER(H97)),OR(D97="",ISNUMBER(D97)),OR(E97="",ISNUMBER(E97)),OR(G97="",ISNUMBER(G97)),OR(H97="",ISNUMBER(H97))),IF(N(G97)&gt;F97,0,1),0))</f>
        <v/>
      </c>
    </row>
    <row r="98">
      <c r="A98" s="29" t="n"/>
      <c r="B98" s="29" t="n"/>
      <c r="C98" s="29" t="n"/>
      <c r="D98" s="24" t="n"/>
      <c r="E98" s="26" t="n"/>
      <c r="F98" s="34" t="n"/>
      <c r="G98" s="34" t="n"/>
      <c r="H98" s="24" t="n"/>
      <c r="I98" s="29" t="n"/>
      <c r="J98" s="32">
        <f>IF(R98&lt;&gt;1,"",IF(ISNUMBER(D98),INT(D98)+IF(ISNUMBER(E98),INT(E98),DefTerms),""))</f>
        <v/>
      </c>
      <c r="K98" s="35">
        <f>IF(R98&lt;&gt;1,"",IF(ISNUMBER(H98),0,IF(AND(A98&lt;&gt;"",ISNUMBER(MATCH(A98,CustName,0))),IF(ISNUMBER(INDEX(CustLate,MATCH(A98,CustName,0))),INT(INDEX(CustLate,MATCH(A98,CustName,0))),DefLate),DefLate)))</f>
        <v/>
      </c>
      <c r="L98" s="32">
        <f>IF(R98&lt;&gt;1,"",IF(ISNUMBER(H98),INT(H98),J98+K98)+StressDays)</f>
        <v/>
      </c>
      <c r="M98" s="21">
        <f>IF(R98&lt;&gt;1,0,F98-N(G98))</f>
        <v/>
      </c>
      <c r="N98" s="35">
        <f>IF(OR(R98&lt;&gt;1,M98&lt;=0),"",IF(I98="Yes","",IF(L98&lt;W1,IF(OverdueW1="No","",1),IF(L98&lt;=W1+90,INT((L98-W1)/7)+1,""))))</f>
        <v/>
      </c>
      <c r="O98" s="36">
        <f>IF(ISNUMBER(N98),M98*CollectPct,0)</f>
        <v/>
      </c>
      <c r="P98" s="10">
        <f>IF(R98="","",IF(R98=0,"Not counted",IF(M98&lt;=0,"Paid",IF(I98="Yes","Doubtful (left out)",IF(L98&lt;W1,IF(OverdueW1="No","Overdue (left out)","Overdue → Week 1"),IF(L98&lt;=W1+90,"Week "&amp;N98,"After Week 13"))))))</f>
        <v/>
      </c>
      <c r="Q98" s="10">
        <f>IF(R98="","",IF(R98=0,IF(NOT(ISNUMBER(F98)),"Fix: amount missing",IF(F98&lt;=0,"Fix: amount must be above 0",IF(AND(NOT(ISNUMBER(D98)),NOT(ISNUMBER(H98))),"Fix: add an invoice date or a promised date",IF(AND(D98&lt;&gt;"",NOT(ISNUMBER(D98))),"Fix: invoice date isn't a date",IF(AND(E98&lt;&gt;"",NOT(ISNUMBER(E98))),"Fix: terms must be a number",IF(AND(G98&lt;&gt;"",NOT(ISNUMBER(G98))),"Fix: received must be a number",IF(AND(H98&lt;&gt;"",NOT(ISNUMBER(H98))),"Fix: promised date isn't a date","Fix: received is more than the amount"))))))),IF(AND(C98&lt;&gt;"",ISNUMBER(MATCH(C98,InCats,0))),"OK","Category not on Settings (counted as Other)")))</f>
        <v/>
      </c>
      <c r="R98">
        <f>IF(COUNTA(A98:I98)=0,"",IF(AND(ISNUMBER(F98),F98&gt;0,OR(ISNUMBER(D98),ISNUMBER(H98)),OR(D98="",ISNUMBER(D98)),OR(E98="",ISNUMBER(E98)),OR(G98="",ISNUMBER(G98)),OR(H98="",ISNUMBER(H98))),IF(N(G98)&gt;F98,0,1),0))</f>
        <v/>
      </c>
    </row>
    <row r="99">
      <c r="A99" s="29" t="n"/>
      <c r="B99" s="29" t="n"/>
      <c r="C99" s="29" t="n"/>
      <c r="D99" s="24" t="n"/>
      <c r="E99" s="26" t="n"/>
      <c r="F99" s="34" t="n"/>
      <c r="G99" s="34" t="n"/>
      <c r="H99" s="24" t="n"/>
      <c r="I99" s="29" t="n"/>
      <c r="J99" s="32">
        <f>IF(R99&lt;&gt;1,"",IF(ISNUMBER(D99),INT(D99)+IF(ISNUMBER(E99),INT(E99),DefTerms),""))</f>
        <v/>
      </c>
      <c r="K99" s="35">
        <f>IF(R99&lt;&gt;1,"",IF(ISNUMBER(H99),0,IF(AND(A99&lt;&gt;"",ISNUMBER(MATCH(A99,CustName,0))),IF(ISNUMBER(INDEX(CustLate,MATCH(A99,CustName,0))),INT(INDEX(CustLate,MATCH(A99,CustName,0))),DefLate),DefLate)))</f>
        <v/>
      </c>
      <c r="L99" s="32">
        <f>IF(R99&lt;&gt;1,"",IF(ISNUMBER(H99),INT(H99),J99+K99)+StressDays)</f>
        <v/>
      </c>
      <c r="M99" s="21">
        <f>IF(R99&lt;&gt;1,0,F99-N(G99))</f>
        <v/>
      </c>
      <c r="N99" s="35">
        <f>IF(OR(R99&lt;&gt;1,M99&lt;=0),"",IF(I99="Yes","",IF(L99&lt;W1,IF(OverdueW1="No","",1),IF(L99&lt;=W1+90,INT((L99-W1)/7)+1,""))))</f>
        <v/>
      </c>
      <c r="O99" s="36">
        <f>IF(ISNUMBER(N99),M99*CollectPct,0)</f>
        <v/>
      </c>
      <c r="P99" s="10">
        <f>IF(R99="","",IF(R99=0,"Not counted",IF(M99&lt;=0,"Paid",IF(I99="Yes","Doubtful (left out)",IF(L99&lt;W1,IF(OverdueW1="No","Overdue (left out)","Overdue → Week 1"),IF(L99&lt;=W1+90,"Week "&amp;N99,"After Week 13"))))))</f>
        <v/>
      </c>
      <c r="Q99" s="10">
        <f>IF(R99="","",IF(R99=0,IF(NOT(ISNUMBER(F99)),"Fix: amount missing",IF(F99&lt;=0,"Fix: amount must be above 0",IF(AND(NOT(ISNUMBER(D99)),NOT(ISNUMBER(H99))),"Fix: add an invoice date or a promised date",IF(AND(D99&lt;&gt;"",NOT(ISNUMBER(D99))),"Fix: invoice date isn't a date",IF(AND(E99&lt;&gt;"",NOT(ISNUMBER(E99))),"Fix: terms must be a number",IF(AND(G99&lt;&gt;"",NOT(ISNUMBER(G99))),"Fix: received must be a number",IF(AND(H99&lt;&gt;"",NOT(ISNUMBER(H99))),"Fix: promised date isn't a date","Fix: received is more than the amount"))))))),IF(AND(C99&lt;&gt;"",ISNUMBER(MATCH(C99,InCats,0))),"OK","Category not on Settings (counted as Other)")))</f>
        <v/>
      </c>
      <c r="R99">
        <f>IF(COUNTA(A99:I99)=0,"",IF(AND(ISNUMBER(F99),F99&gt;0,OR(ISNUMBER(D99),ISNUMBER(H99)),OR(D99="",ISNUMBER(D99)),OR(E99="",ISNUMBER(E99)),OR(G99="",ISNUMBER(G99)),OR(H99="",ISNUMBER(H99))),IF(N(G99)&gt;F99,0,1),0))</f>
        <v/>
      </c>
    </row>
    <row r="100">
      <c r="A100" s="29" t="n"/>
      <c r="B100" s="29" t="n"/>
      <c r="C100" s="29" t="n"/>
      <c r="D100" s="24" t="n"/>
      <c r="E100" s="26" t="n"/>
      <c r="F100" s="34" t="n"/>
      <c r="G100" s="34" t="n"/>
      <c r="H100" s="24" t="n"/>
      <c r="I100" s="29" t="n"/>
      <c r="J100" s="32">
        <f>IF(R100&lt;&gt;1,"",IF(ISNUMBER(D100),INT(D100)+IF(ISNUMBER(E100),INT(E100),DefTerms),""))</f>
        <v/>
      </c>
      <c r="K100" s="35">
        <f>IF(R100&lt;&gt;1,"",IF(ISNUMBER(H100),0,IF(AND(A100&lt;&gt;"",ISNUMBER(MATCH(A100,CustName,0))),IF(ISNUMBER(INDEX(CustLate,MATCH(A100,CustName,0))),INT(INDEX(CustLate,MATCH(A100,CustName,0))),DefLate),DefLate)))</f>
        <v/>
      </c>
      <c r="L100" s="32">
        <f>IF(R100&lt;&gt;1,"",IF(ISNUMBER(H100),INT(H100),J100+K100)+StressDays)</f>
        <v/>
      </c>
      <c r="M100" s="21">
        <f>IF(R100&lt;&gt;1,0,F100-N(G100))</f>
        <v/>
      </c>
      <c r="N100" s="35">
        <f>IF(OR(R100&lt;&gt;1,M100&lt;=0),"",IF(I100="Yes","",IF(L100&lt;W1,IF(OverdueW1="No","",1),IF(L100&lt;=W1+90,INT((L100-W1)/7)+1,""))))</f>
        <v/>
      </c>
      <c r="O100" s="36">
        <f>IF(ISNUMBER(N100),M100*CollectPct,0)</f>
        <v/>
      </c>
      <c r="P100" s="10">
        <f>IF(R100="","",IF(R100=0,"Not counted",IF(M100&lt;=0,"Paid",IF(I100="Yes","Doubtful (left out)",IF(L100&lt;W1,IF(OverdueW1="No","Overdue (left out)","Overdue → Week 1"),IF(L100&lt;=W1+90,"Week "&amp;N100,"After Week 13"))))))</f>
        <v/>
      </c>
      <c r="Q100" s="10">
        <f>IF(R100="","",IF(R100=0,IF(NOT(ISNUMBER(F100)),"Fix: amount missing",IF(F100&lt;=0,"Fix: amount must be above 0",IF(AND(NOT(ISNUMBER(D100)),NOT(ISNUMBER(H100))),"Fix: add an invoice date or a promised date",IF(AND(D100&lt;&gt;"",NOT(ISNUMBER(D100))),"Fix: invoice date isn't a date",IF(AND(E100&lt;&gt;"",NOT(ISNUMBER(E100))),"Fix: terms must be a number",IF(AND(G100&lt;&gt;"",NOT(ISNUMBER(G100))),"Fix: received must be a number",IF(AND(H100&lt;&gt;"",NOT(ISNUMBER(H100))),"Fix: promised date isn't a date","Fix: received is more than the amount"))))))),IF(AND(C100&lt;&gt;"",ISNUMBER(MATCH(C100,InCats,0))),"OK","Category not on Settings (counted as Other)")))</f>
        <v/>
      </c>
      <c r="R100">
        <f>IF(COUNTA(A100:I100)=0,"",IF(AND(ISNUMBER(F100),F100&gt;0,OR(ISNUMBER(D100),ISNUMBER(H100)),OR(D100="",ISNUMBER(D100)),OR(E100="",ISNUMBER(E100)),OR(G100="",ISNUMBER(G100)),OR(H100="",ISNUMBER(H100))),IF(N(G100)&gt;F100,0,1),0))</f>
        <v/>
      </c>
    </row>
    <row r="101">
      <c r="A101" s="29" t="n"/>
      <c r="B101" s="29" t="n"/>
      <c r="C101" s="29" t="n"/>
      <c r="D101" s="24" t="n"/>
      <c r="E101" s="26" t="n"/>
      <c r="F101" s="34" t="n"/>
      <c r="G101" s="34" t="n"/>
      <c r="H101" s="24" t="n"/>
      <c r="I101" s="29" t="n"/>
      <c r="J101" s="32">
        <f>IF(R101&lt;&gt;1,"",IF(ISNUMBER(D101),INT(D101)+IF(ISNUMBER(E101),INT(E101),DefTerms),""))</f>
        <v/>
      </c>
      <c r="K101" s="35">
        <f>IF(R101&lt;&gt;1,"",IF(ISNUMBER(H101),0,IF(AND(A101&lt;&gt;"",ISNUMBER(MATCH(A101,CustName,0))),IF(ISNUMBER(INDEX(CustLate,MATCH(A101,CustName,0))),INT(INDEX(CustLate,MATCH(A101,CustName,0))),DefLate),DefLate)))</f>
        <v/>
      </c>
      <c r="L101" s="32">
        <f>IF(R101&lt;&gt;1,"",IF(ISNUMBER(H101),INT(H101),J101+K101)+StressDays)</f>
        <v/>
      </c>
      <c r="M101" s="21">
        <f>IF(R101&lt;&gt;1,0,F101-N(G101))</f>
        <v/>
      </c>
      <c r="N101" s="35">
        <f>IF(OR(R101&lt;&gt;1,M101&lt;=0),"",IF(I101="Yes","",IF(L101&lt;W1,IF(OverdueW1="No","",1),IF(L101&lt;=W1+90,INT((L101-W1)/7)+1,""))))</f>
        <v/>
      </c>
      <c r="O101" s="36">
        <f>IF(ISNUMBER(N101),M101*CollectPct,0)</f>
        <v/>
      </c>
      <c r="P101" s="10">
        <f>IF(R101="","",IF(R101=0,"Not counted",IF(M101&lt;=0,"Paid",IF(I101="Yes","Doubtful (left out)",IF(L101&lt;W1,IF(OverdueW1="No","Overdue (left out)","Overdue → Week 1"),IF(L101&lt;=W1+90,"Week "&amp;N101,"After Week 13"))))))</f>
        <v/>
      </c>
      <c r="Q101" s="10">
        <f>IF(R101="","",IF(R101=0,IF(NOT(ISNUMBER(F101)),"Fix: amount missing",IF(F101&lt;=0,"Fix: amount must be above 0",IF(AND(NOT(ISNUMBER(D101)),NOT(ISNUMBER(H101))),"Fix: add an invoice date or a promised date",IF(AND(D101&lt;&gt;"",NOT(ISNUMBER(D101))),"Fix: invoice date isn't a date",IF(AND(E101&lt;&gt;"",NOT(ISNUMBER(E101))),"Fix: terms must be a number",IF(AND(G101&lt;&gt;"",NOT(ISNUMBER(G101))),"Fix: received must be a number",IF(AND(H101&lt;&gt;"",NOT(ISNUMBER(H101))),"Fix: promised date isn't a date","Fix: received is more than the amount"))))))),IF(AND(C101&lt;&gt;"",ISNUMBER(MATCH(C101,InCats,0))),"OK","Category not on Settings (counted as Other)")))</f>
        <v/>
      </c>
      <c r="R101">
        <f>IF(COUNTA(A101:I101)=0,"",IF(AND(ISNUMBER(F101),F101&gt;0,OR(ISNUMBER(D101),ISNUMBER(H101)),OR(D101="",ISNUMBER(D101)),OR(E101="",ISNUMBER(E101)),OR(G101="",ISNUMBER(G101)),OR(H101="",ISNUMBER(H101))),IF(N(G101)&gt;F101,0,1),0))</f>
        <v/>
      </c>
    </row>
    <row r="102">
      <c r="A102" s="29" t="n"/>
      <c r="B102" s="29" t="n"/>
      <c r="C102" s="29" t="n"/>
      <c r="D102" s="24" t="n"/>
      <c r="E102" s="26" t="n"/>
      <c r="F102" s="34" t="n"/>
      <c r="G102" s="34" t="n"/>
      <c r="H102" s="24" t="n"/>
      <c r="I102" s="29" t="n"/>
      <c r="J102" s="32">
        <f>IF(R102&lt;&gt;1,"",IF(ISNUMBER(D102),INT(D102)+IF(ISNUMBER(E102),INT(E102),DefTerms),""))</f>
        <v/>
      </c>
      <c r="K102" s="35">
        <f>IF(R102&lt;&gt;1,"",IF(ISNUMBER(H102),0,IF(AND(A102&lt;&gt;"",ISNUMBER(MATCH(A102,CustName,0))),IF(ISNUMBER(INDEX(CustLate,MATCH(A102,CustName,0))),INT(INDEX(CustLate,MATCH(A102,CustName,0))),DefLate),DefLate)))</f>
        <v/>
      </c>
      <c r="L102" s="32">
        <f>IF(R102&lt;&gt;1,"",IF(ISNUMBER(H102),INT(H102),J102+K102)+StressDays)</f>
        <v/>
      </c>
      <c r="M102" s="21">
        <f>IF(R102&lt;&gt;1,0,F102-N(G102))</f>
        <v/>
      </c>
      <c r="N102" s="35">
        <f>IF(OR(R102&lt;&gt;1,M102&lt;=0),"",IF(I102="Yes","",IF(L102&lt;W1,IF(OverdueW1="No","",1),IF(L102&lt;=W1+90,INT((L102-W1)/7)+1,""))))</f>
        <v/>
      </c>
      <c r="O102" s="36">
        <f>IF(ISNUMBER(N102),M102*CollectPct,0)</f>
        <v/>
      </c>
      <c r="P102" s="10">
        <f>IF(R102="","",IF(R102=0,"Not counted",IF(M102&lt;=0,"Paid",IF(I102="Yes","Doubtful (left out)",IF(L102&lt;W1,IF(OverdueW1="No","Overdue (left out)","Overdue → Week 1"),IF(L102&lt;=W1+90,"Week "&amp;N102,"After Week 13"))))))</f>
        <v/>
      </c>
      <c r="Q102" s="10">
        <f>IF(R102="","",IF(R102=0,IF(NOT(ISNUMBER(F102)),"Fix: amount missing",IF(F102&lt;=0,"Fix: amount must be above 0",IF(AND(NOT(ISNUMBER(D102)),NOT(ISNUMBER(H102))),"Fix: add an invoice date or a promised date",IF(AND(D102&lt;&gt;"",NOT(ISNUMBER(D102))),"Fix: invoice date isn't a date",IF(AND(E102&lt;&gt;"",NOT(ISNUMBER(E102))),"Fix: terms must be a number",IF(AND(G102&lt;&gt;"",NOT(ISNUMBER(G102))),"Fix: received must be a number",IF(AND(H102&lt;&gt;"",NOT(ISNUMBER(H102))),"Fix: promised date isn't a date","Fix: received is more than the amount"))))))),IF(AND(C102&lt;&gt;"",ISNUMBER(MATCH(C102,InCats,0))),"OK","Category not on Settings (counted as Other)")))</f>
        <v/>
      </c>
      <c r="R102">
        <f>IF(COUNTA(A102:I102)=0,"",IF(AND(ISNUMBER(F102),F102&gt;0,OR(ISNUMBER(D102),ISNUMBER(H102)),OR(D102="",ISNUMBER(D102)),OR(E102="",ISNUMBER(E102)),OR(G102="",ISNUMBER(G102)),OR(H102="",ISNUMBER(H102))),IF(N(G102)&gt;F102,0,1),0))</f>
        <v/>
      </c>
    </row>
    <row r="103">
      <c r="A103" s="29" t="n"/>
      <c r="B103" s="29" t="n"/>
      <c r="C103" s="29" t="n"/>
      <c r="D103" s="24" t="n"/>
      <c r="E103" s="26" t="n"/>
      <c r="F103" s="34" t="n"/>
      <c r="G103" s="34" t="n"/>
      <c r="H103" s="24" t="n"/>
      <c r="I103" s="29" t="n"/>
      <c r="J103" s="32">
        <f>IF(R103&lt;&gt;1,"",IF(ISNUMBER(D103),INT(D103)+IF(ISNUMBER(E103),INT(E103),DefTerms),""))</f>
        <v/>
      </c>
      <c r="K103" s="35">
        <f>IF(R103&lt;&gt;1,"",IF(ISNUMBER(H103),0,IF(AND(A103&lt;&gt;"",ISNUMBER(MATCH(A103,CustName,0))),IF(ISNUMBER(INDEX(CustLate,MATCH(A103,CustName,0))),INT(INDEX(CustLate,MATCH(A103,CustName,0))),DefLate),DefLate)))</f>
        <v/>
      </c>
      <c r="L103" s="32">
        <f>IF(R103&lt;&gt;1,"",IF(ISNUMBER(H103),INT(H103),J103+K103)+StressDays)</f>
        <v/>
      </c>
      <c r="M103" s="21">
        <f>IF(R103&lt;&gt;1,0,F103-N(G103))</f>
        <v/>
      </c>
      <c r="N103" s="35">
        <f>IF(OR(R103&lt;&gt;1,M103&lt;=0),"",IF(I103="Yes","",IF(L103&lt;W1,IF(OverdueW1="No","",1),IF(L103&lt;=W1+90,INT((L103-W1)/7)+1,""))))</f>
        <v/>
      </c>
      <c r="O103" s="36">
        <f>IF(ISNUMBER(N103),M103*CollectPct,0)</f>
        <v/>
      </c>
      <c r="P103" s="10">
        <f>IF(R103="","",IF(R103=0,"Not counted",IF(M103&lt;=0,"Paid",IF(I103="Yes","Doubtful (left out)",IF(L103&lt;W1,IF(OverdueW1="No","Overdue (left out)","Overdue → Week 1"),IF(L103&lt;=W1+90,"Week "&amp;N103,"After Week 13"))))))</f>
        <v/>
      </c>
      <c r="Q103" s="10">
        <f>IF(R103="","",IF(R103=0,IF(NOT(ISNUMBER(F103)),"Fix: amount missing",IF(F103&lt;=0,"Fix: amount must be above 0",IF(AND(NOT(ISNUMBER(D103)),NOT(ISNUMBER(H103))),"Fix: add an invoice date or a promised date",IF(AND(D103&lt;&gt;"",NOT(ISNUMBER(D103))),"Fix: invoice date isn't a date",IF(AND(E103&lt;&gt;"",NOT(ISNUMBER(E103))),"Fix: terms must be a number",IF(AND(G103&lt;&gt;"",NOT(ISNUMBER(G103))),"Fix: received must be a number",IF(AND(H103&lt;&gt;"",NOT(ISNUMBER(H103))),"Fix: promised date isn't a date","Fix: received is more than the amount"))))))),IF(AND(C103&lt;&gt;"",ISNUMBER(MATCH(C103,InCats,0))),"OK","Category not on Settings (counted as Other)")))</f>
        <v/>
      </c>
      <c r="R103">
        <f>IF(COUNTA(A103:I103)=0,"",IF(AND(ISNUMBER(F103),F103&gt;0,OR(ISNUMBER(D103),ISNUMBER(H103)),OR(D103="",ISNUMBER(D103)),OR(E103="",ISNUMBER(E103)),OR(G103="",ISNUMBER(G103)),OR(H103="",ISNUMBER(H103))),IF(N(G103)&gt;F103,0,1),0))</f>
        <v/>
      </c>
    </row>
    <row r="104">
      <c r="A104" s="29" t="n"/>
      <c r="B104" s="29" t="n"/>
      <c r="C104" s="29" t="n"/>
      <c r="D104" s="24" t="n"/>
      <c r="E104" s="26" t="n"/>
      <c r="F104" s="34" t="n"/>
      <c r="G104" s="34" t="n"/>
      <c r="H104" s="24" t="n"/>
      <c r="I104" s="29" t="n"/>
      <c r="J104" s="32">
        <f>IF(R104&lt;&gt;1,"",IF(ISNUMBER(D104),INT(D104)+IF(ISNUMBER(E104),INT(E104),DefTerms),""))</f>
        <v/>
      </c>
      <c r="K104" s="35">
        <f>IF(R104&lt;&gt;1,"",IF(ISNUMBER(H104),0,IF(AND(A104&lt;&gt;"",ISNUMBER(MATCH(A104,CustName,0))),IF(ISNUMBER(INDEX(CustLate,MATCH(A104,CustName,0))),INT(INDEX(CustLate,MATCH(A104,CustName,0))),DefLate),DefLate)))</f>
        <v/>
      </c>
      <c r="L104" s="32">
        <f>IF(R104&lt;&gt;1,"",IF(ISNUMBER(H104),INT(H104),J104+K104)+StressDays)</f>
        <v/>
      </c>
      <c r="M104" s="21">
        <f>IF(R104&lt;&gt;1,0,F104-N(G104))</f>
        <v/>
      </c>
      <c r="N104" s="35">
        <f>IF(OR(R104&lt;&gt;1,M104&lt;=0),"",IF(I104="Yes","",IF(L104&lt;W1,IF(OverdueW1="No","",1),IF(L104&lt;=W1+90,INT((L104-W1)/7)+1,""))))</f>
        <v/>
      </c>
      <c r="O104" s="36">
        <f>IF(ISNUMBER(N104),M104*CollectPct,0)</f>
        <v/>
      </c>
      <c r="P104" s="10">
        <f>IF(R104="","",IF(R104=0,"Not counted",IF(M104&lt;=0,"Paid",IF(I104="Yes","Doubtful (left out)",IF(L104&lt;W1,IF(OverdueW1="No","Overdue (left out)","Overdue → Week 1"),IF(L104&lt;=W1+90,"Week "&amp;N104,"After Week 13"))))))</f>
        <v/>
      </c>
      <c r="Q104" s="10">
        <f>IF(R104="","",IF(R104=0,IF(NOT(ISNUMBER(F104)),"Fix: amount missing",IF(F104&lt;=0,"Fix: amount must be above 0",IF(AND(NOT(ISNUMBER(D104)),NOT(ISNUMBER(H104))),"Fix: add an invoice date or a promised date",IF(AND(D104&lt;&gt;"",NOT(ISNUMBER(D104))),"Fix: invoice date isn't a date",IF(AND(E104&lt;&gt;"",NOT(ISNUMBER(E104))),"Fix: terms must be a number",IF(AND(G104&lt;&gt;"",NOT(ISNUMBER(G104))),"Fix: received must be a number",IF(AND(H104&lt;&gt;"",NOT(ISNUMBER(H104))),"Fix: promised date isn't a date","Fix: received is more than the amount"))))))),IF(AND(C104&lt;&gt;"",ISNUMBER(MATCH(C104,InCats,0))),"OK","Category not on Settings (counted as Other)")))</f>
        <v/>
      </c>
      <c r="R104">
        <f>IF(COUNTA(A104:I104)=0,"",IF(AND(ISNUMBER(F104),F104&gt;0,OR(ISNUMBER(D104),ISNUMBER(H104)),OR(D104="",ISNUMBER(D104)),OR(E104="",ISNUMBER(E104)),OR(G104="",ISNUMBER(G104)),OR(H104="",ISNUMBER(H104))),IF(N(G104)&gt;F104,0,1),0))</f>
        <v/>
      </c>
    </row>
    <row r="105">
      <c r="A105" s="29" t="n"/>
      <c r="B105" s="29" t="n"/>
      <c r="C105" s="29" t="n"/>
      <c r="D105" s="24" t="n"/>
      <c r="E105" s="26" t="n"/>
      <c r="F105" s="34" t="n"/>
      <c r="G105" s="34" t="n"/>
      <c r="H105" s="24" t="n"/>
      <c r="I105" s="29" t="n"/>
      <c r="J105" s="32">
        <f>IF(R105&lt;&gt;1,"",IF(ISNUMBER(D105),INT(D105)+IF(ISNUMBER(E105),INT(E105),DefTerms),""))</f>
        <v/>
      </c>
      <c r="K105" s="35">
        <f>IF(R105&lt;&gt;1,"",IF(ISNUMBER(H105),0,IF(AND(A105&lt;&gt;"",ISNUMBER(MATCH(A105,CustName,0))),IF(ISNUMBER(INDEX(CustLate,MATCH(A105,CustName,0))),INT(INDEX(CustLate,MATCH(A105,CustName,0))),DefLate),DefLate)))</f>
        <v/>
      </c>
      <c r="L105" s="32">
        <f>IF(R105&lt;&gt;1,"",IF(ISNUMBER(H105),INT(H105),J105+K105)+StressDays)</f>
        <v/>
      </c>
      <c r="M105" s="21">
        <f>IF(R105&lt;&gt;1,0,F105-N(G105))</f>
        <v/>
      </c>
      <c r="N105" s="35">
        <f>IF(OR(R105&lt;&gt;1,M105&lt;=0),"",IF(I105="Yes","",IF(L105&lt;W1,IF(OverdueW1="No","",1),IF(L105&lt;=W1+90,INT((L105-W1)/7)+1,""))))</f>
        <v/>
      </c>
      <c r="O105" s="36">
        <f>IF(ISNUMBER(N105),M105*CollectPct,0)</f>
        <v/>
      </c>
      <c r="P105" s="10">
        <f>IF(R105="","",IF(R105=0,"Not counted",IF(M105&lt;=0,"Paid",IF(I105="Yes","Doubtful (left out)",IF(L105&lt;W1,IF(OverdueW1="No","Overdue (left out)","Overdue → Week 1"),IF(L105&lt;=W1+90,"Week "&amp;N105,"After Week 13"))))))</f>
        <v/>
      </c>
      <c r="Q105" s="10">
        <f>IF(R105="","",IF(R105=0,IF(NOT(ISNUMBER(F105)),"Fix: amount missing",IF(F105&lt;=0,"Fix: amount must be above 0",IF(AND(NOT(ISNUMBER(D105)),NOT(ISNUMBER(H105))),"Fix: add an invoice date or a promised date",IF(AND(D105&lt;&gt;"",NOT(ISNUMBER(D105))),"Fix: invoice date isn't a date",IF(AND(E105&lt;&gt;"",NOT(ISNUMBER(E105))),"Fix: terms must be a number",IF(AND(G105&lt;&gt;"",NOT(ISNUMBER(G105))),"Fix: received must be a number",IF(AND(H105&lt;&gt;"",NOT(ISNUMBER(H105))),"Fix: promised date isn't a date","Fix: received is more than the amount"))))))),IF(AND(C105&lt;&gt;"",ISNUMBER(MATCH(C105,InCats,0))),"OK","Category not on Settings (counted as Other)")))</f>
        <v/>
      </c>
      <c r="R105">
        <f>IF(COUNTA(A105:I105)=0,"",IF(AND(ISNUMBER(F105),F105&gt;0,OR(ISNUMBER(D105),ISNUMBER(H105)),OR(D105="",ISNUMBER(D105)),OR(E105="",ISNUMBER(E105)),OR(G105="",ISNUMBER(G105)),OR(H105="",ISNUMBER(H105))),IF(N(G105)&gt;F105,0,1),0))</f>
        <v/>
      </c>
    </row>
    <row r="106">
      <c r="A106" s="29" t="n"/>
      <c r="B106" s="29" t="n"/>
      <c r="C106" s="29" t="n"/>
      <c r="D106" s="24" t="n"/>
      <c r="E106" s="26" t="n"/>
      <c r="F106" s="34" t="n"/>
      <c r="G106" s="34" t="n"/>
      <c r="H106" s="24" t="n"/>
      <c r="I106" s="29" t="n"/>
      <c r="J106" s="32">
        <f>IF(R106&lt;&gt;1,"",IF(ISNUMBER(D106),INT(D106)+IF(ISNUMBER(E106),INT(E106),DefTerms),""))</f>
        <v/>
      </c>
      <c r="K106" s="35">
        <f>IF(R106&lt;&gt;1,"",IF(ISNUMBER(H106),0,IF(AND(A106&lt;&gt;"",ISNUMBER(MATCH(A106,CustName,0))),IF(ISNUMBER(INDEX(CustLate,MATCH(A106,CustName,0))),INT(INDEX(CustLate,MATCH(A106,CustName,0))),DefLate),DefLate)))</f>
        <v/>
      </c>
      <c r="L106" s="32">
        <f>IF(R106&lt;&gt;1,"",IF(ISNUMBER(H106),INT(H106),J106+K106)+StressDays)</f>
        <v/>
      </c>
      <c r="M106" s="21">
        <f>IF(R106&lt;&gt;1,0,F106-N(G106))</f>
        <v/>
      </c>
      <c r="N106" s="35">
        <f>IF(OR(R106&lt;&gt;1,M106&lt;=0),"",IF(I106="Yes","",IF(L106&lt;W1,IF(OverdueW1="No","",1),IF(L106&lt;=W1+90,INT((L106-W1)/7)+1,""))))</f>
        <v/>
      </c>
      <c r="O106" s="36">
        <f>IF(ISNUMBER(N106),M106*CollectPct,0)</f>
        <v/>
      </c>
      <c r="P106" s="10">
        <f>IF(R106="","",IF(R106=0,"Not counted",IF(M106&lt;=0,"Paid",IF(I106="Yes","Doubtful (left out)",IF(L106&lt;W1,IF(OverdueW1="No","Overdue (left out)","Overdue → Week 1"),IF(L106&lt;=W1+90,"Week "&amp;N106,"After Week 13"))))))</f>
        <v/>
      </c>
      <c r="Q106" s="10">
        <f>IF(R106="","",IF(R106=0,IF(NOT(ISNUMBER(F106)),"Fix: amount missing",IF(F106&lt;=0,"Fix: amount must be above 0",IF(AND(NOT(ISNUMBER(D106)),NOT(ISNUMBER(H106))),"Fix: add an invoice date or a promised date",IF(AND(D106&lt;&gt;"",NOT(ISNUMBER(D106))),"Fix: invoice date isn't a date",IF(AND(E106&lt;&gt;"",NOT(ISNUMBER(E106))),"Fix: terms must be a number",IF(AND(G106&lt;&gt;"",NOT(ISNUMBER(G106))),"Fix: received must be a number",IF(AND(H106&lt;&gt;"",NOT(ISNUMBER(H106))),"Fix: promised date isn't a date","Fix: received is more than the amount"))))))),IF(AND(C106&lt;&gt;"",ISNUMBER(MATCH(C106,InCats,0))),"OK","Category not on Settings (counted as Other)")))</f>
        <v/>
      </c>
      <c r="R106">
        <f>IF(COUNTA(A106:I106)=0,"",IF(AND(ISNUMBER(F106),F106&gt;0,OR(ISNUMBER(D106),ISNUMBER(H106)),OR(D106="",ISNUMBER(D106)),OR(E106="",ISNUMBER(E106)),OR(G106="",ISNUMBER(G106)),OR(H106="",ISNUMBER(H106))),IF(N(G106)&gt;F106,0,1),0))</f>
        <v/>
      </c>
    </row>
    <row r="107">
      <c r="A107" s="29" t="n"/>
      <c r="B107" s="29" t="n"/>
      <c r="C107" s="29" t="n"/>
      <c r="D107" s="24" t="n"/>
      <c r="E107" s="26" t="n"/>
      <c r="F107" s="34" t="n"/>
      <c r="G107" s="34" t="n"/>
      <c r="H107" s="24" t="n"/>
      <c r="I107" s="29" t="n"/>
      <c r="J107" s="32">
        <f>IF(R107&lt;&gt;1,"",IF(ISNUMBER(D107),INT(D107)+IF(ISNUMBER(E107),INT(E107),DefTerms),""))</f>
        <v/>
      </c>
      <c r="K107" s="35">
        <f>IF(R107&lt;&gt;1,"",IF(ISNUMBER(H107),0,IF(AND(A107&lt;&gt;"",ISNUMBER(MATCH(A107,CustName,0))),IF(ISNUMBER(INDEX(CustLate,MATCH(A107,CustName,0))),INT(INDEX(CustLate,MATCH(A107,CustName,0))),DefLate),DefLate)))</f>
        <v/>
      </c>
      <c r="L107" s="32">
        <f>IF(R107&lt;&gt;1,"",IF(ISNUMBER(H107),INT(H107),J107+K107)+StressDays)</f>
        <v/>
      </c>
      <c r="M107" s="21">
        <f>IF(R107&lt;&gt;1,0,F107-N(G107))</f>
        <v/>
      </c>
      <c r="N107" s="35">
        <f>IF(OR(R107&lt;&gt;1,M107&lt;=0),"",IF(I107="Yes","",IF(L107&lt;W1,IF(OverdueW1="No","",1),IF(L107&lt;=W1+90,INT((L107-W1)/7)+1,""))))</f>
        <v/>
      </c>
      <c r="O107" s="36">
        <f>IF(ISNUMBER(N107),M107*CollectPct,0)</f>
        <v/>
      </c>
      <c r="P107" s="10">
        <f>IF(R107="","",IF(R107=0,"Not counted",IF(M107&lt;=0,"Paid",IF(I107="Yes","Doubtful (left out)",IF(L107&lt;W1,IF(OverdueW1="No","Overdue (left out)","Overdue → Week 1"),IF(L107&lt;=W1+90,"Week "&amp;N107,"After Week 13"))))))</f>
        <v/>
      </c>
      <c r="Q107" s="10">
        <f>IF(R107="","",IF(R107=0,IF(NOT(ISNUMBER(F107)),"Fix: amount missing",IF(F107&lt;=0,"Fix: amount must be above 0",IF(AND(NOT(ISNUMBER(D107)),NOT(ISNUMBER(H107))),"Fix: add an invoice date or a promised date",IF(AND(D107&lt;&gt;"",NOT(ISNUMBER(D107))),"Fix: invoice date isn't a date",IF(AND(E107&lt;&gt;"",NOT(ISNUMBER(E107))),"Fix: terms must be a number",IF(AND(G107&lt;&gt;"",NOT(ISNUMBER(G107))),"Fix: received must be a number",IF(AND(H107&lt;&gt;"",NOT(ISNUMBER(H107))),"Fix: promised date isn't a date","Fix: received is more than the amount"))))))),IF(AND(C107&lt;&gt;"",ISNUMBER(MATCH(C107,InCats,0))),"OK","Category not on Settings (counted as Other)")))</f>
        <v/>
      </c>
      <c r="R107">
        <f>IF(COUNTA(A107:I107)=0,"",IF(AND(ISNUMBER(F107),F107&gt;0,OR(ISNUMBER(D107),ISNUMBER(H107)),OR(D107="",ISNUMBER(D107)),OR(E107="",ISNUMBER(E107)),OR(G107="",ISNUMBER(G107)),OR(H107="",ISNUMBER(H107))),IF(N(G107)&gt;F107,0,1),0))</f>
        <v/>
      </c>
    </row>
    <row r="108">
      <c r="A108" s="29" t="n"/>
      <c r="B108" s="29" t="n"/>
      <c r="C108" s="29" t="n"/>
      <c r="D108" s="24" t="n"/>
      <c r="E108" s="26" t="n"/>
      <c r="F108" s="34" t="n"/>
      <c r="G108" s="34" t="n"/>
      <c r="H108" s="24" t="n"/>
      <c r="I108" s="29" t="n"/>
      <c r="J108" s="32">
        <f>IF(R108&lt;&gt;1,"",IF(ISNUMBER(D108),INT(D108)+IF(ISNUMBER(E108),INT(E108),DefTerms),""))</f>
        <v/>
      </c>
      <c r="K108" s="35">
        <f>IF(R108&lt;&gt;1,"",IF(ISNUMBER(H108),0,IF(AND(A108&lt;&gt;"",ISNUMBER(MATCH(A108,CustName,0))),IF(ISNUMBER(INDEX(CustLate,MATCH(A108,CustName,0))),INT(INDEX(CustLate,MATCH(A108,CustName,0))),DefLate),DefLate)))</f>
        <v/>
      </c>
      <c r="L108" s="32">
        <f>IF(R108&lt;&gt;1,"",IF(ISNUMBER(H108),INT(H108),J108+K108)+StressDays)</f>
        <v/>
      </c>
      <c r="M108" s="21">
        <f>IF(R108&lt;&gt;1,0,F108-N(G108))</f>
        <v/>
      </c>
      <c r="N108" s="35">
        <f>IF(OR(R108&lt;&gt;1,M108&lt;=0),"",IF(I108="Yes","",IF(L108&lt;W1,IF(OverdueW1="No","",1),IF(L108&lt;=W1+90,INT((L108-W1)/7)+1,""))))</f>
        <v/>
      </c>
      <c r="O108" s="36">
        <f>IF(ISNUMBER(N108),M108*CollectPct,0)</f>
        <v/>
      </c>
      <c r="P108" s="10">
        <f>IF(R108="","",IF(R108=0,"Not counted",IF(M108&lt;=0,"Paid",IF(I108="Yes","Doubtful (left out)",IF(L108&lt;W1,IF(OverdueW1="No","Overdue (left out)","Overdue → Week 1"),IF(L108&lt;=W1+90,"Week "&amp;N108,"After Week 13"))))))</f>
        <v/>
      </c>
      <c r="Q108" s="10">
        <f>IF(R108="","",IF(R108=0,IF(NOT(ISNUMBER(F108)),"Fix: amount missing",IF(F108&lt;=0,"Fix: amount must be above 0",IF(AND(NOT(ISNUMBER(D108)),NOT(ISNUMBER(H108))),"Fix: add an invoice date or a promised date",IF(AND(D108&lt;&gt;"",NOT(ISNUMBER(D108))),"Fix: invoice date isn't a date",IF(AND(E108&lt;&gt;"",NOT(ISNUMBER(E108))),"Fix: terms must be a number",IF(AND(G108&lt;&gt;"",NOT(ISNUMBER(G108))),"Fix: received must be a number",IF(AND(H108&lt;&gt;"",NOT(ISNUMBER(H108))),"Fix: promised date isn't a date","Fix: received is more than the amount"))))))),IF(AND(C108&lt;&gt;"",ISNUMBER(MATCH(C108,InCats,0))),"OK","Category not on Settings (counted as Other)")))</f>
        <v/>
      </c>
      <c r="R108">
        <f>IF(COUNTA(A108:I108)=0,"",IF(AND(ISNUMBER(F108),F108&gt;0,OR(ISNUMBER(D108),ISNUMBER(H108)),OR(D108="",ISNUMBER(D108)),OR(E108="",ISNUMBER(E108)),OR(G108="",ISNUMBER(G108)),OR(H108="",ISNUMBER(H108))),IF(N(G108)&gt;F108,0,1),0))</f>
        <v/>
      </c>
    </row>
    <row r="109">
      <c r="A109" s="29" t="n"/>
      <c r="B109" s="29" t="n"/>
      <c r="C109" s="29" t="n"/>
      <c r="D109" s="24" t="n"/>
      <c r="E109" s="26" t="n"/>
      <c r="F109" s="34" t="n"/>
      <c r="G109" s="34" t="n"/>
      <c r="H109" s="24" t="n"/>
      <c r="I109" s="29" t="n"/>
      <c r="J109" s="32">
        <f>IF(R109&lt;&gt;1,"",IF(ISNUMBER(D109),INT(D109)+IF(ISNUMBER(E109),INT(E109),DefTerms),""))</f>
        <v/>
      </c>
      <c r="K109" s="35">
        <f>IF(R109&lt;&gt;1,"",IF(ISNUMBER(H109),0,IF(AND(A109&lt;&gt;"",ISNUMBER(MATCH(A109,CustName,0))),IF(ISNUMBER(INDEX(CustLate,MATCH(A109,CustName,0))),INT(INDEX(CustLate,MATCH(A109,CustName,0))),DefLate),DefLate)))</f>
        <v/>
      </c>
      <c r="L109" s="32">
        <f>IF(R109&lt;&gt;1,"",IF(ISNUMBER(H109),INT(H109),J109+K109)+StressDays)</f>
        <v/>
      </c>
      <c r="M109" s="21">
        <f>IF(R109&lt;&gt;1,0,F109-N(G109))</f>
        <v/>
      </c>
      <c r="N109" s="35">
        <f>IF(OR(R109&lt;&gt;1,M109&lt;=0),"",IF(I109="Yes","",IF(L109&lt;W1,IF(OverdueW1="No","",1),IF(L109&lt;=W1+90,INT((L109-W1)/7)+1,""))))</f>
        <v/>
      </c>
      <c r="O109" s="36">
        <f>IF(ISNUMBER(N109),M109*CollectPct,0)</f>
        <v/>
      </c>
      <c r="P109" s="10">
        <f>IF(R109="","",IF(R109=0,"Not counted",IF(M109&lt;=0,"Paid",IF(I109="Yes","Doubtful (left out)",IF(L109&lt;W1,IF(OverdueW1="No","Overdue (left out)","Overdue → Week 1"),IF(L109&lt;=W1+90,"Week "&amp;N109,"After Week 13"))))))</f>
        <v/>
      </c>
      <c r="Q109" s="10">
        <f>IF(R109="","",IF(R109=0,IF(NOT(ISNUMBER(F109)),"Fix: amount missing",IF(F109&lt;=0,"Fix: amount must be above 0",IF(AND(NOT(ISNUMBER(D109)),NOT(ISNUMBER(H109))),"Fix: add an invoice date or a promised date",IF(AND(D109&lt;&gt;"",NOT(ISNUMBER(D109))),"Fix: invoice date isn't a date",IF(AND(E109&lt;&gt;"",NOT(ISNUMBER(E109))),"Fix: terms must be a number",IF(AND(G109&lt;&gt;"",NOT(ISNUMBER(G109))),"Fix: received must be a number",IF(AND(H109&lt;&gt;"",NOT(ISNUMBER(H109))),"Fix: promised date isn't a date","Fix: received is more than the amount"))))))),IF(AND(C109&lt;&gt;"",ISNUMBER(MATCH(C109,InCats,0))),"OK","Category not on Settings (counted as Other)")))</f>
        <v/>
      </c>
      <c r="R109">
        <f>IF(COUNTA(A109:I109)=0,"",IF(AND(ISNUMBER(F109),F109&gt;0,OR(ISNUMBER(D109),ISNUMBER(H109)),OR(D109="",ISNUMBER(D109)),OR(E109="",ISNUMBER(E109)),OR(G109="",ISNUMBER(G109)),OR(H109="",ISNUMBER(H109))),IF(N(G109)&gt;F109,0,1),0))</f>
        <v/>
      </c>
    </row>
    <row r="110">
      <c r="A110" s="29" t="n"/>
      <c r="B110" s="29" t="n"/>
      <c r="C110" s="29" t="n"/>
      <c r="D110" s="24" t="n"/>
      <c r="E110" s="26" t="n"/>
      <c r="F110" s="34" t="n"/>
      <c r="G110" s="34" t="n"/>
      <c r="H110" s="24" t="n"/>
      <c r="I110" s="29" t="n"/>
      <c r="J110" s="32">
        <f>IF(R110&lt;&gt;1,"",IF(ISNUMBER(D110),INT(D110)+IF(ISNUMBER(E110),INT(E110),DefTerms),""))</f>
        <v/>
      </c>
      <c r="K110" s="35">
        <f>IF(R110&lt;&gt;1,"",IF(ISNUMBER(H110),0,IF(AND(A110&lt;&gt;"",ISNUMBER(MATCH(A110,CustName,0))),IF(ISNUMBER(INDEX(CustLate,MATCH(A110,CustName,0))),INT(INDEX(CustLate,MATCH(A110,CustName,0))),DefLate),DefLate)))</f>
        <v/>
      </c>
      <c r="L110" s="32">
        <f>IF(R110&lt;&gt;1,"",IF(ISNUMBER(H110),INT(H110),J110+K110)+StressDays)</f>
        <v/>
      </c>
      <c r="M110" s="21">
        <f>IF(R110&lt;&gt;1,0,F110-N(G110))</f>
        <v/>
      </c>
      <c r="N110" s="35">
        <f>IF(OR(R110&lt;&gt;1,M110&lt;=0),"",IF(I110="Yes","",IF(L110&lt;W1,IF(OverdueW1="No","",1),IF(L110&lt;=W1+90,INT((L110-W1)/7)+1,""))))</f>
        <v/>
      </c>
      <c r="O110" s="36">
        <f>IF(ISNUMBER(N110),M110*CollectPct,0)</f>
        <v/>
      </c>
      <c r="P110" s="10">
        <f>IF(R110="","",IF(R110=0,"Not counted",IF(M110&lt;=0,"Paid",IF(I110="Yes","Doubtful (left out)",IF(L110&lt;W1,IF(OverdueW1="No","Overdue (left out)","Overdue → Week 1"),IF(L110&lt;=W1+90,"Week "&amp;N110,"After Week 13"))))))</f>
        <v/>
      </c>
      <c r="Q110" s="10">
        <f>IF(R110="","",IF(R110=0,IF(NOT(ISNUMBER(F110)),"Fix: amount missing",IF(F110&lt;=0,"Fix: amount must be above 0",IF(AND(NOT(ISNUMBER(D110)),NOT(ISNUMBER(H110))),"Fix: add an invoice date or a promised date",IF(AND(D110&lt;&gt;"",NOT(ISNUMBER(D110))),"Fix: invoice date isn't a date",IF(AND(E110&lt;&gt;"",NOT(ISNUMBER(E110))),"Fix: terms must be a number",IF(AND(G110&lt;&gt;"",NOT(ISNUMBER(G110))),"Fix: received must be a number",IF(AND(H110&lt;&gt;"",NOT(ISNUMBER(H110))),"Fix: promised date isn't a date","Fix: received is more than the amount"))))))),IF(AND(C110&lt;&gt;"",ISNUMBER(MATCH(C110,InCats,0))),"OK","Category not on Settings (counted as Other)")))</f>
        <v/>
      </c>
      <c r="R110">
        <f>IF(COUNTA(A110:I110)=0,"",IF(AND(ISNUMBER(F110),F110&gt;0,OR(ISNUMBER(D110),ISNUMBER(H110)),OR(D110="",ISNUMBER(D110)),OR(E110="",ISNUMBER(E110)),OR(G110="",ISNUMBER(G110)),OR(H110="",ISNUMBER(H110))),IF(N(G110)&gt;F110,0,1),0))</f>
        <v/>
      </c>
    </row>
    <row r="111">
      <c r="A111" s="29" t="n"/>
      <c r="B111" s="29" t="n"/>
      <c r="C111" s="29" t="n"/>
      <c r="D111" s="24" t="n"/>
      <c r="E111" s="26" t="n"/>
      <c r="F111" s="34" t="n"/>
      <c r="G111" s="34" t="n"/>
      <c r="H111" s="24" t="n"/>
      <c r="I111" s="29" t="n"/>
      <c r="J111" s="32">
        <f>IF(R111&lt;&gt;1,"",IF(ISNUMBER(D111),INT(D111)+IF(ISNUMBER(E111),INT(E111),DefTerms),""))</f>
        <v/>
      </c>
      <c r="K111" s="35">
        <f>IF(R111&lt;&gt;1,"",IF(ISNUMBER(H111),0,IF(AND(A111&lt;&gt;"",ISNUMBER(MATCH(A111,CustName,0))),IF(ISNUMBER(INDEX(CustLate,MATCH(A111,CustName,0))),INT(INDEX(CustLate,MATCH(A111,CustName,0))),DefLate),DefLate)))</f>
        <v/>
      </c>
      <c r="L111" s="32">
        <f>IF(R111&lt;&gt;1,"",IF(ISNUMBER(H111),INT(H111),J111+K111)+StressDays)</f>
        <v/>
      </c>
      <c r="M111" s="21">
        <f>IF(R111&lt;&gt;1,0,F111-N(G111))</f>
        <v/>
      </c>
      <c r="N111" s="35">
        <f>IF(OR(R111&lt;&gt;1,M111&lt;=0),"",IF(I111="Yes","",IF(L111&lt;W1,IF(OverdueW1="No","",1),IF(L111&lt;=W1+90,INT((L111-W1)/7)+1,""))))</f>
        <v/>
      </c>
      <c r="O111" s="36">
        <f>IF(ISNUMBER(N111),M111*CollectPct,0)</f>
        <v/>
      </c>
      <c r="P111" s="10">
        <f>IF(R111="","",IF(R111=0,"Not counted",IF(M111&lt;=0,"Paid",IF(I111="Yes","Doubtful (left out)",IF(L111&lt;W1,IF(OverdueW1="No","Overdue (left out)","Overdue → Week 1"),IF(L111&lt;=W1+90,"Week "&amp;N111,"After Week 13"))))))</f>
        <v/>
      </c>
      <c r="Q111" s="10">
        <f>IF(R111="","",IF(R111=0,IF(NOT(ISNUMBER(F111)),"Fix: amount missing",IF(F111&lt;=0,"Fix: amount must be above 0",IF(AND(NOT(ISNUMBER(D111)),NOT(ISNUMBER(H111))),"Fix: add an invoice date or a promised date",IF(AND(D111&lt;&gt;"",NOT(ISNUMBER(D111))),"Fix: invoice date isn't a date",IF(AND(E111&lt;&gt;"",NOT(ISNUMBER(E111))),"Fix: terms must be a number",IF(AND(G111&lt;&gt;"",NOT(ISNUMBER(G111))),"Fix: received must be a number",IF(AND(H111&lt;&gt;"",NOT(ISNUMBER(H111))),"Fix: promised date isn't a date","Fix: received is more than the amount"))))))),IF(AND(C111&lt;&gt;"",ISNUMBER(MATCH(C111,InCats,0))),"OK","Category not on Settings (counted as Other)")))</f>
        <v/>
      </c>
      <c r="R111">
        <f>IF(COUNTA(A111:I111)=0,"",IF(AND(ISNUMBER(F111),F111&gt;0,OR(ISNUMBER(D111),ISNUMBER(H111)),OR(D111="",ISNUMBER(D111)),OR(E111="",ISNUMBER(E111)),OR(G111="",ISNUMBER(G111)),OR(H111="",ISNUMBER(H111))),IF(N(G111)&gt;F111,0,1),0))</f>
        <v/>
      </c>
    </row>
    <row r="112">
      <c r="A112" s="29" t="n"/>
      <c r="B112" s="29" t="n"/>
      <c r="C112" s="29" t="n"/>
      <c r="D112" s="24" t="n"/>
      <c r="E112" s="26" t="n"/>
      <c r="F112" s="34" t="n"/>
      <c r="G112" s="34" t="n"/>
      <c r="H112" s="24" t="n"/>
      <c r="I112" s="29" t="n"/>
      <c r="J112" s="32">
        <f>IF(R112&lt;&gt;1,"",IF(ISNUMBER(D112),INT(D112)+IF(ISNUMBER(E112),INT(E112),DefTerms),""))</f>
        <v/>
      </c>
      <c r="K112" s="35">
        <f>IF(R112&lt;&gt;1,"",IF(ISNUMBER(H112),0,IF(AND(A112&lt;&gt;"",ISNUMBER(MATCH(A112,CustName,0))),IF(ISNUMBER(INDEX(CustLate,MATCH(A112,CustName,0))),INT(INDEX(CustLate,MATCH(A112,CustName,0))),DefLate),DefLate)))</f>
        <v/>
      </c>
      <c r="L112" s="32">
        <f>IF(R112&lt;&gt;1,"",IF(ISNUMBER(H112),INT(H112),J112+K112)+StressDays)</f>
        <v/>
      </c>
      <c r="M112" s="21">
        <f>IF(R112&lt;&gt;1,0,F112-N(G112))</f>
        <v/>
      </c>
      <c r="N112" s="35">
        <f>IF(OR(R112&lt;&gt;1,M112&lt;=0),"",IF(I112="Yes","",IF(L112&lt;W1,IF(OverdueW1="No","",1),IF(L112&lt;=W1+90,INT((L112-W1)/7)+1,""))))</f>
        <v/>
      </c>
      <c r="O112" s="36">
        <f>IF(ISNUMBER(N112),M112*CollectPct,0)</f>
        <v/>
      </c>
      <c r="P112" s="10">
        <f>IF(R112="","",IF(R112=0,"Not counted",IF(M112&lt;=0,"Paid",IF(I112="Yes","Doubtful (left out)",IF(L112&lt;W1,IF(OverdueW1="No","Overdue (left out)","Overdue → Week 1"),IF(L112&lt;=W1+90,"Week "&amp;N112,"After Week 13"))))))</f>
        <v/>
      </c>
      <c r="Q112" s="10">
        <f>IF(R112="","",IF(R112=0,IF(NOT(ISNUMBER(F112)),"Fix: amount missing",IF(F112&lt;=0,"Fix: amount must be above 0",IF(AND(NOT(ISNUMBER(D112)),NOT(ISNUMBER(H112))),"Fix: add an invoice date or a promised date",IF(AND(D112&lt;&gt;"",NOT(ISNUMBER(D112))),"Fix: invoice date isn't a date",IF(AND(E112&lt;&gt;"",NOT(ISNUMBER(E112))),"Fix: terms must be a number",IF(AND(G112&lt;&gt;"",NOT(ISNUMBER(G112))),"Fix: received must be a number",IF(AND(H112&lt;&gt;"",NOT(ISNUMBER(H112))),"Fix: promised date isn't a date","Fix: received is more than the amount"))))))),IF(AND(C112&lt;&gt;"",ISNUMBER(MATCH(C112,InCats,0))),"OK","Category not on Settings (counted as Other)")))</f>
        <v/>
      </c>
      <c r="R112">
        <f>IF(COUNTA(A112:I112)=0,"",IF(AND(ISNUMBER(F112),F112&gt;0,OR(ISNUMBER(D112),ISNUMBER(H112)),OR(D112="",ISNUMBER(D112)),OR(E112="",ISNUMBER(E112)),OR(G112="",ISNUMBER(G112)),OR(H112="",ISNUMBER(H112))),IF(N(G112)&gt;F112,0,1),0))</f>
        <v/>
      </c>
    </row>
    <row r="113">
      <c r="A113" s="29" t="n"/>
      <c r="B113" s="29" t="n"/>
      <c r="C113" s="29" t="n"/>
      <c r="D113" s="24" t="n"/>
      <c r="E113" s="26" t="n"/>
      <c r="F113" s="34" t="n"/>
      <c r="G113" s="34" t="n"/>
      <c r="H113" s="24" t="n"/>
      <c r="I113" s="29" t="n"/>
      <c r="J113" s="32">
        <f>IF(R113&lt;&gt;1,"",IF(ISNUMBER(D113),INT(D113)+IF(ISNUMBER(E113),INT(E113),DefTerms),""))</f>
        <v/>
      </c>
      <c r="K113" s="35">
        <f>IF(R113&lt;&gt;1,"",IF(ISNUMBER(H113),0,IF(AND(A113&lt;&gt;"",ISNUMBER(MATCH(A113,CustName,0))),IF(ISNUMBER(INDEX(CustLate,MATCH(A113,CustName,0))),INT(INDEX(CustLate,MATCH(A113,CustName,0))),DefLate),DefLate)))</f>
        <v/>
      </c>
      <c r="L113" s="32">
        <f>IF(R113&lt;&gt;1,"",IF(ISNUMBER(H113),INT(H113),J113+K113)+StressDays)</f>
        <v/>
      </c>
      <c r="M113" s="21">
        <f>IF(R113&lt;&gt;1,0,F113-N(G113))</f>
        <v/>
      </c>
      <c r="N113" s="35">
        <f>IF(OR(R113&lt;&gt;1,M113&lt;=0),"",IF(I113="Yes","",IF(L113&lt;W1,IF(OverdueW1="No","",1),IF(L113&lt;=W1+90,INT((L113-W1)/7)+1,""))))</f>
        <v/>
      </c>
      <c r="O113" s="36">
        <f>IF(ISNUMBER(N113),M113*CollectPct,0)</f>
        <v/>
      </c>
      <c r="P113" s="10">
        <f>IF(R113="","",IF(R113=0,"Not counted",IF(M113&lt;=0,"Paid",IF(I113="Yes","Doubtful (left out)",IF(L113&lt;W1,IF(OverdueW1="No","Overdue (left out)","Overdue → Week 1"),IF(L113&lt;=W1+90,"Week "&amp;N113,"After Week 13"))))))</f>
        <v/>
      </c>
      <c r="Q113" s="10">
        <f>IF(R113="","",IF(R113=0,IF(NOT(ISNUMBER(F113)),"Fix: amount missing",IF(F113&lt;=0,"Fix: amount must be above 0",IF(AND(NOT(ISNUMBER(D113)),NOT(ISNUMBER(H113))),"Fix: add an invoice date or a promised date",IF(AND(D113&lt;&gt;"",NOT(ISNUMBER(D113))),"Fix: invoice date isn't a date",IF(AND(E113&lt;&gt;"",NOT(ISNUMBER(E113))),"Fix: terms must be a number",IF(AND(G113&lt;&gt;"",NOT(ISNUMBER(G113))),"Fix: received must be a number",IF(AND(H113&lt;&gt;"",NOT(ISNUMBER(H113))),"Fix: promised date isn't a date","Fix: received is more than the amount"))))))),IF(AND(C113&lt;&gt;"",ISNUMBER(MATCH(C113,InCats,0))),"OK","Category not on Settings (counted as Other)")))</f>
        <v/>
      </c>
      <c r="R113">
        <f>IF(COUNTA(A113:I113)=0,"",IF(AND(ISNUMBER(F113),F113&gt;0,OR(ISNUMBER(D113),ISNUMBER(H113)),OR(D113="",ISNUMBER(D113)),OR(E113="",ISNUMBER(E113)),OR(G113="",ISNUMBER(G113)),OR(H113="",ISNUMBER(H113))),IF(N(G113)&gt;F113,0,1),0))</f>
        <v/>
      </c>
    </row>
    <row r="114">
      <c r="A114" s="29" t="n"/>
      <c r="B114" s="29" t="n"/>
      <c r="C114" s="29" t="n"/>
      <c r="D114" s="24" t="n"/>
      <c r="E114" s="26" t="n"/>
      <c r="F114" s="34" t="n"/>
      <c r="G114" s="34" t="n"/>
      <c r="H114" s="24" t="n"/>
      <c r="I114" s="29" t="n"/>
      <c r="J114" s="32">
        <f>IF(R114&lt;&gt;1,"",IF(ISNUMBER(D114),INT(D114)+IF(ISNUMBER(E114),INT(E114),DefTerms),""))</f>
        <v/>
      </c>
      <c r="K114" s="35">
        <f>IF(R114&lt;&gt;1,"",IF(ISNUMBER(H114),0,IF(AND(A114&lt;&gt;"",ISNUMBER(MATCH(A114,CustName,0))),IF(ISNUMBER(INDEX(CustLate,MATCH(A114,CustName,0))),INT(INDEX(CustLate,MATCH(A114,CustName,0))),DefLate),DefLate)))</f>
        <v/>
      </c>
      <c r="L114" s="32">
        <f>IF(R114&lt;&gt;1,"",IF(ISNUMBER(H114),INT(H114),J114+K114)+StressDays)</f>
        <v/>
      </c>
      <c r="M114" s="21">
        <f>IF(R114&lt;&gt;1,0,F114-N(G114))</f>
        <v/>
      </c>
      <c r="N114" s="35">
        <f>IF(OR(R114&lt;&gt;1,M114&lt;=0),"",IF(I114="Yes","",IF(L114&lt;W1,IF(OverdueW1="No","",1),IF(L114&lt;=W1+90,INT((L114-W1)/7)+1,""))))</f>
        <v/>
      </c>
      <c r="O114" s="36">
        <f>IF(ISNUMBER(N114),M114*CollectPct,0)</f>
        <v/>
      </c>
      <c r="P114" s="10">
        <f>IF(R114="","",IF(R114=0,"Not counted",IF(M114&lt;=0,"Paid",IF(I114="Yes","Doubtful (left out)",IF(L114&lt;W1,IF(OverdueW1="No","Overdue (left out)","Overdue → Week 1"),IF(L114&lt;=W1+90,"Week "&amp;N114,"After Week 13"))))))</f>
        <v/>
      </c>
      <c r="Q114" s="10">
        <f>IF(R114="","",IF(R114=0,IF(NOT(ISNUMBER(F114)),"Fix: amount missing",IF(F114&lt;=0,"Fix: amount must be above 0",IF(AND(NOT(ISNUMBER(D114)),NOT(ISNUMBER(H114))),"Fix: add an invoice date or a promised date",IF(AND(D114&lt;&gt;"",NOT(ISNUMBER(D114))),"Fix: invoice date isn't a date",IF(AND(E114&lt;&gt;"",NOT(ISNUMBER(E114))),"Fix: terms must be a number",IF(AND(G114&lt;&gt;"",NOT(ISNUMBER(G114))),"Fix: received must be a number",IF(AND(H114&lt;&gt;"",NOT(ISNUMBER(H114))),"Fix: promised date isn't a date","Fix: received is more than the amount"))))))),IF(AND(C114&lt;&gt;"",ISNUMBER(MATCH(C114,InCats,0))),"OK","Category not on Settings (counted as Other)")))</f>
        <v/>
      </c>
      <c r="R114">
        <f>IF(COUNTA(A114:I114)=0,"",IF(AND(ISNUMBER(F114),F114&gt;0,OR(ISNUMBER(D114),ISNUMBER(H114)),OR(D114="",ISNUMBER(D114)),OR(E114="",ISNUMBER(E114)),OR(G114="",ISNUMBER(G114)),OR(H114="",ISNUMBER(H114))),IF(N(G114)&gt;F114,0,1),0))</f>
        <v/>
      </c>
    </row>
    <row r="115">
      <c r="A115" s="29" t="n"/>
      <c r="B115" s="29" t="n"/>
      <c r="C115" s="29" t="n"/>
      <c r="D115" s="24" t="n"/>
      <c r="E115" s="26" t="n"/>
      <c r="F115" s="34" t="n"/>
      <c r="G115" s="34" t="n"/>
      <c r="H115" s="24" t="n"/>
      <c r="I115" s="29" t="n"/>
      <c r="J115" s="32">
        <f>IF(R115&lt;&gt;1,"",IF(ISNUMBER(D115),INT(D115)+IF(ISNUMBER(E115),INT(E115),DefTerms),""))</f>
        <v/>
      </c>
      <c r="K115" s="35">
        <f>IF(R115&lt;&gt;1,"",IF(ISNUMBER(H115),0,IF(AND(A115&lt;&gt;"",ISNUMBER(MATCH(A115,CustName,0))),IF(ISNUMBER(INDEX(CustLate,MATCH(A115,CustName,0))),INT(INDEX(CustLate,MATCH(A115,CustName,0))),DefLate),DefLate)))</f>
        <v/>
      </c>
      <c r="L115" s="32">
        <f>IF(R115&lt;&gt;1,"",IF(ISNUMBER(H115),INT(H115),J115+K115)+StressDays)</f>
        <v/>
      </c>
      <c r="M115" s="21">
        <f>IF(R115&lt;&gt;1,0,F115-N(G115))</f>
        <v/>
      </c>
      <c r="N115" s="35">
        <f>IF(OR(R115&lt;&gt;1,M115&lt;=0),"",IF(I115="Yes","",IF(L115&lt;W1,IF(OverdueW1="No","",1),IF(L115&lt;=W1+90,INT((L115-W1)/7)+1,""))))</f>
        <v/>
      </c>
      <c r="O115" s="36">
        <f>IF(ISNUMBER(N115),M115*CollectPct,0)</f>
        <v/>
      </c>
      <c r="P115" s="10">
        <f>IF(R115="","",IF(R115=0,"Not counted",IF(M115&lt;=0,"Paid",IF(I115="Yes","Doubtful (left out)",IF(L115&lt;W1,IF(OverdueW1="No","Overdue (left out)","Overdue → Week 1"),IF(L115&lt;=W1+90,"Week "&amp;N115,"After Week 13"))))))</f>
        <v/>
      </c>
      <c r="Q115" s="10">
        <f>IF(R115="","",IF(R115=0,IF(NOT(ISNUMBER(F115)),"Fix: amount missing",IF(F115&lt;=0,"Fix: amount must be above 0",IF(AND(NOT(ISNUMBER(D115)),NOT(ISNUMBER(H115))),"Fix: add an invoice date or a promised date",IF(AND(D115&lt;&gt;"",NOT(ISNUMBER(D115))),"Fix: invoice date isn't a date",IF(AND(E115&lt;&gt;"",NOT(ISNUMBER(E115))),"Fix: terms must be a number",IF(AND(G115&lt;&gt;"",NOT(ISNUMBER(G115))),"Fix: received must be a number",IF(AND(H115&lt;&gt;"",NOT(ISNUMBER(H115))),"Fix: promised date isn't a date","Fix: received is more than the amount"))))))),IF(AND(C115&lt;&gt;"",ISNUMBER(MATCH(C115,InCats,0))),"OK","Category not on Settings (counted as Other)")))</f>
        <v/>
      </c>
      <c r="R115">
        <f>IF(COUNTA(A115:I115)=0,"",IF(AND(ISNUMBER(F115),F115&gt;0,OR(ISNUMBER(D115),ISNUMBER(H115)),OR(D115="",ISNUMBER(D115)),OR(E115="",ISNUMBER(E115)),OR(G115="",ISNUMBER(G115)),OR(H115="",ISNUMBER(H115))),IF(N(G115)&gt;F115,0,1),0))</f>
        <v/>
      </c>
    </row>
    <row r="116">
      <c r="A116" s="29" t="n"/>
      <c r="B116" s="29" t="n"/>
      <c r="C116" s="29" t="n"/>
      <c r="D116" s="24" t="n"/>
      <c r="E116" s="26" t="n"/>
      <c r="F116" s="34" t="n"/>
      <c r="G116" s="34" t="n"/>
      <c r="H116" s="24" t="n"/>
      <c r="I116" s="29" t="n"/>
      <c r="J116" s="32">
        <f>IF(R116&lt;&gt;1,"",IF(ISNUMBER(D116),INT(D116)+IF(ISNUMBER(E116),INT(E116),DefTerms),""))</f>
        <v/>
      </c>
      <c r="K116" s="35">
        <f>IF(R116&lt;&gt;1,"",IF(ISNUMBER(H116),0,IF(AND(A116&lt;&gt;"",ISNUMBER(MATCH(A116,CustName,0))),IF(ISNUMBER(INDEX(CustLate,MATCH(A116,CustName,0))),INT(INDEX(CustLate,MATCH(A116,CustName,0))),DefLate),DefLate)))</f>
        <v/>
      </c>
      <c r="L116" s="32">
        <f>IF(R116&lt;&gt;1,"",IF(ISNUMBER(H116),INT(H116),J116+K116)+StressDays)</f>
        <v/>
      </c>
      <c r="M116" s="21">
        <f>IF(R116&lt;&gt;1,0,F116-N(G116))</f>
        <v/>
      </c>
      <c r="N116" s="35">
        <f>IF(OR(R116&lt;&gt;1,M116&lt;=0),"",IF(I116="Yes","",IF(L116&lt;W1,IF(OverdueW1="No","",1),IF(L116&lt;=W1+90,INT((L116-W1)/7)+1,""))))</f>
        <v/>
      </c>
      <c r="O116" s="36">
        <f>IF(ISNUMBER(N116),M116*CollectPct,0)</f>
        <v/>
      </c>
      <c r="P116" s="10">
        <f>IF(R116="","",IF(R116=0,"Not counted",IF(M116&lt;=0,"Paid",IF(I116="Yes","Doubtful (left out)",IF(L116&lt;W1,IF(OverdueW1="No","Overdue (left out)","Overdue → Week 1"),IF(L116&lt;=W1+90,"Week "&amp;N116,"After Week 13"))))))</f>
        <v/>
      </c>
      <c r="Q116" s="10">
        <f>IF(R116="","",IF(R116=0,IF(NOT(ISNUMBER(F116)),"Fix: amount missing",IF(F116&lt;=0,"Fix: amount must be above 0",IF(AND(NOT(ISNUMBER(D116)),NOT(ISNUMBER(H116))),"Fix: add an invoice date or a promised date",IF(AND(D116&lt;&gt;"",NOT(ISNUMBER(D116))),"Fix: invoice date isn't a date",IF(AND(E116&lt;&gt;"",NOT(ISNUMBER(E116))),"Fix: terms must be a number",IF(AND(G116&lt;&gt;"",NOT(ISNUMBER(G116))),"Fix: received must be a number",IF(AND(H116&lt;&gt;"",NOT(ISNUMBER(H116))),"Fix: promised date isn't a date","Fix: received is more than the amount"))))))),IF(AND(C116&lt;&gt;"",ISNUMBER(MATCH(C116,InCats,0))),"OK","Category not on Settings (counted as Other)")))</f>
        <v/>
      </c>
      <c r="R116">
        <f>IF(COUNTA(A116:I116)=0,"",IF(AND(ISNUMBER(F116),F116&gt;0,OR(ISNUMBER(D116),ISNUMBER(H116)),OR(D116="",ISNUMBER(D116)),OR(E116="",ISNUMBER(E116)),OR(G116="",ISNUMBER(G116)),OR(H116="",ISNUMBER(H116))),IF(N(G116)&gt;F116,0,1),0))</f>
        <v/>
      </c>
    </row>
    <row r="117">
      <c r="A117" s="29" t="n"/>
      <c r="B117" s="29" t="n"/>
      <c r="C117" s="29" t="n"/>
      <c r="D117" s="24" t="n"/>
      <c r="E117" s="26" t="n"/>
      <c r="F117" s="34" t="n"/>
      <c r="G117" s="34" t="n"/>
      <c r="H117" s="24" t="n"/>
      <c r="I117" s="29" t="n"/>
      <c r="J117" s="32">
        <f>IF(R117&lt;&gt;1,"",IF(ISNUMBER(D117),INT(D117)+IF(ISNUMBER(E117),INT(E117),DefTerms),""))</f>
        <v/>
      </c>
      <c r="K117" s="35">
        <f>IF(R117&lt;&gt;1,"",IF(ISNUMBER(H117),0,IF(AND(A117&lt;&gt;"",ISNUMBER(MATCH(A117,CustName,0))),IF(ISNUMBER(INDEX(CustLate,MATCH(A117,CustName,0))),INT(INDEX(CustLate,MATCH(A117,CustName,0))),DefLate),DefLate)))</f>
        <v/>
      </c>
      <c r="L117" s="32">
        <f>IF(R117&lt;&gt;1,"",IF(ISNUMBER(H117),INT(H117),J117+K117)+StressDays)</f>
        <v/>
      </c>
      <c r="M117" s="21">
        <f>IF(R117&lt;&gt;1,0,F117-N(G117))</f>
        <v/>
      </c>
      <c r="N117" s="35">
        <f>IF(OR(R117&lt;&gt;1,M117&lt;=0),"",IF(I117="Yes","",IF(L117&lt;W1,IF(OverdueW1="No","",1),IF(L117&lt;=W1+90,INT((L117-W1)/7)+1,""))))</f>
        <v/>
      </c>
      <c r="O117" s="36">
        <f>IF(ISNUMBER(N117),M117*CollectPct,0)</f>
        <v/>
      </c>
      <c r="P117" s="10">
        <f>IF(R117="","",IF(R117=0,"Not counted",IF(M117&lt;=0,"Paid",IF(I117="Yes","Doubtful (left out)",IF(L117&lt;W1,IF(OverdueW1="No","Overdue (left out)","Overdue → Week 1"),IF(L117&lt;=W1+90,"Week "&amp;N117,"After Week 13"))))))</f>
        <v/>
      </c>
      <c r="Q117" s="10">
        <f>IF(R117="","",IF(R117=0,IF(NOT(ISNUMBER(F117)),"Fix: amount missing",IF(F117&lt;=0,"Fix: amount must be above 0",IF(AND(NOT(ISNUMBER(D117)),NOT(ISNUMBER(H117))),"Fix: add an invoice date or a promised date",IF(AND(D117&lt;&gt;"",NOT(ISNUMBER(D117))),"Fix: invoice date isn't a date",IF(AND(E117&lt;&gt;"",NOT(ISNUMBER(E117))),"Fix: terms must be a number",IF(AND(G117&lt;&gt;"",NOT(ISNUMBER(G117))),"Fix: received must be a number",IF(AND(H117&lt;&gt;"",NOT(ISNUMBER(H117))),"Fix: promised date isn't a date","Fix: received is more than the amount"))))))),IF(AND(C117&lt;&gt;"",ISNUMBER(MATCH(C117,InCats,0))),"OK","Category not on Settings (counted as Other)")))</f>
        <v/>
      </c>
      <c r="R117">
        <f>IF(COUNTA(A117:I117)=0,"",IF(AND(ISNUMBER(F117),F117&gt;0,OR(ISNUMBER(D117),ISNUMBER(H117)),OR(D117="",ISNUMBER(D117)),OR(E117="",ISNUMBER(E117)),OR(G117="",ISNUMBER(G117)),OR(H117="",ISNUMBER(H117))),IF(N(G117)&gt;F117,0,1),0))</f>
        <v/>
      </c>
    </row>
    <row r="118">
      <c r="A118" s="29" t="n"/>
      <c r="B118" s="29" t="n"/>
      <c r="C118" s="29" t="n"/>
      <c r="D118" s="24" t="n"/>
      <c r="E118" s="26" t="n"/>
      <c r="F118" s="34" t="n"/>
      <c r="G118" s="34" t="n"/>
      <c r="H118" s="24" t="n"/>
      <c r="I118" s="29" t="n"/>
      <c r="J118" s="32">
        <f>IF(R118&lt;&gt;1,"",IF(ISNUMBER(D118),INT(D118)+IF(ISNUMBER(E118),INT(E118),DefTerms),""))</f>
        <v/>
      </c>
      <c r="K118" s="35">
        <f>IF(R118&lt;&gt;1,"",IF(ISNUMBER(H118),0,IF(AND(A118&lt;&gt;"",ISNUMBER(MATCH(A118,CustName,0))),IF(ISNUMBER(INDEX(CustLate,MATCH(A118,CustName,0))),INT(INDEX(CustLate,MATCH(A118,CustName,0))),DefLate),DefLate)))</f>
        <v/>
      </c>
      <c r="L118" s="32">
        <f>IF(R118&lt;&gt;1,"",IF(ISNUMBER(H118),INT(H118),J118+K118)+StressDays)</f>
        <v/>
      </c>
      <c r="M118" s="21">
        <f>IF(R118&lt;&gt;1,0,F118-N(G118))</f>
        <v/>
      </c>
      <c r="N118" s="35">
        <f>IF(OR(R118&lt;&gt;1,M118&lt;=0),"",IF(I118="Yes","",IF(L118&lt;W1,IF(OverdueW1="No","",1),IF(L118&lt;=W1+90,INT((L118-W1)/7)+1,""))))</f>
        <v/>
      </c>
      <c r="O118" s="36">
        <f>IF(ISNUMBER(N118),M118*CollectPct,0)</f>
        <v/>
      </c>
      <c r="P118" s="10">
        <f>IF(R118="","",IF(R118=0,"Not counted",IF(M118&lt;=0,"Paid",IF(I118="Yes","Doubtful (left out)",IF(L118&lt;W1,IF(OverdueW1="No","Overdue (left out)","Overdue → Week 1"),IF(L118&lt;=W1+90,"Week "&amp;N118,"After Week 13"))))))</f>
        <v/>
      </c>
      <c r="Q118" s="10">
        <f>IF(R118="","",IF(R118=0,IF(NOT(ISNUMBER(F118)),"Fix: amount missing",IF(F118&lt;=0,"Fix: amount must be above 0",IF(AND(NOT(ISNUMBER(D118)),NOT(ISNUMBER(H118))),"Fix: add an invoice date or a promised date",IF(AND(D118&lt;&gt;"",NOT(ISNUMBER(D118))),"Fix: invoice date isn't a date",IF(AND(E118&lt;&gt;"",NOT(ISNUMBER(E118))),"Fix: terms must be a number",IF(AND(G118&lt;&gt;"",NOT(ISNUMBER(G118))),"Fix: received must be a number",IF(AND(H118&lt;&gt;"",NOT(ISNUMBER(H118))),"Fix: promised date isn't a date","Fix: received is more than the amount"))))))),IF(AND(C118&lt;&gt;"",ISNUMBER(MATCH(C118,InCats,0))),"OK","Category not on Settings (counted as Other)")))</f>
        <v/>
      </c>
      <c r="R118">
        <f>IF(COUNTA(A118:I118)=0,"",IF(AND(ISNUMBER(F118),F118&gt;0,OR(ISNUMBER(D118),ISNUMBER(H118)),OR(D118="",ISNUMBER(D118)),OR(E118="",ISNUMBER(E118)),OR(G118="",ISNUMBER(G118)),OR(H118="",ISNUMBER(H118))),IF(N(G118)&gt;F118,0,1),0))</f>
        <v/>
      </c>
    </row>
    <row r="119">
      <c r="A119" s="29" t="n"/>
      <c r="B119" s="29" t="n"/>
      <c r="C119" s="29" t="n"/>
      <c r="D119" s="24" t="n"/>
      <c r="E119" s="26" t="n"/>
      <c r="F119" s="34" t="n"/>
      <c r="G119" s="34" t="n"/>
      <c r="H119" s="24" t="n"/>
      <c r="I119" s="29" t="n"/>
      <c r="J119" s="32">
        <f>IF(R119&lt;&gt;1,"",IF(ISNUMBER(D119),INT(D119)+IF(ISNUMBER(E119),INT(E119),DefTerms),""))</f>
        <v/>
      </c>
      <c r="K119" s="35">
        <f>IF(R119&lt;&gt;1,"",IF(ISNUMBER(H119),0,IF(AND(A119&lt;&gt;"",ISNUMBER(MATCH(A119,CustName,0))),IF(ISNUMBER(INDEX(CustLate,MATCH(A119,CustName,0))),INT(INDEX(CustLate,MATCH(A119,CustName,0))),DefLate),DefLate)))</f>
        <v/>
      </c>
      <c r="L119" s="32">
        <f>IF(R119&lt;&gt;1,"",IF(ISNUMBER(H119),INT(H119),J119+K119)+StressDays)</f>
        <v/>
      </c>
      <c r="M119" s="21">
        <f>IF(R119&lt;&gt;1,0,F119-N(G119))</f>
        <v/>
      </c>
      <c r="N119" s="35">
        <f>IF(OR(R119&lt;&gt;1,M119&lt;=0),"",IF(I119="Yes","",IF(L119&lt;W1,IF(OverdueW1="No","",1),IF(L119&lt;=W1+90,INT((L119-W1)/7)+1,""))))</f>
        <v/>
      </c>
      <c r="O119" s="36">
        <f>IF(ISNUMBER(N119),M119*CollectPct,0)</f>
        <v/>
      </c>
      <c r="P119" s="10">
        <f>IF(R119="","",IF(R119=0,"Not counted",IF(M119&lt;=0,"Paid",IF(I119="Yes","Doubtful (left out)",IF(L119&lt;W1,IF(OverdueW1="No","Overdue (left out)","Overdue → Week 1"),IF(L119&lt;=W1+90,"Week "&amp;N119,"After Week 13"))))))</f>
        <v/>
      </c>
      <c r="Q119" s="10">
        <f>IF(R119="","",IF(R119=0,IF(NOT(ISNUMBER(F119)),"Fix: amount missing",IF(F119&lt;=0,"Fix: amount must be above 0",IF(AND(NOT(ISNUMBER(D119)),NOT(ISNUMBER(H119))),"Fix: add an invoice date or a promised date",IF(AND(D119&lt;&gt;"",NOT(ISNUMBER(D119))),"Fix: invoice date isn't a date",IF(AND(E119&lt;&gt;"",NOT(ISNUMBER(E119))),"Fix: terms must be a number",IF(AND(G119&lt;&gt;"",NOT(ISNUMBER(G119))),"Fix: received must be a number",IF(AND(H119&lt;&gt;"",NOT(ISNUMBER(H119))),"Fix: promised date isn't a date","Fix: received is more than the amount"))))))),IF(AND(C119&lt;&gt;"",ISNUMBER(MATCH(C119,InCats,0))),"OK","Category not on Settings (counted as Other)")))</f>
        <v/>
      </c>
      <c r="R119">
        <f>IF(COUNTA(A119:I119)=0,"",IF(AND(ISNUMBER(F119),F119&gt;0,OR(ISNUMBER(D119),ISNUMBER(H119)),OR(D119="",ISNUMBER(D119)),OR(E119="",ISNUMBER(E119)),OR(G119="",ISNUMBER(G119)),OR(H119="",ISNUMBER(H119))),IF(N(G119)&gt;F119,0,1),0))</f>
        <v/>
      </c>
    </row>
    <row r="120">
      <c r="A120" s="29" t="n"/>
      <c r="B120" s="29" t="n"/>
      <c r="C120" s="29" t="n"/>
      <c r="D120" s="24" t="n"/>
      <c r="E120" s="26" t="n"/>
      <c r="F120" s="34" t="n"/>
      <c r="G120" s="34" t="n"/>
      <c r="H120" s="24" t="n"/>
      <c r="I120" s="29" t="n"/>
      <c r="J120" s="32">
        <f>IF(R120&lt;&gt;1,"",IF(ISNUMBER(D120),INT(D120)+IF(ISNUMBER(E120),INT(E120),DefTerms),""))</f>
        <v/>
      </c>
      <c r="K120" s="35">
        <f>IF(R120&lt;&gt;1,"",IF(ISNUMBER(H120),0,IF(AND(A120&lt;&gt;"",ISNUMBER(MATCH(A120,CustName,0))),IF(ISNUMBER(INDEX(CustLate,MATCH(A120,CustName,0))),INT(INDEX(CustLate,MATCH(A120,CustName,0))),DefLate),DefLate)))</f>
        <v/>
      </c>
      <c r="L120" s="32">
        <f>IF(R120&lt;&gt;1,"",IF(ISNUMBER(H120),INT(H120),J120+K120)+StressDays)</f>
        <v/>
      </c>
      <c r="M120" s="21">
        <f>IF(R120&lt;&gt;1,0,F120-N(G120))</f>
        <v/>
      </c>
      <c r="N120" s="35">
        <f>IF(OR(R120&lt;&gt;1,M120&lt;=0),"",IF(I120="Yes","",IF(L120&lt;W1,IF(OverdueW1="No","",1),IF(L120&lt;=W1+90,INT((L120-W1)/7)+1,""))))</f>
        <v/>
      </c>
      <c r="O120" s="36">
        <f>IF(ISNUMBER(N120),M120*CollectPct,0)</f>
        <v/>
      </c>
      <c r="P120" s="10">
        <f>IF(R120="","",IF(R120=0,"Not counted",IF(M120&lt;=0,"Paid",IF(I120="Yes","Doubtful (left out)",IF(L120&lt;W1,IF(OverdueW1="No","Overdue (left out)","Overdue → Week 1"),IF(L120&lt;=W1+90,"Week "&amp;N120,"After Week 13"))))))</f>
        <v/>
      </c>
      <c r="Q120" s="10">
        <f>IF(R120="","",IF(R120=0,IF(NOT(ISNUMBER(F120)),"Fix: amount missing",IF(F120&lt;=0,"Fix: amount must be above 0",IF(AND(NOT(ISNUMBER(D120)),NOT(ISNUMBER(H120))),"Fix: add an invoice date or a promised date",IF(AND(D120&lt;&gt;"",NOT(ISNUMBER(D120))),"Fix: invoice date isn't a date",IF(AND(E120&lt;&gt;"",NOT(ISNUMBER(E120))),"Fix: terms must be a number",IF(AND(G120&lt;&gt;"",NOT(ISNUMBER(G120))),"Fix: received must be a number",IF(AND(H120&lt;&gt;"",NOT(ISNUMBER(H120))),"Fix: promised date isn't a date","Fix: received is more than the amount"))))))),IF(AND(C120&lt;&gt;"",ISNUMBER(MATCH(C120,InCats,0))),"OK","Category not on Settings (counted as Other)")))</f>
        <v/>
      </c>
      <c r="R120">
        <f>IF(COUNTA(A120:I120)=0,"",IF(AND(ISNUMBER(F120),F120&gt;0,OR(ISNUMBER(D120),ISNUMBER(H120)),OR(D120="",ISNUMBER(D120)),OR(E120="",ISNUMBER(E120)),OR(G120="",ISNUMBER(G120)),OR(H120="",ISNUMBER(H120))),IF(N(G120)&gt;F120,0,1),0))</f>
        <v/>
      </c>
    </row>
    <row r="121">
      <c r="A121" s="29" t="n"/>
      <c r="B121" s="29" t="n"/>
      <c r="C121" s="29" t="n"/>
      <c r="D121" s="24" t="n"/>
      <c r="E121" s="26" t="n"/>
      <c r="F121" s="34" t="n"/>
      <c r="G121" s="34" t="n"/>
      <c r="H121" s="24" t="n"/>
      <c r="I121" s="29" t="n"/>
      <c r="J121" s="32">
        <f>IF(R121&lt;&gt;1,"",IF(ISNUMBER(D121),INT(D121)+IF(ISNUMBER(E121),INT(E121),DefTerms),""))</f>
        <v/>
      </c>
      <c r="K121" s="35">
        <f>IF(R121&lt;&gt;1,"",IF(ISNUMBER(H121),0,IF(AND(A121&lt;&gt;"",ISNUMBER(MATCH(A121,CustName,0))),IF(ISNUMBER(INDEX(CustLate,MATCH(A121,CustName,0))),INT(INDEX(CustLate,MATCH(A121,CustName,0))),DefLate),DefLate)))</f>
        <v/>
      </c>
      <c r="L121" s="32">
        <f>IF(R121&lt;&gt;1,"",IF(ISNUMBER(H121),INT(H121),J121+K121)+StressDays)</f>
        <v/>
      </c>
      <c r="M121" s="21">
        <f>IF(R121&lt;&gt;1,0,F121-N(G121))</f>
        <v/>
      </c>
      <c r="N121" s="35">
        <f>IF(OR(R121&lt;&gt;1,M121&lt;=0),"",IF(I121="Yes","",IF(L121&lt;W1,IF(OverdueW1="No","",1),IF(L121&lt;=W1+90,INT((L121-W1)/7)+1,""))))</f>
        <v/>
      </c>
      <c r="O121" s="36">
        <f>IF(ISNUMBER(N121),M121*CollectPct,0)</f>
        <v/>
      </c>
      <c r="P121" s="10">
        <f>IF(R121="","",IF(R121=0,"Not counted",IF(M121&lt;=0,"Paid",IF(I121="Yes","Doubtful (left out)",IF(L121&lt;W1,IF(OverdueW1="No","Overdue (left out)","Overdue → Week 1"),IF(L121&lt;=W1+90,"Week "&amp;N121,"After Week 13"))))))</f>
        <v/>
      </c>
      <c r="Q121" s="10">
        <f>IF(R121="","",IF(R121=0,IF(NOT(ISNUMBER(F121)),"Fix: amount missing",IF(F121&lt;=0,"Fix: amount must be above 0",IF(AND(NOT(ISNUMBER(D121)),NOT(ISNUMBER(H121))),"Fix: add an invoice date or a promised date",IF(AND(D121&lt;&gt;"",NOT(ISNUMBER(D121))),"Fix: invoice date isn't a date",IF(AND(E121&lt;&gt;"",NOT(ISNUMBER(E121))),"Fix: terms must be a number",IF(AND(G121&lt;&gt;"",NOT(ISNUMBER(G121))),"Fix: received must be a number",IF(AND(H121&lt;&gt;"",NOT(ISNUMBER(H121))),"Fix: promised date isn't a date","Fix: received is more than the amount"))))))),IF(AND(C121&lt;&gt;"",ISNUMBER(MATCH(C121,InCats,0))),"OK","Category not on Settings (counted as Other)")))</f>
        <v/>
      </c>
      <c r="R121">
        <f>IF(COUNTA(A121:I121)=0,"",IF(AND(ISNUMBER(F121),F121&gt;0,OR(ISNUMBER(D121),ISNUMBER(H121)),OR(D121="",ISNUMBER(D121)),OR(E121="",ISNUMBER(E121)),OR(G121="",ISNUMBER(G121)),OR(H121="",ISNUMBER(H121))),IF(N(G121)&gt;F121,0,1),0))</f>
        <v/>
      </c>
    </row>
    <row r="122">
      <c r="A122" s="29" t="n"/>
      <c r="B122" s="29" t="n"/>
      <c r="C122" s="29" t="n"/>
      <c r="D122" s="24" t="n"/>
      <c r="E122" s="26" t="n"/>
      <c r="F122" s="34" t="n"/>
      <c r="G122" s="34" t="n"/>
      <c r="H122" s="24" t="n"/>
      <c r="I122" s="29" t="n"/>
      <c r="J122" s="32">
        <f>IF(R122&lt;&gt;1,"",IF(ISNUMBER(D122),INT(D122)+IF(ISNUMBER(E122),INT(E122),DefTerms),""))</f>
        <v/>
      </c>
      <c r="K122" s="35">
        <f>IF(R122&lt;&gt;1,"",IF(ISNUMBER(H122),0,IF(AND(A122&lt;&gt;"",ISNUMBER(MATCH(A122,CustName,0))),IF(ISNUMBER(INDEX(CustLate,MATCH(A122,CustName,0))),INT(INDEX(CustLate,MATCH(A122,CustName,0))),DefLate),DefLate)))</f>
        <v/>
      </c>
      <c r="L122" s="32">
        <f>IF(R122&lt;&gt;1,"",IF(ISNUMBER(H122),INT(H122),J122+K122)+StressDays)</f>
        <v/>
      </c>
      <c r="M122" s="21">
        <f>IF(R122&lt;&gt;1,0,F122-N(G122))</f>
        <v/>
      </c>
      <c r="N122" s="35">
        <f>IF(OR(R122&lt;&gt;1,M122&lt;=0),"",IF(I122="Yes","",IF(L122&lt;W1,IF(OverdueW1="No","",1),IF(L122&lt;=W1+90,INT((L122-W1)/7)+1,""))))</f>
        <v/>
      </c>
      <c r="O122" s="36">
        <f>IF(ISNUMBER(N122),M122*CollectPct,0)</f>
        <v/>
      </c>
      <c r="P122" s="10">
        <f>IF(R122="","",IF(R122=0,"Not counted",IF(M122&lt;=0,"Paid",IF(I122="Yes","Doubtful (left out)",IF(L122&lt;W1,IF(OverdueW1="No","Overdue (left out)","Overdue → Week 1"),IF(L122&lt;=W1+90,"Week "&amp;N122,"After Week 13"))))))</f>
        <v/>
      </c>
      <c r="Q122" s="10">
        <f>IF(R122="","",IF(R122=0,IF(NOT(ISNUMBER(F122)),"Fix: amount missing",IF(F122&lt;=0,"Fix: amount must be above 0",IF(AND(NOT(ISNUMBER(D122)),NOT(ISNUMBER(H122))),"Fix: add an invoice date or a promised date",IF(AND(D122&lt;&gt;"",NOT(ISNUMBER(D122))),"Fix: invoice date isn't a date",IF(AND(E122&lt;&gt;"",NOT(ISNUMBER(E122))),"Fix: terms must be a number",IF(AND(G122&lt;&gt;"",NOT(ISNUMBER(G122))),"Fix: received must be a number",IF(AND(H122&lt;&gt;"",NOT(ISNUMBER(H122))),"Fix: promised date isn't a date","Fix: received is more than the amount"))))))),IF(AND(C122&lt;&gt;"",ISNUMBER(MATCH(C122,InCats,0))),"OK","Category not on Settings (counted as Other)")))</f>
        <v/>
      </c>
      <c r="R122">
        <f>IF(COUNTA(A122:I122)=0,"",IF(AND(ISNUMBER(F122),F122&gt;0,OR(ISNUMBER(D122),ISNUMBER(H122)),OR(D122="",ISNUMBER(D122)),OR(E122="",ISNUMBER(E122)),OR(G122="",ISNUMBER(G122)),OR(H122="",ISNUMBER(H122))),IF(N(G122)&gt;F122,0,1),0))</f>
        <v/>
      </c>
    </row>
    <row r="123">
      <c r="A123" s="29" t="n"/>
      <c r="B123" s="29" t="n"/>
      <c r="C123" s="29" t="n"/>
      <c r="D123" s="24" t="n"/>
      <c r="E123" s="26" t="n"/>
      <c r="F123" s="34" t="n"/>
      <c r="G123" s="34" t="n"/>
      <c r="H123" s="24" t="n"/>
      <c r="I123" s="29" t="n"/>
      <c r="J123" s="32">
        <f>IF(R123&lt;&gt;1,"",IF(ISNUMBER(D123),INT(D123)+IF(ISNUMBER(E123),INT(E123),DefTerms),""))</f>
        <v/>
      </c>
      <c r="K123" s="35">
        <f>IF(R123&lt;&gt;1,"",IF(ISNUMBER(H123),0,IF(AND(A123&lt;&gt;"",ISNUMBER(MATCH(A123,CustName,0))),IF(ISNUMBER(INDEX(CustLate,MATCH(A123,CustName,0))),INT(INDEX(CustLate,MATCH(A123,CustName,0))),DefLate),DefLate)))</f>
        <v/>
      </c>
      <c r="L123" s="32">
        <f>IF(R123&lt;&gt;1,"",IF(ISNUMBER(H123),INT(H123),J123+K123)+StressDays)</f>
        <v/>
      </c>
      <c r="M123" s="21">
        <f>IF(R123&lt;&gt;1,0,F123-N(G123))</f>
        <v/>
      </c>
      <c r="N123" s="35">
        <f>IF(OR(R123&lt;&gt;1,M123&lt;=0),"",IF(I123="Yes","",IF(L123&lt;W1,IF(OverdueW1="No","",1),IF(L123&lt;=W1+90,INT((L123-W1)/7)+1,""))))</f>
        <v/>
      </c>
      <c r="O123" s="36">
        <f>IF(ISNUMBER(N123),M123*CollectPct,0)</f>
        <v/>
      </c>
      <c r="P123" s="10">
        <f>IF(R123="","",IF(R123=0,"Not counted",IF(M123&lt;=0,"Paid",IF(I123="Yes","Doubtful (left out)",IF(L123&lt;W1,IF(OverdueW1="No","Overdue (left out)","Overdue → Week 1"),IF(L123&lt;=W1+90,"Week "&amp;N123,"After Week 13"))))))</f>
        <v/>
      </c>
      <c r="Q123" s="10">
        <f>IF(R123="","",IF(R123=0,IF(NOT(ISNUMBER(F123)),"Fix: amount missing",IF(F123&lt;=0,"Fix: amount must be above 0",IF(AND(NOT(ISNUMBER(D123)),NOT(ISNUMBER(H123))),"Fix: add an invoice date or a promised date",IF(AND(D123&lt;&gt;"",NOT(ISNUMBER(D123))),"Fix: invoice date isn't a date",IF(AND(E123&lt;&gt;"",NOT(ISNUMBER(E123))),"Fix: terms must be a number",IF(AND(G123&lt;&gt;"",NOT(ISNUMBER(G123))),"Fix: received must be a number",IF(AND(H123&lt;&gt;"",NOT(ISNUMBER(H123))),"Fix: promised date isn't a date","Fix: received is more than the amount"))))))),IF(AND(C123&lt;&gt;"",ISNUMBER(MATCH(C123,InCats,0))),"OK","Category not on Settings (counted as Other)")))</f>
        <v/>
      </c>
      <c r="R123">
        <f>IF(COUNTA(A123:I123)=0,"",IF(AND(ISNUMBER(F123),F123&gt;0,OR(ISNUMBER(D123),ISNUMBER(H123)),OR(D123="",ISNUMBER(D123)),OR(E123="",ISNUMBER(E123)),OR(G123="",ISNUMBER(G123)),OR(H123="",ISNUMBER(H123))),IF(N(G123)&gt;F123,0,1),0))</f>
        <v/>
      </c>
    </row>
    <row r="124">
      <c r="A124" s="29" t="n"/>
      <c r="B124" s="29" t="n"/>
      <c r="C124" s="29" t="n"/>
      <c r="D124" s="24" t="n"/>
      <c r="E124" s="26" t="n"/>
      <c r="F124" s="34" t="n"/>
      <c r="G124" s="34" t="n"/>
      <c r="H124" s="24" t="n"/>
      <c r="I124" s="29" t="n"/>
      <c r="J124" s="32">
        <f>IF(R124&lt;&gt;1,"",IF(ISNUMBER(D124),INT(D124)+IF(ISNUMBER(E124),INT(E124),DefTerms),""))</f>
        <v/>
      </c>
      <c r="K124" s="35">
        <f>IF(R124&lt;&gt;1,"",IF(ISNUMBER(H124),0,IF(AND(A124&lt;&gt;"",ISNUMBER(MATCH(A124,CustName,0))),IF(ISNUMBER(INDEX(CustLate,MATCH(A124,CustName,0))),INT(INDEX(CustLate,MATCH(A124,CustName,0))),DefLate),DefLate)))</f>
        <v/>
      </c>
      <c r="L124" s="32">
        <f>IF(R124&lt;&gt;1,"",IF(ISNUMBER(H124),INT(H124),J124+K124)+StressDays)</f>
        <v/>
      </c>
      <c r="M124" s="21">
        <f>IF(R124&lt;&gt;1,0,F124-N(G124))</f>
        <v/>
      </c>
      <c r="N124" s="35">
        <f>IF(OR(R124&lt;&gt;1,M124&lt;=0),"",IF(I124="Yes","",IF(L124&lt;W1,IF(OverdueW1="No","",1),IF(L124&lt;=W1+90,INT((L124-W1)/7)+1,""))))</f>
        <v/>
      </c>
      <c r="O124" s="36">
        <f>IF(ISNUMBER(N124),M124*CollectPct,0)</f>
        <v/>
      </c>
      <c r="P124" s="10">
        <f>IF(R124="","",IF(R124=0,"Not counted",IF(M124&lt;=0,"Paid",IF(I124="Yes","Doubtful (left out)",IF(L124&lt;W1,IF(OverdueW1="No","Overdue (left out)","Overdue → Week 1"),IF(L124&lt;=W1+90,"Week "&amp;N124,"After Week 13"))))))</f>
        <v/>
      </c>
      <c r="Q124" s="10">
        <f>IF(R124="","",IF(R124=0,IF(NOT(ISNUMBER(F124)),"Fix: amount missing",IF(F124&lt;=0,"Fix: amount must be above 0",IF(AND(NOT(ISNUMBER(D124)),NOT(ISNUMBER(H124))),"Fix: add an invoice date or a promised date",IF(AND(D124&lt;&gt;"",NOT(ISNUMBER(D124))),"Fix: invoice date isn't a date",IF(AND(E124&lt;&gt;"",NOT(ISNUMBER(E124))),"Fix: terms must be a number",IF(AND(G124&lt;&gt;"",NOT(ISNUMBER(G124))),"Fix: received must be a number",IF(AND(H124&lt;&gt;"",NOT(ISNUMBER(H124))),"Fix: promised date isn't a date","Fix: received is more than the amount"))))))),IF(AND(C124&lt;&gt;"",ISNUMBER(MATCH(C124,InCats,0))),"OK","Category not on Settings (counted as Other)")))</f>
        <v/>
      </c>
      <c r="R124">
        <f>IF(COUNTA(A124:I124)=0,"",IF(AND(ISNUMBER(F124),F124&gt;0,OR(ISNUMBER(D124),ISNUMBER(H124)),OR(D124="",ISNUMBER(D124)),OR(E124="",ISNUMBER(E124)),OR(G124="",ISNUMBER(G124)),OR(H124="",ISNUMBER(H124))),IF(N(G124)&gt;F124,0,1),0))</f>
        <v/>
      </c>
    </row>
    <row r="125">
      <c r="A125" s="29" t="n"/>
      <c r="B125" s="29" t="n"/>
      <c r="C125" s="29" t="n"/>
      <c r="D125" s="24" t="n"/>
      <c r="E125" s="26" t="n"/>
      <c r="F125" s="34" t="n"/>
      <c r="G125" s="34" t="n"/>
      <c r="H125" s="24" t="n"/>
      <c r="I125" s="29" t="n"/>
      <c r="J125" s="32">
        <f>IF(R125&lt;&gt;1,"",IF(ISNUMBER(D125),INT(D125)+IF(ISNUMBER(E125),INT(E125),DefTerms),""))</f>
        <v/>
      </c>
      <c r="K125" s="35">
        <f>IF(R125&lt;&gt;1,"",IF(ISNUMBER(H125),0,IF(AND(A125&lt;&gt;"",ISNUMBER(MATCH(A125,CustName,0))),IF(ISNUMBER(INDEX(CustLate,MATCH(A125,CustName,0))),INT(INDEX(CustLate,MATCH(A125,CustName,0))),DefLate),DefLate)))</f>
        <v/>
      </c>
      <c r="L125" s="32">
        <f>IF(R125&lt;&gt;1,"",IF(ISNUMBER(H125),INT(H125),J125+K125)+StressDays)</f>
        <v/>
      </c>
      <c r="M125" s="21">
        <f>IF(R125&lt;&gt;1,0,F125-N(G125))</f>
        <v/>
      </c>
      <c r="N125" s="35">
        <f>IF(OR(R125&lt;&gt;1,M125&lt;=0),"",IF(I125="Yes","",IF(L125&lt;W1,IF(OverdueW1="No","",1),IF(L125&lt;=W1+90,INT((L125-W1)/7)+1,""))))</f>
        <v/>
      </c>
      <c r="O125" s="36">
        <f>IF(ISNUMBER(N125),M125*CollectPct,0)</f>
        <v/>
      </c>
      <c r="P125" s="10">
        <f>IF(R125="","",IF(R125=0,"Not counted",IF(M125&lt;=0,"Paid",IF(I125="Yes","Doubtful (left out)",IF(L125&lt;W1,IF(OverdueW1="No","Overdue (left out)","Overdue → Week 1"),IF(L125&lt;=W1+90,"Week "&amp;N125,"After Week 13"))))))</f>
        <v/>
      </c>
      <c r="Q125" s="10">
        <f>IF(R125="","",IF(R125=0,IF(NOT(ISNUMBER(F125)),"Fix: amount missing",IF(F125&lt;=0,"Fix: amount must be above 0",IF(AND(NOT(ISNUMBER(D125)),NOT(ISNUMBER(H125))),"Fix: add an invoice date or a promised date",IF(AND(D125&lt;&gt;"",NOT(ISNUMBER(D125))),"Fix: invoice date isn't a date",IF(AND(E125&lt;&gt;"",NOT(ISNUMBER(E125))),"Fix: terms must be a number",IF(AND(G125&lt;&gt;"",NOT(ISNUMBER(G125))),"Fix: received must be a number",IF(AND(H125&lt;&gt;"",NOT(ISNUMBER(H125))),"Fix: promised date isn't a date","Fix: received is more than the amount"))))))),IF(AND(C125&lt;&gt;"",ISNUMBER(MATCH(C125,InCats,0))),"OK","Category not on Settings (counted as Other)")))</f>
        <v/>
      </c>
      <c r="R125">
        <f>IF(COUNTA(A125:I125)=0,"",IF(AND(ISNUMBER(F125),F125&gt;0,OR(ISNUMBER(D125),ISNUMBER(H125)),OR(D125="",ISNUMBER(D125)),OR(E125="",ISNUMBER(E125)),OR(G125="",ISNUMBER(G125)),OR(H125="",ISNUMBER(H125))),IF(N(G125)&gt;F125,0,1),0))</f>
        <v/>
      </c>
    </row>
    <row r="126">
      <c r="A126" s="29" t="n"/>
      <c r="B126" s="29" t="n"/>
      <c r="C126" s="29" t="n"/>
      <c r="D126" s="24" t="n"/>
      <c r="E126" s="26" t="n"/>
      <c r="F126" s="34" t="n"/>
      <c r="G126" s="34" t="n"/>
      <c r="H126" s="24" t="n"/>
      <c r="I126" s="29" t="n"/>
      <c r="J126" s="32">
        <f>IF(R126&lt;&gt;1,"",IF(ISNUMBER(D126),INT(D126)+IF(ISNUMBER(E126),INT(E126),DefTerms),""))</f>
        <v/>
      </c>
      <c r="K126" s="35">
        <f>IF(R126&lt;&gt;1,"",IF(ISNUMBER(H126),0,IF(AND(A126&lt;&gt;"",ISNUMBER(MATCH(A126,CustName,0))),IF(ISNUMBER(INDEX(CustLate,MATCH(A126,CustName,0))),INT(INDEX(CustLate,MATCH(A126,CustName,0))),DefLate),DefLate)))</f>
        <v/>
      </c>
      <c r="L126" s="32">
        <f>IF(R126&lt;&gt;1,"",IF(ISNUMBER(H126),INT(H126),J126+K126)+StressDays)</f>
        <v/>
      </c>
      <c r="M126" s="21">
        <f>IF(R126&lt;&gt;1,0,F126-N(G126))</f>
        <v/>
      </c>
      <c r="N126" s="35">
        <f>IF(OR(R126&lt;&gt;1,M126&lt;=0),"",IF(I126="Yes","",IF(L126&lt;W1,IF(OverdueW1="No","",1),IF(L126&lt;=W1+90,INT((L126-W1)/7)+1,""))))</f>
        <v/>
      </c>
      <c r="O126" s="36">
        <f>IF(ISNUMBER(N126),M126*CollectPct,0)</f>
        <v/>
      </c>
      <c r="P126" s="10">
        <f>IF(R126="","",IF(R126=0,"Not counted",IF(M126&lt;=0,"Paid",IF(I126="Yes","Doubtful (left out)",IF(L126&lt;W1,IF(OverdueW1="No","Overdue (left out)","Overdue → Week 1"),IF(L126&lt;=W1+90,"Week "&amp;N126,"After Week 13"))))))</f>
        <v/>
      </c>
      <c r="Q126" s="10">
        <f>IF(R126="","",IF(R126=0,IF(NOT(ISNUMBER(F126)),"Fix: amount missing",IF(F126&lt;=0,"Fix: amount must be above 0",IF(AND(NOT(ISNUMBER(D126)),NOT(ISNUMBER(H126))),"Fix: add an invoice date or a promised date",IF(AND(D126&lt;&gt;"",NOT(ISNUMBER(D126))),"Fix: invoice date isn't a date",IF(AND(E126&lt;&gt;"",NOT(ISNUMBER(E126))),"Fix: terms must be a number",IF(AND(G126&lt;&gt;"",NOT(ISNUMBER(G126))),"Fix: received must be a number",IF(AND(H126&lt;&gt;"",NOT(ISNUMBER(H126))),"Fix: promised date isn't a date","Fix: received is more than the amount"))))))),IF(AND(C126&lt;&gt;"",ISNUMBER(MATCH(C126,InCats,0))),"OK","Category not on Settings (counted as Other)")))</f>
        <v/>
      </c>
      <c r="R126">
        <f>IF(COUNTA(A126:I126)=0,"",IF(AND(ISNUMBER(F126),F126&gt;0,OR(ISNUMBER(D126),ISNUMBER(H126)),OR(D126="",ISNUMBER(D126)),OR(E126="",ISNUMBER(E126)),OR(G126="",ISNUMBER(G126)),OR(H126="",ISNUMBER(H126))),IF(N(G126)&gt;F126,0,1),0))</f>
        <v/>
      </c>
    </row>
    <row r="127">
      <c r="A127" s="29" t="n"/>
      <c r="B127" s="29" t="n"/>
      <c r="C127" s="29" t="n"/>
      <c r="D127" s="24" t="n"/>
      <c r="E127" s="26" t="n"/>
      <c r="F127" s="34" t="n"/>
      <c r="G127" s="34" t="n"/>
      <c r="H127" s="24" t="n"/>
      <c r="I127" s="29" t="n"/>
      <c r="J127" s="32">
        <f>IF(R127&lt;&gt;1,"",IF(ISNUMBER(D127),INT(D127)+IF(ISNUMBER(E127),INT(E127),DefTerms),""))</f>
        <v/>
      </c>
      <c r="K127" s="35">
        <f>IF(R127&lt;&gt;1,"",IF(ISNUMBER(H127),0,IF(AND(A127&lt;&gt;"",ISNUMBER(MATCH(A127,CustName,0))),IF(ISNUMBER(INDEX(CustLate,MATCH(A127,CustName,0))),INT(INDEX(CustLate,MATCH(A127,CustName,0))),DefLate),DefLate)))</f>
        <v/>
      </c>
      <c r="L127" s="32">
        <f>IF(R127&lt;&gt;1,"",IF(ISNUMBER(H127),INT(H127),J127+K127)+StressDays)</f>
        <v/>
      </c>
      <c r="M127" s="21">
        <f>IF(R127&lt;&gt;1,0,F127-N(G127))</f>
        <v/>
      </c>
      <c r="N127" s="35">
        <f>IF(OR(R127&lt;&gt;1,M127&lt;=0),"",IF(I127="Yes","",IF(L127&lt;W1,IF(OverdueW1="No","",1),IF(L127&lt;=W1+90,INT((L127-W1)/7)+1,""))))</f>
        <v/>
      </c>
      <c r="O127" s="36">
        <f>IF(ISNUMBER(N127),M127*CollectPct,0)</f>
        <v/>
      </c>
      <c r="P127" s="10">
        <f>IF(R127="","",IF(R127=0,"Not counted",IF(M127&lt;=0,"Paid",IF(I127="Yes","Doubtful (left out)",IF(L127&lt;W1,IF(OverdueW1="No","Overdue (left out)","Overdue → Week 1"),IF(L127&lt;=W1+90,"Week "&amp;N127,"After Week 13"))))))</f>
        <v/>
      </c>
      <c r="Q127" s="10">
        <f>IF(R127="","",IF(R127=0,IF(NOT(ISNUMBER(F127)),"Fix: amount missing",IF(F127&lt;=0,"Fix: amount must be above 0",IF(AND(NOT(ISNUMBER(D127)),NOT(ISNUMBER(H127))),"Fix: add an invoice date or a promised date",IF(AND(D127&lt;&gt;"",NOT(ISNUMBER(D127))),"Fix: invoice date isn't a date",IF(AND(E127&lt;&gt;"",NOT(ISNUMBER(E127))),"Fix: terms must be a number",IF(AND(G127&lt;&gt;"",NOT(ISNUMBER(G127))),"Fix: received must be a number",IF(AND(H127&lt;&gt;"",NOT(ISNUMBER(H127))),"Fix: promised date isn't a date","Fix: received is more than the amount"))))))),IF(AND(C127&lt;&gt;"",ISNUMBER(MATCH(C127,InCats,0))),"OK","Category not on Settings (counted as Other)")))</f>
        <v/>
      </c>
      <c r="R127">
        <f>IF(COUNTA(A127:I127)=0,"",IF(AND(ISNUMBER(F127),F127&gt;0,OR(ISNUMBER(D127),ISNUMBER(H127)),OR(D127="",ISNUMBER(D127)),OR(E127="",ISNUMBER(E127)),OR(G127="",ISNUMBER(G127)),OR(H127="",ISNUMBER(H127))),IF(N(G127)&gt;F127,0,1),0))</f>
        <v/>
      </c>
    </row>
    <row r="128">
      <c r="A128" s="29" t="n"/>
      <c r="B128" s="29" t="n"/>
      <c r="C128" s="29" t="n"/>
      <c r="D128" s="24" t="n"/>
      <c r="E128" s="26" t="n"/>
      <c r="F128" s="34" t="n"/>
      <c r="G128" s="34" t="n"/>
      <c r="H128" s="24" t="n"/>
      <c r="I128" s="29" t="n"/>
      <c r="J128" s="32">
        <f>IF(R128&lt;&gt;1,"",IF(ISNUMBER(D128),INT(D128)+IF(ISNUMBER(E128),INT(E128),DefTerms),""))</f>
        <v/>
      </c>
      <c r="K128" s="35">
        <f>IF(R128&lt;&gt;1,"",IF(ISNUMBER(H128),0,IF(AND(A128&lt;&gt;"",ISNUMBER(MATCH(A128,CustName,0))),IF(ISNUMBER(INDEX(CustLate,MATCH(A128,CustName,0))),INT(INDEX(CustLate,MATCH(A128,CustName,0))),DefLate),DefLate)))</f>
        <v/>
      </c>
      <c r="L128" s="32">
        <f>IF(R128&lt;&gt;1,"",IF(ISNUMBER(H128),INT(H128),J128+K128)+StressDays)</f>
        <v/>
      </c>
      <c r="M128" s="21">
        <f>IF(R128&lt;&gt;1,0,F128-N(G128))</f>
        <v/>
      </c>
      <c r="N128" s="35">
        <f>IF(OR(R128&lt;&gt;1,M128&lt;=0),"",IF(I128="Yes","",IF(L128&lt;W1,IF(OverdueW1="No","",1),IF(L128&lt;=W1+90,INT((L128-W1)/7)+1,""))))</f>
        <v/>
      </c>
      <c r="O128" s="36">
        <f>IF(ISNUMBER(N128),M128*CollectPct,0)</f>
        <v/>
      </c>
      <c r="P128" s="10">
        <f>IF(R128="","",IF(R128=0,"Not counted",IF(M128&lt;=0,"Paid",IF(I128="Yes","Doubtful (left out)",IF(L128&lt;W1,IF(OverdueW1="No","Overdue (left out)","Overdue → Week 1"),IF(L128&lt;=W1+90,"Week "&amp;N128,"After Week 13"))))))</f>
        <v/>
      </c>
      <c r="Q128" s="10">
        <f>IF(R128="","",IF(R128=0,IF(NOT(ISNUMBER(F128)),"Fix: amount missing",IF(F128&lt;=0,"Fix: amount must be above 0",IF(AND(NOT(ISNUMBER(D128)),NOT(ISNUMBER(H128))),"Fix: add an invoice date or a promised date",IF(AND(D128&lt;&gt;"",NOT(ISNUMBER(D128))),"Fix: invoice date isn't a date",IF(AND(E128&lt;&gt;"",NOT(ISNUMBER(E128))),"Fix: terms must be a number",IF(AND(G128&lt;&gt;"",NOT(ISNUMBER(G128))),"Fix: received must be a number",IF(AND(H128&lt;&gt;"",NOT(ISNUMBER(H128))),"Fix: promised date isn't a date","Fix: received is more than the amount"))))))),IF(AND(C128&lt;&gt;"",ISNUMBER(MATCH(C128,InCats,0))),"OK","Category not on Settings (counted as Other)")))</f>
        <v/>
      </c>
      <c r="R128">
        <f>IF(COUNTA(A128:I128)=0,"",IF(AND(ISNUMBER(F128),F128&gt;0,OR(ISNUMBER(D128),ISNUMBER(H128)),OR(D128="",ISNUMBER(D128)),OR(E128="",ISNUMBER(E128)),OR(G128="",ISNUMBER(G128)),OR(H128="",ISNUMBER(H128))),IF(N(G128)&gt;F128,0,1),0))</f>
        <v/>
      </c>
    </row>
    <row r="129">
      <c r="A129" s="29" t="n"/>
      <c r="B129" s="29" t="n"/>
      <c r="C129" s="29" t="n"/>
      <c r="D129" s="24" t="n"/>
      <c r="E129" s="26" t="n"/>
      <c r="F129" s="34" t="n"/>
      <c r="G129" s="34" t="n"/>
      <c r="H129" s="24" t="n"/>
      <c r="I129" s="29" t="n"/>
      <c r="J129" s="32">
        <f>IF(R129&lt;&gt;1,"",IF(ISNUMBER(D129),INT(D129)+IF(ISNUMBER(E129),INT(E129),DefTerms),""))</f>
        <v/>
      </c>
      <c r="K129" s="35">
        <f>IF(R129&lt;&gt;1,"",IF(ISNUMBER(H129),0,IF(AND(A129&lt;&gt;"",ISNUMBER(MATCH(A129,CustName,0))),IF(ISNUMBER(INDEX(CustLate,MATCH(A129,CustName,0))),INT(INDEX(CustLate,MATCH(A129,CustName,0))),DefLate),DefLate)))</f>
        <v/>
      </c>
      <c r="L129" s="32">
        <f>IF(R129&lt;&gt;1,"",IF(ISNUMBER(H129),INT(H129),J129+K129)+StressDays)</f>
        <v/>
      </c>
      <c r="M129" s="21">
        <f>IF(R129&lt;&gt;1,0,F129-N(G129))</f>
        <v/>
      </c>
      <c r="N129" s="35">
        <f>IF(OR(R129&lt;&gt;1,M129&lt;=0),"",IF(I129="Yes","",IF(L129&lt;W1,IF(OverdueW1="No","",1),IF(L129&lt;=W1+90,INT((L129-W1)/7)+1,""))))</f>
        <v/>
      </c>
      <c r="O129" s="36">
        <f>IF(ISNUMBER(N129),M129*CollectPct,0)</f>
        <v/>
      </c>
      <c r="P129" s="10">
        <f>IF(R129="","",IF(R129=0,"Not counted",IF(M129&lt;=0,"Paid",IF(I129="Yes","Doubtful (left out)",IF(L129&lt;W1,IF(OverdueW1="No","Overdue (left out)","Overdue → Week 1"),IF(L129&lt;=W1+90,"Week "&amp;N129,"After Week 13"))))))</f>
        <v/>
      </c>
      <c r="Q129" s="10">
        <f>IF(R129="","",IF(R129=0,IF(NOT(ISNUMBER(F129)),"Fix: amount missing",IF(F129&lt;=0,"Fix: amount must be above 0",IF(AND(NOT(ISNUMBER(D129)),NOT(ISNUMBER(H129))),"Fix: add an invoice date or a promised date",IF(AND(D129&lt;&gt;"",NOT(ISNUMBER(D129))),"Fix: invoice date isn't a date",IF(AND(E129&lt;&gt;"",NOT(ISNUMBER(E129))),"Fix: terms must be a number",IF(AND(G129&lt;&gt;"",NOT(ISNUMBER(G129))),"Fix: received must be a number",IF(AND(H129&lt;&gt;"",NOT(ISNUMBER(H129))),"Fix: promised date isn't a date","Fix: received is more than the amount"))))))),IF(AND(C129&lt;&gt;"",ISNUMBER(MATCH(C129,InCats,0))),"OK","Category not on Settings (counted as Other)")))</f>
        <v/>
      </c>
      <c r="R129">
        <f>IF(COUNTA(A129:I129)=0,"",IF(AND(ISNUMBER(F129),F129&gt;0,OR(ISNUMBER(D129),ISNUMBER(H129)),OR(D129="",ISNUMBER(D129)),OR(E129="",ISNUMBER(E129)),OR(G129="",ISNUMBER(G129)),OR(H129="",ISNUMBER(H129))),IF(N(G129)&gt;F129,0,1),0))</f>
        <v/>
      </c>
    </row>
    <row r="130">
      <c r="A130" s="29" t="n"/>
      <c r="B130" s="29" t="n"/>
      <c r="C130" s="29" t="n"/>
      <c r="D130" s="24" t="n"/>
      <c r="E130" s="26" t="n"/>
      <c r="F130" s="34" t="n"/>
      <c r="G130" s="34" t="n"/>
      <c r="H130" s="24" t="n"/>
      <c r="I130" s="29" t="n"/>
      <c r="J130" s="32">
        <f>IF(R130&lt;&gt;1,"",IF(ISNUMBER(D130),INT(D130)+IF(ISNUMBER(E130),INT(E130),DefTerms),""))</f>
        <v/>
      </c>
      <c r="K130" s="35">
        <f>IF(R130&lt;&gt;1,"",IF(ISNUMBER(H130),0,IF(AND(A130&lt;&gt;"",ISNUMBER(MATCH(A130,CustName,0))),IF(ISNUMBER(INDEX(CustLate,MATCH(A130,CustName,0))),INT(INDEX(CustLate,MATCH(A130,CustName,0))),DefLate),DefLate)))</f>
        <v/>
      </c>
      <c r="L130" s="32">
        <f>IF(R130&lt;&gt;1,"",IF(ISNUMBER(H130),INT(H130),J130+K130)+StressDays)</f>
        <v/>
      </c>
      <c r="M130" s="21">
        <f>IF(R130&lt;&gt;1,0,F130-N(G130))</f>
        <v/>
      </c>
      <c r="N130" s="35">
        <f>IF(OR(R130&lt;&gt;1,M130&lt;=0),"",IF(I130="Yes","",IF(L130&lt;W1,IF(OverdueW1="No","",1),IF(L130&lt;=W1+90,INT((L130-W1)/7)+1,""))))</f>
        <v/>
      </c>
      <c r="O130" s="36">
        <f>IF(ISNUMBER(N130),M130*CollectPct,0)</f>
        <v/>
      </c>
      <c r="P130" s="10">
        <f>IF(R130="","",IF(R130=0,"Not counted",IF(M130&lt;=0,"Paid",IF(I130="Yes","Doubtful (left out)",IF(L130&lt;W1,IF(OverdueW1="No","Overdue (left out)","Overdue → Week 1"),IF(L130&lt;=W1+90,"Week "&amp;N130,"After Week 13"))))))</f>
        <v/>
      </c>
      <c r="Q130" s="10">
        <f>IF(R130="","",IF(R130=0,IF(NOT(ISNUMBER(F130)),"Fix: amount missing",IF(F130&lt;=0,"Fix: amount must be above 0",IF(AND(NOT(ISNUMBER(D130)),NOT(ISNUMBER(H130))),"Fix: add an invoice date or a promised date",IF(AND(D130&lt;&gt;"",NOT(ISNUMBER(D130))),"Fix: invoice date isn't a date",IF(AND(E130&lt;&gt;"",NOT(ISNUMBER(E130))),"Fix: terms must be a number",IF(AND(G130&lt;&gt;"",NOT(ISNUMBER(G130))),"Fix: received must be a number",IF(AND(H130&lt;&gt;"",NOT(ISNUMBER(H130))),"Fix: promised date isn't a date","Fix: received is more than the amount"))))))),IF(AND(C130&lt;&gt;"",ISNUMBER(MATCH(C130,InCats,0))),"OK","Category not on Settings (counted as Other)")))</f>
        <v/>
      </c>
      <c r="R130">
        <f>IF(COUNTA(A130:I130)=0,"",IF(AND(ISNUMBER(F130),F130&gt;0,OR(ISNUMBER(D130),ISNUMBER(H130)),OR(D130="",ISNUMBER(D130)),OR(E130="",ISNUMBER(E130)),OR(G130="",ISNUMBER(G130)),OR(H130="",ISNUMBER(H130))),IF(N(G130)&gt;F130,0,1),0))</f>
        <v/>
      </c>
    </row>
    <row r="131">
      <c r="A131" s="29" t="n"/>
      <c r="B131" s="29" t="n"/>
      <c r="C131" s="29" t="n"/>
      <c r="D131" s="24" t="n"/>
      <c r="E131" s="26" t="n"/>
      <c r="F131" s="34" t="n"/>
      <c r="G131" s="34" t="n"/>
      <c r="H131" s="24" t="n"/>
      <c r="I131" s="29" t="n"/>
      <c r="J131" s="32">
        <f>IF(R131&lt;&gt;1,"",IF(ISNUMBER(D131),INT(D131)+IF(ISNUMBER(E131),INT(E131),DefTerms),""))</f>
        <v/>
      </c>
      <c r="K131" s="35">
        <f>IF(R131&lt;&gt;1,"",IF(ISNUMBER(H131),0,IF(AND(A131&lt;&gt;"",ISNUMBER(MATCH(A131,CustName,0))),IF(ISNUMBER(INDEX(CustLate,MATCH(A131,CustName,0))),INT(INDEX(CustLate,MATCH(A131,CustName,0))),DefLate),DefLate)))</f>
        <v/>
      </c>
      <c r="L131" s="32">
        <f>IF(R131&lt;&gt;1,"",IF(ISNUMBER(H131),INT(H131),J131+K131)+StressDays)</f>
        <v/>
      </c>
      <c r="M131" s="21">
        <f>IF(R131&lt;&gt;1,0,F131-N(G131))</f>
        <v/>
      </c>
      <c r="N131" s="35">
        <f>IF(OR(R131&lt;&gt;1,M131&lt;=0),"",IF(I131="Yes","",IF(L131&lt;W1,IF(OverdueW1="No","",1),IF(L131&lt;=W1+90,INT((L131-W1)/7)+1,""))))</f>
        <v/>
      </c>
      <c r="O131" s="36">
        <f>IF(ISNUMBER(N131),M131*CollectPct,0)</f>
        <v/>
      </c>
      <c r="P131" s="10">
        <f>IF(R131="","",IF(R131=0,"Not counted",IF(M131&lt;=0,"Paid",IF(I131="Yes","Doubtful (left out)",IF(L131&lt;W1,IF(OverdueW1="No","Overdue (left out)","Overdue → Week 1"),IF(L131&lt;=W1+90,"Week "&amp;N131,"After Week 13"))))))</f>
        <v/>
      </c>
      <c r="Q131" s="10">
        <f>IF(R131="","",IF(R131=0,IF(NOT(ISNUMBER(F131)),"Fix: amount missing",IF(F131&lt;=0,"Fix: amount must be above 0",IF(AND(NOT(ISNUMBER(D131)),NOT(ISNUMBER(H131))),"Fix: add an invoice date or a promised date",IF(AND(D131&lt;&gt;"",NOT(ISNUMBER(D131))),"Fix: invoice date isn't a date",IF(AND(E131&lt;&gt;"",NOT(ISNUMBER(E131))),"Fix: terms must be a number",IF(AND(G131&lt;&gt;"",NOT(ISNUMBER(G131))),"Fix: received must be a number",IF(AND(H131&lt;&gt;"",NOT(ISNUMBER(H131))),"Fix: promised date isn't a date","Fix: received is more than the amount"))))))),IF(AND(C131&lt;&gt;"",ISNUMBER(MATCH(C131,InCats,0))),"OK","Category not on Settings (counted as Other)")))</f>
        <v/>
      </c>
      <c r="R131">
        <f>IF(COUNTA(A131:I131)=0,"",IF(AND(ISNUMBER(F131),F131&gt;0,OR(ISNUMBER(D131),ISNUMBER(H131)),OR(D131="",ISNUMBER(D131)),OR(E131="",ISNUMBER(E131)),OR(G131="",ISNUMBER(G131)),OR(H131="",ISNUMBER(H131))),IF(N(G131)&gt;F131,0,1),0))</f>
        <v/>
      </c>
    </row>
    <row r="132">
      <c r="A132" s="29" t="n"/>
      <c r="B132" s="29" t="n"/>
      <c r="C132" s="29" t="n"/>
      <c r="D132" s="24" t="n"/>
      <c r="E132" s="26" t="n"/>
      <c r="F132" s="34" t="n"/>
      <c r="G132" s="34" t="n"/>
      <c r="H132" s="24" t="n"/>
      <c r="I132" s="29" t="n"/>
      <c r="J132" s="32">
        <f>IF(R132&lt;&gt;1,"",IF(ISNUMBER(D132),INT(D132)+IF(ISNUMBER(E132),INT(E132),DefTerms),""))</f>
        <v/>
      </c>
      <c r="K132" s="35">
        <f>IF(R132&lt;&gt;1,"",IF(ISNUMBER(H132),0,IF(AND(A132&lt;&gt;"",ISNUMBER(MATCH(A132,CustName,0))),IF(ISNUMBER(INDEX(CustLate,MATCH(A132,CustName,0))),INT(INDEX(CustLate,MATCH(A132,CustName,0))),DefLate),DefLate)))</f>
        <v/>
      </c>
      <c r="L132" s="32">
        <f>IF(R132&lt;&gt;1,"",IF(ISNUMBER(H132),INT(H132),J132+K132)+StressDays)</f>
        <v/>
      </c>
      <c r="M132" s="21">
        <f>IF(R132&lt;&gt;1,0,F132-N(G132))</f>
        <v/>
      </c>
      <c r="N132" s="35">
        <f>IF(OR(R132&lt;&gt;1,M132&lt;=0),"",IF(I132="Yes","",IF(L132&lt;W1,IF(OverdueW1="No","",1),IF(L132&lt;=W1+90,INT((L132-W1)/7)+1,""))))</f>
        <v/>
      </c>
      <c r="O132" s="36">
        <f>IF(ISNUMBER(N132),M132*CollectPct,0)</f>
        <v/>
      </c>
      <c r="P132" s="10">
        <f>IF(R132="","",IF(R132=0,"Not counted",IF(M132&lt;=0,"Paid",IF(I132="Yes","Doubtful (left out)",IF(L132&lt;W1,IF(OverdueW1="No","Overdue (left out)","Overdue → Week 1"),IF(L132&lt;=W1+90,"Week "&amp;N132,"After Week 13"))))))</f>
        <v/>
      </c>
      <c r="Q132" s="10">
        <f>IF(R132="","",IF(R132=0,IF(NOT(ISNUMBER(F132)),"Fix: amount missing",IF(F132&lt;=0,"Fix: amount must be above 0",IF(AND(NOT(ISNUMBER(D132)),NOT(ISNUMBER(H132))),"Fix: add an invoice date or a promised date",IF(AND(D132&lt;&gt;"",NOT(ISNUMBER(D132))),"Fix: invoice date isn't a date",IF(AND(E132&lt;&gt;"",NOT(ISNUMBER(E132))),"Fix: terms must be a number",IF(AND(G132&lt;&gt;"",NOT(ISNUMBER(G132))),"Fix: received must be a number",IF(AND(H132&lt;&gt;"",NOT(ISNUMBER(H132))),"Fix: promised date isn't a date","Fix: received is more than the amount"))))))),IF(AND(C132&lt;&gt;"",ISNUMBER(MATCH(C132,InCats,0))),"OK","Category not on Settings (counted as Other)")))</f>
        <v/>
      </c>
      <c r="R132">
        <f>IF(COUNTA(A132:I132)=0,"",IF(AND(ISNUMBER(F132),F132&gt;0,OR(ISNUMBER(D132),ISNUMBER(H132)),OR(D132="",ISNUMBER(D132)),OR(E132="",ISNUMBER(E132)),OR(G132="",ISNUMBER(G132)),OR(H132="",ISNUMBER(H132))),IF(N(G132)&gt;F132,0,1),0))</f>
        <v/>
      </c>
    </row>
    <row r="133">
      <c r="A133" s="29" t="n"/>
      <c r="B133" s="29" t="n"/>
      <c r="C133" s="29" t="n"/>
      <c r="D133" s="24" t="n"/>
      <c r="E133" s="26" t="n"/>
      <c r="F133" s="34" t="n"/>
      <c r="G133" s="34" t="n"/>
      <c r="H133" s="24" t="n"/>
      <c r="I133" s="29" t="n"/>
      <c r="J133" s="32">
        <f>IF(R133&lt;&gt;1,"",IF(ISNUMBER(D133),INT(D133)+IF(ISNUMBER(E133),INT(E133),DefTerms),""))</f>
        <v/>
      </c>
      <c r="K133" s="35">
        <f>IF(R133&lt;&gt;1,"",IF(ISNUMBER(H133),0,IF(AND(A133&lt;&gt;"",ISNUMBER(MATCH(A133,CustName,0))),IF(ISNUMBER(INDEX(CustLate,MATCH(A133,CustName,0))),INT(INDEX(CustLate,MATCH(A133,CustName,0))),DefLate),DefLate)))</f>
        <v/>
      </c>
      <c r="L133" s="32">
        <f>IF(R133&lt;&gt;1,"",IF(ISNUMBER(H133),INT(H133),J133+K133)+StressDays)</f>
        <v/>
      </c>
      <c r="M133" s="21">
        <f>IF(R133&lt;&gt;1,0,F133-N(G133))</f>
        <v/>
      </c>
      <c r="N133" s="35">
        <f>IF(OR(R133&lt;&gt;1,M133&lt;=0),"",IF(I133="Yes","",IF(L133&lt;W1,IF(OverdueW1="No","",1),IF(L133&lt;=W1+90,INT((L133-W1)/7)+1,""))))</f>
        <v/>
      </c>
      <c r="O133" s="36">
        <f>IF(ISNUMBER(N133),M133*CollectPct,0)</f>
        <v/>
      </c>
      <c r="P133" s="10">
        <f>IF(R133="","",IF(R133=0,"Not counted",IF(M133&lt;=0,"Paid",IF(I133="Yes","Doubtful (left out)",IF(L133&lt;W1,IF(OverdueW1="No","Overdue (left out)","Overdue → Week 1"),IF(L133&lt;=W1+90,"Week "&amp;N133,"After Week 13"))))))</f>
        <v/>
      </c>
      <c r="Q133" s="10">
        <f>IF(R133="","",IF(R133=0,IF(NOT(ISNUMBER(F133)),"Fix: amount missing",IF(F133&lt;=0,"Fix: amount must be above 0",IF(AND(NOT(ISNUMBER(D133)),NOT(ISNUMBER(H133))),"Fix: add an invoice date or a promised date",IF(AND(D133&lt;&gt;"",NOT(ISNUMBER(D133))),"Fix: invoice date isn't a date",IF(AND(E133&lt;&gt;"",NOT(ISNUMBER(E133))),"Fix: terms must be a number",IF(AND(G133&lt;&gt;"",NOT(ISNUMBER(G133))),"Fix: received must be a number",IF(AND(H133&lt;&gt;"",NOT(ISNUMBER(H133))),"Fix: promised date isn't a date","Fix: received is more than the amount"))))))),IF(AND(C133&lt;&gt;"",ISNUMBER(MATCH(C133,InCats,0))),"OK","Category not on Settings (counted as Other)")))</f>
        <v/>
      </c>
      <c r="R133">
        <f>IF(COUNTA(A133:I133)=0,"",IF(AND(ISNUMBER(F133),F133&gt;0,OR(ISNUMBER(D133),ISNUMBER(H133)),OR(D133="",ISNUMBER(D133)),OR(E133="",ISNUMBER(E133)),OR(G133="",ISNUMBER(G133)),OR(H133="",ISNUMBER(H133))),IF(N(G133)&gt;F133,0,1),0))</f>
        <v/>
      </c>
    </row>
    <row r="134">
      <c r="A134" s="29" t="n"/>
      <c r="B134" s="29" t="n"/>
      <c r="C134" s="29" t="n"/>
      <c r="D134" s="24" t="n"/>
      <c r="E134" s="26" t="n"/>
      <c r="F134" s="34" t="n"/>
      <c r="G134" s="34" t="n"/>
      <c r="H134" s="24" t="n"/>
      <c r="I134" s="29" t="n"/>
      <c r="J134" s="32">
        <f>IF(R134&lt;&gt;1,"",IF(ISNUMBER(D134),INT(D134)+IF(ISNUMBER(E134),INT(E134),DefTerms),""))</f>
        <v/>
      </c>
      <c r="K134" s="35">
        <f>IF(R134&lt;&gt;1,"",IF(ISNUMBER(H134),0,IF(AND(A134&lt;&gt;"",ISNUMBER(MATCH(A134,CustName,0))),IF(ISNUMBER(INDEX(CustLate,MATCH(A134,CustName,0))),INT(INDEX(CustLate,MATCH(A134,CustName,0))),DefLate),DefLate)))</f>
        <v/>
      </c>
      <c r="L134" s="32">
        <f>IF(R134&lt;&gt;1,"",IF(ISNUMBER(H134),INT(H134),J134+K134)+StressDays)</f>
        <v/>
      </c>
      <c r="M134" s="21">
        <f>IF(R134&lt;&gt;1,0,F134-N(G134))</f>
        <v/>
      </c>
      <c r="N134" s="35">
        <f>IF(OR(R134&lt;&gt;1,M134&lt;=0),"",IF(I134="Yes","",IF(L134&lt;W1,IF(OverdueW1="No","",1),IF(L134&lt;=W1+90,INT((L134-W1)/7)+1,""))))</f>
        <v/>
      </c>
      <c r="O134" s="36">
        <f>IF(ISNUMBER(N134),M134*CollectPct,0)</f>
        <v/>
      </c>
      <c r="P134" s="10">
        <f>IF(R134="","",IF(R134=0,"Not counted",IF(M134&lt;=0,"Paid",IF(I134="Yes","Doubtful (left out)",IF(L134&lt;W1,IF(OverdueW1="No","Overdue (left out)","Overdue → Week 1"),IF(L134&lt;=W1+90,"Week "&amp;N134,"After Week 13"))))))</f>
        <v/>
      </c>
      <c r="Q134" s="10">
        <f>IF(R134="","",IF(R134=0,IF(NOT(ISNUMBER(F134)),"Fix: amount missing",IF(F134&lt;=0,"Fix: amount must be above 0",IF(AND(NOT(ISNUMBER(D134)),NOT(ISNUMBER(H134))),"Fix: add an invoice date or a promised date",IF(AND(D134&lt;&gt;"",NOT(ISNUMBER(D134))),"Fix: invoice date isn't a date",IF(AND(E134&lt;&gt;"",NOT(ISNUMBER(E134))),"Fix: terms must be a number",IF(AND(G134&lt;&gt;"",NOT(ISNUMBER(G134))),"Fix: received must be a number",IF(AND(H134&lt;&gt;"",NOT(ISNUMBER(H134))),"Fix: promised date isn't a date","Fix: received is more than the amount"))))))),IF(AND(C134&lt;&gt;"",ISNUMBER(MATCH(C134,InCats,0))),"OK","Category not on Settings (counted as Other)")))</f>
        <v/>
      </c>
      <c r="R134">
        <f>IF(COUNTA(A134:I134)=0,"",IF(AND(ISNUMBER(F134),F134&gt;0,OR(ISNUMBER(D134),ISNUMBER(H134)),OR(D134="",ISNUMBER(D134)),OR(E134="",ISNUMBER(E134)),OR(G134="",ISNUMBER(G134)),OR(H134="",ISNUMBER(H134))),IF(N(G134)&gt;F134,0,1),0))</f>
        <v/>
      </c>
    </row>
    <row r="135">
      <c r="A135" s="29" t="n"/>
      <c r="B135" s="29" t="n"/>
      <c r="C135" s="29" t="n"/>
      <c r="D135" s="24" t="n"/>
      <c r="E135" s="26" t="n"/>
      <c r="F135" s="34" t="n"/>
      <c r="G135" s="34" t="n"/>
      <c r="H135" s="24" t="n"/>
      <c r="I135" s="29" t="n"/>
      <c r="J135" s="32">
        <f>IF(R135&lt;&gt;1,"",IF(ISNUMBER(D135),INT(D135)+IF(ISNUMBER(E135),INT(E135),DefTerms),""))</f>
        <v/>
      </c>
      <c r="K135" s="35">
        <f>IF(R135&lt;&gt;1,"",IF(ISNUMBER(H135),0,IF(AND(A135&lt;&gt;"",ISNUMBER(MATCH(A135,CustName,0))),IF(ISNUMBER(INDEX(CustLate,MATCH(A135,CustName,0))),INT(INDEX(CustLate,MATCH(A135,CustName,0))),DefLate),DefLate)))</f>
        <v/>
      </c>
      <c r="L135" s="32">
        <f>IF(R135&lt;&gt;1,"",IF(ISNUMBER(H135),INT(H135),J135+K135)+StressDays)</f>
        <v/>
      </c>
      <c r="M135" s="21">
        <f>IF(R135&lt;&gt;1,0,F135-N(G135))</f>
        <v/>
      </c>
      <c r="N135" s="35">
        <f>IF(OR(R135&lt;&gt;1,M135&lt;=0),"",IF(I135="Yes","",IF(L135&lt;W1,IF(OverdueW1="No","",1),IF(L135&lt;=W1+90,INT((L135-W1)/7)+1,""))))</f>
        <v/>
      </c>
      <c r="O135" s="36">
        <f>IF(ISNUMBER(N135),M135*CollectPct,0)</f>
        <v/>
      </c>
      <c r="P135" s="10">
        <f>IF(R135="","",IF(R135=0,"Not counted",IF(M135&lt;=0,"Paid",IF(I135="Yes","Doubtful (left out)",IF(L135&lt;W1,IF(OverdueW1="No","Overdue (left out)","Overdue → Week 1"),IF(L135&lt;=W1+90,"Week "&amp;N135,"After Week 13"))))))</f>
        <v/>
      </c>
      <c r="Q135" s="10">
        <f>IF(R135="","",IF(R135=0,IF(NOT(ISNUMBER(F135)),"Fix: amount missing",IF(F135&lt;=0,"Fix: amount must be above 0",IF(AND(NOT(ISNUMBER(D135)),NOT(ISNUMBER(H135))),"Fix: add an invoice date or a promised date",IF(AND(D135&lt;&gt;"",NOT(ISNUMBER(D135))),"Fix: invoice date isn't a date",IF(AND(E135&lt;&gt;"",NOT(ISNUMBER(E135))),"Fix: terms must be a number",IF(AND(G135&lt;&gt;"",NOT(ISNUMBER(G135))),"Fix: received must be a number",IF(AND(H135&lt;&gt;"",NOT(ISNUMBER(H135))),"Fix: promised date isn't a date","Fix: received is more than the amount"))))))),IF(AND(C135&lt;&gt;"",ISNUMBER(MATCH(C135,InCats,0))),"OK","Category not on Settings (counted as Other)")))</f>
        <v/>
      </c>
      <c r="R135">
        <f>IF(COUNTA(A135:I135)=0,"",IF(AND(ISNUMBER(F135),F135&gt;0,OR(ISNUMBER(D135),ISNUMBER(H135)),OR(D135="",ISNUMBER(D135)),OR(E135="",ISNUMBER(E135)),OR(G135="",ISNUMBER(G135)),OR(H135="",ISNUMBER(H135))),IF(N(G135)&gt;F135,0,1),0))</f>
        <v/>
      </c>
    </row>
    <row r="136">
      <c r="A136" s="29" t="n"/>
      <c r="B136" s="29" t="n"/>
      <c r="C136" s="29" t="n"/>
      <c r="D136" s="24" t="n"/>
      <c r="E136" s="26" t="n"/>
      <c r="F136" s="34" t="n"/>
      <c r="G136" s="34" t="n"/>
      <c r="H136" s="24" t="n"/>
      <c r="I136" s="29" t="n"/>
      <c r="J136" s="32">
        <f>IF(R136&lt;&gt;1,"",IF(ISNUMBER(D136),INT(D136)+IF(ISNUMBER(E136),INT(E136),DefTerms),""))</f>
        <v/>
      </c>
      <c r="K136" s="35">
        <f>IF(R136&lt;&gt;1,"",IF(ISNUMBER(H136),0,IF(AND(A136&lt;&gt;"",ISNUMBER(MATCH(A136,CustName,0))),IF(ISNUMBER(INDEX(CustLate,MATCH(A136,CustName,0))),INT(INDEX(CustLate,MATCH(A136,CustName,0))),DefLate),DefLate)))</f>
        <v/>
      </c>
      <c r="L136" s="32">
        <f>IF(R136&lt;&gt;1,"",IF(ISNUMBER(H136),INT(H136),J136+K136)+StressDays)</f>
        <v/>
      </c>
      <c r="M136" s="21">
        <f>IF(R136&lt;&gt;1,0,F136-N(G136))</f>
        <v/>
      </c>
      <c r="N136" s="35">
        <f>IF(OR(R136&lt;&gt;1,M136&lt;=0),"",IF(I136="Yes","",IF(L136&lt;W1,IF(OverdueW1="No","",1),IF(L136&lt;=W1+90,INT((L136-W1)/7)+1,""))))</f>
        <v/>
      </c>
      <c r="O136" s="36">
        <f>IF(ISNUMBER(N136),M136*CollectPct,0)</f>
        <v/>
      </c>
      <c r="P136" s="10">
        <f>IF(R136="","",IF(R136=0,"Not counted",IF(M136&lt;=0,"Paid",IF(I136="Yes","Doubtful (left out)",IF(L136&lt;W1,IF(OverdueW1="No","Overdue (left out)","Overdue → Week 1"),IF(L136&lt;=W1+90,"Week "&amp;N136,"After Week 13"))))))</f>
        <v/>
      </c>
      <c r="Q136" s="10">
        <f>IF(R136="","",IF(R136=0,IF(NOT(ISNUMBER(F136)),"Fix: amount missing",IF(F136&lt;=0,"Fix: amount must be above 0",IF(AND(NOT(ISNUMBER(D136)),NOT(ISNUMBER(H136))),"Fix: add an invoice date or a promised date",IF(AND(D136&lt;&gt;"",NOT(ISNUMBER(D136))),"Fix: invoice date isn't a date",IF(AND(E136&lt;&gt;"",NOT(ISNUMBER(E136))),"Fix: terms must be a number",IF(AND(G136&lt;&gt;"",NOT(ISNUMBER(G136))),"Fix: received must be a number",IF(AND(H136&lt;&gt;"",NOT(ISNUMBER(H136))),"Fix: promised date isn't a date","Fix: received is more than the amount"))))))),IF(AND(C136&lt;&gt;"",ISNUMBER(MATCH(C136,InCats,0))),"OK","Category not on Settings (counted as Other)")))</f>
        <v/>
      </c>
      <c r="R136">
        <f>IF(COUNTA(A136:I136)=0,"",IF(AND(ISNUMBER(F136),F136&gt;0,OR(ISNUMBER(D136),ISNUMBER(H136)),OR(D136="",ISNUMBER(D136)),OR(E136="",ISNUMBER(E136)),OR(G136="",ISNUMBER(G136)),OR(H136="",ISNUMBER(H136))),IF(N(G136)&gt;F136,0,1),0))</f>
        <v/>
      </c>
    </row>
    <row r="137">
      <c r="A137" s="29" t="n"/>
      <c r="B137" s="29" t="n"/>
      <c r="C137" s="29" t="n"/>
      <c r="D137" s="24" t="n"/>
      <c r="E137" s="26" t="n"/>
      <c r="F137" s="34" t="n"/>
      <c r="G137" s="34" t="n"/>
      <c r="H137" s="24" t="n"/>
      <c r="I137" s="29" t="n"/>
      <c r="J137" s="32">
        <f>IF(R137&lt;&gt;1,"",IF(ISNUMBER(D137),INT(D137)+IF(ISNUMBER(E137),INT(E137),DefTerms),""))</f>
        <v/>
      </c>
      <c r="K137" s="35">
        <f>IF(R137&lt;&gt;1,"",IF(ISNUMBER(H137),0,IF(AND(A137&lt;&gt;"",ISNUMBER(MATCH(A137,CustName,0))),IF(ISNUMBER(INDEX(CustLate,MATCH(A137,CustName,0))),INT(INDEX(CustLate,MATCH(A137,CustName,0))),DefLate),DefLate)))</f>
        <v/>
      </c>
      <c r="L137" s="32">
        <f>IF(R137&lt;&gt;1,"",IF(ISNUMBER(H137),INT(H137),J137+K137)+StressDays)</f>
        <v/>
      </c>
      <c r="M137" s="21">
        <f>IF(R137&lt;&gt;1,0,F137-N(G137))</f>
        <v/>
      </c>
      <c r="N137" s="35">
        <f>IF(OR(R137&lt;&gt;1,M137&lt;=0),"",IF(I137="Yes","",IF(L137&lt;W1,IF(OverdueW1="No","",1),IF(L137&lt;=W1+90,INT((L137-W1)/7)+1,""))))</f>
        <v/>
      </c>
      <c r="O137" s="36">
        <f>IF(ISNUMBER(N137),M137*CollectPct,0)</f>
        <v/>
      </c>
      <c r="P137" s="10">
        <f>IF(R137="","",IF(R137=0,"Not counted",IF(M137&lt;=0,"Paid",IF(I137="Yes","Doubtful (left out)",IF(L137&lt;W1,IF(OverdueW1="No","Overdue (left out)","Overdue → Week 1"),IF(L137&lt;=W1+90,"Week "&amp;N137,"After Week 13"))))))</f>
        <v/>
      </c>
      <c r="Q137" s="10">
        <f>IF(R137="","",IF(R137=0,IF(NOT(ISNUMBER(F137)),"Fix: amount missing",IF(F137&lt;=0,"Fix: amount must be above 0",IF(AND(NOT(ISNUMBER(D137)),NOT(ISNUMBER(H137))),"Fix: add an invoice date or a promised date",IF(AND(D137&lt;&gt;"",NOT(ISNUMBER(D137))),"Fix: invoice date isn't a date",IF(AND(E137&lt;&gt;"",NOT(ISNUMBER(E137))),"Fix: terms must be a number",IF(AND(G137&lt;&gt;"",NOT(ISNUMBER(G137))),"Fix: received must be a number",IF(AND(H137&lt;&gt;"",NOT(ISNUMBER(H137))),"Fix: promised date isn't a date","Fix: received is more than the amount"))))))),IF(AND(C137&lt;&gt;"",ISNUMBER(MATCH(C137,InCats,0))),"OK","Category not on Settings (counted as Other)")))</f>
        <v/>
      </c>
      <c r="R137">
        <f>IF(COUNTA(A137:I137)=0,"",IF(AND(ISNUMBER(F137),F137&gt;0,OR(ISNUMBER(D137),ISNUMBER(H137)),OR(D137="",ISNUMBER(D137)),OR(E137="",ISNUMBER(E137)),OR(G137="",ISNUMBER(G137)),OR(H137="",ISNUMBER(H137))),IF(N(G137)&gt;F137,0,1),0))</f>
        <v/>
      </c>
    </row>
    <row r="138">
      <c r="A138" s="29" t="n"/>
      <c r="B138" s="29" t="n"/>
      <c r="C138" s="29" t="n"/>
      <c r="D138" s="24" t="n"/>
      <c r="E138" s="26" t="n"/>
      <c r="F138" s="34" t="n"/>
      <c r="G138" s="34" t="n"/>
      <c r="H138" s="24" t="n"/>
      <c r="I138" s="29" t="n"/>
      <c r="J138" s="32">
        <f>IF(R138&lt;&gt;1,"",IF(ISNUMBER(D138),INT(D138)+IF(ISNUMBER(E138),INT(E138),DefTerms),""))</f>
        <v/>
      </c>
      <c r="K138" s="35">
        <f>IF(R138&lt;&gt;1,"",IF(ISNUMBER(H138),0,IF(AND(A138&lt;&gt;"",ISNUMBER(MATCH(A138,CustName,0))),IF(ISNUMBER(INDEX(CustLate,MATCH(A138,CustName,0))),INT(INDEX(CustLate,MATCH(A138,CustName,0))),DefLate),DefLate)))</f>
        <v/>
      </c>
      <c r="L138" s="32">
        <f>IF(R138&lt;&gt;1,"",IF(ISNUMBER(H138),INT(H138),J138+K138)+StressDays)</f>
        <v/>
      </c>
      <c r="M138" s="21">
        <f>IF(R138&lt;&gt;1,0,F138-N(G138))</f>
        <v/>
      </c>
      <c r="N138" s="35">
        <f>IF(OR(R138&lt;&gt;1,M138&lt;=0),"",IF(I138="Yes","",IF(L138&lt;W1,IF(OverdueW1="No","",1),IF(L138&lt;=W1+90,INT((L138-W1)/7)+1,""))))</f>
        <v/>
      </c>
      <c r="O138" s="36">
        <f>IF(ISNUMBER(N138),M138*CollectPct,0)</f>
        <v/>
      </c>
      <c r="P138" s="10">
        <f>IF(R138="","",IF(R138=0,"Not counted",IF(M138&lt;=0,"Paid",IF(I138="Yes","Doubtful (left out)",IF(L138&lt;W1,IF(OverdueW1="No","Overdue (left out)","Overdue → Week 1"),IF(L138&lt;=W1+90,"Week "&amp;N138,"After Week 13"))))))</f>
        <v/>
      </c>
      <c r="Q138" s="10">
        <f>IF(R138="","",IF(R138=0,IF(NOT(ISNUMBER(F138)),"Fix: amount missing",IF(F138&lt;=0,"Fix: amount must be above 0",IF(AND(NOT(ISNUMBER(D138)),NOT(ISNUMBER(H138))),"Fix: add an invoice date or a promised date",IF(AND(D138&lt;&gt;"",NOT(ISNUMBER(D138))),"Fix: invoice date isn't a date",IF(AND(E138&lt;&gt;"",NOT(ISNUMBER(E138))),"Fix: terms must be a number",IF(AND(G138&lt;&gt;"",NOT(ISNUMBER(G138))),"Fix: received must be a number",IF(AND(H138&lt;&gt;"",NOT(ISNUMBER(H138))),"Fix: promised date isn't a date","Fix: received is more than the amount"))))))),IF(AND(C138&lt;&gt;"",ISNUMBER(MATCH(C138,InCats,0))),"OK","Category not on Settings (counted as Other)")))</f>
        <v/>
      </c>
      <c r="R138">
        <f>IF(COUNTA(A138:I138)=0,"",IF(AND(ISNUMBER(F138),F138&gt;0,OR(ISNUMBER(D138),ISNUMBER(H138)),OR(D138="",ISNUMBER(D138)),OR(E138="",ISNUMBER(E138)),OR(G138="",ISNUMBER(G138)),OR(H138="",ISNUMBER(H138))),IF(N(G138)&gt;F138,0,1),0))</f>
        <v/>
      </c>
    </row>
    <row r="139">
      <c r="A139" s="29" t="n"/>
      <c r="B139" s="29" t="n"/>
      <c r="C139" s="29" t="n"/>
      <c r="D139" s="24" t="n"/>
      <c r="E139" s="26" t="n"/>
      <c r="F139" s="34" t="n"/>
      <c r="G139" s="34" t="n"/>
      <c r="H139" s="24" t="n"/>
      <c r="I139" s="29" t="n"/>
      <c r="J139" s="32">
        <f>IF(R139&lt;&gt;1,"",IF(ISNUMBER(D139),INT(D139)+IF(ISNUMBER(E139),INT(E139),DefTerms),""))</f>
        <v/>
      </c>
      <c r="K139" s="35">
        <f>IF(R139&lt;&gt;1,"",IF(ISNUMBER(H139),0,IF(AND(A139&lt;&gt;"",ISNUMBER(MATCH(A139,CustName,0))),IF(ISNUMBER(INDEX(CustLate,MATCH(A139,CustName,0))),INT(INDEX(CustLate,MATCH(A139,CustName,0))),DefLate),DefLate)))</f>
        <v/>
      </c>
      <c r="L139" s="32">
        <f>IF(R139&lt;&gt;1,"",IF(ISNUMBER(H139),INT(H139),J139+K139)+StressDays)</f>
        <v/>
      </c>
      <c r="M139" s="21">
        <f>IF(R139&lt;&gt;1,0,F139-N(G139))</f>
        <v/>
      </c>
      <c r="N139" s="35">
        <f>IF(OR(R139&lt;&gt;1,M139&lt;=0),"",IF(I139="Yes","",IF(L139&lt;W1,IF(OverdueW1="No","",1),IF(L139&lt;=W1+90,INT((L139-W1)/7)+1,""))))</f>
        <v/>
      </c>
      <c r="O139" s="36">
        <f>IF(ISNUMBER(N139),M139*CollectPct,0)</f>
        <v/>
      </c>
      <c r="P139" s="10">
        <f>IF(R139="","",IF(R139=0,"Not counted",IF(M139&lt;=0,"Paid",IF(I139="Yes","Doubtful (left out)",IF(L139&lt;W1,IF(OverdueW1="No","Overdue (left out)","Overdue → Week 1"),IF(L139&lt;=W1+90,"Week "&amp;N139,"After Week 13"))))))</f>
        <v/>
      </c>
      <c r="Q139" s="10">
        <f>IF(R139="","",IF(R139=0,IF(NOT(ISNUMBER(F139)),"Fix: amount missing",IF(F139&lt;=0,"Fix: amount must be above 0",IF(AND(NOT(ISNUMBER(D139)),NOT(ISNUMBER(H139))),"Fix: add an invoice date or a promised date",IF(AND(D139&lt;&gt;"",NOT(ISNUMBER(D139))),"Fix: invoice date isn't a date",IF(AND(E139&lt;&gt;"",NOT(ISNUMBER(E139))),"Fix: terms must be a number",IF(AND(G139&lt;&gt;"",NOT(ISNUMBER(G139))),"Fix: received must be a number",IF(AND(H139&lt;&gt;"",NOT(ISNUMBER(H139))),"Fix: promised date isn't a date","Fix: received is more than the amount"))))))),IF(AND(C139&lt;&gt;"",ISNUMBER(MATCH(C139,InCats,0))),"OK","Category not on Settings (counted as Other)")))</f>
        <v/>
      </c>
      <c r="R139">
        <f>IF(COUNTA(A139:I139)=0,"",IF(AND(ISNUMBER(F139),F139&gt;0,OR(ISNUMBER(D139),ISNUMBER(H139)),OR(D139="",ISNUMBER(D139)),OR(E139="",ISNUMBER(E139)),OR(G139="",ISNUMBER(G139)),OR(H139="",ISNUMBER(H139))),IF(N(G139)&gt;F139,0,1),0))</f>
        <v/>
      </c>
    </row>
    <row r="140">
      <c r="A140" s="29" t="n"/>
      <c r="B140" s="29" t="n"/>
      <c r="C140" s="29" t="n"/>
      <c r="D140" s="24" t="n"/>
      <c r="E140" s="26" t="n"/>
      <c r="F140" s="34" t="n"/>
      <c r="G140" s="34" t="n"/>
      <c r="H140" s="24" t="n"/>
      <c r="I140" s="29" t="n"/>
      <c r="J140" s="32">
        <f>IF(R140&lt;&gt;1,"",IF(ISNUMBER(D140),INT(D140)+IF(ISNUMBER(E140),INT(E140),DefTerms),""))</f>
        <v/>
      </c>
      <c r="K140" s="35">
        <f>IF(R140&lt;&gt;1,"",IF(ISNUMBER(H140),0,IF(AND(A140&lt;&gt;"",ISNUMBER(MATCH(A140,CustName,0))),IF(ISNUMBER(INDEX(CustLate,MATCH(A140,CustName,0))),INT(INDEX(CustLate,MATCH(A140,CustName,0))),DefLate),DefLate)))</f>
        <v/>
      </c>
      <c r="L140" s="32">
        <f>IF(R140&lt;&gt;1,"",IF(ISNUMBER(H140),INT(H140),J140+K140)+StressDays)</f>
        <v/>
      </c>
      <c r="M140" s="21">
        <f>IF(R140&lt;&gt;1,0,F140-N(G140))</f>
        <v/>
      </c>
      <c r="N140" s="35">
        <f>IF(OR(R140&lt;&gt;1,M140&lt;=0),"",IF(I140="Yes","",IF(L140&lt;W1,IF(OverdueW1="No","",1),IF(L140&lt;=W1+90,INT((L140-W1)/7)+1,""))))</f>
        <v/>
      </c>
      <c r="O140" s="36">
        <f>IF(ISNUMBER(N140),M140*CollectPct,0)</f>
        <v/>
      </c>
      <c r="P140" s="10">
        <f>IF(R140="","",IF(R140=0,"Not counted",IF(M140&lt;=0,"Paid",IF(I140="Yes","Doubtful (left out)",IF(L140&lt;W1,IF(OverdueW1="No","Overdue (left out)","Overdue → Week 1"),IF(L140&lt;=W1+90,"Week "&amp;N140,"After Week 13"))))))</f>
        <v/>
      </c>
      <c r="Q140" s="10">
        <f>IF(R140="","",IF(R140=0,IF(NOT(ISNUMBER(F140)),"Fix: amount missing",IF(F140&lt;=0,"Fix: amount must be above 0",IF(AND(NOT(ISNUMBER(D140)),NOT(ISNUMBER(H140))),"Fix: add an invoice date or a promised date",IF(AND(D140&lt;&gt;"",NOT(ISNUMBER(D140))),"Fix: invoice date isn't a date",IF(AND(E140&lt;&gt;"",NOT(ISNUMBER(E140))),"Fix: terms must be a number",IF(AND(G140&lt;&gt;"",NOT(ISNUMBER(G140))),"Fix: received must be a number",IF(AND(H140&lt;&gt;"",NOT(ISNUMBER(H140))),"Fix: promised date isn't a date","Fix: received is more than the amount"))))))),IF(AND(C140&lt;&gt;"",ISNUMBER(MATCH(C140,InCats,0))),"OK","Category not on Settings (counted as Other)")))</f>
        <v/>
      </c>
      <c r="R140">
        <f>IF(COUNTA(A140:I140)=0,"",IF(AND(ISNUMBER(F140),F140&gt;0,OR(ISNUMBER(D140),ISNUMBER(H140)),OR(D140="",ISNUMBER(D140)),OR(E140="",ISNUMBER(E140)),OR(G140="",ISNUMBER(G140)),OR(H140="",ISNUMBER(H140))),IF(N(G140)&gt;F140,0,1),0))</f>
        <v/>
      </c>
    </row>
    <row r="141">
      <c r="A141" s="29" t="n"/>
      <c r="B141" s="29" t="n"/>
      <c r="C141" s="29" t="n"/>
      <c r="D141" s="24" t="n"/>
      <c r="E141" s="26" t="n"/>
      <c r="F141" s="34" t="n"/>
      <c r="G141" s="34" t="n"/>
      <c r="H141" s="24" t="n"/>
      <c r="I141" s="29" t="n"/>
      <c r="J141" s="32">
        <f>IF(R141&lt;&gt;1,"",IF(ISNUMBER(D141),INT(D141)+IF(ISNUMBER(E141),INT(E141),DefTerms),""))</f>
        <v/>
      </c>
      <c r="K141" s="35">
        <f>IF(R141&lt;&gt;1,"",IF(ISNUMBER(H141),0,IF(AND(A141&lt;&gt;"",ISNUMBER(MATCH(A141,CustName,0))),IF(ISNUMBER(INDEX(CustLate,MATCH(A141,CustName,0))),INT(INDEX(CustLate,MATCH(A141,CustName,0))),DefLate),DefLate)))</f>
        <v/>
      </c>
      <c r="L141" s="32">
        <f>IF(R141&lt;&gt;1,"",IF(ISNUMBER(H141),INT(H141),J141+K141)+StressDays)</f>
        <v/>
      </c>
      <c r="M141" s="21">
        <f>IF(R141&lt;&gt;1,0,F141-N(G141))</f>
        <v/>
      </c>
      <c r="N141" s="35">
        <f>IF(OR(R141&lt;&gt;1,M141&lt;=0),"",IF(I141="Yes","",IF(L141&lt;W1,IF(OverdueW1="No","",1),IF(L141&lt;=W1+90,INT((L141-W1)/7)+1,""))))</f>
        <v/>
      </c>
      <c r="O141" s="36">
        <f>IF(ISNUMBER(N141),M141*CollectPct,0)</f>
        <v/>
      </c>
      <c r="P141" s="10">
        <f>IF(R141="","",IF(R141=0,"Not counted",IF(M141&lt;=0,"Paid",IF(I141="Yes","Doubtful (left out)",IF(L141&lt;W1,IF(OverdueW1="No","Overdue (left out)","Overdue → Week 1"),IF(L141&lt;=W1+90,"Week "&amp;N141,"After Week 13"))))))</f>
        <v/>
      </c>
      <c r="Q141" s="10">
        <f>IF(R141="","",IF(R141=0,IF(NOT(ISNUMBER(F141)),"Fix: amount missing",IF(F141&lt;=0,"Fix: amount must be above 0",IF(AND(NOT(ISNUMBER(D141)),NOT(ISNUMBER(H141))),"Fix: add an invoice date or a promised date",IF(AND(D141&lt;&gt;"",NOT(ISNUMBER(D141))),"Fix: invoice date isn't a date",IF(AND(E141&lt;&gt;"",NOT(ISNUMBER(E141))),"Fix: terms must be a number",IF(AND(G141&lt;&gt;"",NOT(ISNUMBER(G141))),"Fix: received must be a number",IF(AND(H141&lt;&gt;"",NOT(ISNUMBER(H141))),"Fix: promised date isn't a date","Fix: received is more than the amount"))))))),IF(AND(C141&lt;&gt;"",ISNUMBER(MATCH(C141,InCats,0))),"OK","Category not on Settings (counted as Other)")))</f>
        <v/>
      </c>
      <c r="R141">
        <f>IF(COUNTA(A141:I141)=0,"",IF(AND(ISNUMBER(F141),F141&gt;0,OR(ISNUMBER(D141),ISNUMBER(H141)),OR(D141="",ISNUMBER(D141)),OR(E141="",ISNUMBER(E141)),OR(G141="",ISNUMBER(G141)),OR(H141="",ISNUMBER(H141))),IF(N(G141)&gt;F141,0,1),0))</f>
        <v/>
      </c>
    </row>
    <row r="142">
      <c r="A142" s="29" t="n"/>
      <c r="B142" s="29" t="n"/>
      <c r="C142" s="29" t="n"/>
      <c r="D142" s="24" t="n"/>
      <c r="E142" s="26" t="n"/>
      <c r="F142" s="34" t="n"/>
      <c r="G142" s="34" t="n"/>
      <c r="H142" s="24" t="n"/>
      <c r="I142" s="29" t="n"/>
      <c r="J142" s="32">
        <f>IF(R142&lt;&gt;1,"",IF(ISNUMBER(D142),INT(D142)+IF(ISNUMBER(E142),INT(E142),DefTerms),""))</f>
        <v/>
      </c>
      <c r="K142" s="35">
        <f>IF(R142&lt;&gt;1,"",IF(ISNUMBER(H142),0,IF(AND(A142&lt;&gt;"",ISNUMBER(MATCH(A142,CustName,0))),IF(ISNUMBER(INDEX(CustLate,MATCH(A142,CustName,0))),INT(INDEX(CustLate,MATCH(A142,CustName,0))),DefLate),DefLate)))</f>
        <v/>
      </c>
      <c r="L142" s="32">
        <f>IF(R142&lt;&gt;1,"",IF(ISNUMBER(H142),INT(H142),J142+K142)+StressDays)</f>
        <v/>
      </c>
      <c r="M142" s="21">
        <f>IF(R142&lt;&gt;1,0,F142-N(G142))</f>
        <v/>
      </c>
      <c r="N142" s="35">
        <f>IF(OR(R142&lt;&gt;1,M142&lt;=0),"",IF(I142="Yes","",IF(L142&lt;W1,IF(OverdueW1="No","",1),IF(L142&lt;=W1+90,INT((L142-W1)/7)+1,""))))</f>
        <v/>
      </c>
      <c r="O142" s="36">
        <f>IF(ISNUMBER(N142),M142*CollectPct,0)</f>
        <v/>
      </c>
      <c r="P142" s="10">
        <f>IF(R142="","",IF(R142=0,"Not counted",IF(M142&lt;=0,"Paid",IF(I142="Yes","Doubtful (left out)",IF(L142&lt;W1,IF(OverdueW1="No","Overdue (left out)","Overdue → Week 1"),IF(L142&lt;=W1+90,"Week "&amp;N142,"After Week 13"))))))</f>
        <v/>
      </c>
      <c r="Q142" s="10">
        <f>IF(R142="","",IF(R142=0,IF(NOT(ISNUMBER(F142)),"Fix: amount missing",IF(F142&lt;=0,"Fix: amount must be above 0",IF(AND(NOT(ISNUMBER(D142)),NOT(ISNUMBER(H142))),"Fix: add an invoice date or a promised date",IF(AND(D142&lt;&gt;"",NOT(ISNUMBER(D142))),"Fix: invoice date isn't a date",IF(AND(E142&lt;&gt;"",NOT(ISNUMBER(E142))),"Fix: terms must be a number",IF(AND(G142&lt;&gt;"",NOT(ISNUMBER(G142))),"Fix: received must be a number",IF(AND(H142&lt;&gt;"",NOT(ISNUMBER(H142))),"Fix: promised date isn't a date","Fix: received is more than the amount"))))))),IF(AND(C142&lt;&gt;"",ISNUMBER(MATCH(C142,InCats,0))),"OK","Category not on Settings (counted as Other)")))</f>
        <v/>
      </c>
      <c r="R142">
        <f>IF(COUNTA(A142:I142)=0,"",IF(AND(ISNUMBER(F142),F142&gt;0,OR(ISNUMBER(D142),ISNUMBER(H142)),OR(D142="",ISNUMBER(D142)),OR(E142="",ISNUMBER(E142)),OR(G142="",ISNUMBER(G142)),OR(H142="",ISNUMBER(H142))),IF(N(G142)&gt;F142,0,1),0))</f>
        <v/>
      </c>
    </row>
    <row r="143">
      <c r="A143" s="29" t="n"/>
      <c r="B143" s="29" t="n"/>
      <c r="C143" s="29" t="n"/>
      <c r="D143" s="24" t="n"/>
      <c r="E143" s="26" t="n"/>
      <c r="F143" s="34" t="n"/>
      <c r="G143" s="34" t="n"/>
      <c r="H143" s="24" t="n"/>
      <c r="I143" s="29" t="n"/>
      <c r="J143" s="32">
        <f>IF(R143&lt;&gt;1,"",IF(ISNUMBER(D143),INT(D143)+IF(ISNUMBER(E143),INT(E143),DefTerms),""))</f>
        <v/>
      </c>
      <c r="K143" s="35">
        <f>IF(R143&lt;&gt;1,"",IF(ISNUMBER(H143),0,IF(AND(A143&lt;&gt;"",ISNUMBER(MATCH(A143,CustName,0))),IF(ISNUMBER(INDEX(CustLate,MATCH(A143,CustName,0))),INT(INDEX(CustLate,MATCH(A143,CustName,0))),DefLate),DefLate)))</f>
        <v/>
      </c>
      <c r="L143" s="32">
        <f>IF(R143&lt;&gt;1,"",IF(ISNUMBER(H143),INT(H143),J143+K143)+StressDays)</f>
        <v/>
      </c>
      <c r="M143" s="21">
        <f>IF(R143&lt;&gt;1,0,F143-N(G143))</f>
        <v/>
      </c>
      <c r="N143" s="35">
        <f>IF(OR(R143&lt;&gt;1,M143&lt;=0),"",IF(I143="Yes","",IF(L143&lt;W1,IF(OverdueW1="No","",1),IF(L143&lt;=W1+90,INT((L143-W1)/7)+1,""))))</f>
        <v/>
      </c>
      <c r="O143" s="36">
        <f>IF(ISNUMBER(N143),M143*CollectPct,0)</f>
        <v/>
      </c>
      <c r="P143" s="10">
        <f>IF(R143="","",IF(R143=0,"Not counted",IF(M143&lt;=0,"Paid",IF(I143="Yes","Doubtful (left out)",IF(L143&lt;W1,IF(OverdueW1="No","Overdue (left out)","Overdue → Week 1"),IF(L143&lt;=W1+90,"Week "&amp;N143,"After Week 13"))))))</f>
        <v/>
      </c>
      <c r="Q143" s="10">
        <f>IF(R143="","",IF(R143=0,IF(NOT(ISNUMBER(F143)),"Fix: amount missing",IF(F143&lt;=0,"Fix: amount must be above 0",IF(AND(NOT(ISNUMBER(D143)),NOT(ISNUMBER(H143))),"Fix: add an invoice date or a promised date",IF(AND(D143&lt;&gt;"",NOT(ISNUMBER(D143))),"Fix: invoice date isn't a date",IF(AND(E143&lt;&gt;"",NOT(ISNUMBER(E143))),"Fix: terms must be a number",IF(AND(G143&lt;&gt;"",NOT(ISNUMBER(G143))),"Fix: received must be a number",IF(AND(H143&lt;&gt;"",NOT(ISNUMBER(H143))),"Fix: promised date isn't a date","Fix: received is more than the amount"))))))),IF(AND(C143&lt;&gt;"",ISNUMBER(MATCH(C143,InCats,0))),"OK","Category not on Settings (counted as Other)")))</f>
        <v/>
      </c>
      <c r="R143">
        <f>IF(COUNTA(A143:I143)=0,"",IF(AND(ISNUMBER(F143),F143&gt;0,OR(ISNUMBER(D143),ISNUMBER(H143)),OR(D143="",ISNUMBER(D143)),OR(E143="",ISNUMBER(E143)),OR(G143="",ISNUMBER(G143)),OR(H143="",ISNUMBER(H143))),IF(N(G143)&gt;F143,0,1),0))</f>
        <v/>
      </c>
    </row>
    <row r="144">
      <c r="A144" s="29" t="n"/>
      <c r="B144" s="29" t="n"/>
      <c r="C144" s="29" t="n"/>
      <c r="D144" s="24" t="n"/>
      <c r="E144" s="26" t="n"/>
      <c r="F144" s="34" t="n"/>
      <c r="G144" s="34" t="n"/>
      <c r="H144" s="24" t="n"/>
      <c r="I144" s="29" t="n"/>
      <c r="J144" s="32">
        <f>IF(R144&lt;&gt;1,"",IF(ISNUMBER(D144),INT(D144)+IF(ISNUMBER(E144),INT(E144),DefTerms),""))</f>
        <v/>
      </c>
      <c r="K144" s="35">
        <f>IF(R144&lt;&gt;1,"",IF(ISNUMBER(H144),0,IF(AND(A144&lt;&gt;"",ISNUMBER(MATCH(A144,CustName,0))),IF(ISNUMBER(INDEX(CustLate,MATCH(A144,CustName,0))),INT(INDEX(CustLate,MATCH(A144,CustName,0))),DefLate),DefLate)))</f>
        <v/>
      </c>
      <c r="L144" s="32">
        <f>IF(R144&lt;&gt;1,"",IF(ISNUMBER(H144),INT(H144),J144+K144)+StressDays)</f>
        <v/>
      </c>
      <c r="M144" s="21">
        <f>IF(R144&lt;&gt;1,0,F144-N(G144))</f>
        <v/>
      </c>
      <c r="N144" s="35">
        <f>IF(OR(R144&lt;&gt;1,M144&lt;=0),"",IF(I144="Yes","",IF(L144&lt;W1,IF(OverdueW1="No","",1),IF(L144&lt;=W1+90,INT((L144-W1)/7)+1,""))))</f>
        <v/>
      </c>
      <c r="O144" s="36">
        <f>IF(ISNUMBER(N144),M144*CollectPct,0)</f>
        <v/>
      </c>
      <c r="P144" s="10">
        <f>IF(R144="","",IF(R144=0,"Not counted",IF(M144&lt;=0,"Paid",IF(I144="Yes","Doubtful (left out)",IF(L144&lt;W1,IF(OverdueW1="No","Overdue (left out)","Overdue → Week 1"),IF(L144&lt;=W1+90,"Week "&amp;N144,"After Week 13"))))))</f>
        <v/>
      </c>
      <c r="Q144" s="10">
        <f>IF(R144="","",IF(R144=0,IF(NOT(ISNUMBER(F144)),"Fix: amount missing",IF(F144&lt;=0,"Fix: amount must be above 0",IF(AND(NOT(ISNUMBER(D144)),NOT(ISNUMBER(H144))),"Fix: add an invoice date or a promised date",IF(AND(D144&lt;&gt;"",NOT(ISNUMBER(D144))),"Fix: invoice date isn't a date",IF(AND(E144&lt;&gt;"",NOT(ISNUMBER(E144))),"Fix: terms must be a number",IF(AND(G144&lt;&gt;"",NOT(ISNUMBER(G144))),"Fix: received must be a number",IF(AND(H144&lt;&gt;"",NOT(ISNUMBER(H144))),"Fix: promised date isn't a date","Fix: received is more than the amount"))))))),IF(AND(C144&lt;&gt;"",ISNUMBER(MATCH(C144,InCats,0))),"OK","Category not on Settings (counted as Other)")))</f>
        <v/>
      </c>
      <c r="R144">
        <f>IF(COUNTA(A144:I144)=0,"",IF(AND(ISNUMBER(F144),F144&gt;0,OR(ISNUMBER(D144),ISNUMBER(H144)),OR(D144="",ISNUMBER(D144)),OR(E144="",ISNUMBER(E144)),OR(G144="",ISNUMBER(G144)),OR(H144="",ISNUMBER(H144))),IF(N(G144)&gt;F144,0,1),0))</f>
        <v/>
      </c>
    </row>
    <row r="145">
      <c r="A145" s="29" t="n"/>
      <c r="B145" s="29" t="n"/>
      <c r="C145" s="29" t="n"/>
      <c r="D145" s="24" t="n"/>
      <c r="E145" s="26" t="n"/>
      <c r="F145" s="34" t="n"/>
      <c r="G145" s="34" t="n"/>
      <c r="H145" s="24" t="n"/>
      <c r="I145" s="29" t="n"/>
      <c r="J145" s="32">
        <f>IF(R145&lt;&gt;1,"",IF(ISNUMBER(D145),INT(D145)+IF(ISNUMBER(E145),INT(E145),DefTerms),""))</f>
        <v/>
      </c>
      <c r="K145" s="35">
        <f>IF(R145&lt;&gt;1,"",IF(ISNUMBER(H145),0,IF(AND(A145&lt;&gt;"",ISNUMBER(MATCH(A145,CustName,0))),IF(ISNUMBER(INDEX(CustLate,MATCH(A145,CustName,0))),INT(INDEX(CustLate,MATCH(A145,CustName,0))),DefLate),DefLate)))</f>
        <v/>
      </c>
      <c r="L145" s="32">
        <f>IF(R145&lt;&gt;1,"",IF(ISNUMBER(H145),INT(H145),J145+K145)+StressDays)</f>
        <v/>
      </c>
      <c r="M145" s="21">
        <f>IF(R145&lt;&gt;1,0,F145-N(G145))</f>
        <v/>
      </c>
      <c r="N145" s="35">
        <f>IF(OR(R145&lt;&gt;1,M145&lt;=0),"",IF(I145="Yes","",IF(L145&lt;W1,IF(OverdueW1="No","",1),IF(L145&lt;=W1+90,INT((L145-W1)/7)+1,""))))</f>
        <v/>
      </c>
      <c r="O145" s="36">
        <f>IF(ISNUMBER(N145),M145*CollectPct,0)</f>
        <v/>
      </c>
      <c r="P145" s="10">
        <f>IF(R145="","",IF(R145=0,"Not counted",IF(M145&lt;=0,"Paid",IF(I145="Yes","Doubtful (left out)",IF(L145&lt;W1,IF(OverdueW1="No","Overdue (left out)","Overdue → Week 1"),IF(L145&lt;=W1+90,"Week "&amp;N145,"After Week 13"))))))</f>
        <v/>
      </c>
      <c r="Q145" s="10">
        <f>IF(R145="","",IF(R145=0,IF(NOT(ISNUMBER(F145)),"Fix: amount missing",IF(F145&lt;=0,"Fix: amount must be above 0",IF(AND(NOT(ISNUMBER(D145)),NOT(ISNUMBER(H145))),"Fix: add an invoice date or a promised date",IF(AND(D145&lt;&gt;"",NOT(ISNUMBER(D145))),"Fix: invoice date isn't a date",IF(AND(E145&lt;&gt;"",NOT(ISNUMBER(E145))),"Fix: terms must be a number",IF(AND(G145&lt;&gt;"",NOT(ISNUMBER(G145))),"Fix: received must be a number",IF(AND(H145&lt;&gt;"",NOT(ISNUMBER(H145))),"Fix: promised date isn't a date","Fix: received is more than the amount"))))))),IF(AND(C145&lt;&gt;"",ISNUMBER(MATCH(C145,InCats,0))),"OK","Category not on Settings (counted as Other)")))</f>
        <v/>
      </c>
      <c r="R145">
        <f>IF(COUNTA(A145:I145)=0,"",IF(AND(ISNUMBER(F145),F145&gt;0,OR(ISNUMBER(D145),ISNUMBER(H145)),OR(D145="",ISNUMBER(D145)),OR(E145="",ISNUMBER(E145)),OR(G145="",ISNUMBER(G145)),OR(H145="",ISNUMBER(H145))),IF(N(G145)&gt;F145,0,1),0))</f>
        <v/>
      </c>
    </row>
    <row r="146">
      <c r="A146" s="29" t="n"/>
      <c r="B146" s="29" t="n"/>
      <c r="C146" s="29" t="n"/>
      <c r="D146" s="24" t="n"/>
      <c r="E146" s="26" t="n"/>
      <c r="F146" s="34" t="n"/>
      <c r="G146" s="34" t="n"/>
      <c r="H146" s="24" t="n"/>
      <c r="I146" s="29" t="n"/>
      <c r="J146" s="32">
        <f>IF(R146&lt;&gt;1,"",IF(ISNUMBER(D146),INT(D146)+IF(ISNUMBER(E146),INT(E146),DefTerms),""))</f>
        <v/>
      </c>
      <c r="K146" s="35">
        <f>IF(R146&lt;&gt;1,"",IF(ISNUMBER(H146),0,IF(AND(A146&lt;&gt;"",ISNUMBER(MATCH(A146,CustName,0))),IF(ISNUMBER(INDEX(CustLate,MATCH(A146,CustName,0))),INT(INDEX(CustLate,MATCH(A146,CustName,0))),DefLate),DefLate)))</f>
        <v/>
      </c>
      <c r="L146" s="32">
        <f>IF(R146&lt;&gt;1,"",IF(ISNUMBER(H146),INT(H146),J146+K146)+StressDays)</f>
        <v/>
      </c>
      <c r="M146" s="21">
        <f>IF(R146&lt;&gt;1,0,F146-N(G146))</f>
        <v/>
      </c>
      <c r="N146" s="35">
        <f>IF(OR(R146&lt;&gt;1,M146&lt;=0),"",IF(I146="Yes","",IF(L146&lt;W1,IF(OverdueW1="No","",1),IF(L146&lt;=W1+90,INT((L146-W1)/7)+1,""))))</f>
        <v/>
      </c>
      <c r="O146" s="36">
        <f>IF(ISNUMBER(N146),M146*CollectPct,0)</f>
        <v/>
      </c>
      <c r="P146" s="10">
        <f>IF(R146="","",IF(R146=0,"Not counted",IF(M146&lt;=0,"Paid",IF(I146="Yes","Doubtful (left out)",IF(L146&lt;W1,IF(OverdueW1="No","Overdue (left out)","Overdue → Week 1"),IF(L146&lt;=W1+90,"Week "&amp;N146,"After Week 13"))))))</f>
        <v/>
      </c>
      <c r="Q146" s="10">
        <f>IF(R146="","",IF(R146=0,IF(NOT(ISNUMBER(F146)),"Fix: amount missing",IF(F146&lt;=0,"Fix: amount must be above 0",IF(AND(NOT(ISNUMBER(D146)),NOT(ISNUMBER(H146))),"Fix: add an invoice date or a promised date",IF(AND(D146&lt;&gt;"",NOT(ISNUMBER(D146))),"Fix: invoice date isn't a date",IF(AND(E146&lt;&gt;"",NOT(ISNUMBER(E146))),"Fix: terms must be a number",IF(AND(G146&lt;&gt;"",NOT(ISNUMBER(G146))),"Fix: received must be a number",IF(AND(H146&lt;&gt;"",NOT(ISNUMBER(H146))),"Fix: promised date isn't a date","Fix: received is more than the amount"))))))),IF(AND(C146&lt;&gt;"",ISNUMBER(MATCH(C146,InCats,0))),"OK","Category not on Settings (counted as Other)")))</f>
        <v/>
      </c>
      <c r="R146">
        <f>IF(COUNTA(A146:I146)=0,"",IF(AND(ISNUMBER(F146),F146&gt;0,OR(ISNUMBER(D146),ISNUMBER(H146)),OR(D146="",ISNUMBER(D146)),OR(E146="",ISNUMBER(E146)),OR(G146="",ISNUMBER(G146)),OR(H146="",ISNUMBER(H146))),IF(N(G146)&gt;F146,0,1),0))</f>
        <v/>
      </c>
    </row>
    <row r="147">
      <c r="A147" s="29" t="n"/>
      <c r="B147" s="29" t="n"/>
      <c r="C147" s="29" t="n"/>
      <c r="D147" s="24" t="n"/>
      <c r="E147" s="26" t="n"/>
      <c r="F147" s="34" t="n"/>
      <c r="G147" s="34" t="n"/>
      <c r="H147" s="24" t="n"/>
      <c r="I147" s="29" t="n"/>
      <c r="J147" s="32">
        <f>IF(R147&lt;&gt;1,"",IF(ISNUMBER(D147),INT(D147)+IF(ISNUMBER(E147),INT(E147),DefTerms),""))</f>
        <v/>
      </c>
      <c r="K147" s="35">
        <f>IF(R147&lt;&gt;1,"",IF(ISNUMBER(H147),0,IF(AND(A147&lt;&gt;"",ISNUMBER(MATCH(A147,CustName,0))),IF(ISNUMBER(INDEX(CustLate,MATCH(A147,CustName,0))),INT(INDEX(CustLate,MATCH(A147,CustName,0))),DefLate),DefLate)))</f>
        <v/>
      </c>
      <c r="L147" s="32">
        <f>IF(R147&lt;&gt;1,"",IF(ISNUMBER(H147),INT(H147),J147+K147)+StressDays)</f>
        <v/>
      </c>
      <c r="M147" s="21">
        <f>IF(R147&lt;&gt;1,0,F147-N(G147))</f>
        <v/>
      </c>
      <c r="N147" s="35">
        <f>IF(OR(R147&lt;&gt;1,M147&lt;=0),"",IF(I147="Yes","",IF(L147&lt;W1,IF(OverdueW1="No","",1),IF(L147&lt;=W1+90,INT((L147-W1)/7)+1,""))))</f>
        <v/>
      </c>
      <c r="O147" s="36">
        <f>IF(ISNUMBER(N147),M147*CollectPct,0)</f>
        <v/>
      </c>
      <c r="P147" s="10">
        <f>IF(R147="","",IF(R147=0,"Not counted",IF(M147&lt;=0,"Paid",IF(I147="Yes","Doubtful (left out)",IF(L147&lt;W1,IF(OverdueW1="No","Overdue (left out)","Overdue → Week 1"),IF(L147&lt;=W1+90,"Week "&amp;N147,"After Week 13"))))))</f>
        <v/>
      </c>
      <c r="Q147" s="10">
        <f>IF(R147="","",IF(R147=0,IF(NOT(ISNUMBER(F147)),"Fix: amount missing",IF(F147&lt;=0,"Fix: amount must be above 0",IF(AND(NOT(ISNUMBER(D147)),NOT(ISNUMBER(H147))),"Fix: add an invoice date or a promised date",IF(AND(D147&lt;&gt;"",NOT(ISNUMBER(D147))),"Fix: invoice date isn't a date",IF(AND(E147&lt;&gt;"",NOT(ISNUMBER(E147))),"Fix: terms must be a number",IF(AND(G147&lt;&gt;"",NOT(ISNUMBER(G147))),"Fix: received must be a number",IF(AND(H147&lt;&gt;"",NOT(ISNUMBER(H147))),"Fix: promised date isn't a date","Fix: received is more than the amount"))))))),IF(AND(C147&lt;&gt;"",ISNUMBER(MATCH(C147,InCats,0))),"OK","Category not on Settings (counted as Other)")))</f>
        <v/>
      </c>
      <c r="R147">
        <f>IF(COUNTA(A147:I147)=0,"",IF(AND(ISNUMBER(F147),F147&gt;0,OR(ISNUMBER(D147),ISNUMBER(H147)),OR(D147="",ISNUMBER(D147)),OR(E147="",ISNUMBER(E147)),OR(G147="",ISNUMBER(G147)),OR(H147="",ISNUMBER(H147))),IF(N(G147)&gt;F147,0,1),0))</f>
        <v/>
      </c>
    </row>
    <row r="148">
      <c r="A148" s="29" t="n"/>
      <c r="B148" s="29" t="n"/>
      <c r="C148" s="29" t="n"/>
      <c r="D148" s="24" t="n"/>
      <c r="E148" s="26" t="n"/>
      <c r="F148" s="34" t="n"/>
      <c r="G148" s="34" t="n"/>
      <c r="H148" s="24" t="n"/>
      <c r="I148" s="29" t="n"/>
      <c r="J148" s="32">
        <f>IF(R148&lt;&gt;1,"",IF(ISNUMBER(D148),INT(D148)+IF(ISNUMBER(E148),INT(E148),DefTerms),""))</f>
        <v/>
      </c>
      <c r="K148" s="35">
        <f>IF(R148&lt;&gt;1,"",IF(ISNUMBER(H148),0,IF(AND(A148&lt;&gt;"",ISNUMBER(MATCH(A148,CustName,0))),IF(ISNUMBER(INDEX(CustLate,MATCH(A148,CustName,0))),INT(INDEX(CustLate,MATCH(A148,CustName,0))),DefLate),DefLate)))</f>
        <v/>
      </c>
      <c r="L148" s="32">
        <f>IF(R148&lt;&gt;1,"",IF(ISNUMBER(H148),INT(H148),J148+K148)+StressDays)</f>
        <v/>
      </c>
      <c r="M148" s="21">
        <f>IF(R148&lt;&gt;1,0,F148-N(G148))</f>
        <v/>
      </c>
      <c r="N148" s="35">
        <f>IF(OR(R148&lt;&gt;1,M148&lt;=0),"",IF(I148="Yes","",IF(L148&lt;W1,IF(OverdueW1="No","",1),IF(L148&lt;=W1+90,INT((L148-W1)/7)+1,""))))</f>
        <v/>
      </c>
      <c r="O148" s="36">
        <f>IF(ISNUMBER(N148),M148*CollectPct,0)</f>
        <v/>
      </c>
      <c r="P148" s="10">
        <f>IF(R148="","",IF(R148=0,"Not counted",IF(M148&lt;=0,"Paid",IF(I148="Yes","Doubtful (left out)",IF(L148&lt;W1,IF(OverdueW1="No","Overdue (left out)","Overdue → Week 1"),IF(L148&lt;=W1+90,"Week "&amp;N148,"After Week 13"))))))</f>
        <v/>
      </c>
      <c r="Q148" s="10">
        <f>IF(R148="","",IF(R148=0,IF(NOT(ISNUMBER(F148)),"Fix: amount missing",IF(F148&lt;=0,"Fix: amount must be above 0",IF(AND(NOT(ISNUMBER(D148)),NOT(ISNUMBER(H148))),"Fix: add an invoice date or a promised date",IF(AND(D148&lt;&gt;"",NOT(ISNUMBER(D148))),"Fix: invoice date isn't a date",IF(AND(E148&lt;&gt;"",NOT(ISNUMBER(E148))),"Fix: terms must be a number",IF(AND(G148&lt;&gt;"",NOT(ISNUMBER(G148))),"Fix: received must be a number",IF(AND(H148&lt;&gt;"",NOT(ISNUMBER(H148))),"Fix: promised date isn't a date","Fix: received is more than the amount"))))))),IF(AND(C148&lt;&gt;"",ISNUMBER(MATCH(C148,InCats,0))),"OK","Category not on Settings (counted as Other)")))</f>
        <v/>
      </c>
      <c r="R148">
        <f>IF(COUNTA(A148:I148)=0,"",IF(AND(ISNUMBER(F148),F148&gt;0,OR(ISNUMBER(D148),ISNUMBER(H148)),OR(D148="",ISNUMBER(D148)),OR(E148="",ISNUMBER(E148)),OR(G148="",ISNUMBER(G148)),OR(H148="",ISNUMBER(H148))),IF(N(G148)&gt;F148,0,1),0))</f>
        <v/>
      </c>
    </row>
    <row r="149">
      <c r="A149" s="29" t="n"/>
      <c r="B149" s="29" t="n"/>
      <c r="C149" s="29" t="n"/>
      <c r="D149" s="24" t="n"/>
      <c r="E149" s="26" t="n"/>
      <c r="F149" s="34" t="n"/>
      <c r="G149" s="34" t="n"/>
      <c r="H149" s="24" t="n"/>
      <c r="I149" s="29" t="n"/>
      <c r="J149" s="32">
        <f>IF(R149&lt;&gt;1,"",IF(ISNUMBER(D149),INT(D149)+IF(ISNUMBER(E149),INT(E149),DefTerms),""))</f>
        <v/>
      </c>
      <c r="K149" s="35">
        <f>IF(R149&lt;&gt;1,"",IF(ISNUMBER(H149),0,IF(AND(A149&lt;&gt;"",ISNUMBER(MATCH(A149,CustName,0))),IF(ISNUMBER(INDEX(CustLate,MATCH(A149,CustName,0))),INT(INDEX(CustLate,MATCH(A149,CustName,0))),DefLate),DefLate)))</f>
        <v/>
      </c>
      <c r="L149" s="32">
        <f>IF(R149&lt;&gt;1,"",IF(ISNUMBER(H149),INT(H149),J149+K149)+StressDays)</f>
        <v/>
      </c>
      <c r="M149" s="21">
        <f>IF(R149&lt;&gt;1,0,F149-N(G149))</f>
        <v/>
      </c>
      <c r="N149" s="35">
        <f>IF(OR(R149&lt;&gt;1,M149&lt;=0),"",IF(I149="Yes","",IF(L149&lt;W1,IF(OverdueW1="No","",1),IF(L149&lt;=W1+90,INT((L149-W1)/7)+1,""))))</f>
        <v/>
      </c>
      <c r="O149" s="36">
        <f>IF(ISNUMBER(N149),M149*CollectPct,0)</f>
        <v/>
      </c>
      <c r="P149" s="10">
        <f>IF(R149="","",IF(R149=0,"Not counted",IF(M149&lt;=0,"Paid",IF(I149="Yes","Doubtful (left out)",IF(L149&lt;W1,IF(OverdueW1="No","Overdue (left out)","Overdue → Week 1"),IF(L149&lt;=W1+90,"Week "&amp;N149,"After Week 13"))))))</f>
        <v/>
      </c>
      <c r="Q149" s="10">
        <f>IF(R149="","",IF(R149=0,IF(NOT(ISNUMBER(F149)),"Fix: amount missing",IF(F149&lt;=0,"Fix: amount must be above 0",IF(AND(NOT(ISNUMBER(D149)),NOT(ISNUMBER(H149))),"Fix: add an invoice date or a promised date",IF(AND(D149&lt;&gt;"",NOT(ISNUMBER(D149))),"Fix: invoice date isn't a date",IF(AND(E149&lt;&gt;"",NOT(ISNUMBER(E149))),"Fix: terms must be a number",IF(AND(G149&lt;&gt;"",NOT(ISNUMBER(G149))),"Fix: received must be a number",IF(AND(H149&lt;&gt;"",NOT(ISNUMBER(H149))),"Fix: promised date isn't a date","Fix: received is more than the amount"))))))),IF(AND(C149&lt;&gt;"",ISNUMBER(MATCH(C149,InCats,0))),"OK","Category not on Settings (counted as Other)")))</f>
        <v/>
      </c>
      <c r="R149">
        <f>IF(COUNTA(A149:I149)=0,"",IF(AND(ISNUMBER(F149),F149&gt;0,OR(ISNUMBER(D149),ISNUMBER(H149)),OR(D149="",ISNUMBER(D149)),OR(E149="",ISNUMBER(E149)),OR(G149="",ISNUMBER(G149)),OR(H149="",ISNUMBER(H149))),IF(N(G149)&gt;F149,0,1),0))</f>
        <v/>
      </c>
    </row>
    <row r="150">
      <c r="A150" s="29" t="n"/>
      <c r="B150" s="29" t="n"/>
      <c r="C150" s="29" t="n"/>
      <c r="D150" s="24" t="n"/>
      <c r="E150" s="26" t="n"/>
      <c r="F150" s="34" t="n"/>
      <c r="G150" s="34" t="n"/>
      <c r="H150" s="24" t="n"/>
      <c r="I150" s="29" t="n"/>
      <c r="J150" s="32">
        <f>IF(R150&lt;&gt;1,"",IF(ISNUMBER(D150),INT(D150)+IF(ISNUMBER(E150),INT(E150),DefTerms),""))</f>
        <v/>
      </c>
      <c r="K150" s="35">
        <f>IF(R150&lt;&gt;1,"",IF(ISNUMBER(H150),0,IF(AND(A150&lt;&gt;"",ISNUMBER(MATCH(A150,CustName,0))),IF(ISNUMBER(INDEX(CustLate,MATCH(A150,CustName,0))),INT(INDEX(CustLate,MATCH(A150,CustName,0))),DefLate),DefLate)))</f>
        <v/>
      </c>
      <c r="L150" s="32">
        <f>IF(R150&lt;&gt;1,"",IF(ISNUMBER(H150),INT(H150),J150+K150)+StressDays)</f>
        <v/>
      </c>
      <c r="M150" s="21">
        <f>IF(R150&lt;&gt;1,0,F150-N(G150))</f>
        <v/>
      </c>
      <c r="N150" s="35">
        <f>IF(OR(R150&lt;&gt;1,M150&lt;=0),"",IF(I150="Yes","",IF(L150&lt;W1,IF(OverdueW1="No","",1),IF(L150&lt;=W1+90,INT((L150-W1)/7)+1,""))))</f>
        <v/>
      </c>
      <c r="O150" s="36">
        <f>IF(ISNUMBER(N150),M150*CollectPct,0)</f>
        <v/>
      </c>
      <c r="P150" s="10">
        <f>IF(R150="","",IF(R150=0,"Not counted",IF(M150&lt;=0,"Paid",IF(I150="Yes","Doubtful (left out)",IF(L150&lt;W1,IF(OverdueW1="No","Overdue (left out)","Overdue → Week 1"),IF(L150&lt;=W1+90,"Week "&amp;N150,"After Week 13"))))))</f>
        <v/>
      </c>
      <c r="Q150" s="10">
        <f>IF(R150="","",IF(R150=0,IF(NOT(ISNUMBER(F150)),"Fix: amount missing",IF(F150&lt;=0,"Fix: amount must be above 0",IF(AND(NOT(ISNUMBER(D150)),NOT(ISNUMBER(H150))),"Fix: add an invoice date or a promised date",IF(AND(D150&lt;&gt;"",NOT(ISNUMBER(D150))),"Fix: invoice date isn't a date",IF(AND(E150&lt;&gt;"",NOT(ISNUMBER(E150))),"Fix: terms must be a number",IF(AND(G150&lt;&gt;"",NOT(ISNUMBER(G150))),"Fix: received must be a number",IF(AND(H150&lt;&gt;"",NOT(ISNUMBER(H150))),"Fix: promised date isn't a date","Fix: received is more than the amount"))))))),IF(AND(C150&lt;&gt;"",ISNUMBER(MATCH(C150,InCats,0))),"OK","Category not on Settings (counted as Other)")))</f>
        <v/>
      </c>
      <c r="R150">
        <f>IF(COUNTA(A150:I150)=0,"",IF(AND(ISNUMBER(F150),F150&gt;0,OR(ISNUMBER(D150),ISNUMBER(H150)),OR(D150="",ISNUMBER(D150)),OR(E150="",ISNUMBER(E150)),OR(G150="",ISNUMBER(G150)),OR(H150="",ISNUMBER(H150))),IF(N(G150)&gt;F150,0,1),0))</f>
        <v/>
      </c>
    </row>
    <row r="151">
      <c r="A151" s="29" t="n"/>
      <c r="B151" s="29" t="n"/>
      <c r="C151" s="29" t="n"/>
      <c r="D151" s="24" t="n"/>
      <c r="E151" s="26" t="n"/>
      <c r="F151" s="34" t="n"/>
      <c r="G151" s="34" t="n"/>
      <c r="H151" s="24" t="n"/>
      <c r="I151" s="29" t="n"/>
      <c r="J151" s="32">
        <f>IF(R151&lt;&gt;1,"",IF(ISNUMBER(D151),INT(D151)+IF(ISNUMBER(E151),INT(E151),DefTerms),""))</f>
        <v/>
      </c>
      <c r="K151" s="35">
        <f>IF(R151&lt;&gt;1,"",IF(ISNUMBER(H151),0,IF(AND(A151&lt;&gt;"",ISNUMBER(MATCH(A151,CustName,0))),IF(ISNUMBER(INDEX(CustLate,MATCH(A151,CustName,0))),INT(INDEX(CustLate,MATCH(A151,CustName,0))),DefLate),DefLate)))</f>
        <v/>
      </c>
      <c r="L151" s="32">
        <f>IF(R151&lt;&gt;1,"",IF(ISNUMBER(H151),INT(H151),J151+K151)+StressDays)</f>
        <v/>
      </c>
      <c r="M151" s="21">
        <f>IF(R151&lt;&gt;1,0,F151-N(G151))</f>
        <v/>
      </c>
      <c r="N151" s="35">
        <f>IF(OR(R151&lt;&gt;1,M151&lt;=0),"",IF(I151="Yes","",IF(L151&lt;W1,IF(OverdueW1="No","",1),IF(L151&lt;=W1+90,INT((L151-W1)/7)+1,""))))</f>
        <v/>
      </c>
      <c r="O151" s="36">
        <f>IF(ISNUMBER(N151),M151*CollectPct,0)</f>
        <v/>
      </c>
      <c r="P151" s="10">
        <f>IF(R151="","",IF(R151=0,"Not counted",IF(M151&lt;=0,"Paid",IF(I151="Yes","Doubtful (left out)",IF(L151&lt;W1,IF(OverdueW1="No","Overdue (left out)","Overdue → Week 1"),IF(L151&lt;=W1+90,"Week "&amp;N151,"After Week 13"))))))</f>
        <v/>
      </c>
      <c r="Q151" s="10">
        <f>IF(R151="","",IF(R151=0,IF(NOT(ISNUMBER(F151)),"Fix: amount missing",IF(F151&lt;=0,"Fix: amount must be above 0",IF(AND(NOT(ISNUMBER(D151)),NOT(ISNUMBER(H151))),"Fix: add an invoice date or a promised date",IF(AND(D151&lt;&gt;"",NOT(ISNUMBER(D151))),"Fix: invoice date isn't a date",IF(AND(E151&lt;&gt;"",NOT(ISNUMBER(E151))),"Fix: terms must be a number",IF(AND(G151&lt;&gt;"",NOT(ISNUMBER(G151))),"Fix: received must be a number",IF(AND(H151&lt;&gt;"",NOT(ISNUMBER(H151))),"Fix: promised date isn't a date","Fix: received is more than the amount"))))))),IF(AND(C151&lt;&gt;"",ISNUMBER(MATCH(C151,InCats,0))),"OK","Category not on Settings (counted as Other)")))</f>
        <v/>
      </c>
      <c r="R151">
        <f>IF(COUNTA(A151:I151)=0,"",IF(AND(ISNUMBER(F151),F151&gt;0,OR(ISNUMBER(D151),ISNUMBER(H151)),OR(D151="",ISNUMBER(D151)),OR(E151="",ISNUMBER(E151)),OR(G151="",ISNUMBER(G151)),OR(H151="",ISNUMBER(H151))),IF(N(G151)&gt;F151,0,1),0))</f>
        <v/>
      </c>
    </row>
    <row r="152">
      <c r="A152" s="29" t="n"/>
      <c r="B152" s="29" t="n"/>
      <c r="C152" s="29" t="n"/>
      <c r="D152" s="24" t="n"/>
      <c r="E152" s="26" t="n"/>
      <c r="F152" s="34" t="n"/>
      <c r="G152" s="34" t="n"/>
      <c r="H152" s="24" t="n"/>
      <c r="I152" s="29" t="n"/>
      <c r="J152" s="32">
        <f>IF(R152&lt;&gt;1,"",IF(ISNUMBER(D152),INT(D152)+IF(ISNUMBER(E152),INT(E152),DefTerms),""))</f>
        <v/>
      </c>
      <c r="K152" s="35">
        <f>IF(R152&lt;&gt;1,"",IF(ISNUMBER(H152),0,IF(AND(A152&lt;&gt;"",ISNUMBER(MATCH(A152,CustName,0))),IF(ISNUMBER(INDEX(CustLate,MATCH(A152,CustName,0))),INT(INDEX(CustLate,MATCH(A152,CustName,0))),DefLate),DefLate)))</f>
        <v/>
      </c>
      <c r="L152" s="32">
        <f>IF(R152&lt;&gt;1,"",IF(ISNUMBER(H152),INT(H152),J152+K152)+StressDays)</f>
        <v/>
      </c>
      <c r="M152" s="21">
        <f>IF(R152&lt;&gt;1,0,F152-N(G152))</f>
        <v/>
      </c>
      <c r="N152" s="35">
        <f>IF(OR(R152&lt;&gt;1,M152&lt;=0),"",IF(I152="Yes","",IF(L152&lt;W1,IF(OverdueW1="No","",1),IF(L152&lt;=W1+90,INT((L152-W1)/7)+1,""))))</f>
        <v/>
      </c>
      <c r="O152" s="36">
        <f>IF(ISNUMBER(N152),M152*CollectPct,0)</f>
        <v/>
      </c>
      <c r="P152" s="10">
        <f>IF(R152="","",IF(R152=0,"Not counted",IF(M152&lt;=0,"Paid",IF(I152="Yes","Doubtful (left out)",IF(L152&lt;W1,IF(OverdueW1="No","Overdue (left out)","Overdue → Week 1"),IF(L152&lt;=W1+90,"Week "&amp;N152,"After Week 13"))))))</f>
        <v/>
      </c>
      <c r="Q152" s="10">
        <f>IF(R152="","",IF(R152=0,IF(NOT(ISNUMBER(F152)),"Fix: amount missing",IF(F152&lt;=0,"Fix: amount must be above 0",IF(AND(NOT(ISNUMBER(D152)),NOT(ISNUMBER(H152))),"Fix: add an invoice date or a promised date",IF(AND(D152&lt;&gt;"",NOT(ISNUMBER(D152))),"Fix: invoice date isn't a date",IF(AND(E152&lt;&gt;"",NOT(ISNUMBER(E152))),"Fix: terms must be a number",IF(AND(G152&lt;&gt;"",NOT(ISNUMBER(G152))),"Fix: received must be a number",IF(AND(H152&lt;&gt;"",NOT(ISNUMBER(H152))),"Fix: promised date isn't a date","Fix: received is more than the amount"))))))),IF(AND(C152&lt;&gt;"",ISNUMBER(MATCH(C152,InCats,0))),"OK","Category not on Settings (counted as Other)")))</f>
        <v/>
      </c>
      <c r="R152">
        <f>IF(COUNTA(A152:I152)=0,"",IF(AND(ISNUMBER(F152),F152&gt;0,OR(ISNUMBER(D152),ISNUMBER(H152)),OR(D152="",ISNUMBER(D152)),OR(E152="",ISNUMBER(E152)),OR(G152="",ISNUMBER(G152)),OR(H152="",ISNUMBER(H152))),IF(N(G152)&gt;F152,0,1),0))</f>
        <v/>
      </c>
    </row>
    <row r="153">
      <c r="A153" s="29" t="n"/>
      <c r="B153" s="29" t="n"/>
      <c r="C153" s="29" t="n"/>
      <c r="D153" s="24" t="n"/>
      <c r="E153" s="26" t="n"/>
      <c r="F153" s="34" t="n"/>
      <c r="G153" s="34" t="n"/>
      <c r="H153" s="24" t="n"/>
      <c r="I153" s="29" t="n"/>
      <c r="J153" s="32">
        <f>IF(R153&lt;&gt;1,"",IF(ISNUMBER(D153),INT(D153)+IF(ISNUMBER(E153),INT(E153),DefTerms),""))</f>
        <v/>
      </c>
      <c r="K153" s="35">
        <f>IF(R153&lt;&gt;1,"",IF(ISNUMBER(H153),0,IF(AND(A153&lt;&gt;"",ISNUMBER(MATCH(A153,CustName,0))),IF(ISNUMBER(INDEX(CustLate,MATCH(A153,CustName,0))),INT(INDEX(CustLate,MATCH(A153,CustName,0))),DefLate),DefLate)))</f>
        <v/>
      </c>
      <c r="L153" s="32">
        <f>IF(R153&lt;&gt;1,"",IF(ISNUMBER(H153),INT(H153),J153+K153)+StressDays)</f>
        <v/>
      </c>
      <c r="M153" s="21">
        <f>IF(R153&lt;&gt;1,0,F153-N(G153))</f>
        <v/>
      </c>
      <c r="N153" s="35">
        <f>IF(OR(R153&lt;&gt;1,M153&lt;=0),"",IF(I153="Yes","",IF(L153&lt;W1,IF(OverdueW1="No","",1),IF(L153&lt;=W1+90,INT((L153-W1)/7)+1,""))))</f>
        <v/>
      </c>
      <c r="O153" s="36">
        <f>IF(ISNUMBER(N153),M153*CollectPct,0)</f>
        <v/>
      </c>
      <c r="P153" s="10">
        <f>IF(R153="","",IF(R153=0,"Not counted",IF(M153&lt;=0,"Paid",IF(I153="Yes","Doubtful (left out)",IF(L153&lt;W1,IF(OverdueW1="No","Overdue (left out)","Overdue → Week 1"),IF(L153&lt;=W1+90,"Week "&amp;N153,"After Week 13"))))))</f>
        <v/>
      </c>
      <c r="Q153" s="10">
        <f>IF(R153="","",IF(R153=0,IF(NOT(ISNUMBER(F153)),"Fix: amount missing",IF(F153&lt;=0,"Fix: amount must be above 0",IF(AND(NOT(ISNUMBER(D153)),NOT(ISNUMBER(H153))),"Fix: add an invoice date or a promised date",IF(AND(D153&lt;&gt;"",NOT(ISNUMBER(D153))),"Fix: invoice date isn't a date",IF(AND(E153&lt;&gt;"",NOT(ISNUMBER(E153))),"Fix: terms must be a number",IF(AND(G153&lt;&gt;"",NOT(ISNUMBER(G153))),"Fix: received must be a number",IF(AND(H153&lt;&gt;"",NOT(ISNUMBER(H153))),"Fix: promised date isn't a date","Fix: received is more than the amount"))))))),IF(AND(C153&lt;&gt;"",ISNUMBER(MATCH(C153,InCats,0))),"OK","Category not on Settings (counted as Other)")))</f>
        <v/>
      </c>
      <c r="R153">
        <f>IF(COUNTA(A153:I153)=0,"",IF(AND(ISNUMBER(F153),F153&gt;0,OR(ISNUMBER(D153),ISNUMBER(H153)),OR(D153="",ISNUMBER(D153)),OR(E153="",ISNUMBER(E153)),OR(G153="",ISNUMBER(G153)),OR(H153="",ISNUMBER(H153))),IF(N(G153)&gt;F153,0,1),0))</f>
        <v/>
      </c>
    </row>
    <row r="154">
      <c r="A154" s="29" t="n"/>
      <c r="B154" s="29" t="n"/>
      <c r="C154" s="29" t="n"/>
      <c r="D154" s="24" t="n"/>
      <c r="E154" s="26" t="n"/>
      <c r="F154" s="34" t="n"/>
      <c r="G154" s="34" t="n"/>
      <c r="H154" s="24" t="n"/>
      <c r="I154" s="29" t="n"/>
      <c r="J154" s="32">
        <f>IF(R154&lt;&gt;1,"",IF(ISNUMBER(D154),INT(D154)+IF(ISNUMBER(E154),INT(E154),DefTerms),""))</f>
        <v/>
      </c>
      <c r="K154" s="35">
        <f>IF(R154&lt;&gt;1,"",IF(ISNUMBER(H154),0,IF(AND(A154&lt;&gt;"",ISNUMBER(MATCH(A154,CustName,0))),IF(ISNUMBER(INDEX(CustLate,MATCH(A154,CustName,0))),INT(INDEX(CustLate,MATCH(A154,CustName,0))),DefLate),DefLate)))</f>
        <v/>
      </c>
      <c r="L154" s="32">
        <f>IF(R154&lt;&gt;1,"",IF(ISNUMBER(H154),INT(H154),J154+K154)+StressDays)</f>
        <v/>
      </c>
      <c r="M154" s="21">
        <f>IF(R154&lt;&gt;1,0,F154-N(G154))</f>
        <v/>
      </c>
      <c r="N154" s="35">
        <f>IF(OR(R154&lt;&gt;1,M154&lt;=0),"",IF(I154="Yes","",IF(L154&lt;W1,IF(OverdueW1="No","",1),IF(L154&lt;=W1+90,INT((L154-W1)/7)+1,""))))</f>
        <v/>
      </c>
      <c r="O154" s="36">
        <f>IF(ISNUMBER(N154),M154*CollectPct,0)</f>
        <v/>
      </c>
      <c r="P154" s="10">
        <f>IF(R154="","",IF(R154=0,"Not counted",IF(M154&lt;=0,"Paid",IF(I154="Yes","Doubtful (left out)",IF(L154&lt;W1,IF(OverdueW1="No","Overdue (left out)","Overdue → Week 1"),IF(L154&lt;=W1+90,"Week "&amp;N154,"After Week 13"))))))</f>
        <v/>
      </c>
      <c r="Q154" s="10">
        <f>IF(R154="","",IF(R154=0,IF(NOT(ISNUMBER(F154)),"Fix: amount missing",IF(F154&lt;=0,"Fix: amount must be above 0",IF(AND(NOT(ISNUMBER(D154)),NOT(ISNUMBER(H154))),"Fix: add an invoice date or a promised date",IF(AND(D154&lt;&gt;"",NOT(ISNUMBER(D154))),"Fix: invoice date isn't a date",IF(AND(E154&lt;&gt;"",NOT(ISNUMBER(E154))),"Fix: terms must be a number",IF(AND(G154&lt;&gt;"",NOT(ISNUMBER(G154))),"Fix: received must be a number",IF(AND(H154&lt;&gt;"",NOT(ISNUMBER(H154))),"Fix: promised date isn't a date","Fix: received is more than the amount"))))))),IF(AND(C154&lt;&gt;"",ISNUMBER(MATCH(C154,InCats,0))),"OK","Category not on Settings (counted as Other)")))</f>
        <v/>
      </c>
      <c r="R154">
        <f>IF(COUNTA(A154:I154)=0,"",IF(AND(ISNUMBER(F154),F154&gt;0,OR(ISNUMBER(D154),ISNUMBER(H154)),OR(D154="",ISNUMBER(D154)),OR(E154="",ISNUMBER(E154)),OR(G154="",ISNUMBER(G154)),OR(H154="",ISNUMBER(H154))),IF(N(G154)&gt;F154,0,1),0))</f>
        <v/>
      </c>
    </row>
    <row r="155">
      <c r="A155" s="29" t="n"/>
      <c r="B155" s="29" t="n"/>
      <c r="C155" s="29" t="n"/>
      <c r="D155" s="24" t="n"/>
      <c r="E155" s="26" t="n"/>
      <c r="F155" s="34" t="n"/>
      <c r="G155" s="34" t="n"/>
      <c r="H155" s="24" t="n"/>
      <c r="I155" s="29" t="n"/>
      <c r="J155" s="32">
        <f>IF(R155&lt;&gt;1,"",IF(ISNUMBER(D155),INT(D155)+IF(ISNUMBER(E155),INT(E155),DefTerms),""))</f>
        <v/>
      </c>
      <c r="K155" s="35">
        <f>IF(R155&lt;&gt;1,"",IF(ISNUMBER(H155),0,IF(AND(A155&lt;&gt;"",ISNUMBER(MATCH(A155,CustName,0))),IF(ISNUMBER(INDEX(CustLate,MATCH(A155,CustName,0))),INT(INDEX(CustLate,MATCH(A155,CustName,0))),DefLate),DefLate)))</f>
        <v/>
      </c>
      <c r="L155" s="32">
        <f>IF(R155&lt;&gt;1,"",IF(ISNUMBER(H155),INT(H155),J155+K155)+StressDays)</f>
        <v/>
      </c>
      <c r="M155" s="21">
        <f>IF(R155&lt;&gt;1,0,F155-N(G155))</f>
        <v/>
      </c>
      <c r="N155" s="35">
        <f>IF(OR(R155&lt;&gt;1,M155&lt;=0),"",IF(I155="Yes","",IF(L155&lt;W1,IF(OverdueW1="No","",1),IF(L155&lt;=W1+90,INT((L155-W1)/7)+1,""))))</f>
        <v/>
      </c>
      <c r="O155" s="36">
        <f>IF(ISNUMBER(N155),M155*CollectPct,0)</f>
        <v/>
      </c>
      <c r="P155" s="10">
        <f>IF(R155="","",IF(R155=0,"Not counted",IF(M155&lt;=0,"Paid",IF(I155="Yes","Doubtful (left out)",IF(L155&lt;W1,IF(OverdueW1="No","Overdue (left out)","Overdue → Week 1"),IF(L155&lt;=W1+90,"Week "&amp;N155,"After Week 13"))))))</f>
        <v/>
      </c>
      <c r="Q155" s="10">
        <f>IF(R155="","",IF(R155=0,IF(NOT(ISNUMBER(F155)),"Fix: amount missing",IF(F155&lt;=0,"Fix: amount must be above 0",IF(AND(NOT(ISNUMBER(D155)),NOT(ISNUMBER(H155))),"Fix: add an invoice date or a promised date",IF(AND(D155&lt;&gt;"",NOT(ISNUMBER(D155))),"Fix: invoice date isn't a date",IF(AND(E155&lt;&gt;"",NOT(ISNUMBER(E155))),"Fix: terms must be a number",IF(AND(G155&lt;&gt;"",NOT(ISNUMBER(G155))),"Fix: received must be a number",IF(AND(H155&lt;&gt;"",NOT(ISNUMBER(H155))),"Fix: promised date isn't a date","Fix: received is more than the amount"))))))),IF(AND(C155&lt;&gt;"",ISNUMBER(MATCH(C155,InCats,0))),"OK","Category not on Settings (counted as Other)")))</f>
        <v/>
      </c>
      <c r="R155">
        <f>IF(COUNTA(A155:I155)=0,"",IF(AND(ISNUMBER(F155),F155&gt;0,OR(ISNUMBER(D155),ISNUMBER(H155)),OR(D155="",ISNUMBER(D155)),OR(E155="",ISNUMBER(E155)),OR(G155="",ISNUMBER(G155)),OR(H155="",ISNUMBER(H155))),IF(N(G155)&gt;F155,0,1),0))</f>
        <v/>
      </c>
    </row>
    <row r="156">
      <c r="A156" s="29" t="n"/>
      <c r="B156" s="29" t="n"/>
      <c r="C156" s="29" t="n"/>
      <c r="D156" s="24" t="n"/>
      <c r="E156" s="26" t="n"/>
      <c r="F156" s="34" t="n"/>
      <c r="G156" s="34" t="n"/>
      <c r="H156" s="24" t="n"/>
      <c r="I156" s="29" t="n"/>
      <c r="J156" s="32">
        <f>IF(R156&lt;&gt;1,"",IF(ISNUMBER(D156),INT(D156)+IF(ISNUMBER(E156),INT(E156),DefTerms),""))</f>
        <v/>
      </c>
      <c r="K156" s="35">
        <f>IF(R156&lt;&gt;1,"",IF(ISNUMBER(H156),0,IF(AND(A156&lt;&gt;"",ISNUMBER(MATCH(A156,CustName,0))),IF(ISNUMBER(INDEX(CustLate,MATCH(A156,CustName,0))),INT(INDEX(CustLate,MATCH(A156,CustName,0))),DefLate),DefLate)))</f>
        <v/>
      </c>
      <c r="L156" s="32">
        <f>IF(R156&lt;&gt;1,"",IF(ISNUMBER(H156),INT(H156),J156+K156)+StressDays)</f>
        <v/>
      </c>
      <c r="M156" s="21">
        <f>IF(R156&lt;&gt;1,0,F156-N(G156))</f>
        <v/>
      </c>
      <c r="N156" s="35">
        <f>IF(OR(R156&lt;&gt;1,M156&lt;=0),"",IF(I156="Yes","",IF(L156&lt;W1,IF(OverdueW1="No","",1),IF(L156&lt;=W1+90,INT((L156-W1)/7)+1,""))))</f>
        <v/>
      </c>
      <c r="O156" s="36">
        <f>IF(ISNUMBER(N156),M156*CollectPct,0)</f>
        <v/>
      </c>
      <c r="P156" s="10">
        <f>IF(R156="","",IF(R156=0,"Not counted",IF(M156&lt;=0,"Paid",IF(I156="Yes","Doubtful (left out)",IF(L156&lt;W1,IF(OverdueW1="No","Overdue (left out)","Overdue → Week 1"),IF(L156&lt;=W1+90,"Week "&amp;N156,"After Week 13"))))))</f>
        <v/>
      </c>
      <c r="Q156" s="10">
        <f>IF(R156="","",IF(R156=0,IF(NOT(ISNUMBER(F156)),"Fix: amount missing",IF(F156&lt;=0,"Fix: amount must be above 0",IF(AND(NOT(ISNUMBER(D156)),NOT(ISNUMBER(H156))),"Fix: add an invoice date or a promised date",IF(AND(D156&lt;&gt;"",NOT(ISNUMBER(D156))),"Fix: invoice date isn't a date",IF(AND(E156&lt;&gt;"",NOT(ISNUMBER(E156))),"Fix: terms must be a number",IF(AND(G156&lt;&gt;"",NOT(ISNUMBER(G156))),"Fix: received must be a number",IF(AND(H156&lt;&gt;"",NOT(ISNUMBER(H156))),"Fix: promised date isn't a date","Fix: received is more than the amount"))))))),IF(AND(C156&lt;&gt;"",ISNUMBER(MATCH(C156,InCats,0))),"OK","Category not on Settings (counted as Other)")))</f>
        <v/>
      </c>
      <c r="R156">
        <f>IF(COUNTA(A156:I156)=0,"",IF(AND(ISNUMBER(F156),F156&gt;0,OR(ISNUMBER(D156),ISNUMBER(H156)),OR(D156="",ISNUMBER(D156)),OR(E156="",ISNUMBER(E156)),OR(G156="",ISNUMBER(G156)),OR(H156="",ISNUMBER(H156))),IF(N(G156)&gt;F156,0,1),0))</f>
        <v/>
      </c>
    </row>
    <row r="157">
      <c r="A157" s="29" t="n"/>
      <c r="B157" s="29" t="n"/>
      <c r="C157" s="29" t="n"/>
      <c r="D157" s="24" t="n"/>
      <c r="E157" s="26" t="n"/>
      <c r="F157" s="34" t="n"/>
      <c r="G157" s="34" t="n"/>
      <c r="H157" s="24" t="n"/>
      <c r="I157" s="29" t="n"/>
      <c r="J157" s="32">
        <f>IF(R157&lt;&gt;1,"",IF(ISNUMBER(D157),INT(D157)+IF(ISNUMBER(E157),INT(E157),DefTerms),""))</f>
        <v/>
      </c>
      <c r="K157" s="35">
        <f>IF(R157&lt;&gt;1,"",IF(ISNUMBER(H157),0,IF(AND(A157&lt;&gt;"",ISNUMBER(MATCH(A157,CustName,0))),IF(ISNUMBER(INDEX(CustLate,MATCH(A157,CustName,0))),INT(INDEX(CustLate,MATCH(A157,CustName,0))),DefLate),DefLate)))</f>
        <v/>
      </c>
      <c r="L157" s="32">
        <f>IF(R157&lt;&gt;1,"",IF(ISNUMBER(H157),INT(H157),J157+K157)+StressDays)</f>
        <v/>
      </c>
      <c r="M157" s="21">
        <f>IF(R157&lt;&gt;1,0,F157-N(G157))</f>
        <v/>
      </c>
      <c r="N157" s="35">
        <f>IF(OR(R157&lt;&gt;1,M157&lt;=0),"",IF(I157="Yes","",IF(L157&lt;W1,IF(OverdueW1="No","",1),IF(L157&lt;=W1+90,INT((L157-W1)/7)+1,""))))</f>
        <v/>
      </c>
      <c r="O157" s="36">
        <f>IF(ISNUMBER(N157),M157*CollectPct,0)</f>
        <v/>
      </c>
      <c r="P157" s="10">
        <f>IF(R157="","",IF(R157=0,"Not counted",IF(M157&lt;=0,"Paid",IF(I157="Yes","Doubtful (left out)",IF(L157&lt;W1,IF(OverdueW1="No","Overdue (left out)","Overdue → Week 1"),IF(L157&lt;=W1+90,"Week "&amp;N157,"After Week 13"))))))</f>
        <v/>
      </c>
      <c r="Q157" s="10">
        <f>IF(R157="","",IF(R157=0,IF(NOT(ISNUMBER(F157)),"Fix: amount missing",IF(F157&lt;=0,"Fix: amount must be above 0",IF(AND(NOT(ISNUMBER(D157)),NOT(ISNUMBER(H157))),"Fix: add an invoice date or a promised date",IF(AND(D157&lt;&gt;"",NOT(ISNUMBER(D157))),"Fix: invoice date isn't a date",IF(AND(E157&lt;&gt;"",NOT(ISNUMBER(E157))),"Fix: terms must be a number",IF(AND(G157&lt;&gt;"",NOT(ISNUMBER(G157))),"Fix: received must be a number",IF(AND(H157&lt;&gt;"",NOT(ISNUMBER(H157))),"Fix: promised date isn't a date","Fix: received is more than the amount"))))))),IF(AND(C157&lt;&gt;"",ISNUMBER(MATCH(C157,InCats,0))),"OK","Category not on Settings (counted as Other)")))</f>
        <v/>
      </c>
      <c r="R157">
        <f>IF(COUNTA(A157:I157)=0,"",IF(AND(ISNUMBER(F157),F157&gt;0,OR(ISNUMBER(D157),ISNUMBER(H157)),OR(D157="",ISNUMBER(D157)),OR(E157="",ISNUMBER(E157)),OR(G157="",ISNUMBER(G157)),OR(H157="",ISNUMBER(H157))),IF(N(G157)&gt;F157,0,1),0))</f>
        <v/>
      </c>
    </row>
    <row r="158">
      <c r="A158" s="29" t="n"/>
      <c r="B158" s="29" t="n"/>
      <c r="C158" s="29" t="n"/>
      <c r="D158" s="24" t="n"/>
      <c r="E158" s="26" t="n"/>
      <c r="F158" s="34" t="n"/>
      <c r="G158" s="34" t="n"/>
      <c r="H158" s="24" t="n"/>
      <c r="I158" s="29" t="n"/>
      <c r="J158" s="32">
        <f>IF(R158&lt;&gt;1,"",IF(ISNUMBER(D158),INT(D158)+IF(ISNUMBER(E158),INT(E158),DefTerms),""))</f>
        <v/>
      </c>
      <c r="K158" s="35">
        <f>IF(R158&lt;&gt;1,"",IF(ISNUMBER(H158),0,IF(AND(A158&lt;&gt;"",ISNUMBER(MATCH(A158,CustName,0))),IF(ISNUMBER(INDEX(CustLate,MATCH(A158,CustName,0))),INT(INDEX(CustLate,MATCH(A158,CustName,0))),DefLate),DefLate)))</f>
        <v/>
      </c>
      <c r="L158" s="32">
        <f>IF(R158&lt;&gt;1,"",IF(ISNUMBER(H158),INT(H158),J158+K158)+StressDays)</f>
        <v/>
      </c>
      <c r="M158" s="21">
        <f>IF(R158&lt;&gt;1,0,F158-N(G158))</f>
        <v/>
      </c>
      <c r="N158" s="35">
        <f>IF(OR(R158&lt;&gt;1,M158&lt;=0),"",IF(I158="Yes","",IF(L158&lt;W1,IF(OverdueW1="No","",1),IF(L158&lt;=W1+90,INT((L158-W1)/7)+1,""))))</f>
        <v/>
      </c>
      <c r="O158" s="36">
        <f>IF(ISNUMBER(N158),M158*CollectPct,0)</f>
        <v/>
      </c>
      <c r="P158" s="10">
        <f>IF(R158="","",IF(R158=0,"Not counted",IF(M158&lt;=0,"Paid",IF(I158="Yes","Doubtful (left out)",IF(L158&lt;W1,IF(OverdueW1="No","Overdue (left out)","Overdue → Week 1"),IF(L158&lt;=W1+90,"Week "&amp;N158,"After Week 13"))))))</f>
        <v/>
      </c>
      <c r="Q158" s="10">
        <f>IF(R158="","",IF(R158=0,IF(NOT(ISNUMBER(F158)),"Fix: amount missing",IF(F158&lt;=0,"Fix: amount must be above 0",IF(AND(NOT(ISNUMBER(D158)),NOT(ISNUMBER(H158))),"Fix: add an invoice date or a promised date",IF(AND(D158&lt;&gt;"",NOT(ISNUMBER(D158))),"Fix: invoice date isn't a date",IF(AND(E158&lt;&gt;"",NOT(ISNUMBER(E158))),"Fix: terms must be a number",IF(AND(G158&lt;&gt;"",NOT(ISNUMBER(G158))),"Fix: received must be a number",IF(AND(H158&lt;&gt;"",NOT(ISNUMBER(H158))),"Fix: promised date isn't a date","Fix: received is more than the amount"))))))),IF(AND(C158&lt;&gt;"",ISNUMBER(MATCH(C158,InCats,0))),"OK","Category not on Settings (counted as Other)")))</f>
        <v/>
      </c>
      <c r="R158">
        <f>IF(COUNTA(A158:I158)=0,"",IF(AND(ISNUMBER(F158),F158&gt;0,OR(ISNUMBER(D158),ISNUMBER(H158)),OR(D158="",ISNUMBER(D158)),OR(E158="",ISNUMBER(E158)),OR(G158="",ISNUMBER(G158)),OR(H158="",ISNUMBER(H158))),IF(N(G158)&gt;F158,0,1),0))</f>
        <v/>
      </c>
    </row>
    <row r="159">
      <c r="A159" s="29" t="n"/>
      <c r="B159" s="29" t="n"/>
      <c r="C159" s="29" t="n"/>
      <c r="D159" s="24" t="n"/>
      <c r="E159" s="26" t="n"/>
      <c r="F159" s="34" t="n"/>
      <c r="G159" s="34" t="n"/>
      <c r="H159" s="24" t="n"/>
      <c r="I159" s="29" t="n"/>
      <c r="J159" s="32">
        <f>IF(R159&lt;&gt;1,"",IF(ISNUMBER(D159),INT(D159)+IF(ISNUMBER(E159),INT(E159),DefTerms),""))</f>
        <v/>
      </c>
      <c r="K159" s="35">
        <f>IF(R159&lt;&gt;1,"",IF(ISNUMBER(H159),0,IF(AND(A159&lt;&gt;"",ISNUMBER(MATCH(A159,CustName,0))),IF(ISNUMBER(INDEX(CustLate,MATCH(A159,CustName,0))),INT(INDEX(CustLate,MATCH(A159,CustName,0))),DefLate),DefLate)))</f>
        <v/>
      </c>
      <c r="L159" s="32">
        <f>IF(R159&lt;&gt;1,"",IF(ISNUMBER(H159),INT(H159),J159+K159)+StressDays)</f>
        <v/>
      </c>
      <c r="M159" s="21">
        <f>IF(R159&lt;&gt;1,0,F159-N(G159))</f>
        <v/>
      </c>
      <c r="N159" s="35">
        <f>IF(OR(R159&lt;&gt;1,M159&lt;=0),"",IF(I159="Yes","",IF(L159&lt;W1,IF(OverdueW1="No","",1),IF(L159&lt;=W1+90,INT((L159-W1)/7)+1,""))))</f>
        <v/>
      </c>
      <c r="O159" s="36">
        <f>IF(ISNUMBER(N159),M159*CollectPct,0)</f>
        <v/>
      </c>
      <c r="P159" s="10">
        <f>IF(R159="","",IF(R159=0,"Not counted",IF(M159&lt;=0,"Paid",IF(I159="Yes","Doubtful (left out)",IF(L159&lt;W1,IF(OverdueW1="No","Overdue (left out)","Overdue → Week 1"),IF(L159&lt;=W1+90,"Week "&amp;N159,"After Week 13"))))))</f>
        <v/>
      </c>
      <c r="Q159" s="10">
        <f>IF(R159="","",IF(R159=0,IF(NOT(ISNUMBER(F159)),"Fix: amount missing",IF(F159&lt;=0,"Fix: amount must be above 0",IF(AND(NOT(ISNUMBER(D159)),NOT(ISNUMBER(H159))),"Fix: add an invoice date or a promised date",IF(AND(D159&lt;&gt;"",NOT(ISNUMBER(D159))),"Fix: invoice date isn't a date",IF(AND(E159&lt;&gt;"",NOT(ISNUMBER(E159))),"Fix: terms must be a number",IF(AND(G159&lt;&gt;"",NOT(ISNUMBER(G159))),"Fix: received must be a number",IF(AND(H159&lt;&gt;"",NOT(ISNUMBER(H159))),"Fix: promised date isn't a date","Fix: received is more than the amount"))))))),IF(AND(C159&lt;&gt;"",ISNUMBER(MATCH(C159,InCats,0))),"OK","Category not on Settings (counted as Other)")))</f>
        <v/>
      </c>
      <c r="R159">
        <f>IF(COUNTA(A159:I159)=0,"",IF(AND(ISNUMBER(F159),F159&gt;0,OR(ISNUMBER(D159),ISNUMBER(H159)),OR(D159="",ISNUMBER(D159)),OR(E159="",ISNUMBER(E159)),OR(G159="",ISNUMBER(G159)),OR(H159="",ISNUMBER(H159))),IF(N(G159)&gt;F159,0,1),0))</f>
        <v/>
      </c>
    </row>
    <row r="160">
      <c r="A160" s="29" t="n"/>
      <c r="B160" s="29" t="n"/>
      <c r="C160" s="29" t="n"/>
      <c r="D160" s="24" t="n"/>
      <c r="E160" s="26" t="n"/>
      <c r="F160" s="34" t="n"/>
      <c r="G160" s="34" t="n"/>
      <c r="H160" s="24" t="n"/>
      <c r="I160" s="29" t="n"/>
      <c r="J160" s="32">
        <f>IF(R160&lt;&gt;1,"",IF(ISNUMBER(D160),INT(D160)+IF(ISNUMBER(E160),INT(E160),DefTerms),""))</f>
        <v/>
      </c>
      <c r="K160" s="35">
        <f>IF(R160&lt;&gt;1,"",IF(ISNUMBER(H160),0,IF(AND(A160&lt;&gt;"",ISNUMBER(MATCH(A160,CustName,0))),IF(ISNUMBER(INDEX(CustLate,MATCH(A160,CustName,0))),INT(INDEX(CustLate,MATCH(A160,CustName,0))),DefLate),DefLate)))</f>
        <v/>
      </c>
      <c r="L160" s="32">
        <f>IF(R160&lt;&gt;1,"",IF(ISNUMBER(H160),INT(H160),J160+K160)+StressDays)</f>
        <v/>
      </c>
      <c r="M160" s="21">
        <f>IF(R160&lt;&gt;1,0,F160-N(G160))</f>
        <v/>
      </c>
      <c r="N160" s="35">
        <f>IF(OR(R160&lt;&gt;1,M160&lt;=0),"",IF(I160="Yes","",IF(L160&lt;W1,IF(OverdueW1="No","",1),IF(L160&lt;=W1+90,INT((L160-W1)/7)+1,""))))</f>
        <v/>
      </c>
      <c r="O160" s="36">
        <f>IF(ISNUMBER(N160),M160*CollectPct,0)</f>
        <v/>
      </c>
      <c r="P160" s="10">
        <f>IF(R160="","",IF(R160=0,"Not counted",IF(M160&lt;=0,"Paid",IF(I160="Yes","Doubtful (left out)",IF(L160&lt;W1,IF(OverdueW1="No","Overdue (left out)","Overdue → Week 1"),IF(L160&lt;=W1+90,"Week "&amp;N160,"After Week 13"))))))</f>
        <v/>
      </c>
      <c r="Q160" s="10">
        <f>IF(R160="","",IF(R160=0,IF(NOT(ISNUMBER(F160)),"Fix: amount missing",IF(F160&lt;=0,"Fix: amount must be above 0",IF(AND(NOT(ISNUMBER(D160)),NOT(ISNUMBER(H160))),"Fix: add an invoice date or a promised date",IF(AND(D160&lt;&gt;"",NOT(ISNUMBER(D160))),"Fix: invoice date isn't a date",IF(AND(E160&lt;&gt;"",NOT(ISNUMBER(E160))),"Fix: terms must be a number",IF(AND(G160&lt;&gt;"",NOT(ISNUMBER(G160))),"Fix: received must be a number",IF(AND(H160&lt;&gt;"",NOT(ISNUMBER(H160))),"Fix: promised date isn't a date","Fix: received is more than the amount"))))))),IF(AND(C160&lt;&gt;"",ISNUMBER(MATCH(C160,InCats,0))),"OK","Category not on Settings (counted as Other)")))</f>
        <v/>
      </c>
      <c r="R160">
        <f>IF(COUNTA(A160:I160)=0,"",IF(AND(ISNUMBER(F160),F160&gt;0,OR(ISNUMBER(D160),ISNUMBER(H160)),OR(D160="",ISNUMBER(D160)),OR(E160="",ISNUMBER(E160)),OR(G160="",ISNUMBER(G160)),OR(H160="",ISNUMBER(H160))),IF(N(G160)&gt;F160,0,1),0))</f>
        <v/>
      </c>
    </row>
    <row r="161">
      <c r="A161" s="29" t="n"/>
      <c r="B161" s="29" t="n"/>
      <c r="C161" s="29" t="n"/>
      <c r="D161" s="24" t="n"/>
      <c r="E161" s="26" t="n"/>
      <c r="F161" s="34" t="n"/>
      <c r="G161" s="34" t="n"/>
      <c r="H161" s="24" t="n"/>
      <c r="I161" s="29" t="n"/>
      <c r="J161" s="32">
        <f>IF(R161&lt;&gt;1,"",IF(ISNUMBER(D161),INT(D161)+IF(ISNUMBER(E161),INT(E161),DefTerms),""))</f>
        <v/>
      </c>
      <c r="K161" s="35">
        <f>IF(R161&lt;&gt;1,"",IF(ISNUMBER(H161),0,IF(AND(A161&lt;&gt;"",ISNUMBER(MATCH(A161,CustName,0))),IF(ISNUMBER(INDEX(CustLate,MATCH(A161,CustName,0))),INT(INDEX(CustLate,MATCH(A161,CustName,0))),DefLate),DefLate)))</f>
        <v/>
      </c>
      <c r="L161" s="32">
        <f>IF(R161&lt;&gt;1,"",IF(ISNUMBER(H161),INT(H161),J161+K161)+StressDays)</f>
        <v/>
      </c>
      <c r="M161" s="21">
        <f>IF(R161&lt;&gt;1,0,F161-N(G161))</f>
        <v/>
      </c>
      <c r="N161" s="35">
        <f>IF(OR(R161&lt;&gt;1,M161&lt;=0),"",IF(I161="Yes","",IF(L161&lt;W1,IF(OverdueW1="No","",1),IF(L161&lt;=W1+90,INT((L161-W1)/7)+1,""))))</f>
        <v/>
      </c>
      <c r="O161" s="36">
        <f>IF(ISNUMBER(N161),M161*CollectPct,0)</f>
        <v/>
      </c>
      <c r="P161" s="10">
        <f>IF(R161="","",IF(R161=0,"Not counted",IF(M161&lt;=0,"Paid",IF(I161="Yes","Doubtful (left out)",IF(L161&lt;W1,IF(OverdueW1="No","Overdue (left out)","Overdue → Week 1"),IF(L161&lt;=W1+90,"Week "&amp;N161,"After Week 13"))))))</f>
        <v/>
      </c>
      <c r="Q161" s="10">
        <f>IF(R161="","",IF(R161=0,IF(NOT(ISNUMBER(F161)),"Fix: amount missing",IF(F161&lt;=0,"Fix: amount must be above 0",IF(AND(NOT(ISNUMBER(D161)),NOT(ISNUMBER(H161))),"Fix: add an invoice date or a promised date",IF(AND(D161&lt;&gt;"",NOT(ISNUMBER(D161))),"Fix: invoice date isn't a date",IF(AND(E161&lt;&gt;"",NOT(ISNUMBER(E161))),"Fix: terms must be a number",IF(AND(G161&lt;&gt;"",NOT(ISNUMBER(G161))),"Fix: received must be a number",IF(AND(H161&lt;&gt;"",NOT(ISNUMBER(H161))),"Fix: promised date isn't a date","Fix: received is more than the amount"))))))),IF(AND(C161&lt;&gt;"",ISNUMBER(MATCH(C161,InCats,0))),"OK","Category not on Settings (counted as Other)")))</f>
        <v/>
      </c>
      <c r="R161">
        <f>IF(COUNTA(A161:I161)=0,"",IF(AND(ISNUMBER(F161),F161&gt;0,OR(ISNUMBER(D161),ISNUMBER(H161)),OR(D161="",ISNUMBER(D161)),OR(E161="",ISNUMBER(E161)),OR(G161="",ISNUMBER(G161)),OR(H161="",ISNUMBER(H161))),IF(N(G161)&gt;F161,0,1),0))</f>
        <v/>
      </c>
    </row>
    <row r="162">
      <c r="A162" s="29" t="n"/>
      <c r="B162" s="29" t="n"/>
      <c r="C162" s="29" t="n"/>
      <c r="D162" s="24" t="n"/>
      <c r="E162" s="26" t="n"/>
      <c r="F162" s="34" t="n"/>
      <c r="G162" s="34" t="n"/>
      <c r="H162" s="24" t="n"/>
      <c r="I162" s="29" t="n"/>
      <c r="J162" s="32">
        <f>IF(R162&lt;&gt;1,"",IF(ISNUMBER(D162),INT(D162)+IF(ISNUMBER(E162),INT(E162),DefTerms),""))</f>
        <v/>
      </c>
      <c r="K162" s="35">
        <f>IF(R162&lt;&gt;1,"",IF(ISNUMBER(H162),0,IF(AND(A162&lt;&gt;"",ISNUMBER(MATCH(A162,CustName,0))),IF(ISNUMBER(INDEX(CustLate,MATCH(A162,CustName,0))),INT(INDEX(CustLate,MATCH(A162,CustName,0))),DefLate),DefLate)))</f>
        <v/>
      </c>
      <c r="L162" s="32">
        <f>IF(R162&lt;&gt;1,"",IF(ISNUMBER(H162),INT(H162),J162+K162)+StressDays)</f>
        <v/>
      </c>
      <c r="M162" s="21">
        <f>IF(R162&lt;&gt;1,0,F162-N(G162))</f>
        <v/>
      </c>
      <c r="N162" s="35">
        <f>IF(OR(R162&lt;&gt;1,M162&lt;=0),"",IF(I162="Yes","",IF(L162&lt;W1,IF(OverdueW1="No","",1),IF(L162&lt;=W1+90,INT((L162-W1)/7)+1,""))))</f>
        <v/>
      </c>
      <c r="O162" s="36">
        <f>IF(ISNUMBER(N162),M162*CollectPct,0)</f>
        <v/>
      </c>
      <c r="P162" s="10">
        <f>IF(R162="","",IF(R162=0,"Not counted",IF(M162&lt;=0,"Paid",IF(I162="Yes","Doubtful (left out)",IF(L162&lt;W1,IF(OverdueW1="No","Overdue (left out)","Overdue → Week 1"),IF(L162&lt;=W1+90,"Week "&amp;N162,"After Week 13"))))))</f>
        <v/>
      </c>
      <c r="Q162" s="10">
        <f>IF(R162="","",IF(R162=0,IF(NOT(ISNUMBER(F162)),"Fix: amount missing",IF(F162&lt;=0,"Fix: amount must be above 0",IF(AND(NOT(ISNUMBER(D162)),NOT(ISNUMBER(H162))),"Fix: add an invoice date or a promised date",IF(AND(D162&lt;&gt;"",NOT(ISNUMBER(D162))),"Fix: invoice date isn't a date",IF(AND(E162&lt;&gt;"",NOT(ISNUMBER(E162))),"Fix: terms must be a number",IF(AND(G162&lt;&gt;"",NOT(ISNUMBER(G162))),"Fix: received must be a number",IF(AND(H162&lt;&gt;"",NOT(ISNUMBER(H162))),"Fix: promised date isn't a date","Fix: received is more than the amount"))))))),IF(AND(C162&lt;&gt;"",ISNUMBER(MATCH(C162,InCats,0))),"OK","Category not on Settings (counted as Other)")))</f>
        <v/>
      </c>
      <c r="R162">
        <f>IF(COUNTA(A162:I162)=0,"",IF(AND(ISNUMBER(F162),F162&gt;0,OR(ISNUMBER(D162),ISNUMBER(H162)),OR(D162="",ISNUMBER(D162)),OR(E162="",ISNUMBER(E162)),OR(G162="",ISNUMBER(G162)),OR(H162="",ISNUMBER(H162))),IF(N(G162)&gt;F162,0,1),0))</f>
        <v/>
      </c>
    </row>
    <row r="163">
      <c r="A163" s="29" t="n"/>
      <c r="B163" s="29" t="n"/>
      <c r="C163" s="29" t="n"/>
      <c r="D163" s="24" t="n"/>
      <c r="E163" s="26" t="n"/>
      <c r="F163" s="34" t="n"/>
      <c r="G163" s="34" t="n"/>
      <c r="H163" s="24" t="n"/>
      <c r="I163" s="29" t="n"/>
      <c r="J163" s="32">
        <f>IF(R163&lt;&gt;1,"",IF(ISNUMBER(D163),INT(D163)+IF(ISNUMBER(E163),INT(E163),DefTerms),""))</f>
        <v/>
      </c>
      <c r="K163" s="35">
        <f>IF(R163&lt;&gt;1,"",IF(ISNUMBER(H163),0,IF(AND(A163&lt;&gt;"",ISNUMBER(MATCH(A163,CustName,0))),IF(ISNUMBER(INDEX(CustLate,MATCH(A163,CustName,0))),INT(INDEX(CustLate,MATCH(A163,CustName,0))),DefLate),DefLate)))</f>
        <v/>
      </c>
      <c r="L163" s="32">
        <f>IF(R163&lt;&gt;1,"",IF(ISNUMBER(H163),INT(H163),J163+K163)+StressDays)</f>
        <v/>
      </c>
      <c r="M163" s="21">
        <f>IF(R163&lt;&gt;1,0,F163-N(G163))</f>
        <v/>
      </c>
      <c r="N163" s="35">
        <f>IF(OR(R163&lt;&gt;1,M163&lt;=0),"",IF(I163="Yes","",IF(L163&lt;W1,IF(OverdueW1="No","",1),IF(L163&lt;=W1+90,INT((L163-W1)/7)+1,""))))</f>
        <v/>
      </c>
      <c r="O163" s="36">
        <f>IF(ISNUMBER(N163),M163*CollectPct,0)</f>
        <v/>
      </c>
      <c r="P163" s="10">
        <f>IF(R163="","",IF(R163=0,"Not counted",IF(M163&lt;=0,"Paid",IF(I163="Yes","Doubtful (left out)",IF(L163&lt;W1,IF(OverdueW1="No","Overdue (left out)","Overdue → Week 1"),IF(L163&lt;=W1+90,"Week "&amp;N163,"After Week 13"))))))</f>
        <v/>
      </c>
      <c r="Q163" s="10">
        <f>IF(R163="","",IF(R163=0,IF(NOT(ISNUMBER(F163)),"Fix: amount missing",IF(F163&lt;=0,"Fix: amount must be above 0",IF(AND(NOT(ISNUMBER(D163)),NOT(ISNUMBER(H163))),"Fix: add an invoice date or a promised date",IF(AND(D163&lt;&gt;"",NOT(ISNUMBER(D163))),"Fix: invoice date isn't a date",IF(AND(E163&lt;&gt;"",NOT(ISNUMBER(E163))),"Fix: terms must be a number",IF(AND(G163&lt;&gt;"",NOT(ISNUMBER(G163))),"Fix: received must be a number",IF(AND(H163&lt;&gt;"",NOT(ISNUMBER(H163))),"Fix: promised date isn't a date","Fix: received is more than the amount"))))))),IF(AND(C163&lt;&gt;"",ISNUMBER(MATCH(C163,InCats,0))),"OK","Category not on Settings (counted as Other)")))</f>
        <v/>
      </c>
      <c r="R163">
        <f>IF(COUNTA(A163:I163)=0,"",IF(AND(ISNUMBER(F163),F163&gt;0,OR(ISNUMBER(D163),ISNUMBER(H163)),OR(D163="",ISNUMBER(D163)),OR(E163="",ISNUMBER(E163)),OR(G163="",ISNUMBER(G163)),OR(H163="",ISNUMBER(H163))),IF(N(G163)&gt;F163,0,1),0))</f>
        <v/>
      </c>
    </row>
    <row r="164">
      <c r="A164" s="29" t="n"/>
      <c r="B164" s="29" t="n"/>
      <c r="C164" s="29" t="n"/>
      <c r="D164" s="24" t="n"/>
      <c r="E164" s="26" t="n"/>
      <c r="F164" s="34" t="n"/>
      <c r="G164" s="34" t="n"/>
      <c r="H164" s="24" t="n"/>
      <c r="I164" s="29" t="n"/>
      <c r="J164" s="32">
        <f>IF(R164&lt;&gt;1,"",IF(ISNUMBER(D164),INT(D164)+IF(ISNUMBER(E164),INT(E164),DefTerms),""))</f>
        <v/>
      </c>
      <c r="K164" s="35">
        <f>IF(R164&lt;&gt;1,"",IF(ISNUMBER(H164),0,IF(AND(A164&lt;&gt;"",ISNUMBER(MATCH(A164,CustName,0))),IF(ISNUMBER(INDEX(CustLate,MATCH(A164,CustName,0))),INT(INDEX(CustLate,MATCH(A164,CustName,0))),DefLate),DefLate)))</f>
        <v/>
      </c>
      <c r="L164" s="32">
        <f>IF(R164&lt;&gt;1,"",IF(ISNUMBER(H164),INT(H164),J164+K164)+StressDays)</f>
        <v/>
      </c>
      <c r="M164" s="21">
        <f>IF(R164&lt;&gt;1,0,F164-N(G164))</f>
        <v/>
      </c>
      <c r="N164" s="35">
        <f>IF(OR(R164&lt;&gt;1,M164&lt;=0),"",IF(I164="Yes","",IF(L164&lt;W1,IF(OverdueW1="No","",1),IF(L164&lt;=W1+90,INT((L164-W1)/7)+1,""))))</f>
        <v/>
      </c>
      <c r="O164" s="36">
        <f>IF(ISNUMBER(N164),M164*CollectPct,0)</f>
        <v/>
      </c>
      <c r="P164" s="10">
        <f>IF(R164="","",IF(R164=0,"Not counted",IF(M164&lt;=0,"Paid",IF(I164="Yes","Doubtful (left out)",IF(L164&lt;W1,IF(OverdueW1="No","Overdue (left out)","Overdue → Week 1"),IF(L164&lt;=W1+90,"Week "&amp;N164,"After Week 13"))))))</f>
        <v/>
      </c>
      <c r="Q164" s="10">
        <f>IF(R164="","",IF(R164=0,IF(NOT(ISNUMBER(F164)),"Fix: amount missing",IF(F164&lt;=0,"Fix: amount must be above 0",IF(AND(NOT(ISNUMBER(D164)),NOT(ISNUMBER(H164))),"Fix: add an invoice date or a promised date",IF(AND(D164&lt;&gt;"",NOT(ISNUMBER(D164))),"Fix: invoice date isn't a date",IF(AND(E164&lt;&gt;"",NOT(ISNUMBER(E164))),"Fix: terms must be a number",IF(AND(G164&lt;&gt;"",NOT(ISNUMBER(G164))),"Fix: received must be a number",IF(AND(H164&lt;&gt;"",NOT(ISNUMBER(H164))),"Fix: promised date isn't a date","Fix: received is more than the amount"))))))),IF(AND(C164&lt;&gt;"",ISNUMBER(MATCH(C164,InCats,0))),"OK","Category not on Settings (counted as Other)")))</f>
        <v/>
      </c>
      <c r="R164">
        <f>IF(COUNTA(A164:I164)=0,"",IF(AND(ISNUMBER(F164),F164&gt;0,OR(ISNUMBER(D164),ISNUMBER(H164)),OR(D164="",ISNUMBER(D164)),OR(E164="",ISNUMBER(E164)),OR(G164="",ISNUMBER(G164)),OR(H164="",ISNUMBER(H164))),IF(N(G164)&gt;F164,0,1),0))</f>
        <v/>
      </c>
    </row>
    <row r="165">
      <c r="A165" s="29" t="n"/>
      <c r="B165" s="29" t="n"/>
      <c r="C165" s="29" t="n"/>
      <c r="D165" s="24" t="n"/>
      <c r="E165" s="26" t="n"/>
      <c r="F165" s="34" t="n"/>
      <c r="G165" s="34" t="n"/>
      <c r="H165" s="24" t="n"/>
      <c r="I165" s="29" t="n"/>
      <c r="J165" s="32">
        <f>IF(R165&lt;&gt;1,"",IF(ISNUMBER(D165),INT(D165)+IF(ISNUMBER(E165),INT(E165),DefTerms),""))</f>
        <v/>
      </c>
      <c r="K165" s="35">
        <f>IF(R165&lt;&gt;1,"",IF(ISNUMBER(H165),0,IF(AND(A165&lt;&gt;"",ISNUMBER(MATCH(A165,CustName,0))),IF(ISNUMBER(INDEX(CustLate,MATCH(A165,CustName,0))),INT(INDEX(CustLate,MATCH(A165,CustName,0))),DefLate),DefLate)))</f>
        <v/>
      </c>
      <c r="L165" s="32">
        <f>IF(R165&lt;&gt;1,"",IF(ISNUMBER(H165),INT(H165),J165+K165)+StressDays)</f>
        <v/>
      </c>
      <c r="M165" s="21">
        <f>IF(R165&lt;&gt;1,0,F165-N(G165))</f>
        <v/>
      </c>
      <c r="N165" s="35">
        <f>IF(OR(R165&lt;&gt;1,M165&lt;=0),"",IF(I165="Yes","",IF(L165&lt;W1,IF(OverdueW1="No","",1),IF(L165&lt;=W1+90,INT((L165-W1)/7)+1,""))))</f>
        <v/>
      </c>
      <c r="O165" s="36">
        <f>IF(ISNUMBER(N165),M165*CollectPct,0)</f>
        <v/>
      </c>
      <c r="P165" s="10">
        <f>IF(R165="","",IF(R165=0,"Not counted",IF(M165&lt;=0,"Paid",IF(I165="Yes","Doubtful (left out)",IF(L165&lt;W1,IF(OverdueW1="No","Overdue (left out)","Overdue → Week 1"),IF(L165&lt;=W1+90,"Week "&amp;N165,"After Week 13"))))))</f>
        <v/>
      </c>
      <c r="Q165" s="10">
        <f>IF(R165="","",IF(R165=0,IF(NOT(ISNUMBER(F165)),"Fix: amount missing",IF(F165&lt;=0,"Fix: amount must be above 0",IF(AND(NOT(ISNUMBER(D165)),NOT(ISNUMBER(H165))),"Fix: add an invoice date or a promised date",IF(AND(D165&lt;&gt;"",NOT(ISNUMBER(D165))),"Fix: invoice date isn't a date",IF(AND(E165&lt;&gt;"",NOT(ISNUMBER(E165))),"Fix: terms must be a number",IF(AND(G165&lt;&gt;"",NOT(ISNUMBER(G165))),"Fix: received must be a number",IF(AND(H165&lt;&gt;"",NOT(ISNUMBER(H165))),"Fix: promised date isn't a date","Fix: received is more than the amount"))))))),IF(AND(C165&lt;&gt;"",ISNUMBER(MATCH(C165,InCats,0))),"OK","Category not on Settings (counted as Other)")))</f>
        <v/>
      </c>
      <c r="R165">
        <f>IF(COUNTA(A165:I165)=0,"",IF(AND(ISNUMBER(F165),F165&gt;0,OR(ISNUMBER(D165),ISNUMBER(H165)),OR(D165="",ISNUMBER(D165)),OR(E165="",ISNUMBER(E165)),OR(G165="",ISNUMBER(G165)),OR(H165="",ISNUMBER(H165))),IF(N(G165)&gt;F165,0,1),0))</f>
        <v/>
      </c>
    </row>
    <row r="166">
      <c r="A166" s="29" t="n"/>
      <c r="B166" s="29" t="n"/>
      <c r="C166" s="29" t="n"/>
      <c r="D166" s="24" t="n"/>
      <c r="E166" s="26" t="n"/>
      <c r="F166" s="34" t="n"/>
      <c r="G166" s="34" t="n"/>
      <c r="H166" s="24" t="n"/>
      <c r="I166" s="29" t="n"/>
      <c r="J166" s="32">
        <f>IF(R166&lt;&gt;1,"",IF(ISNUMBER(D166),INT(D166)+IF(ISNUMBER(E166),INT(E166),DefTerms),""))</f>
        <v/>
      </c>
      <c r="K166" s="35">
        <f>IF(R166&lt;&gt;1,"",IF(ISNUMBER(H166),0,IF(AND(A166&lt;&gt;"",ISNUMBER(MATCH(A166,CustName,0))),IF(ISNUMBER(INDEX(CustLate,MATCH(A166,CustName,0))),INT(INDEX(CustLate,MATCH(A166,CustName,0))),DefLate),DefLate)))</f>
        <v/>
      </c>
      <c r="L166" s="32">
        <f>IF(R166&lt;&gt;1,"",IF(ISNUMBER(H166),INT(H166),J166+K166)+StressDays)</f>
        <v/>
      </c>
      <c r="M166" s="21">
        <f>IF(R166&lt;&gt;1,0,F166-N(G166))</f>
        <v/>
      </c>
      <c r="N166" s="35">
        <f>IF(OR(R166&lt;&gt;1,M166&lt;=0),"",IF(I166="Yes","",IF(L166&lt;W1,IF(OverdueW1="No","",1),IF(L166&lt;=W1+90,INT((L166-W1)/7)+1,""))))</f>
        <v/>
      </c>
      <c r="O166" s="36">
        <f>IF(ISNUMBER(N166),M166*CollectPct,0)</f>
        <v/>
      </c>
      <c r="P166" s="10">
        <f>IF(R166="","",IF(R166=0,"Not counted",IF(M166&lt;=0,"Paid",IF(I166="Yes","Doubtful (left out)",IF(L166&lt;W1,IF(OverdueW1="No","Overdue (left out)","Overdue → Week 1"),IF(L166&lt;=W1+90,"Week "&amp;N166,"After Week 13"))))))</f>
        <v/>
      </c>
      <c r="Q166" s="10">
        <f>IF(R166="","",IF(R166=0,IF(NOT(ISNUMBER(F166)),"Fix: amount missing",IF(F166&lt;=0,"Fix: amount must be above 0",IF(AND(NOT(ISNUMBER(D166)),NOT(ISNUMBER(H166))),"Fix: add an invoice date or a promised date",IF(AND(D166&lt;&gt;"",NOT(ISNUMBER(D166))),"Fix: invoice date isn't a date",IF(AND(E166&lt;&gt;"",NOT(ISNUMBER(E166))),"Fix: terms must be a number",IF(AND(G166&lt;&gt;"",NOT(ISNUMBER(G166))),"Fix: received must be a number",IF(AND(H166&lt;&gt;"",NOT(ISNUMBER(H166))),"Fix: promised date isn't a date","Fix: received is more than the amount"))))))),IF(AND(C166&lt;&gt;"",ISNUMBER(MATCH(C166,InCats,0))),"OK","Category not on Settings (counted as Other)")))</f>
        <v/>
      </c>
      <c r="R166">
        <f>IF(COUNTA(A166:I166)=0,"",IF(AND(ISNUMBER(F166),F166&gt;0,OR(ISNUMBER(D166),ISNUMBER(H166)),OR(D166="",ISNUMBER(D166)),OR(E166="",ISNUMBER(E166)),OR(G166="",ISNUMBER(G166)),OR(H166="",ISNUMBER(H166))),IF(N(G166)&gt;F166,0,1),0))</f>
        <v/>
      </c>
    </row>
    <row r="167">
      <c r="A167" s="29" t="n"/>
      <c r="B167" s="29" t="n"/>
      <c r="C167" s="29" t="n"/>
      <c r="D167" s="24" t="n"/>
      <c r="E167" s="26" t="n"/>
      <c r="F167" s="34" t="n"/>
      <c r="G167" s="34" t="n"/>
      <c r="H167" s="24" t="n"/>
      <c r="I167" s="29" t="n"/>
      <c r="J167" s="32">
        <f>IF(R167&lt;&gt;1,"",IF(ISNUMBER(D167),INT(D167)+IF(ISNUMBER(E167),INT(E167),DefTerms),""))</f>
        <v/>
      </c>
      <c r="K167" s="35">
        <f>IF(R167&lt;&gt;1,"",IF(ISNUMBER(H167),0,IF(AND(A167&lt;&gt;"",ISNUMBER(MATCH(A167,CustName,0))),IF(ISNUMBER(INDEX(CustLate,MATCH(A167,CustName,0))),INT(INDEX(CustLate,MATCH(A167,CustName,0))),DefLate),DefLate)))</f>
        <v/>
      </c>
      <c r="L167" s="32">
        <f>IF(R167&lt;&gt;1,"",IF(ISNUMBER(H167),INT(H167),J167+K167)+StressDays)</f>
        <v/>
      </c>
      <c r="M167" s="21">
        <f>IF(R167&lt;&gt;1,0,F167-N(G167))</f>
        <v/>
      </c>
      <c r="N167" s="35">
        <f>IF(OR(R167&lt;&gt;1,M167&lt;=0),"",IF(I167="Yes","",IF(L167&lt;W1,IF(OverdueW1="No","",1),IF(L167&lt;=W1+90,INT((L167-W1)/7)+1,""))))</f>
        <v/>
      </c>
      <c r="O167" s="36">
        <f>IF(ISNUMBER(N167),M167*CollectPct,0)</f>
        <v/>
      </c>
      <c r="P167" s="10">
        <f>IF(R167="","",IF(R167=0,"Not counted",IF(M167&lt;=0,"Paid",IF(I167="Yes","Doubtful (left out)",IF(L167&lt;W1,IF(OverdueW1="No","Overdue (left out)","Overdue → Week 1"),IF(L167&lt;=W1+90,"Week "&amp;N167,"After Week 13"))))))</f>
        <v/>
      </c>
      <c r="Q167" s="10">
        <f>IF(R167="","",IF(R167=0,IF(NOT(ISNUMBER(F167)),"Fix: amount missing",IF(F167&lt;=0,"Fix: amount must be above 0",IF(AND(NOT(ISNUMBER(D167)),NOT(ISNUMBER(H167))),"Fix: add an invoice date or a promised date",IF(AND(D167&lt;&gt;"",NOT(ISNUMBER(D167))),"Fix: invoice date isn't a date",IF(AND(E167&lt;&gt;"",NOT(ISNUMBER(E167))),"Fix: terms must be a number",IF(AND(G167&lt;&gt;"",NOT(ISNUMBER(G167))),"Fix: received must be a number",IF(AND(H167&lt;&gt;"",NOT(ISNUMBER(H167))),"Fix: promised date isn't a date","Fix: received is more than the amount"))))))),IF(AND(C167&lt;&gt;"",ISNUMBER(MATCH(C167,InCats,0))),"OK","Category not on Settings (counted as Other)")))</f>
        <v/>
      </c>
      <c r="R167">
        <f>IF(COUNTA(A167:I167)=0,"",IF(AND(ISNUMBER(F167),F167&gt;0,OR(ISNUMBER(D167),ISNUMBER(H167)),OR(D167="",ISNUMBER(D167)),OR(E167="",ISNUMBER(E167)),OR(G167="",ISNUMBER(G167)),OR(H167="",ISNUMBER(H167))),IF(N(G167)&gt;F167,0,1),0))</f>
        <v/>
      </c>
    </row>
    <row r="168">
      <c r="A168" s="29" t="n"/>
      <c r="B168" s="29" t="n"/>
      <c r="C168" s="29" t="n"/>
      <c r="D168" s="24" t="n"/>
      <c r="E168" s="26" t="n"/>
      <c r="F168" s="34" t="n"/>
      <c r="G168" s="34" t="n"/>
      <c r="H168" s="24" t="n"/>
      <c r="I168" s="29" t="n"/>
      <c r="J168" s="32">
        <f>IF(R168&lt;&gt;1,"",IF(ISNUMBER(D168),INT(D168)+IF(ISNUMBER(E168),INT(E168),DefTerms),""))</f>
        <v/>
      </c>
      <c r="K168" s="35">
        <f>IF(R168&lt;&gt;1,"",IF(ISNUMBER(H168),0,IF(AND(A168&lt;&gt;"",ISNUMBER(MATCH(A168,CustName,0))),IF(ISNUMBER(INDEX(CustLate,MATCH(A168,CustName,0))),INT(INDEX(CustLate,MATCH(A168,CustName,0))),DefLate),DefLate)))</f>
        <v/>
      </c>
      <c r="L168" s="32">
        <f>IF(R168&lt;&gt;1,"",IF(ISNUMBER(H168),INT(H168),J168+K168)+StressDays)</f>
        <v/>
      </c>
      <c r="M168" s="21">
        <f>IF(R168&lt;&gt;1,0,F168-N(G168))</f>
        <v/>
      </c>
      <c r="N168" s="35">
        <f>IF(OR(R168&lt;&gt;1,M168&lt;=0),"",IF(I168="Yes","",IF(L168&lt;W1,IF(OverdueW1="No","",1),IF(L168&lt;=W1+90,INT((L168-W1)/7)+1,""))))</f>
        <v/>
      </c>
      <c r="O168" s="36">
        <f>IF(ISNUMBER(N168),M168*CollectPct,0)</f>
        <v/>
      </c>
      <c r="P168" s="10">
        <f>IF(R168="","",IF(R168=0,"Not counted",IF(M168&lt;=0,"Paid",IF(I168="Yes","Doubtful (left out)",IF(L168&lt;W1,IF(OverdueW1="No","Overdue (left out)","Overdue → Week 1"),IF(L168&lt;=W1+90,"Week "&amp;N168,"After Week 13"))))))</f>
        <v/>
      </c>
      <c r="Q168" s="10">
        <f>IF(R168="","",IF(R168=0,IF(NOT(ISNUMBER(F168)),"Fix: amount missing",IF(F168&lt;=0,"Fix: amount must be above 0",IF(AND(NOT(ISNUMBER(D168)),NOT(ISNUMBER(H168))),"Fix: add an invoice date or a promised date",IF(AND(D168&lt;&gt;"",NOT(ISNUMBER(D168))),"Fix: invoice date isn't a date",IF(AND(E168&lt;&gt;"",NOT(ISNUMBER(E168))),"Fix: terms must be a number",IF(AND(G168&lt;&gt;"",NOT(ISNUMBER(G168))),"Fix: received must be a number",IF(AND(H168&lt;&gt;"",NOT(ISNUMBER(H168))),"Fix: promised date isn't a date","Fix: received is more than the amount"))))))),IF(AND(C168&lt;&gt;"",ISNUMBER(MATCH(C168,InCats,0))),"OK","Category not on Settings (counted as Other)")))</f>
        <v/>
      </c>
      <c r="R168">
        <f>IF(COUNTA(A168:I168)=0,"",IF(AND(ISNUMBER(F168),F168&gt;0,OR(ISNUMBER(D168),ISNUMBER(H168)),OR(D168="",ISNUMBER(D168)),OR(E168="",ISNUMBER(E168)),OR(G168="",ISNUMBER(G168)),OR(H168="",ISNUMBER(H168))),IF(N(G168)&gt;F168,0,1),0))</f>
        <v/>
      </c>
    </row>
    <row r="169">
      <c r="A169" s="29" t="n"/>
      <c r="B169" s="29" t="n"/>
      <c r="C169" s="29" t="n"/>
      <c r="D169" s="24" t="n"/>
      <c r="E169" s="26" t="n"/>
      <c r="F169" s="34" t="n"/>
      <c r="G169" s="34" t="n"/>
      <c r="H169" s="24" t="n"/>
      <c r="I169" s="29" t="n"/>
      <c r="J169" s="32">
        <f>IF(R169&lt;&gt;1,"",IF(ISNUMBER(D169),INT(D169)+IF(ISNUMBER(E169),INT(E169),DefTerms),""))</f>
        <v/>
      </c>
      <c r="K169" s="35">
        <f>IF(R169&lt;&gt;1,"",IF(ISNUMBER(H169),0,IF(AND(A169&lt;&gt;"",ISNUMBER(MATCH(A169,CustName,0))),IF(ISNUMBER(INDEX(CustLate,MATCH(A169,CustName,0))),INT(INDEX(CustLate,MATCH(A169,CustName,0))),DefLate),DefLate)))</f>
        <v/>
      </c>
      <c r="L169" s="32">
        <f>IF(R169&lt;&gt;1,"",IF(ISNUMBER(H169),INT(H169),J169+K169)+StressDays)</f>
        <v/>
      </c>
      <c r="M169" s="21">
        <f>IF(R169&lt;&gt;1,0,F169-N(G169))</f>
        <v/>
      </c>
      <c r="N169" s="35">
        <f>IF(OR(R169&lt;&gt;1,M169&lt;=0),"",IF(I169="Yes","",IF(L169&lt;W1,IF(OverdueW1="No","",1),IF(L169&lt;=W1+90,INT((L169-W1)/7)+1,""))))</f>
        <v/>
      </c>
      <c r="O169" s="36">
        <f>IF(ISNUMBER(N169),M169*CollectPct,0)</f>
        <v/>
      </c>
      <c r="P169" s="10">
        <f>IF(R169="","",IF(R169=0,"Not counted",IF(M169&lt;=0,"Paid",IF(I169="Yes","Doubtful (left out)",IF(L169&lt;W1,IF(OverdueW1="No","Overdue (left out)","Overdue → Week 1"),IF(L169&lt;=W1+90,"Week "&amp;N169,"After Week 13"))))))</f>
        <v/>
      </c>
      <c r="Q169" s="10">
        <f>IF(R169="","",IF(R169=0,IF(NOT(ISNUMBER(F169)),"Fix: amount missing",IF(F169&lt;=0,"Fix: amount must be above 0",IF(AND(NOT(ISNUMBER(D169)),NOT(ISNUMBER(H169))),"Fix: add an invoice date or a promised date",IF(AND(D169&lt;&gt;"",NOT(ISNUMBER(D169))),"Fix: invoice date isn't a date",IF(AND(E169&lt;&gt;"",NOT(ISNUMBER(E169))),"Fix: terms must be a number",IF(AND(G169&lt;&gt;"",NOT(ISNUMBER(G169))),"Fix: received must be a number",IF(AND(H169&lt;&gt;"",NOT(ISNUMBER(H169))),"Fix: promised date isn't a date","Fix: received is more than the amount"))))))),IF(AND(C169&lt;&gt;"",ISNUMBER(MATCH(C169,InCats,0))),"OK","Category not on Settings (counted as Other)")))</f>
        <v/>
      </c>
      <c r="R169">
        <f>IF(COUNTA(A169:I169)=0,"",IF(AND(ISNUMBER(F169),F169&gt;0,OR(ISNUMBER(D169),ISNUMBER(H169)),OR(D169="",ISNUMBER(D169)),OR(E169="",ISNUMBER(E169)),OR(G169="",ISNUMBER(G169)),OR(H169="",ISNUMBER(H169))),IF(N(G169)&gt;F169,0,1),0))</f>
        <v/>
      </c>
    </row>
    <row r="170">
      <c r="A170" s="29" t="n"/>
      <c r="B170" s="29" t="n"/>
      <c r="C170" s="29" t="n"/>
      <c r="D170" s="24" t="n"/>
      <c r="E170" s="26" t="n"/>
      <c r="F170" s="34" t="n"/>
      <c r="G170" s="34" t="n"/>
      <c r="H170" s="24" t="n"/>
      <c r="I170" s="29" t="n"/>
      <c r="J170" s="32">
        <f>IF(R170&lt;&gt;1,"",IF(ISNUMBER(D170),INT(D170)+IF(ISNUMBER(E170),INT(E170),DefTerms),""))</f>
        <v/>
      </c>
      <c r="K170" s="35">
        <f>IF(R170&lt;&gt;1,"",IF(ISNUMBER(H170),0,IF(AND(A170&lt;&gt;"",ISNUMBER(MATCH(A170,CustName,0))),IF(ISNUMBER(INDEX(CustLate,MATCH(A170,CustName,0))),INT(INDEX(CustLate,MATCH(A170,CustName,0))),DefLate),DefLate)))</f>
        <v/>
      </c>
      <c r="L170" s="32">
        <f>IF(R170&lt;&gt;1,"",IF(ISNUMBER(H170),INT(H170),J170+K170)+StressDays)</f>
        <v/>
      </c>
      <c r="M170" s="21">
        <f>IF(R170&lt;&gt;1,0,F170-N(G170))</f>
        <v/>
      </c>
      <c r="N170" s="35">
        <f>IF(OR(R170&lt;&gt;1,M170&lt;=0),"",IF(I170="Yes","",IF(L170&lt;W1,IF(OverdueW1="No","",1),IF(L170&lt;=W1+90,INT((L170-W1)/7)+1,""))))</f>
        <v/>
      </c>
      <c r="O170" s="36">
        <f>IF(ISNUMBER(N170),M170*CollectPct,0)</f>
        <v/>
      </c>
      <c r="P170" s="10">
        <f>IF(R170="","",IF(R170=0,"Not counted",IF(M170&lt;=0,"Paid",IF(I170="Yes","Doubtful (left out)",IF(L170&lt;W1,IF(OverdueW1="No","Overdue (left out)","Overdue → Week 1"),IF(L170&lt;=W1+90,"Week "&amp;N170,"After Week 13"))))))</f>
        <v/>
      </c>
      <c r="Q170" s="10">
        <f>IF(R170="","",IF(R170=0,IF(NOT(ISNUMBER(F170)),"Fix: amount missing",IF(F170&lt;=0,"Fix: amount must be above 0",IF(AND(NOT(ISNUMBER(D170)),NOT(ISNUMBER(H170))),"Fix: add an invoice date or a promised date",IF(AND(D170&lt;&gt;"",NOT(ISNUMBER(D170))),"Fix: invoice date isn't a date",IF(AND(E170&lt;&gt;"",NOT(ISNUMBER(E170))),"Fix: terms must be a number",IF(AND(G170&lt;&gt;"",NOT(ISNUMBER(G170))),"Fix: received must be a number",IF(AND(H170&lt;&gt;"",NOT(ISNUMBER(H170))),"Fix: promised date isn't a date","Fix: received is more than the amount"))))))),IF(AND(C170&lt;&gt;"",ISNUMBER(MATCH(C170,InCats,0))),"OK","Category not on Settings (counted as Other)")))</f>
        <v/>
      </c>
      <c r="R170">
        <f>IF(COUNTA(A170:I170)=0,"",IF(AND(ISNUMBER(F170),F170&gt;0,OR(ISNUMBER(D170),ISNUMBER(H170)),OR(D170="",ISNUMBER(D170)),OR(E170="",ISNUMBER(E170)),OR(G170="",ISNUMBER(G170)),OR(H170="",ISNUMBER(H170))),IF(N(G170)&gt;F170,0,1),0))</f>
        <v/>
      </c>
    </row>
    <row r="171">
      <c r="A171" s="29" t="n"/>
      <c r="B171" s="29" t="n"/>
      <c r="C171" s="29" t="n"/>
      <c r="D171" s="24" t="n"/>
      <c r="E171" s="26" t="n"/>
      <c r="F171" s="34" t="n"/>
      <c r="G171" s="34" t="n"/>
      <c r="H171" s="24" t="n"/>
      <c r="I171" s="29" t="n"/>
      <c r="J171" s="32">
        <f>IF(R171&lt;&gt;1,"",IF(ISNUMBER(D171),INT(D171)+IF(ISNUMBER(E171),INT(E171),DefTerms),""))</f>
        <v/>
      </c>
      <c r="K171" s="35">
        <f>IF(R171&lt;&gt;1,"",IF(ISNUMBER(H171),0,IF(AND(A171&lt;&gt;"",ISNUMBER(MATCH(A171,CustName,0))),IF(ISNUMBER(INDEX(CustLate,MATCH(A171,CustName,0))),INT(INDEX(CustLate,MATCH(A171,CustName,0))),DefLate),DefLate)))</f>
        <v/>
      </c>
      <c r="L171" s="32">
        <f>IF(R171&lt;&gt;1,"",IF(ISNUMBER(H171),INT(H171),J171+K171)+StressDays)</f>
        <v/>
      </c>
      <c r="M171" s="21">
        <f>IF(R171&lt;&gt;1,0,F171-N(G171))</f>
        <v/>
      </c>
      <c r="N171" s="35">
        <f>IF(OR(R171&lt;&gt;1,M171&lt;=0),"",IF(I171="Yes","",IF(L171&lt;W1,IF(OverdueW1="No","",1),IF(L171&lt;=W1+90,INT((L171-W1)/7)+1,""))))</f>
        <v/>
      </c>
      <c r="O171" s="36">
        <f>IF(ISNUMBER(N171),M171*CollectPct,0)</f>
        <v/>
      </c>
      <c r="P171" s="10">
        <f>IF(R171="","",IF(R171=0,"Not counted",IF(M171&lt;=0,"Paid",IF(I171="Yes","Doubtful (left out)",IF(L171&lt;W1,IF(OverdueW1="No","Overdue (left out)","Overdue → Week 1"),IF(L171&lt;=W1+90,"Week "&amp;N171,"After Week 13"))))))</f>
        <v/>
      </c>
      <c r="Q171" s="10">
        <f>IF(R171="","",IF(R171=0,IF(NOT(ISNUMBER(F171)),"Fix: amount missing",IF(F171&lt;=0,"Fix: amount must be above 0",IF(AND(NOT(ISNUMBER(D171)),NOT(ISNUMBER(H171))),"Fix: add an invoice date or a promised date",IF(AND(D171&lt;&gt;"",NOT(ISNUMBER(D171))),"Fix: invoice date isn't a date",IF(AND(E171&lt;&gt;"",NOT(ISNUMBER(E171))),"Fix: terms must be a number",IF(AND(G171&lt;&gt;"",NOT(ISNUMBER(G171))),"Fix: received must be a number",IF(AND(H171&lt;&gt;"",NOT(ISNUMBER(H171))),"Fix: promised date isn't a date","Fix: received is more than the amount"))))))),IF(AND(C171&lt;&gt;"",ISNUMBER(MATCH(C171,InCats,0))),"OK","Category not on Settings (counted as Other)")))</f>
        <v/>
      </c>
      <c r="R171">
        <f>IF(COUNTA(A171:I171)=0,"",IF(AND(ISNUMBER(F171),F171&gt;0,OR(ISNUMBER(D171),ISNUMBER(H171)),OR(D171="",ISNUMBER(D171)),OR(E171="",ISNUMBER(E171)),OR(G171="",ISNUMBER(G171)),OR(H171="",ISNUMBER(H171))),IF(N(G171)&gt;F171,0,1),0))</f>
        <v/>
      </c>
    </row>
    <row r="172">
      <c r="A172" s="29" t="n"/>
      <c r="B172" s="29" t="n"/>
      <c r="C172" s="29" t="n"/>
      <c r="D172" s="24" t="n"/>
      <c r="E172" s="26" t="n"/>
      <c r="F172" s="34" t="n"/>
      <c r="G172" s="34" t="n"/>
      <c r="H172" s="24" t="n"/>
      <c r="I172" s="29" t="n"/>
      <c r="J172" s="32">
        <f>IF(R172&lt;&gt;1,"",IF(ISNUMBER(D172),INT(D172)+IF(ISNUMBER(E172),INT(E172),DefTerms),""))</f>
        <v/>
      </c>
      <c r="K172" s="35">
        <f>IF(R172&lt;&gt;1,"",IF(ISNUMBER(H172),0,IF(AND(A172&lt;&gt;"",ISNUMBER(MATCH(A172,CustName,0))),IF(ISNUMBER(INDEX(CustLate,MATCH(A172,CustName,0))),INT(INDEX(CustLate,MATCH(A172,CustName,0))),DefLate),DefLate)))</f>
        <v/>
      </c>
      <c r="L172" s="32">
        <f>IF(R172&lt;&gt;1,"",IF(ISNUMBER(H172),INT(H172),J172+K172)+StressDays)</f>
        <v/>
      </c>
      <c r="M172" s="21">
        <f>IF(R172&lt;&gt;1,0,F172-N(G172))</f>
        <v/>
      </c>
      <c r="N172" s="35">
        <f>IF(OR(R172&lt;&gt;1,M172&lt;=0),"",IF(I172="Yes","",IF(L172&lt;W1,IF(OverdueW1="No","",1),IF(L172&lt;=W1+90,INT((L172-W1)/7)+1,""))))</f>
        <v/>
      </c>
      <c r="O172" s="36">
        <f>IF(ISNUMBER(N172),M172*CollectPct,0)</f>
        <v/>
      </c>
      <c r="P172" s="10">
        <f>IF(R172="","",IF(R172=0,"Not counted",IF(M172&lt;=0,"Paid",IF(I172="Yes","Doubtful (left out)",IF(L172&lt;W1,IF(OverdueW1="No","Overdue (left out)","Overdue → Week 1"),IF(L172&lt;=W1+90,"Week "&amp;N172,"After Week 13"))))))</f>
        <v/>
      </c>
      <c r="Q172" s="10">
        <f>IF(R172="","",IF(R172=0,IF(NOT(ISNUMBER(F172)),"Fix: amount missing",IF(F172&lt;=0,"Fix: amount must be above 0",IF(AND(NOT(ISNUMBER(D172)),NOT(ISNUMBER(H172))),"Fix: add an invoice date or a promised date",IF(AND(D172&lt;&gt;"",NOT(ISNUMBER(D172))),"Fix: invoice date isn't a date",IF(AND(E172&lt;&gt;"",NOT(ISNUMBER(E172))),"Fix: terms must be a number",IF(AND(G172&lt;&gt;"",NOT(ISNUMBER(G172))),"Fix: received must be a number",IF(AND(H172&lt;&gt;"",NOT(ISNUMBER(H172))),"Fix: promised date isn't a date","Fix: received is more than the amount"))))))),IF(AND(C172&lt;&gt;"",ISNUMBER(MATCH(C172,InCats,0))),"OK","Category not on Settings (counted as Other)")))</f>
        <v/>
      </c>
      <c r="R172">
        <f>IF(COUNTA(A172:I172)=0,"",IF(AND(ISNUMBER(F172),F172&gt;0,OR(ISNUMBER(D172),ISNUMBER(H172)),OR(D172="",ISNUMBER(D172)),OR(E172="",ISNUMBER(E172)),OR(G172="",ISNUMBER(G172)),OR(H172="",ISNUMBER(H172))),IF(N(G172)&gt;F172,0,1),0))</f>
        <v/>
      </c>
    </row>
    <row r="173">
      <c r="A173" s="29" t="n"/>
      <c r="B173" s="29" t="n"/>
      <c r="C173" s="29" t="n"/>
      <c r="D173" s="24" t="n"/>
      <c r="E173" s="26" t="n"/>
      <c r="F173" s="34" t="n"/>
      <c r="G173" s="34" t="n"/>
      <c r="H173" s="24" t="n"/>
      <c r="I173" s="29" t="n"/>
      <c r="J173" s="32">
        <f>IF(R173&lt;&gt;1,"",IF(ISNUMBER(D173),INT(D173)+IF(ISNUMBER(E173),INT(E173),DefTerms),""))</f>
        <v/>
      </c>
      <c r="K173" s="35">
        <f>IF(R173&lt;&gt;1,"",IF(ISNUMBER(H173),0,IF(AND(A173&lt;&gt;"",ISNUMBER(MATCH(A173,CustName,0))),IF(ISNUMBER(INDEX(CustLate,MATCH(A173,CustName,0))),INT(INDEX(CustLate,MATCH(A173,CustName,0))),DefLate),DefLate)))</f>
        <v/>
      </c>
      <c r="L173" s="32">
        <f>IF(R173&lt;&gt;1,"",IF(ISNUMBER(H173),INT(H173),J173+K173)+StressDays)</f>
        <v/>
      </c>
      <c r="M173" s="21">
        <f>IF(R173&lt;&gt;1,0,F173-N(G173))</f>
        <v/>
      </c>
      <c r="N173" s="35">
        <f>IF(OR(R173&lt;&gt;1,M173&lt;=0),"",IF(I173="Yes","",IF(L173&lt;W1,IF(OverdueW1="No","",1),IF(L173&lt;=W1+90,INT((L173-W1)/7)+1,""))))</f>
        <v/>
      </c>
      <c r="O173" s="36">
        <f>IF(ISNUMBER(N173),M173*CollectPct,0)</f>
        <v/>
      </c>
      <c r="P173" s="10">
        <f>IF(R173="","",IF(R173=0,"Not counted",IF(M173&lt;=0,"Paid",IF(I173="Yes","Doubtful (left out)",IF(L173&lt;W1,IF(OverdueW1="No","Overdue (left out)","Overdue → Week 1"),IF(L173&lt;=W1+90,"Week "&amp;N173,"After Week 13"))))))</f>
        <v/>
      </c>
      <c r="Q173" s="10">
        <f>IF(R173="","",IF(R173=0,IF(NOT(ISNUMBER(F173)),"Fix: amount missing",IF(F173&lt;=0,"Fix: amount must be above 0",IF(AND(NOT(ISNUMBER(D173)),NOT(ISNUMBER(H173))),"Fix: add an invoice date or a promised date",IF(AND(D173&lt;&gt;"",NOT(ISNUMBER(D173))),"Fix: invoice date isn't a date",IF(AND(E173&lt;&gt;"",NOT(ISNUMBER(E173))),"Fix: terms must be a number",IF(AND(G173&lt;&gt;"",NOT(ISNUMBER(G173))),"Fix: received must be a number",IF(AND(H173&lt;&gt;"",NOT(ISNUMBER(H173))),"Fix: promised date isn't a date","Fix: received is more than the amount"))))))),IF(AND(C173&lt;&gt;"",ISNUMBER(MATCH(C173,InCats,0))),"OK","Category not on Settings (counted as Other)")))</f>
        <v/>
      </c>
      <c r="R173">
        <f>IF(COUNTA(A173:I173)=0,"",IF(AND(ISNUMBER(F173),F173&gt;0,OR(ISNUMBER(D173),ISNUMBER(H173)),OR(D173="",ISNUMBER(D173)),OR(E173="",ISNUMBER(E173)),OR(G173="",ISNUMBER(G173)),OR(H173="",ISNUMBER(H173))),IF(N(G173)&gt;F173,0,1),0))</f>
        <v/>
      </c>
    </row>
    <row r="174">
      <c r="A174" s="29" t="n"/>
      <c r="B174" s="29" t="n"/>
      <c r="C174" s="29" t="n"/>
      <c r="D174" s="24" t="n"/>
      <c r="E174" s="26" t="n"/>
      <c r="F174" s="34" t="n"/>
      <c r="G174" s="34" t="n"/>
      <c r="H174" s="24" t="n"/>
      <c r="I174" s="29" t="n"/>
      <c r="J174" s="32">
        <f>IF(R174&lt;&gt;1,"",IF(ISNUMBER(D174),INT(D174)+IF(ISNUMBER(E174),INT(E174),DefTerms),""))</f>
        <v/>
      </c>
      <c r="K174" s="35">
        <f>IF(R174&lt;&gt;1,"",IF(ISNUMBER(H174),0,IF(AND(A174&lt;&gt;"",ISNUMBER(MATCH(A174,CustName,0))),IF(ISNUMBER(INDEX(CustLate,MATCH(A174,CustName,0))),INT(INDEX(CustLate,MATCH(A174,CustName,0))),DefLate),DefLate)))</f>
        <v/>
      </c>
      <c r="L174" s="32">
        <f>IF(R174&lt;&gt;1,"",IF(ISNUMBER(H174),INT(H174),J174+K174)+StressDays)</f>
        <v/>
      </c>
      <c r="M174" s="21">
        <f>IF(R174&lt;&gt;1,0,F174-N(G174))</f>
        <v/>
      </c>
      <c r="N174" s="35">
        <f>IF(OR(R174&lt;&gt;1,M174&lt;=0),"",IF(I174="Yes","",IF(L174&lt;W1,IF(OverdueW1="No","",1),IF(L174&lt;=W1+90,INT((L174-W1)/7)+1,""))))</f>
        <v/>
      </c>
      <c r="O174" s="36">
        <f>IF(ISNUMBER(N174),M174*CollectPct,0)</f>
        <v/>
      </c>
      <c r="P174" s="10">
        <f>IF(R174="","",IF(R174=0,"Not counted",IF(M174&lt;=0,"Paid",IF(I174="Yes","Doubtful (left out)",IF(L174&lt;W1,IF(OverdueW1="No","Overdue (left out)","Overdue → Week 1"),IF(L174&lt;=W1+90,"Week "&amp;N174,"After Week 13"))))))</f>
        <v/>
      </c>
      <c r="Q174" s="10">
        <f>IF(R174="","",IF(R174=0,IF(NOT(ISNUMBER(F174)),"Fix: amount missing",IF(F174&lt;=0,"Fix: amount must be above 0",IF(AND(NOT(ISNUMBER(D174)),NOT(ISNUMBER(H174))),"Fix: add an invoice date or a promised date",IF(AND(D174&lt;&gt;"",NOT(ISNUMBER(D174))),"Fix: invoice date isn't a date",IF(AND(E174&lt;&gt;"",NOT(ISNUMBER(E174))),"Fix: terms must be a number",IF(AND(G174&lt;&gt;"",NOT(ISNUMBER(G174))),"Fix: received must be a number",IF(AND(H174&lt;&gt;"",NOT(ISNUMBER(H174))),"Fix: promised date isn't a date","Fix: received is more than the amount"))))))),IF(AND(C174&lt;&gt;"",ISNUMBER(MATCH(C174,InCats,0))),"OK","Category not on Settings (counted as Other)")))</f>
        <v/>
      </c>
      <c r="R174">
        <f>IF(COUNTA(A174:I174)=0,"",IF(AND(ISNUMBER(F174),F174&gt;0,OR(ISNUMBER(D174),ISNUMBER(H174)),OR(D174="",ISNUMBER(D174)),OR(E174="",ISNUMBER(E174)),OR(G174="",ISNUMBER(G174)),OR(H174="",ISNUMBER(H174))),IF(N(G174)&gt;F174,0,1),0))</f>
        <v/>
      </c>
    </row>
    <row r="175">
      <c r="A175" s="29" t="n"/>
      <c r="B175" s="29" t="n"/>
      <c r="C175" s="29" t="n"/>
      <c r="D175" s="24" t="n"/>
      <c r="E175" s="26" t="n"/>
      <c r="F175" s="34" t="n"/>
      <c r="G175" s="34" t="n"/>
      <c r="H175" s="24" t="n"/>
      <c r="I175" s="29" t="n"/>
      <c r="J175" s="32">
        <f>IF(R175&lt;&gt;1,"",IF(ISNUMBER(D175),INT(D175)+IF(ISNUMBER(E175),INT(E175),DefTerms),""))</f>
        <v/>
      </c>
      <c r="K175" s="35">
        <f>IF(R175&lt;&gt;1,"",IF(ISNUMBER(H175),0,IF(AND(A175&lt;&gt;"",ISNUMBER(MATCH(A175,CustName,0))),IF(ISNUMBER(INDEX(CustLate,MATCH(A175,CustName,0))),INT(INDEX(CustLate,MATCH(A175,CustName,0))),DefLate),DefLate)))</f>
        <v/>
      </c>
      <c r="L175" s="32">
        <f>IF(R175&lt;&gt;1,"",IF(ISNUMBER(H175),INT(H175),J175+K175)+StressDays)</f>
        <v/>
      </c>
      <c r="M175" s="21">
        <f>IF(R175&lt;&gt;1,0,F175-N(G175))</f>
        <v/>
      </c>
      <c r="N175" s="35">
        <f>IF(OR(R175&lt;&gt;1,M175&lt;=0),"",IF(I175="Yes","",IF(L175&lt;W1,IF(OverdueW1="No","",1),IF(L175&lt;=W1+90,INT((L175-W1)/7)+1,""))))</f>
        <v/>
      </c>
      <c r="O175" s="36">
        <f>IF(ISNUMBER(N175),M175*CollectPct,0)</f>
        <v/>
      </c>
      <c r="P175" s="10">
        <f>IF(R175="","",IF(R175=0,"Not counted",IF(M175&lt;=0,"Paid",IF(I175="Yes","Doubtful (left out)",IF(L175&lt;W1,IF(OverdueW1="No","Overdue (left out)","Overdue → Week 1"),IF(L175&lt;=W1+90,"Week "&amp;N175,"After Week 13"))))))</f>
        <v/>
      </c>
      <c r="Q175" s="10">
        <f>IF(R175="","",IF(R175=0,IF(NOT(ISNUMBER(F175)),"Fix: amount missing",IF(F175&lt;=0,"Fix: amount must be above 0",IF(AND(NOT(ISNUMBER(D175)),NOT(ISNUMBER(H175))),"Fix: add an invoice date or a promised date",IF(AND(D175&lt;&gt;"",NOT(ISNUMBER(D175))),"Fix: invoice date isn't a date",IF(AND(E175&lt;&gt;"",NOT(ISNUMBER(E175))),"Fix: terms must be a number",IF(AND(G175&lt;&gt;"",NOT(ISNUMBER(G175))),"Fix: received must be a number",IF(AND(H175&lt;&gt;"",NOT(ISNUMBER(H175))),"Fix: promised date isn't a date","Fix: received is more than the amount"))))))),IF(AND(C175&lt;&gt;"",ISNUMBER(MATCH(C175,InCats,0))),"OK","Category not on Settings (counted as Other)")))</f>
        <v/>
      </c>
      <c r="R175">
        <f>IF(COUNTA(A175:I175)=0,"",IF(AND(ISNUMBER(F175),F175&gt;0,OR(ISNUMBER(D175),ISNUMBER(H175)),OR(D175="",ISNUMBER(D175)),OR(E175="",ISNUMBER(E175)),OR(G175="",ISNUMBER(G175)),OR(H175="",ISNUMBER(H175))),IF(N(G175)&gt;F175,0,1),0))</f>
        <v/>
      </c>
    </row>
    <row r="176">
      <c r="A176" s="29" t="n"/>
      <c r="B176" s="29" t="n"/>
      <c r="C176" s="29" t="n"/>
      <c r="D176" s="24" t="n"/>
      <c r="E176" s="26" t="n"/>
      <c r="F176" s="34" t="n"/>
      <c r="G176" s="34" t="n"/>
      <c r="H176" s="24" t="n"/>
      <c r="I176" s="29" t="n"/>
      <c r="J176" s="32">
        <f>IF(R176&lt;&gt;1,"",IF(ISNUMBER(D176),INT(D176)+IF(ISNUMBER(E176),INT(E176),DefTerms),""))</f>
        <v/>
      </c>
      <c r="K176" s="35">
        <f>IF(R176&lt;&gt;1,"",IF(ISNUMBER(H176),0,IF(AND(A176&lt;&gt;"",ISNUMBER(MATCH(A176,CustName,0))),IF(ISNUMBER(INDEX(CustLate,MATCH(A176,CustName,0))),INT(INDEX(CustLate,MATCH(A176,CustName,0))),DefLate),DefLate)))</f>
        <v/>
      </c>
      <c r="L176" s="32">
        <f>IF(R176&lt;&gt;1,"",IF(ISNUMBER(H176),INT(H176),J176+K176)+StressDays)</f>
        <v/>
      </c>
      <c r="M176" s="21">
        <f>IF(R176&lt;&gt;1,0,F176-N(G176))</f>
        <v/>
      </c>
      <c r="N176" s="35">
        <f>IF(OR(R176&lt;&gt;1,M176&lt;=0),"",IF(I176="Yes","",IF(L176&lt;W1,IF(OverdueW1="No","",1),IF(L176&lt;=W1+90,INT((L176-W1)/7)+1,""))))</f>
        <v/>
      </c>
      <c r="O176" s="36">
        <f>IF(ISNUMBER(N176),M176*CollectPct,0)</f>
        <v/>
      </c>
      <c r="P176" s="10">
        <f>IF(R176="","",IF(R176=0,"Not counted",IF(M176&lt;=0,"Paid",IF(I176="Yes","Doubtful (left out)",IF(L176&lt;W1,IF(OverdueW1="No","Overdue (left out)","Overdue → Week 1"),IF(L176&lt;=W1+90,"Week "&amp;N176,"After Week 13"))))))</f>
        <v/>
      </c>
      <c r="Q176" s="10">
        <f>IF(R176="","",IF(R176=0,IF(NOT(ISNUMBER(F176)),"Fix: amount missing",IF(F176&lt;=0,"Fix: amount must be above 0",IF(AND(NOT(ISNUMBER(D176)),NOT(ISNUMBER(H176))),"Fix: add an invoice date or a promised date",IF(AND(D176&lt;&gt;"",NOT(ISNUMBER(D176))),"Fix: invoice date isn't a date",IF(AND(E176&lt;&gt;"",NOT(ISNUMBER(E176))),"Fix: terms must be a number",IF(AND(G176&lt;&gt;"",NOT(ISNUMBER(G176))),"Fix: received must be a number",IF(AND(H176&lt;&gt;"",NOT(ISNUMBER(H176))),"Fix: promised date isn't a date","Fix: received is more than the amount"))))))),IF(AND(C176&lt;&gt;"",ISNUMBER(MATCH(C176,InCats,0))),"OK","Category not on Settings (counted as Other)")))</f>
        <v/>
      </c>
      <c r="R176">
        <f>IF(COUNTA(A176:I176)=0,"",IF(AND(ISNUMBER(F176),F176&gt;0,OR(ISNUMBER(D176),ISNUMBER(H176)),OR(D176="",ISNUMBER(D176)),OR(E176="",ISNUMBER(E176)),OR(G176="",ISNUMBER(G176)),OR(H176="",ISNUMBER(H176))),IF(N(G176)&gt;F176,0,1),0))</f>
        <v/>
      </c>
    </row>
    <row r="177">
      <c r="A177" s="29" t="n"/>
      <c r="B177" s="29" t="n"/>
      <c r="C177" s="29" t="n"/>
      <c r="D177" s="24" t="n"/>
      <c r="E177" s="26" t="n"/>
      <c r="F177" s="34" t="n"/>
      <c r="G177" s="34" t="n"/>
      <c r="H177" s="24" t="n"/>
      <c r="I177" s="29" t="n"/>
      <c r="J177" s="32">
        <f>IF(R177&lt;&gt;1,"",IF(ISNUMBER(D177),INT(D177)+IF(ISNUMBER(E177),INT(E177),DefTerms),""))</f>
        <v/>
      </c>
      <c r="K177" s="35">
        <f>IF(R177&lt;&gt;1,"",IF(ISNUMBER(H177),0,IF(AND(A177&lt;&gt;"",ISNUMBER(MATCH(A177,CustName,0))),IF(ISNUMBER(INDEX(CustLate,MATCH(A177,CustName,0))),INT(INDEX(CustLate,MATCH(A177,CustName,0))),DefLate),DefLate)))</f>
        <v/>
      </c>
      <c r="L177" s="32">
        <f>IF(R177&lt;&gt;1,"",IF(ISNUMBER(H177),INT(H177),J177+K177)+StressDays)</f>
        <v/>
      </c>
      <c r="M177" s="21">
        <f>IF(R177&lt;&gt;1,0,F177-N(G177))</f>
        <v/>
      </c>
      <c r="N177" s="35">
        <f>IF(OR(R177&lt;&gt;1,M177&lt;=0),"",IF(I177="Yes","",IF(L177&lt;W1,IF(OverdueW1="No","",1),IF(L177&lt;=W1+90,INT((L177-W1)/7)+1,""))))</f>
        <v/>
      </c>
      <c r="O177" s="36">
        <f>IF(ISNUMBER(N177),M177*CollectPct,0)</f>
        <v/>
      </c>
      <c r="P177" s="10">
        <f>IF(R177="","",IF(R177=0,"Not counted",IF(M177&lt;=0,"Paid",IF(I177="Yes","Doubtful (left out)",IF(L177&lt;W1,IF(OverdueW1="No","Overdue (left out)","Overdue → Week 1"),IF(L177&lt;=W1+90,"Week "&amp;N177,"After Week 13"))))))</f>
        <v/>
      </c>
      <c r="Q177" s="10">
        <f>IF(R177="","",IF(R177=0,IF(NOT(ISNUMBER(F177)),"Fix: amount missing",IF(F177&lt;=0,"Fix: amount must be above 0",IF(AND(NOT(ISNUMBER(D177)),NOT(ISNUMBER(H177))),"Fix: add an invoice date or a promised date",IF(AND(D177&lt;&gt;"",NOT(ISNUMBER(D177))),"Fix: invoice date isn't a date",IF(AND(E177&lt;&gt;"",NOT(ISNUMBER(E177))),"Fix: terms must be a number",IF(AND(G177&lt;&gt;"",NOT(ISNUMBER(G177))),"Fix: received must be a number",IF(AND(H177&lt;&gt;"",NOT(ISNUMBER(H177))),"Fix: promised date isn't a date","Fix: received is more than the amount"))))))),IF(AND(C177&lt;&gt;"",ISNUMBER(MATCH(C177,InCats,0))),"OK","Category not on Settings (counted as Other)")))</f>
        <v/>
      </c>
      <c r="R177">
        <f>IF(COUNTA(A177:I177)=0,"",IF(AND(ISNUMBER(F177),F177&gt;0,OR(ISNUMBER(D177),ISNUMBER(H177)),OR(D177="",ISNUMBER(D177)),OR(E177="",ISNUMBER(E177)),OR(G177="",ISNUMBER(G177)),OR(H177="",ISNUMBER(H177))),IF(N(G177)&gt;F177,0,1),0))</f>
        <v/>
      </c>
    </row>
    <row r="178">
      <c r="A178" s="29" t="n"/>
      <c r="B178" s="29" t="n"/>
      <c r="C178" s="29" t="n"/>
      <c r="D178" s="24" t="n"/>
      <c r="E178" s="26" t="n"/>
      <c r="F178" s="34" t="n"/>
      <c r="G178" s="34" t="n"/>
      <c r="H178" s="24" t="n"/>
      <c r="I178" s="29" t="n"/>
      <c r="J178" s="32">
        <f>IF(R178&lt;&gt;1,"",IF(ISNUMBER(D178),INT(D178)+IF(ISNUMBER(E178),INT(E178),DefTerms),""))</f>
        <v/>
      </c>
      <c r="K178" s="35">
        <f>IF(R178&lt;&gt;1,"",IF(ISNUMBER(H178),0,IF(AND(A178&lt;&gt;"",ISNUMBER(MATCH(A178,CustName,0))),IF(ISNUMBER(INDEX(CustLate,MATCH(A178,CustName,0))),INT(INDEX(CustLate,MATCH(A178,CustName,0))),DefLate),DefLate)))</f>
        <v/>
      </c>
      <c r="L178" s="32">
        <f>IF(R178&lt;&gt;1,"",IF(ISNUMBER(H178),INT(H178),J178+K178)+StressDays)</f>
        <v/>
      </c>
      <c r="M178" s="21">
        <f>IF(R178&lt;&gt;1,0,F178-N(G178))</f>
        <v/>
      </c>
      <c r="N178" s="35">
        <f>IF(OR(R178&lt;&gt;1,M178&lt;=0),"",IF(I178="Yes","",IF(L178&lt;W1,IF(OverdueW1="No","",1),IF(L178&lt;=W1+90,INT((L178-W1)/7)+1,""))))</f>
        <v/>
      </c>
      <c r="O178" s="36">
        <f>IF(ISNUMBER(N178),M178*CollectPct,0)</f>
        <v/>
      </c>
      <c r="P178" s="10">
        <f>IF(R178="","",IF(R178=0,"Not counted",IF(M178&lt;=0,"Paid",IF(I178="Yes","Doubtful (left out)",IF(L178&lt;W1,IF(OverdueW1="No","Overdue (left out)","Overdue → Week 1"),IF(L178&lt;=W1+90,"Week "&amp;N178,"After Week 13"))))))</f>
        <v/>
      </c>
      <c r="Q178" s="10">
        <f>IF(R178="","",IF(R178=0,IF(NOT(ISNUMBER(F178)),"Fix: amount missing",IF(F178&lt;=0,"Fix: amount must be above 0",IF(AND(NOT(ISNUMBER(D178)),NOT(ISNUMBER(H178))),"Fix: add an invoice date or a promised date",IF(AND(D178&lt;&gt;"",NOT(ISNUMBER(D178))),"Fix: invoice date isn't a date",IF(AND(E178&lt;&gt;"",NOT(ISNUMBER(E178))),"Fix: terms must be a number",IF(AND(G178&lt;&gt;"",NOT(ISNUMBER(G178))),"Fix: received must be a number",IF(AND(H178&lt;&gt;"",NOT(ISNUMBER(H178))),"Fix: promised date isn't a date","Fix: received is more than the amount"))))))),IF(AND(C178&lt;&gt;"",ISNUMBER(MATCH(C178,InCats,0))),"OK","Category not on Settings (counted as Other)")))</f>
        <v/>
      </c>
      <c r="R178">
        <f>IF(COUNTA(A178:I178)=0,"",IF(AND(ISNUMBER(F178),F178&gt;0,OR(ISNUMBER(D178),ISNUMBER(H178)),OR(D178="",ISNUMBER(D178)),OR(E178="",ISNUMBER(E178)),OR(G178="",ISNUMBER(G178)),OR(H178="",ISNUMBER(H178))),IF(N(G178)&gt;F178,0,1),0))</f>
        <v/>
      </c>
    </row>
    <row r="179">
      <c r="A179" s="29" t="n"/>
      <c r="B179" s="29" t="n"/>
      <c r="C179" s="29" t="n"/>
      <c r="D179" s="24" t="n"/>
      <c r="E179" s="26" t="n"/>
      <c r="F179" s="34" t="n"/>
      <c r="G179" s="34" t="n"/>
      <c r="H179" s="24" t="n"/>
      <c r="I179" s="29" t="n"/>
      <c r="J179" s="32">
        <f>IF(R179&lt;&gt;1,"",IF(ISNUMBER(D179),INT(D179)+IF(ISNUMBER(E179),INT(E179),DefTerms),""))</f>
        <v/>
      </c>
      <c r="K179" s="35">
        <f>IF(R179&lt;&gt;1,"",IF(ISNUMBER(H179),0,IF(AND(A179&lt;&gt;"",ISNUMBER(MATCH(A179,CustName,0))),IF(ISNUMBER(INDEX(CustLate,MATCH(A179,CustName,0))),INT(INDEX(CustLate,MATCH(A179,CustName,0))),DefLate),DefLate)))</f>
        <v/>
      </c>
      <c r="L179" s="32">
        <f>IF(R179&lt;&gt;1,"",IF(ISNUMBER(H179),INT(H179),J179+K179)+StressDays)</f>
        <v/>
      </c>
      <c r="M179" s="21">
        <f>IF(R179&lt;&gt;1,0,F179-N(G179))</f>
        <v/>
      </c>
      <c r="N179" s="35">
        <f>IF(OR(R179&lt;&gt;1,M179&lt;=0),"",IF(I179="Yes","",IF(L179&lt;W1,IF(OverdueW1="No","",1),IF(L179&lt;=W1+90,INT((L179-W1)/7)+1,""))))</f>
        <v/>
      </c>
      <c r="O179" s="36">
        <f>IF(ISNUMBER(N179),M179*CollectPct,0)</f>
        <v/>
      </c>
      <c r="P179" s="10">
        <f>IF(R179="","",IF(R179=0,"Not counted",IF(M179&lt;=0,"Paid",IF(I179="Yes","Doubtful (left out)",IF(L179&lt;W1,IF(OverdueW1="No","Overdue (left out)","Overdue → Week 1"),IF(L179&lt;=W1+90,"Week "&amp;N179,"After Week 13"))))))</f>
        <v/>
      </c>
      <c r="Q179" s="10">
        <f>IF(R179="","",IF(R179=0,IF(NOT(ISNUMBER(F179)),"Fix: amount missing",IF(F179&lt;=0,"Fix: amount must be above 0",IF(AND(NOT(ISNUMBER(D179)),NOT(ISNUMBER(H179))),"Fix: add an invoice date or a promised date",IF(AND(D179&lt;&gt;"",NOT(ISNUMBER(D179))),"Fix: invoice date isn't a date",IF(AND(E179&lt;&gt;"",NOT(ISNUMBER(E179))),"Fix: terms must be a number",IF(AND(G179&lt;&gt;"",NOT(ISNUMBER(G179))),"Fix: received must be a number",IF(AND(H179&lt;&gt;"",NOT(ISNUMBER(H179))),"Fix: promised date isn't a date","Fix: received is more than the amount"))))))),IF(AND(C179&lt;&gt;"",ISNUMBER(MATCH(C179,InCats,0))),"OK","Category not on Settings (counted as Other)")))</f>
        <v/>
      </c>
      <c r="R179">
        <f>IF(COUNTA(A179:I179)=0,"",IF(AND(ISNUMBER(F179),F179&gt;0,OR(ISNUMBER(D179),ISNUMBER(H179)),OR(D179="",ISNUMBER(D179)),OR(E179="",ISNUMBER(E179)),OR(G179="",ISNUMBER(G179)),OR(H179="",ISNUMBER(H179))),IF(N(G179)&gt;F179,0,1),0))</f>
        <v/>
      </c>
    </row>
    <row r="180">
      <c r="A180" s="29" t="n"/>
      <c r="B180" s="29" t="n"/>
      <c r="C180" s="29" t="n"/>
      <c r="D180" s="24" t="n"/>
      <c r="E180" s="26" t="n"/>
      <c r="F180" s="34" t="n"/>
      <c r="G180" s="34" t="n"/>
      <c r="H180" s="24" t="n"/>
      <c r="I180" s="29" t="n"/>
      <c r="J180" s="32">
        <f>IF(R180&lt;&gt;1,"",IF(ISNUMBER(D180),INT(D180)+IF(ISNUMBER(E180),INT(E180),DefTerms),""))</f>
        <v/>
      </c>
      <c r="K180" s="35">
        <f>IF(R180&lt;&gt;1,"",IF(ISNUMBER(H180),0,IF(AND(A180&lt;&gt;"",ISNUMBER(MATCH(A180,CustName,0))),IF(ISNUMBER(INDEX(CustLate,MATCH(A180,CustName,0))),INT(INDEX(CustLate,MATCH(A180,CustName,0))),DefLate),DefLate)))</f>
        <v/>
      </c>
      <c r="L180" s="32">
        <f>IF(R180&lt;&gt;1,"",IF(ISNUMBER(H180),INT(H180),J180+K180)+StressDays)</f>
        <v/>
      </c>
      <c r="M180" s="21">
        <f>IF(R180&lt;&gt;1,0,F180-N(G180))</f>
        <v/>
      </c>
      <c r="N180" s="35">
        <f>IF(OR(R180&lt;&gt;1,M180&lt;=0),"",IF(I180="Yes","",IF(L180&lt;W1,IF(OverdueW1="No","",1),IF(L180&lt;=W1+90,INT((L180-W1)/7)+1,""))))</f>
        <v/>
      </c>
      <c r="O180" s="36">
        <f>IF(ISNUMBER(N180),M180*CollectPct,0)</f>
        <v/>
      </c>
      <c r="P180" s="10">
        <f>IF(R180="","",IF(R180=0,"Not counted",IF(M180&lt;=0,"Paid",IF(I180="Yes","Doubtful (left out)",IF(L180&lt;W1,IF(OverdueW1="No","Overdue (left out)","Overdue → Week 1"),IF(L180&lt;=W1+90,"Week "&amp;N180,"After Week 13"))))))</f>
        <v/>
      </c>
      <c r="Q180" s="10">
        <f>IF(R180="","",IF(R180=0,IF(NOT(ISNUMBER(F180)),"Fix: amount missing",IF(F180&lt;=0,"Fix: amount must be above 0",IF(AND(NOT(ISNUMBER(D180)),NOT(ISNUMBER(H180))),"Fix: add an invoice date or a promised date",IF(AND(D180&lt;&gt;"",NOT(ISNUMBER(D180))),"Fix: invoice date isn't a date",IF(AND(E180&lt;&gt;"",NOT(ISNUMBER(E180))),"Fix: terms must be a number",IF(AND(G180&lt;&gt;"",NOT(ISNUMBER(G180))),"Fix: received must be a number",IF(AND(H180&lt;&gt;"",NOT(ISNUMBER(H180))),"Fix: promised date isn't a date","Fix: received is more than the amount"))))))),IF(AND(C180&lt;&gt;"",ISNUMBER(MATCH(C180,InCats,0))),"OK","Category not on Settings (counted as Other)")))</f>
        <v/>
      </c>
      <c r="R180">
        <f>IF(COUNTA(A180:I180)=0,"",IF(AND(ISNUMBER(F180),F180&gt;0,OR(ISNUMBER(D180),ISNUMBER(H180)),OR(D180="",ISNUMBER(D180)),OR(E180="",ISNUMBER(E180)),OR(G180="",ISNUMBER(G180)),OR(H180="",ISNUMBER(H180))),IF(N(G180)&gt;F180,0,1),0))</f>
        <v/>
      </c>
    </row>
    <row r="181">
      <c r="A181" s="29" t="n"/>
      <c r="B181" s="29" t="n"/>
      <c r="C181" s="29" t="n"/>
      <c r="D181" s="24" t="n"/>
      <c r="E181" s="26" t="n"/>
      <c r="F181" s="34" t="n"/>
      <c r="G181" s="34" t="n"/>
      <c r="H181" s="24" t="n"/>
      <c r="I181" s="29" t="n"/>
      <c r="J181" s="32">
        <f>IF(R181&lt;&gt;1,"",IF(ISNUMBER(D181),INT(D181)+IF(ISNUMBER(E181),INT(E181),DefTerms),""))</f>
        <v/>
      </c>
      <c r="K181" s="35">
        <f>IF(R181&lt;&gt;1,"",IF(ISNUMBER(H181),0,IF(AND(A181&lt;&gt;"",ISNUMBER(MATCH(A181,CustName,0))),IF(ISNUMBER(INDEX(CustLate,MATCH(A181,CustName,0))),INT(INDEX(CustLate,MATCH(A181,CustName,0))),DefLate),DefLate)))</f>
        <v/>
      </c>
      <c r="L181" s="32">
        <f>IF(R181&lt;&gt;1,"",IF(ISNUMBER(H181),INT(H181),J181+K181)+StressDays)</f>
        <v/>
      </c>
      <c r="M181" s="21">
        <f>IF(R181&lt;&gt;1,0,F181-N(G181))</f>
        <v/>
      </c>
      <c r="N181" s="35">
        <f>IF(OR(R181&lt;&gt;1,M181&lt;=0),"",IF(I181="Yes","",IF(L181&lt;W1,IF(OverdueW1="No","",1),IF(L181&lt;=W1+90,INT((L181-W1)/7)+1,""))))</f>
        <v/>
      </c>
      <c r="O181" s="36">
        <f>IF(ISNUMBER(N181),M181*CollectPct,0)</f>
        <v/>
      </c>
      <c r="P181" s="10">
        <f>IF(R181="","",IF(R181=0,"Not counted",IF(M181&lt;=0,"Paid",IF(I181="Yes","Doubtful (left out)",IF(L181&lt;W1,IF(OverdueW1="No","Overdue (left out)","Overdue → Week 1"),IF(L181&lt;=W1+90,"Week "&amp;N181,"After Week 13"))))))</f>
        <v/>
      </c>
      <c r="Q181" s="10">
        <f>IF(R181="","",IF(R181=0,IF(NOT(ISNUMBER(F181)),"Fix: amount missing",IF(F181&lt;=0,"Fix: amount must be above 0",IF(AND(NOT(ISNUMBER(D181)),NOT(ISNUMBER(H181))),"Fix: add an invoice date or a promised date",IF(AND(D181&lt;&gt;"",NOT(ISNUMBER(D181))),"Fix: invoice date isn't a date",IF(AND(E181&lt;&gt;"",NOT(ISNUMBER(E181))),"Fix: terms must be a number",IF(AND(G181&lt;&gt;"",NOT(ISNUMBER(G181))),"Fix: received must be a number",IF(AND(H181&lt;&gt;"",NOT(ISNUMBER(H181))),"Fix: promised date isn't a date","Fix: received is more than the amount"))))))),IF(AND(C181&lt;&gt;"",ISNUMBER(MATCH(C181,InCats,0))),"OK","Category not on Settings (counted as Other)")))</f>
        <v/>
      </c>
      <c r="R181">
        <f>IF(COUNTA(A181:I181)=0,"",IF(AND(ISNUMBER(F181),F181&gt;0,OR(ISNUMBER(D181),ISNUMBER(H181)),OR(D181="",ISNUMBER(D181)),OR(E181="",ISNUMBER(E181)),OR(G181="",ISNUMBER(G181)),OR(H181="",ISNUMBER(H181))),IF(N(G181)&gt;F181,0,1),0))</f>
        <v/>
      </c>
    </row>
    <row r="182">
      <c r="A182" s="29" t="n"/>
      <c r="B182" s="29" t="n"/>
      <c r="C182" s="29" t="n"/>
      <c r="D182" s="24" t="n"/>
      <c r="E182" s="26" t="n"/>
      <c r="F182" s="34" t="n"/>
      <c r="G182" s="34" t="n"/>
      <c r="H182" s="24" t="n"/>
      <c r="I182" s="29" t="n"/>
      <c r="J182" s="32">
        <f>IF(R182&lt;&gt;1,"",IF(ISNUMBER(D182),INT(D182)+IF(ISNUMBER(E182),INT(E182),DefTerms),""))</f>
        <v/>
      </c>
      <c r="K182" s="35">
        <f>IF(R182&lt;&gt;1,"",IF(ISNUMBER(H182),0,IF(AND(A182&lt;&gt;"",ISNUMBER(MATCH(A182,CustName,0))),IF(ISNUMBER(INDEX(CustLate,MATCH(A182,CustName,0))),INT(INDEX(CustLate,MATCH(A182,CustName,0))),DefLate),DefLate)))</f>
        <v/>
      </c>
      <c r="L182" s="32">
        <f>IF(R182&lt;&gt;1,"",IF(ISNUMBER(H182),INT(H182),J182+K182)+StressDays)</f>
        <v/>
      </c>
      <c r="M182" s="21">
        <f>IF(R182&lt;&gt;1,0,F182-N(G182))</f>
        <v/>
      </c>
      <c r="N182" s="35">
        <f>IF(OR(R182&lt;&gt;1,M182&lt;=0),"",IF(I182="Yes","",IF(L182&lt;W1,IF(OverdueW1="No","",1),IF(L182&lt;=W1+90,INT((L182-W1)/7)+1,""))))</f>
        <v/>
      </c>
      <c r="O182" s="36">
        <f>IF(ISNUMBER(N182),M182*CollectPct,0)</f>
        <v/>
      </c>
      <c r="P182" s="10">
        <f>IF(R182="","",IF(R182=0,"Not counted",IF(M182&lt;=0,"Paid",IF(I182="Yes","Doubtful (left out)",IF(L182&lt;W1,IF(OverdueW1="No","Overdue (left out)","Overdue → Week 1"),IF(L182&lt;=W1+90,"Week "&amp;N182,"After Week 13"))))))</f>
        <v/>
      </c>
      <c r="Q182" s="10">
        <f>IF(R182="","",IF(R182=0,IF(NOT(ISNUMBER(F182)),"Fix: amount missing",IF(F182&lt;=0,"Fix: amount must be above 0",IF(AND(NOT(ISNUMBER(D182)),NOT(ISNUMBER(H182))),"Fix: add an invoice date or a promised date",IF(AND(D182&lt;&gt;"",NOT(ISNUMBER(D182))),"Fix: invoice date isn't a date",IF(AND(E182&lt;&gt;"",NOT(ISNUMBER(E182))),"Fix: terms must be a number",IF(AND(G182&lt;&gt;"",NOT(ISNUMBER(G182))),"Fix: received must be a number",IF(AND(H182&lt;&gt;"",NOT(ISNUMBER(H182))),"Fix: promised date isn't a date","Fix: received is more than the amount"))))))),IF(AND(C182&lt;&gt;"",ISNUMBER(MATCH(C182,InCats,0))),"OK","Category not on Settings (counted as Other)")))</f>
        <v/>
      </c>
      <c r="R182">
        <f>IF(COUNTA(A182:I182)=0,"",IF(AND(ISNUMBER(F182),F182&gt;0,OR(ISNUMBER(D182),ISNUMBER(H182)),OR(D182="",ISNUMBER(D182)),OR(E182="",ISNUMBER(E182)),OR(G182="",ISNUMBER(G182)),OR(H182="",ISNUMBER(H182))),IF(N(G182)&gt;F182,0,1),0))</f>
        <v/>
      </c>
    </row>
    <row r="183">
      <c r="A183" s="29" t="n"/>
      <c r="B183" s="29" t="n"/>
      <c r="C183" s="29" t="n"/>
      <c r="D183" s="24" t="n"/>
      <c r="E183" s="26" t="n"/>
      <c r="F183" s="34" t="n"/>
      <c r="G183" s="34" t="n"/>
      <c r="H183" s="24" t="n"/>
      <c r="I183" s="29" t="n"/>
      <c r="J183" s="32">
        <f>IF(R183&lt;&gt;1,"",IF(ISNUMBER(D183),INT(D183)+IF(ISNUMBER(E183),INT(E183),DefTerms),""))</f>
        <v/>
      </c>
      <c r="K183" s="35">
        <f>IF(R183&lt;&gt;1,"",IF(ISNUMBER(H183),0,IF(AND(A183&lt;&gt;"",ISNUMBER(MATCH(A183,CustName,0))),IF(ISNUMBER(INDEX(CustLate,MATCH(A183,CustName,0))),INT(INDEX(CustLate,MATCH(A183,CustName,0))),DefLate),DefLate)))</f>
        <v/>
      </c>
      <c r="L183" s="32">
        <f>IF(R183&lt;&gt;1,"",IF(ISNUMBER(H183),INT(H183),J183+K183)+StressDays)</f>
        <v/>
      </c>
      <c r="M183" s="21">
        <f>IF(R183&lt;&gt;1,0,F183-N(G183))</f>
        <v/>
      </c>
      <c r="N183" s="35">
        <f>IF(OR(R183&lt;&gt;1,M183&lt;=0),"",IF(I183="Yes","",IF(L183&lt;W1,IF(OverdueW1="No","",1),IF(L183&lt;=W1+90,INT((L183-W1)/7)+1,""))))</f>
        <v/>
      </c>
      <c r="O183" s="36">
        <f>IF(ISNUMBER(N183),M183*CollectPct,0)</f>
        <v/>
      </c>
      <c r="P183" s="10">
        <f>IF(R183="","",IF(R183=0,"Not counted",IF(M183&lt;=0,"Paid",IF(I183="Yes","Doubtful (left out)",IF(L183&lt;W1,IF(OverdueW1="No","Overdue (left out)","Overdue → Week 1"),IF(L183&lt;=W1+90,"Week "&amp;N183,"After Week 13"))))))</f>
        <v/>
      </c>
      <c r="Q183" s="10">
        <f>IF(R183="","",IF(R183=0,IF(NOT(ISNUMBER(F183)),"Fix: amount missing",IF(F183&lt;=0,"Fix: amount must be above 0",IF(AND(NOT(ISNUMBER(D183)),NOT(ISNUMBER(H183))),"Fix: add an invoice date or a promised date",IF(AND(D183&lt;&gt;"",NOT(ISNUMBER(D183))),"Fix: invoice date isn't a date",IF(AND(E183&lt;&gt;"",NOT(ISNUMBER(E183))),"Fix: terms must be a number",IF(AND(G183&lt;&gt;"",NOT(ISNUMBER(G183))),"Fix: received must be a number",IF(AND(H183&lt;&gt;"",NOT(ISNUMBER(H183))),"Fix: promised date isn't a date","Fix: received is more than the amount"))))))),IF(AND(C183&lt;&gt;"",ISNUMBER(MATCH(C183,InCats,0))),"OK","Category not on Settings (counted as Other)")))</f>
        <v/>
      </c>
      <c r="R183">
        <f>IF(COUNTA(A183:I183)=0,"",IF(AND(ISNUMBER(F183),F183&gt;0,OR(ISNUMBER(D183),ISNUMBER(H183)),OR(D183="",ISNUMBER(D183)),OR(E183="",ISNUMBER(E183)),OR(G183="",ISNUMBER(G183)),OR(H183="",ISNUMBER(H183))),IF(N(G183)&gt;F183,0,1),0))</f>
        <v/>
      </c>
    </row>
    <row r="184">
      <c r="A184" s="29" t="n"/>
      <c r="B184" s="29" t="n"/>
      <c r="C184" s="29" t="n"/>
      <c r="D184" s="24" t="n"/>
      <c r="E184" s="26" t="n"/>
      <c r="F184" s="34" t="n"/>
      <c r="G184" s="34" t="n"/>
      <c r="H184" s="24" t="n"/>
      <c r="I184" s="29" t="n"/>
      <c r="J184" s="32">
        <f>IF(R184&lt;&gt;1,"",IF(ISNUMBER(D184),INT(D184)+IF(ISNUMBER(E184),INT(E184),DefTerms),""))</f>
        <v/>
      </c>
      <c r="K184" s="35">
        <f>IF(R184&lt;&gt;1,"",IF(ISNUMBER(H184),0,IF(AND(A184&lt;&gt;"",ISNUMBER(MATCH(A184,CustName,0))),IF(ISNUMBER(INDEX(CustLate,MATCH(A184,CustName,0))),INT(INDEX(CustLate,MATCH(A184,CustName,0))),DefLate),DefLate)))</f>
        <v/>
      </c>
      <c r="L184" s="32">
        <f>IF(R184&lt;&gt;1,"",IF(ISNUMBER(H184),INT(H184),J184+K184)+StressDays)</f>
        <v/>
      </c>
      <c r="M184" s="21">
        <f>IF(R184&lt;&gt;1,0,F184-N(G184))</f>
        <v/>
      </c>
      <c r="N184" s="35">
        <f>IF(OR(R184&lt;&gt;1,M184&lt;=0),"",IF(I184="Yes","",IF(L184&lt;W1,IF(OverdueW1="No","",1),IF(L184&lt;=W1+90,INT((L184-W1)/7)+1,""))))</f>
        <v/>
      </c>
      <c r="O184" s="36">
        <f>IF(ISNUMBER(N184),M184*CollectPct,0)</f>
        <v/>
      </c>
      <c r="P184" s="10">
        <f>IF(R184="","",IF(R184=0,"Not counted",IF(M184&lt;=0,"Paid",IF(I184="Yes","Doubtful (left out)",IF(L184&lt;W1,IF(OverdueW1="No","Overdue (left out)","Overdue → Week 1"),IF(L184&lt;=W1+90,"Week "&amp;N184,"After Week 13"))))))</f>
        <v/>
      </c>
      <c r="Q184" s="10">
        <f>IF(R184="","",IF(R184=0,IF(NOT(ISNUMBER(F184)),"Fix: amount missing",IF(F184&lt;=0,"Fix: amount must be above 0",IF(AND(NOT(ISNUMBER(D184)),NOT(ISNUMBER(H184))),"Fix: add an invoice date or a promised date",IF(AND(D184&lt;&gt;"",NOT(ISNUMBER(D184))),"Fix: invoice date isn't a date",IF(AND(E184&lt;&gt;"",NOT(ISNUMBER(E184))),"Fix: terms must be a number",IF(AND(G184&lt;&gt;"",NOT(ISNUMBER(G184))),"Fix: received must be a number",IF(AND(H184&lt;&gt;"",NOT(ISNUMBER(H184))),"Fix: promised date isn't a date","Fix: received is more than the amount"))))))),IF(AND(C184&lt;&gt;"",ISNUMBER(MATCH(C184,InCats,0))),"OK","Category not on Settings (counted as Other)")))</f>
        <v/>
      </c>
      <c r="R184">
        <f>IF(COUNTA(A184:I184)=0,"",IF(AND(ISNUMBER(F184),F184&gt;0,OR(ISNUMBER(D184),ISNUMBER(H184)),OR(D184="",ISNUMBER(D184)),OR(E184="",ISNUMBER(E184)),OR(G184="",ISNUMBER(G184)),OR(H184="",ISNUMBER(H184))),IF(N(G184)&gt;F184,0,1),0))</f>
        <v/>
      </c>
    </row>
    <row r="185">
      <c r="A185" s="29" t="n"/>
      <c r="B185" s="29" t="n"/>
      <c r="C185" s="29" t="n"/>
      <c r="D185" s="24" t="n"/>
      <c r="E185" s="26" t="n"/>
      <c r="F185" s="34" t="n"/>
      <c r="G185" s="34" t="n"/>
      <c r="H185" s="24" t="n"/>
      <c r="I185" s="29" t="n"/>
      <c r="J185" s="32">
        <f>IF(R185&lt;&gt;1,"",IF(ISNUMBER(D185),INT(D185)+IF(ISNUMBER(E185),INT(E185),DefTerms),""))</f>
        <v/>
      </c>
      <c r="K185" s="35">
        <f>IF(R185&lt;&gt;1,"",IF(ISNUMBER(H185),0,IF(AND(A185&lt;&gt;"",ISNUMBER(MATCH(A185,CustName,0))),IF(ISNUMBER(INDEX(CustLate,MATCH(A185,CustName,0))),INT(INDEX(CustLate,MATCH(A185,CustName,0))),DefLate),DefLate)))</f>
        <v/>
      </c>
      <c r="L185" s="32">
        <f>IF(R185&lt;&gt;1,"",IF(ISNUMBER(H185),INT(H185),J185+K185)+StressDays)</f>
        <v/>
      </c>
      <c r="M185" s="21">
        <f>IF(R185&lt;&gt;1,0,F185-N(G185))</f>
        <v/>
      </c>
      <c r="N185" s="35">
        <f>IF(OR(R185&lt;&gt;1,M185&lt;=0),"",IF(I185="Yes","",IF(L185&lt;W1,IF(OverdueW1="No","",1),IF(L185&lt;=W1+90,INT((L185-W1)/7)+1,""))))</f>
        <v/>
      </c>
      <c r="O185" s="36">
        <f>IF(ISNUMBER(N185),M185*CollectPct,0)</f>
        <v/>
      </c>
      <c r="P185" s="10">
        <f>IF(R185="","",IF(R185=0,"Not counted",IF(M185&lt;=0,"Paid",IF(I185="Yes","Doubtful (left out)",IF(L185&lt;W1,IF(OverdueW1="No","Overdue (left out)","Overdue → Week 1"),IF(L185&lt;=W1+90,"Week "&amp;N185,"After Week 13"))))))</f>
        <v/>
      </c>
      <c r="Q185" s="10">
        <f>IF(R185="","",IF(R185=0,IF(NOT(ISNUMBER(F185)),"Fix: amount missing",IF(F185&lt;=0,"Fix: amount must be above 0",IF(AND(NOT(ISNUMBER(D185)),NOT(ISNUMBER(H185))),"Fix: add an invoice date or a promised date",IF(AND(D185&lt;&gt;"",NOT(ISNUMBER(D185))),"Fix: invoice date isn't a date",IF(AND(E185&lt;&gt;"",NOT(ISNUMBER(E185))),"Fix: terms must be a number",IF(AND(G185&lt;&gt;"",NOT(ISNUMBER(G185))),"Fix: received must be a number",IF(AND(H185&lt;&gt;"",NOT(ISNUMBER(H185))),"Fix: promised date isn't a date","Fix: received is more than the amount"))))))),IF(AND(C185&lt;&gt;"",ISNUMBER(MATCH(C185,InCats,0))),"OK","Category not on Settings (counted as Other)")))</f>
        <v/>
      </c>
      <c r="R185">
        <f>IF(COUNTA(A185:I185)=0,"",IF(AND(ISNUMBER(F185),F185&gt;0,OR(ISNUMBER(D185),ISNUMBER(H185)),OR(D185="",ISNUMBER(D185)),OR(E185="",ISNUMBER(E185)),OR(G185="",ISNUMBER(G185)),OR(H185="",ISNUMBER(H185))),IF(N(G185)&gt;F185,0,1),0))</f>
        <v/>
      </c>
    </row>
    <row r="186">
      <c r="A186" s="29" t="n"/>
      <c r="B186" s="29" t="n"/>
      <c r="C186" s="29" t="n"/>
      <c r="D186" s="24" t="n"/>
      <c r="E186" s="26" t="n"/>
      <c r="F186" s="34" t="n"/>
      <c r="G186" s="34" t="n"/>
      <c r="H186" s="24" t="n"/>
      <c r="I186" s="29" t="n"/>
      <c r="J186" s="32">
        <f>IF(R186&lt;&gt;1,"",IF(ISNUMBER(D186),INT(D186)+IF(ISNUMBER(E186),INT(E186),DefTerms),""))</f>
        <v/>
      </c>
      <c r="K186" s="35">
        <f>IF(R186&lt;&gt;1,"",IF(ISNUMBER(H186),0,IF(AND(A186&lt;&gt;"",ISNUMBER(MATCH(A186,CustName,0))),IF(ISNUMBER(INDEX(CustLate,MATCH(A186,CustName,0))),INT(INDEX(CustLate,MATCH(A186,CustName,0))),DefLate),DefLate)))</f>
        <v/>
      </c>
      <c r="L186" s="32">
        <f>IF(R186&lt;&gt;1,"",IF(ISNUMBER(H186),INT(H186),J186+K186)+StressDays)</f>
        <v/>
      </c>
      <c r="M186" s="21">
        <f>IF(R186&lt;&gt;1,0,F186-N(G186))</f>
        <v/>
      </c>
      <c r="N186" s="35">
        <f>IF(OR(R186&lt;&gt;1,M186&lt;=0),"",IF(I186="Yes","",IF(L186&lt;W1,IF(OverdueW1="No","",1),IF(L186&lt;=W1+90,INT((L186-W1)/7)+1,""))))</f>
        <v/>
      </c>
      <c r="O186" s="36">
        <f>IF(ISNUMBER(N186),M186*CollectPct,0)</f>
        <v/>
      </c>
      <c r="P186" s="10">
        <f>IF(R186="","",IF(R186=0,"Not counted",IF(M186&lt;=0,"Paid",IF(I186="Yes","Doubtful (left out)",IF(L186&lt;W1,IF(OverdueW1="No","Overdue (left out)","Overdue → Week 1"),IF(L186&lt;=W1+90,"Week "&amp;N186,"After Week 13"))))))</f>
        <v/>
      </c>
      <c r="Q186" s="10">
        <f>IF(R186="","",IF(R186=0,IF(NOT(ISNUMBER(F186)),"Fix: amount missing",IF(F186&lt;=0,"Fix: amount must be above 0",IF(AND(NOT(ISNUMBER(D186)),NOT(ISNUMBER(H186))),"Fix: add an invoice date or a promised date",IF(AND(D186&lt;&gt;"",NOT(ISNUMBER(D186))),"Fix: invoice date isn't a date",IF(AND(E186&lt;&gt;"",NOT(ISNUMBER(E186))),"Fix: terms must be a number",IF(AND(G186&lt;&gt;"",NOT(ISNUMBER(G186))),"Fix: received must be a number",IF(AND(H186&lt;&gt;"",NOT(ISNUMBER(H186))),"Fix: promised date isn't a date","Fix: received is more than the amount"))))))),IF(AND(C186&lt;&gt;"",ISNUMBER(MATCH(C186,InCats,0))),"OK","Category not on Settings (counted as Other)")))</f>
        <v/>
      </c>
      <c r="R186">
        <f>IF(COUNTA(A186:I186)=0,"",IF(AND(ISNUMBER(F186),F186&gt;0,OR(ISNUMBER(D186),ISNUMBER(H186)),OR(D186="",ISNUMBER(D186)),OR(E186="",ISNUMBER(E186)),OR(G186="",ISNUMBER(G186)),OR(H186="",ISNUMBER(H186))),IF(N(G186)&gt;F186,0,1),0))</f>
        <v/>
      </c>
    </row>
    <row r="187">
      <c r="A187" s="29" t="n"/>
      <c r="B187" s="29" t="n"/>
      <c r="C187" s="29" t="n"/>
      <c r="D187" s="24" t="n"/>
      <c r="E187" s="26" t="n"/>
      <c r="F187" s="34" t="n"/>
      <c r="G187" s="34" t="n"/>
      <c r="H187" s="24" t="n"/>
      <c r="I187" s="29" t="n"/>
      <c r="J187" s="32">
        <f>IF(R187&lt;&gt;1,"",IF(ISNUMBER(D187),INT(D187)+IF(ISNUMBER(E187),INT(E187),DefTerms),""))</f>
        <v/>
      </c>
      <c r="K187" s="35">
        <f>IF(R187&lt;&gt;1,"",IF(ISNUMBER(H187),0,IF(AND(A187&lt;&gt;"",ISNUMBER(MATCH(A187,CustName,0))),IF(ISNUMBER(INDEX(CustLate,MATCH(A187,CustName,0))),INT(INDEX(CustLate,MATCH(A187,CustName,0))),DefLate),DefLate)))</f>
        <v/>
      </c>
      <c r="L187" s="32">
        <f>IF(R187&lt;&gt;1,"",IF(ISNUMBER(H187),INT(H187),J187+K187)+StressDays)</f>
        <v/>
      </c>
      <c r="M187" s="21">
        <f>IF(R187&lt;&gt;1,0,F187-N(G187))</f>
        <v/>
      </c>
      <c r="N187" s="35">
        <f>IF(OR(R187&lt;&gt;1,M187&lt;=0),"",IF(I187="Yes","",IF(L187&lt;W1,IF(OverdueW1="No","",1),IF(L187&lt;=W1+90,INT((L187-W1)/7)+1,""))))</f>
        <v/>
      </c>
      <c r="O187" s="36">
        <f>IF(ISNUMBER(N187),M187*CollectPct,0)</f>
        <v/>
      </c>
      <c r="P187" s="10">
        <f>IF(R187="","",IF(R187=0,"Not counted",IF(M187&lt;=0,"Paid",IF(I187="Yes","Doubtful (left out)",IF(L187&lt;W1,IF(OverdueW1="No","Overdue (left out)","Overdue → Week 1"),IF(L187&lt;=W1+90,"Week "&amp;N187,"After Week 13"))))))</f>
        <v/>
      </c>
      <c r="Q187" s="10">
        <f>IF(R187="","",IF(R187=0,IF(NOT(ISNUMBER(F187)),"Fix: amount missing",IF(F187&lt;=0,"Fix: amount must be above 0",IF(AND(NOT(ISNUMBER(D187)),NOT(ISNUMBER(H187))),"Fix: add an invoice date or a promised date",IF(AND(D187&lt;&gt;"",NOT(ISNUMBER(D187))),"Fix: invoice date isn't a date",IF(AND(E187&lt;&gt;"",NOT(ISNUMBER(E187))),"Fix: terms must be a number",IF(AND(G187&lt;&gt;"",NOT(ISNUMBER(G187))),"Fix: received must be a number",IF(AND(H187&lt;&gt;"",NOT(ISNUMBER(H187))),"Fix: promised date isn't a date","Fix: received is more than the amount"))))))),IF(AND(C187&lt;&gt;"",ISNUMBER(MATCH(C187,InCats,0))),"OK","Category not on Settings (counted as Other)")))</f>
        <v/>
      </c>
      <c r="R187">
        <f>IF(COUNTA(A187:I187)=0,"",IF(AND(ISNUMBER(F187),F187&gt;0,OR(ISNUMBER(D187),ISNUMBER(H187)),OR(D187="",ISNUMBER(D187)),OR(E187="",ISNUMBER(E187)),OR(G187="",ISNUMBER(G187)),OR(H187="",ISNUMBER(H187))),IF(N(G187)&gt;F187,0,1),0))</f>
        <v/>
      </c>
    </row>
    <row r="188">
      <c r="A188" s="29" t="n"/>
      <c r="B188" s="29" t="n"/>
      <c r="C188" s="29" t="n"/>
      <c r="D188" s="24" t="n"/>
      <c r="E188" s="26" t="n"/>
      <c r="F188" s="34" t="n"/>
      <c r="G188" s="34" t="n"/>
      <c r="H188" s="24" t="n"/>
      <c r="I188" s="29" t="n"/>
      <c r="J188" s="32">
        <f>IF(R188&lt;&gt;1,"",IF(ISNUMBER(D188),INT(D188)+IF(ISNUMBER(E188),INT(E188),DefTerms),""))</f>
        <v/>
      </c>
      <c r="K188" s="35">
        <f>IF(R188&lt;&gt;1,"",IF(ISNUMBER(H188),0,IF(AND(A188&lt;&gt;"",ISNUMBER(MATCH(A188,CustName,0))),IF(ISNUMBER(INDEX(CustLate,MATCH(A188,CustName,0))),INT(INDEX(CustLate,MATCH(A188,CustName,0))),DefLate),DefLate)))</f>
        <v/>
      </c>
      <c r="L188" s="32">
        <f>IF(R188&lt;&gt;1,"",IF(ISNUMBER(H188),INT(H188),J188+K188)+StressDays)</f>
        <v/>
      </c>
      <c r="M188" s="21">
        <f>IF(R188&lt;&gt;1,0,F188-N(G188))</f>
        <v/>
      </c>
      <c r="N188" s="35">
        <f>IF(OR(R188&lt;&gt;1,M188&lt;=0),"",IF(I188="Yes","",IF(L188&lt;W1,IF(OverdueW1="No","",1),IF(L188&lt;=W1+90,INT((L188-W1)/7)+1,""))))</f>
        <v/>
      </c>
      <c r="O188" s="36">
        <f>IF(ISNUMBER(N188),M188*CollectPct,0)</f>
        <v/>
      </c>
      <c r="P188" s="10">
        <f>IF(R188="","",IF(R188=0,"Not counted",IF(M188&lt;=0,"Paid",IF(I188="Yes","Doubtful (left out)",IF(L188&lt;W1,IF(OverdueW1="No","Overdue (left out)","Overdue → Week 1"),IF(L188&lt;=W1+90,"Week "&amp;N188,"After Week 13"))))))</f>
        <v/>
      </c>
      <c r="Q188" s="10">
        <f>IF(R188="","",IF(R188=0,IF(NOT(ISNUMBER(F188)),"Fix: amount missing",IF(F188&lt;=0,"Fix: amount must be above 0",IF(AND(NOT(ISNUMBER(D188)),NOT(ISNUMBER(H188))),"Fix: add an invoice date or a promised date",IF(AND(D188&lt;&gt;"",NOT(ISNUMBER(D188))),"Fix: invoice date isn't a date",IF(AND(E188&lt;&gt;"",NOT(ISNUMBER(E188))),"Fix: terms must be a number",IF(AND(G188&lt;&gt;"",NOT(ISNUMBER(G188))),"Fix: received must be a number",IF(AND(H188&lt;&gt;"",NOT(ISNUMBER(H188))),"Fix: promised date isn't a date","Fix: received is more than the amount"))))))),IF(AND(C188&lt;&gt;"",ISNUMBER(MATCH(C188,InCats,0))),"OK","Category not on Settings (counted as Other)")))</f>
        <v/>
      </c>
      <c r="R188">
        <f>IF(COUNTA(A188:I188)=0,"",IF(AND(ISNUMBER(F188),F188&gt;0,OR(ISNUMBER(D188),ISNUMBER(H188)),OR(D188="",ISNUMBER(D188)),OR(E188="",ISNUMBER(E188)),OR(G188="",ISNUMBER(G188)),OR(H188="",ISNUMBER(H188))),IF(N(G188)&gt;F188,0,1),0))</f>
        <v/>
      </c>
    </row>
    <row r="189">
      <c r="A189" s="29" t="n"/>
      <c r="B189" s="29" t="n"/>
      <c r="C189" s="29" t="n"/>
      <c r="D189" s="24" t="n"/>
      <c r="E189" s="26" t="n"/>
      <c r="F189" s="34" t="n"/>
      <c r="G189" s="34" t="n"/>
      <c r="H189" s="24" t="n"/>
      <c r="I189" s="29" t="n"/>
      <c r="J189" s="32">
        <f>IF(R189&lt;&gt;1,"",IF(ISNUMBER(D189),INT(D189)+IF(ISNUMBER(E189),INT(E189),DefTerms),""))</f>
        <v/>
      </c>
      <c r="K189" s="35">
        <f>IF(R189&lt;&gt;1,"",IF(ISNUMBER(H189),0,IF(AND(A189&lt;&gt;"",ISNUMBER(MATCH(A189,CustName,0))),IF(ISNUMBER(INDEX(CustLate,MATCH(A189,CustName,0))),INT(INDEX(CustLate,MATCH(A189,CustName,0))),DefLate),DefLate)))</f>
        <v/>
      </c>
      <c r="L189" s="32">
        <f>IF(R189&lt;&gt;1,"",IF(ISNUMBER(H189),INT(H189),J189+K189)+StressDays)</f>
        <v/>
      </c>
      <c r="M189" s="21">
        <f>IF(R189&lt;&gt;1,0,F189-N(G189))</f>
        <v/>
      </c>
      <c r="N189" s="35">
        <f>IF(OR(R189&lt;&gt;1,M189&lt;=0),"",IF(I189="Yes","",IF(L189&lt;W1,IF(OverdueW1="No","",1),IF(L189&lt;=W1+90,INT((L189-W1)/7)+1,""))))</f>
        <v/>
      </c>
      <c r="O189" s="36">
        <f>IF(ISNUMBER(N189),M189*CollectPct,0)</f>
        <v/>
      </c>
      <c r="P189" s="10">
        <f>IF(R189="","",IF(R189=0,"Not counted",IF(M189&lt;=0,"Paid",IF(I189="Yes","Doubtful (left out)",IF(L189&lt;W1,IF(OverdueW1="No","Overdue (left out)","Overdue → Week 1"),IF(L189&lt;=W1+90,"Week "&amp;N189,"After Week 13"))))))</f>
        <v/>
      </c>
      <c r="Q189" s="10">
        <f>IF(R189="","",IF(R189=0,IF(NOT(ISNUMBER(F189)),"Fix: amount missing",IF(F189&lt;=0,"Fix: amount must be above 0",IF(AND(NOT(ISNUMBER(D189)),NOT(ISNUMBER(H189))),"Fix: add an invoice date or a promised date",IF(AND(D189&lt;&gt;"",NOT(ISNUMBER(D189))),"Fix: invoice date isn't a date",IF(AND(E189&lt;&gt;"",NOT(ISNUMBER(E189))),"Fix: terms must be a number",IF(AND(G189&lt;&gt;"",NOT(ISNUMBER(G189))),"Fix: received must be a number",IF(AND(H189&lt;&gt;"",NOT(ISNUMBER(H189))),"Fix: promised date isn't a date","Fix: received is more than the amount"))))))),IF(AND(C189&lt;&gt;"",ISNUMBER(MATCH(C189,InCats,0))),"OK","Category not on Settings (counted as Other)")))</f>
        <v/>
      </c>
      <c r="R189">
        <f>IF(COUNTA(A189:I189)=0,"",IF(AND(ISNUMBER(F189),F189&gt;0,OR(ISNUMBER(D189),ISNUMBER(H189)),OR(D189="",ISNUMBER(D189)),OR(E189="",ISNUMBER(E189)),OR(G189="",ISNUMBER(G189)),OR(H189="",ISNUMBER(H189))),IF(N(G189)&gt;F189,0,1),0))</f>
        <v/>
      </c>
    </row>
    <row r="190">
      <c r="A190" s="29" t="n"/>
      <c r="B190" s="29" t="n"/>
      <c r="C190" s="29" t="n"/>
      <c r="D190" s="24" t="n"/>
      <c r="E190" s="26" t="n"/>
      <c r="F190" s="34" t="n"/>
      <c r="G190" s="34" t="n"/>
      <c r="H190" s="24" t="n"/>
      <c r="I190" s="29" t="n"/>
      <c r="J190" s="32">
        <f>IF(R190&lt;&gt;1,"",IF(ISNUMBER(D190),INT(D190)+IF(ISNUMBER(E190),INT(E190),DefTerms),""))</f>
        <v/>
      </c>
      <c r="K190" s="35">
        <f>IF(R190&lt;&gt;1,"",IF(ISNUMBER(H190),0,IF(AND(A190&lt;&gt;"",ISNUMBER(MATCH(A190,CustName,0))),IF(ISNUMBER(INDEX(CustLate,MATCH(A190,CustName,0))),INT(INDEX(CustLate,MATCH(A190,CustName,0))),DefLate),DefLate)))</f>
        <v/>
      </c>
      <c r="L190" s="32">
        <f>IF(R190&lt;&gt;1,"",IF(ISNUMBER(H190),INT(H190),J190+K190)+StressDays)</f>
        <v/>
      </c>
      <c r="M190" s="21">
        <f>IF(R190&lt;&gt;1,0,F190-N(G190))</f>
        <v/>
      </c>
      <c r="N190" s="35">
        <f>IF(OR(R190&lt;&gt;1,M190&lt;=0),"",IF(I190="Yes","",IF(L190&lt;W1,IF(OverdueW1="No","",1),IF(L190&lt;=W1+90,INT((L190-W1)/7)+1,""))))</f>
        <v/>
      </c>
      <c r="O190" s="36">
        <f>IF(ISNUMBER(N190),M190*CollectPct,0)</f>
        <v/>
      </c>
      <c r="P190" s="10">
        <f>IF(R190="","",IF(R190=0,"Not counted",IF(M190&lt;=0,"Paid",IF(I190="Yes","Doubtful (left out)",IF(L190&lt;W1,IF(OverdueW1="No","Overdue (left out)","Overdue → Week 1"),IF(L190&lt;=W1+90,"Week "&amp;N190,"After Week 13"))))))</f>
        <v/>
      </c>
      <c r="Q190" s="10">
        <f>IF(R190="","",IF(R190=0,IF(NOT(ISNUMBER(F190)),"Fix: amount missing",IF(F190&lt;=0,"Fix: amount must be above 0",IF(AND(NOT(ISNUMBER(D190)),NOT(ISNUMBER(H190))),"Fix: add an invoice date or a promised date",IF(AND(D190&lt;&gt;"",NOT(ISNUMBER(D190))),"Fix: invoice date isn't a date",IF(AND(E190&lt;&gt;"",NOT(ISNUMBER(E190))),"Fix: terms must be a number",IF(AND(G190&lt;&gt;"",NOT(ISNUMBER(G190))),"Fix: received must be a number",IF(AND(H190&lt;&gt;"",NOT(ISNUMBER(H190))),"Fix: promised date isn't a date","Fix: received is more than the amount"))))))),IF(AND(C190&lt;&gt;"",ISNUMBER(MATCH(C190,InCats,0))),"OK","Category not on Settings (counted as Other)")))</f>
        <v/>
      </c>
      <c r="R190">
        <f>IF(COUNTA(A190:I190)=0,"",IF(AND(ISNUMBER(F190),F190&gt;0,OR(ISNUMBER(D190),ISNUMBER(H190)),OR(D190="",ISNUMBER(D190)),OR(E190="",ISNUMBER(E190)),OR(G190="",ISNUMBER(G190)),OR(H190="",ISNUMBER(H190))),IF(N(G190)&gt;F190,0,1),0))</f>
        <v/>
      </c>
    </row>
    <row r="191">
      <c r="A191" s="29" t="n"/>
      <c r="B191" s="29" t="n"/>
      <c r="C191" s="29" t="n"/>
      <c r="D191" s="24" t="n"/>
      <c r="E191" s="26" t="n"/>
      <c r="F191" s="34" t="n"/>
      <c r="G191" s="34" t="n"/>
      <c r="H191" s="24" t="n"/>
      <c r="I191" s="29" t="n"/>
      <c r="J191" s="32">
        <f>IF(R191&lt;&gt;1,"",IF(ISNUMBER(D191),INT(D191)+IF(ISNUMBER(E191),INT(E191),DefTerms),""))</f>
        <v/>
      </c>
      <c r="K191" s="35">
        <f>IF(R191&lt;&gt;1,"",IF(ISNUMBER(H191),0,IF(AND(A191&lt;&gt;"",ISNUMBER(MATCH(A191,CustName,0))),IF(ISNUMBER(INDEX(CustLate,MATCH(A191,CustName,0))),INT(INDEX(CustLate,MATCH(A191,CustName,0))),DefLate),DefLate)))</f>
        <v/>
      </c>
      <c r="L191" s="32">
        <f>IF(R191&lt;&gt;1,"",IF(ISNUMBER(H191),INT(H191),J191+K191)+StressDays)</f>
        <v/>
      </c>
      <c r="M191" s="21">
        <f>IF(R191&lt;&gt;1,0,F191-N(G191))</f>
        <v/>
      </c>
      <c r="N191" s="35">
        <f>IF(OR(R191&lt;&gt;1,M191&lt;=0),"",IF(I191="Yes","",IF(L191&lt;W1,IF(OverdueW1="No","",1),IF(L191&lt;=W1+90,INT((L191-W1)/7)+1,""))))</f>
        <v/>
      </c>
      <c r="O191" s="36">
        <f>IF(ISNUMBER(N191),M191*CollectPct,0)</f>
        <v/>
      </c>
      <c r="P191" s="10">
        <f>IF(R191="","",IF(R191=0,"Not counted",IF(M191&lt;=0,"Paid",IF(I191="Yes","Doubtful (left out)",IF(L191&lt;W1,IF(OverdueW1="No","Overdue (left out)","Overdue → Week 1"),IF(L191&lt;=W1+90,"Week "&amp;N191,"After Week 13"))))))</f>
        <v/>
      </c>
      <c r="Q191" s="10">
        <f>IF(R191="","",IF(R191=0,IF(NOT(ISNUMBER(F191)),"Fix: amount missing",IF(F191&lt;=0,"Fix: amount must be above 0",IF(AND(NOT(ISNUMBER(D191)),NOT(ISNUMBER(H191))),"Fix: add an invoice date or a promised date",IF(AND(D191&lt;&gt;"",NOT(ISNUMBER(D191))),"Fix: invoice date isn't a date",IF(AND(E191&lt;&gt;"",NOT(ISNUMBER(E191))),"Fix: terms must be a number",IF(AND(G191&lt;&gt;"",NOT(ISNUMBER(G191))),"Fix: received must be a number",IF(AND(H191&lt;&gt;"",NOT(ISNUMBER(H191))),"Fix: promised date isn't a date","Fix: received is more than the amount"))))))),IF(AND(C191&lt;&gt;"",ISNUMBER(MATCH(C191,InCats,0))),"OK","Category not on Settings (counted as Other)")))</f>
        <v/>
      </c>
      <c r="R191">
        <f>IF(COUNTA(A191:I191)=0,"",IF(AND(ISNUMBER(F191),F191&gt;0,OR(ISNUMBER(D191),ISNUMBER(H191)),OR(D191="",ISNUMBER(D191)),OR(E191="",ISNUMBER(E191)),OR(G191="",ISNUMBER(G191)),OR(H191="",ISNUMBER(H191))),IF(N(G191)&gt;F191,0,1),0))</f>
        <v/>
      </c>
    </row>
    <row r="192">
      <c r="A192" s="29" t="n"/>
      <c r="B192" s="29" t="n"/>
      <c r="C192" s="29" t="n"/>
      <c r="D192" s="24" t="n"/>
      <c r="E192" s="26" t="n"/>
      <c r="F192" s="34" t="n"/>
      <c r="G192" s="34" t="n"/>
      <c r="H192" s="24" t="n"/>
      <c r="I192" s="29" t="n"/>
      <c r="J192" s="32">
        <f>IF(R192&lt;&gt;1,"",IF(ISNUMBER(D192),INT(D192)+IF(ISNUMBER(E192),INT(E192),DefTerms),""))</f>
        <v/>
      </c>
      <c r="K192" s="35">
        <f>IF(R192&lt;&gt;1,"",IF(ISNUMBER(H192),0,IF(AND(A192&lt;&gt;"",ISNUMBER(MATCH(A192,CustName,0))),IF(ISNUMBER(INDEX(CustLate,MATCH(A192,CustName,0))),INT(INDEX(CustLate,MATCH(A192,CustName,0))),DefLate),DefLate)))</f>
        <v/>
      </c>
      <c r="L192" s="32">
        <f>IF(R192&lt;&gt;1,"",IF(ISNUMBER(H192),INT(H192),J192+K192)+StressDays)</f>
        <v/>
      </c>
      <c r="M192" s="21">
        <f>IF(R192&lt;&gt;1,0,F192-N(G192))</f>
        <v/>
      </c>
      <c r="N192" s="35">
        <f>IF(OR(R192&lt;&gt;1,M192&lt;=0),"",IF(I192="Yes","",IF(L192&lt;W1,IF(OverdueW1="No","",1),IF(L192&lt;=W1+90,INT((L192-W1)/7)+1,""))))</f>
        <v/>
      </c>
      <c r="O192" s="36">
        <f>IF(ISNUMBER(N192),M192*CollectPct,0)</f>
        <v/>
      </c>
      <c r="P192" s="10">
        <f>IF(R192="","",IF(R192=0,"Not counted",IF(M192&lt;=0,"Paid",IF(I192="Yes","Doubtful (left out)",IF(L192&lt;W1,IF(OverdueW1="No","Overdue (left out)","Overdue → Week 1"),IF(L192&lt;=W1+90,"Week "&amp;N192,"After Week 13"))))))</f>
        <v/>
      </c>
      <c r="Q192" s="10">
        <f>IF(R192="","",IF(R192=0,IF(NOT(ISNUMBER(F192)),"Fix: amount missing",IF(F192&lt;=0,"Fix: amount must be above 0",IF(AND(NOT(ISNUMBER(D192)),NOT(ISNUMBER(H192))),"Fix: add an invoice date or a promised date",IF(AND(D192&lt;&gt;"",NOT(ISNUMBER(D192))),"Fix: invoice date isn't a date",IF(AND(E192&lt;&gt;"",NOT(ISNUMBER(E192))),"Fix: terms must be a number",IF(AND(G192&lt;&gt;"",NOT(ISNUMBER(G192))),"Fix: received must be a number",IF(AND(H192&lt;&gt;"",NOT(ISNUMBER(H192))),"Fix: promised date isn't a date","Fix: received is more than the amount"))))))),IF(AND(C192&lt;&gt;"",ISNUMBER(MATCH(C192,InCats,0))),"OK","Category not on Settings (counted as Other)")))</f>
        <v/>
      </c>
      <c r="R192">
        <f>IF(COUNTA(A192:I192)=0,"",IF(AND(ISNUMBER(F192),F192&gt;0,OR(ISNUMBER(D192),ISNUMBER(H192)),OR(D192="",ISNUMBER(D192)),OR(E192="",ISNUMBER(E192)),OR(G192="",ISNUMBER(G192)),OR(H192="",ISNUMBER(H192))),IF(N(G192)&gt;F192,0,1),0))</f>
        <v/>
      </c>
    </row>
    <row r="193">
      <c r="A193" s="29" t="n"/>
      <c r="B193" s="29" t="n"/>
      <c r="C193" s="29" t="n"/>
      <c r="D193" s="24" t="n"/>
      <c r="E193" s="26" t="n"/>
      <c r="F193" s="34" t="n"/>
      <c r="G193" s="34" t="n"/>
      <c r="H193" s="24" t="n"/>
      <c r="I193" s="29" t="n"/>
      <c r="J193" s="32">
        <f>IF(R193&lt;&gt;1,"",IF(ISNUMBER(D193),INT(D193)+IF(ISNUMBER(E193),INT(E193),DefTerms),""))</f>
        <v/>
      </c>
      <c r="K193" s="35">
        <f>IF(R193&lt;&gt;1,"",IF(ISNUMBER(H193),0,IF(AND(A193&lt;&gt;"",ISNUMBER(MATCH(A193,CustName,0))),IF(ISNUMBER(INDEX(CustLate,MATCH(A193,CustName,0))),INT(INDEX(CustLate,MATCH(A193,CustName,0))),DefLate),DefLate)))</f>
        <v/>
      </c>
      <c r="L193" s="32">
        <f>IF(R193&lt;&gt;1,"",IF(ISNUMBER(H193),INT(H193),J193+K193)+StressDays)</f>
        <v/>
      </c>
      <c r="M193" s="21">
        <f>IF(R193&lt;&gt;1,0,F193-N(G193))</f>
        <v/>
      </c>
      <c r="N193" s="35">
        <f>IF(OR(R193&lt;&gt;1,M193&lt;=0),"",IF(I193="Yes","",IF(L193&lt;W1,IF(OverdueW1="No","",1),IF(L193&lt;=W1+90,INT((L193-W1)/7)+1,""))))</f>
        <v/>
      </c>
      <c r="O193" s="36">
        <f>IF(ISNUMBER(N193),M193*CollectPct,0)</f>
        <v/>
      </c>
      <c r="P193" s="10">
        <f>IF(R193="","",IF(R193=0,"Not counted",IF(M193&lt;=0,"Paid",IF(I193="Yes","Doubtful (left out)",IF(L193&lt;W1,IF(OverdueW1="No","Overdue (left out)","Overdue → Week 1"),IF(L193&lt;=W1+90,"Week "&amp;N193,"After Week 13"))))))</f>
        <v/>
      </c>
      <c r="Q193" s="10">
        <f>IF(R193="","",IF(R193=0,IF(NOT(ISNUMBER(F193)),"Fix: amount missing",IF(F193&lt;=0,"Fix: amount must be above 0",IF(AND(NOT(ISNUMBER(D193)),NOT(ISNUMBER(H193))),"Fix: add an invoice date or a promised date",IF(AND(D193&lt;&gt;"",NOT(ISNUMBER(D193))),"Fix: invoice date isn't a date",IF(AND(E193&lt;&gt;"",NOT(ISNUMBER(E193))),"Fix: terms must be a number",IF(AND(G193&lt;&gt;"",NOT(ISNUMBER(G193))),"Fix: received must be a number",IF(AND(H193&lt;&gt;"",NOT(ISNUMBER(H193))),"Fix: promised date isn't a date","Fix: received is more than the amount"))))))),IF(AND(C193&lt;&gt;"",ISNUMBER(MATCH(C193,InCats,0))),"OK","Category not on Settings (counted as Other)")))</f>
        <v/>
      </c>
      <c r="R193">
        <f>IF(COUNTA(A193:I193)=0,"",IF(AND(ISNUMBER(F193),F193&gt;0,OR(ISNUMBER(D193),ISNUMBER(H193)),OR(D193="",ISNUMBER(D193)),OR(E193="",ISNUMBER(E193)),OR(G193="",ISNUMBER(G193)),OR(H193="",ISNUMBER(H193))),IF(N(G193)&gt;F193,0,1),0))</f>
        <v/>
      </c>
    </row>
    <row r="194">
      <c r="A194" s="29" t="n"/>
      <c r="B194" s="29" t="n"/>
      <c r="C194" s="29" t="n"/>
      <c r="D194" s="24" t="n"/>
      <c r="E194" s="26" t="n"/>
      <c r="F194" s="34" t="n"/>
      <c r="G194" s="34" t="n"/>
      <c r="H194" s="24" t="n"/>
      <c r="I194" s="29" t="n"/>
      <c r="J194" s="32">
        <f>IF(R194&lt;&gt;1,"",IF(ISNUMBER(D194),INT(D194)+IF(ISNUMBER(E194),INT(E194),DefTerms),""))</f>
        <v/>
      </c>
      <c r="K194" s="35">
        <f>IF(R194&lt;&gt;1,"",IF(ISNUMBER(H194),0,IF(AND(A194&lt;&gt;"",ISNUMBER(MATCH(A194,CustName,0))),IF(ISNUMBER(INDEX(CustLate,MATCH(A194,CustName,0))),INT(INDEX(CustLate,MATCH(A194,CustName,0))),DefLate),DefLate)))</f>
        <v/>
      </c>
      <c r="L194" s="32">
        <f>IF(R194&lt;&gt;1,"",IF(ISNUMBER(H194),INT(H194),J194+K194)+StressDays)</f>
        <v/>
      </c>
      <c r="M194" s="21">
        <f>IF(R194&lt;&gt;1,0,F194-N(G194))</f>
        <v/>
      </c>
      <c r="N194" s="35">
        <f>IF(OR(R194&lt;&gt;1,M194&lt;=0),"",IF(I194="Yes","",IF(L194&lt;W1,IF(OverdueW1="No","",1),IF(L194&lt;=W1+90,INT((L194-W1)/7)+1,""))))</f>
        <v/>
      </c>
      <c r="O194" s="36">
        <f>IF(ISNUMBER(N194),M194*CollectPct,0)</f>
        <v/>
      </c>
      <c r="P194" s="10">
        <f>IF(R194="","",IF(R194=0,"Not counted",IF(M194&lt;=0,"Paid",IF(I194="Yes","Doubtful (left out)",IF(L194&lt;W1,IF(OverdueW1="No","Overdue (left out)","Overdue → Week 1"),IF(L194&lt;=W1+90,"Week "&amp;N194,"After Week 13"))))))</f>
        <v/>
      </c>
      <c r="Q194" s="10">
        <f>IF(R194="","",IF(R194=0,IF(NOT(ISNUMBER(F194)),"Fix: amount missing",IF(F194&lt;=0,"Fix: amount must be above 0",IF(AND(NOT(ISNUMBER(D194)),NOT(ISNUMBER(H194))),"Fix: add an invoice date or a promised date",IF(AND(D194&lt;&gt;"",NOT(ISNUMBER(D194))),"Fix: invoice date isn't a date",IF(AND(E194&lt;&gt;"",NOT(ISNUMBER(E194))),"Fix: terms must be a number",IF(AND(G194&lt;&gt;"",NOT(ISNUMBER(G194))),"Fix: received must be a number",IF(AND(H194&lt;&gt;"",NOT(ISNUMBER(H194))),"Fix: promised date isn't a date","Fix: received is more than the amount"))))))),IF(AND(C194&lt;&gt;"",ISNUMBER(MATCH(C194,InCats,0))),"OK","Category not on Settings (counted as Other)")))</f>
        <v/>
      </c>
      <c r="R194">
        <f>IF(COUNTA(A194:I194)=0,"",IF(AND(ISNUMBER(F194),F194&gt;0,OR(ISNUMBER(D194),ISNUMBER(H194)),OR(D194="",ISNUMBER(D194)),OR(E194="",ISNUMBER(E194)),OR(G194="",ISNUMBER(G194)),OR(H194="",ISNUMBER(H194))),IF(N(G194)&gt;F194,0,1),0))</f>
        <v/>
      </c>
    </row>
    <row r="195">
      <c r="A195" s="29" t="n"/>
      <c r="B195" s="29" t="n"/>
      <c r="C195" s="29" t="n"/>
      <c r="D195" s="24" t="n"/>
      <c r="E195" s="26" t="n"/>
      <c r="F195" s="34" t="n"/>
      <c r="G195" s="34" t="n"/>
      <c r="H195" s="24" t="n"/>
      <c r="I195" s="29" t="n"/>
      <c r="J195" s="32">
        <f>IF(R195&lt;&gt;1,"",IF(ISNUMBER(D195),INT(D195)+IF(ISNUMBER(E195),INT(E195),DefTerms),""))</f>
        <v/>
      </c>
      <c r="K195" s="35">
        <f>IF(R195&lt;&gt;1,"",IF(ISNUMBER(H195),0,IF(AND(A195&lt;&gt;"",ISNUMBER(MATCH(A195,CustName,0))),IF(ISNUMBER(INDEX(CustLate,MATCH(A195,CustName,0))),INT(INDEX(CustLate,MATCH(A195,CustName,0))),DefLate),DefLate)))</f>
        <v/>
      </c>
      <c r="L195" s="32">
        <f>IF(R195&lt;&gt;1,"",IF(ISNUMBER(H195),INT(H195),J195+K195)+StressDays)</f>
        <v/>
      </c>
      <c r="M195" s="21">
        <f>IF(R195&lt;&gt;1,0,F195-N(G195))</f>
        <v/>
      </c>
      <c r="N195" s="35">
        <f>IF(OR(R195&lt;&gt;1,M195&lt;=0),"",IF(I195="Yes","",IF(L195&lt;W1,IF(OverdueW1="No","",1),IF(L195&lt;=W1+90,INT((L195-W1)/7)+1,""))))</f>
        <v/>
      </c>
      <c r="O195" s="36">
        <f>IF(ISNUMBER(N195),M195*CollectPct,0)</f>
        <v/>
      </c>
      <c r="P195" s="10">
        <f>IF(R195="","",IF(R195=0,"Not counted",IF(M195&lt;=0,"Paid",IF(I195="Yes","Doubtful (left out)",IF(L195&lt;W1,IF(OverdueW1="No","Overdue (left out)","Overdue → Week 1"),IF(L195&lt;=W1+90,"Week "&amp;N195,"After Week 13"))))))</f>
        <v/>
      </c>
      <c r="Q195" s="10">
        <f>IF(R195="","",IF(R195=0,IF(NOT(ISNUMBER(F195)),"Fix: amount missing",IF(F195&lt;=0,"Fix: amount must be above 0",IF(AND(NOT(ISNUMBER(D195)),NOT(ISNUMBER(H195))),"Fix: add an invoice date or a promised date",IF(AND(D195&lt;&gt;"",NOT(ISNUMBER(D195))),"Fix: invoice date isn't a date",IF(AND(E195&lt;&gt;"",NOT(ISNUMBER(E195))),"Fix: terms must be a number",IF(AND(G195&lt;&gt;"",NOT(ISNUMBER(G195))),"Fix: received must be a number",IF(AND(H195&lt;&gt;"",NOT(ISNUMBER(H195))),"Fix: promised date isn't a date","Fix: received is more than the amount"))))))),IF(AND(C195&lt;&gt;"",ISNUMBER(MATCH(C195,InCats,0))),"OK","Category not on Settings (counted as Other)")))</f>
        <v/>
      </c>
      <c r="R195">
        <f>IF(COUNTA(A195:I195)=0,"",IF(AND(ISNUMBER(F195),F195&gt;0,OR(ISNUMBER(D195),ISNUMBER(H195)),OR(D195="",ISNUMBER(D195)),OR(E195="",ISNUMBER(E195)),OR(G195="",ISNUMBER(G195)),OR(H195="",ISNUMBER(H195))),IF(N(G195)&gt;F195,0,1),0))</f>
        <v/>
      </c>
    </row>
    <row r="196">
      <c r="A196" s="29" t="n"/>
      <c r="B196" s="29" t="n"/>
      <c r="C196" s="29" t="n"/>
      <c r="D196" s="24" t="n"/>
      <c r="E196" s="26" t="n"/>
      <c r="F196" s="34" t="n"/>
      <c r="G196" s="34" t="n"/>
      <c r="H196" s="24" t="n"/>
      <c r="I196" s="29" t="n"/>
      <c r="J196" s="32">
        <f>IF(R196&lt;&gt;1,"",IF(ISNUMBER(D196),INT(D196)+IF(ISNUMBER(E196),INT(E196),DefTerms),""))</f>
        <v/>
      </c>
      <c r="K196" s="35">
        <f>IF(R196&lt;&gt;1,"",IF(ISNUMBER(H196),0,IF(AND(A196&lt;&gt;"",ISNUMBER(MATCH(A196,CustName,0))),IF(ISNUMBER(INDEX(CustLate,MATCH(A196,CustName,0))),INT(INDEX(CustLate,MATCH(A196,CustName,0))),DefLate),DefLate)))</f>
        <v/>
      </c>
      <c r="L196" s="32">
        <f>IF(R196&lt;&gt;1,"",IF(ISNUMBER(H196),INT(H196),J196+K196)+StressDays)</f>
        <v/>
      </c>
      <c r="M196" s="21">
        <f>IF(R196&lt;&gt;1,0,F196-N(G196))</f>
        <v/>
      </c>
      <c r="N196" s="35">
        <f>IF(OR(R196&lt;&gt;1,M196&lt;=0),"",IF(I196="Yes","",IF(L196&lt;W1,IF(OverdueW1="No","",1),IF(L196&lt;=W1+90,INT((L196-W1)/7)+1,""))))</f>
        <v/>
      </c>
      <c r="O196" s="36">
        <f>IF(ISNUMBER(N196),M196*CollectPct,0)</f>
        <v/>
      </c>
      <c r="P196" s="10">
        <f>IF(R196="","",IF(R196=0,"Not counted",IF(M196&lt;=0,"Paid",IF(I196="Yes","Doubtful (left out)",IF(L196&lt;W1,IF(OverdueW1="No","Overdue (left out)","Overdue → Week 1"),IF(L196&lt;=W1+90,"Week "&amp;N196,"After Week 13"))))))</f>
        <v/>
      </c>
      <c r="Q196" s="10">
        <f>IF(R196="","",IF(R196=0,IF(NOT(ISNUMBER(F196)),"Fix: amount missing",IF(F196&lt;=0,"Fix: amount must be above 0",IF(AND(NOT(ISNUMBER(D196)),NOT(ISNUMBER(H196))),"Fix: add an invoice date or a promised date",IF(AND(D196&lt;&gt;"",NOT(ISNUMBER(D196))),"Fix: invoice date isn't a date",IF(AND(E196&lt;&gt;"",NOT(ISNUMBER(E196))),"Fix: terms must be a number",IF(AND(G196&lt;&gt;"",NOT(ISNUMBER(G196))),"Fix: received must be a number",IF(AND(H196&lt;&gt;"",NOT(ISNUMBER(H196))),"Fix: promised date isn't a date","Fix: received is more than the amount"))))))),IF(AND(C196&lt;&gt;"",ISNUMBER(MATCH(C196,InCats,0))),"OK","Category not on Settings (counted as Other)")))</f>
        <v/>
      </c>
      <c r="R196">
        <f>IF(COUNTA(A196:I196)=0,"",IF(AND(ISNUMBER(F196),F196&gt;0,OR(ISNUMBER(D196),ISNUMBER(H196)),OR(D196="",ISNUMBER(D196)),OR(E196="",ISNUMBER(E196)),OR(G196="",ISNUMBER(G196)),OR(H196="",ISNUMBER(H196))),IF(N(G196)&gt;F196,0,1),0))</f>
        <v/>
      </c>
    </row>
    <row r="197">
      <c r="A197" s="29" t="n"/>
      <c r="B197" s="29" t="n"/>
      <c r="C197" s="29" t="n"/>
      <c r="D197" s="24" t="n"/>
      <c r="E197" s="26" t="n"/>
      <c r="F197" s="34" t="n"/>
      <c r="G197" s="34" t="n"/>
      <c r="H197" s="24" t="n"/>
      <c r="I197" s="29" t="n"/>
      <c r="J197" s="32">
        <f>IF(R197&lt;&gt;1,"",IF(ISNUMBER(D197),INT(D197)+IF(ISNUMBER(E197),INT(E197),DefTerms),""))</f>
        <v/>
      </c>
      <c r="K197" s="35">
        <f>IF(R197&lt;&gt;1,"",IF(ISNUMBER(H197),0,IF(AND(A197&lt;&gt;"",ISNUMBER(MATCH(A197,CustName,0))),IF(ISNUMBER(INDEX(CustLate,MATCH(A197,CustName,0))),INT(INDEX(CustLate,MATCH(A197,CustName,0))),DefLate),DefLate)))</f>
        <v/>
      </c>
      <c r="L197" s="32">
        <f>IF(R197&lt;&gt;1,"",IF(ISNUMBER(H197),INT(H197),J197+K197)+StressDays)</f>
        <v/>
      </c>
      <c r="M197" s="21">
        <f>IF(R197&lt;&gt;1,0,F197-N(G197))</f>
        <v/>
      </c>
      <c r="N197" s="35">
        <f>IF(OR(R197&lt;&gt;1,M197&lt;=0),"",IF(I197="Yes","",IF(L197&lt;W1,IF(OverdueW1="No","",1),IF(L197&lt;=W1+90,INT((L197-W1)/7)+1,""))))</f>
        <v/>
      </c>
      <c r="O197" s="36">
        <f>IF(ISNUMBER(N197),M197*CollectPct,0)</f>
        <v/>
      </c>
      <c r="P197" s="10">
        <f>IF(R197="","",IF(R197=0,"Not counted",IF(M197&lt;=0,"Paid",IF(I197="Yes","Doubtful (left out)",IF(L197&lt;W1,IF(OverdueW1="No","Overdue (left out)","Overdue → Week 1"),IF(L197&lt;=W1+90,"Week "&amp;N197,"After Week 13"))))))</f>
        <v/>
      </c>
      <c r="Q197" s="10">
        <f>IF(R197="","",IF(R197=0,IF(NOT(ISNUMBER(F197)),"Fix: amount missing",IF(F197&lt;=0,"Fix: amount must be above 0",IF(AND(NOT(ISNUMBER(D197)),NOT(ISNUMBER(H197))),"Fix: add an invoice date or a promised date",IF(AND(D197&lt;&gt;"",NOT(ISNUMBER(D197))),"Fix: invoice date isn't a date",IF(AND(E197&lt;&gt;"",NOT(ISNUMBER(E197))),"Fix: terms must be a number",IF(AND(G197&lt;&gt;"",NOT(ISNUMBER(G197))),"Fix: received must be a number",IF(AND(H197&lt;&gt;"",NOT(ISNUMBER(H197))),"Fix: promised date isn't a date","Fix: received is more than the amount"))))))),IF(AND(C197&lt;&gt;"",ISNUMBER(MATCH(C197,InCats,0))),"OK","Category not on Settings (counted as Other)")))</f>
        <v/>
      </c>
      <c r="R197">
        <f>IF(COUNTA(A197:I197)=0,"",IF(AND(ISNUMBER(F197),F197&gt;0,OR(ISNUMBER(D197),ISNUMBER(H197)),OR(D197="",ISNUMBER(D197)),OR(E197="",ISNUMBER(E197)),OR(G197="",ISNUMBER(G197)),OR(H197="",ISNUMBER(H197))),IF(N(G197)&gt;F197,0,1),0))</f>
        <v/>
      </c>
    </row>
    <row r="198">
      <c r="A198" s="29" t="n"/>
      <c r="B198" s="29" t="n"/>
      <c r="C198" s="29" t="n"/>
      <c r="D198" s="24" t="n"/>
      <c r="E198" s="26" t="n"/>
      <c r="F198" s="34" t="n"/>
      <c r="G198" s="34" t="n"/>
      <c r="H198" s="24" t="n"/>
      <c r="I198" s="29" t="n"/>
      <c r="J198" s="32">
        <f>IF(R198&lt;&gt;1,"",IF(ISNUMBER(D198),INT(D198)+IF(ISNUMBER(E198),INT(E198),DefTerms),""))</f>
        <v/>
      </c>
      <c r="K198" s="35">
        <f>IF(R198&lt;&gt;1,"",IF(ISNUMBER(H198),0,IF(AND(A198&lt;&gt;"",ISNUMBER(MATCH(A198,CustName,0))),IF(ISNUMBER(INDEX(CustLate,MATCH(A198,CustName,0))),INT(INDEX(CustLate,MATCH(A198,CustName,0))),DefLate),DefLate)))</f>
        <v/>
      </c>
      <c r="L198" s="32">
        <f>IF(R198&lt;&gt;1,"",IF(ISNUMBER(H198),INT(H198),J198+K198)+StressDays)</f>
        <v/>
      </c>
      <c r="M198" s="21">
        <f>IF(R198&lt;&gt;1,0,F198-N(G198))</f>
        <v/>
      </c>
      <c r="N198" s="35">
        <f>IF(OR(R198&lt;&gt;1,M198&lt;=0),"",IF(I198="Yes","",IF(L198&lt;W1,IF(OverdueW1="No","",1),IF(L198&lt;=W1+90,INT((L198-W1)/7)+1,""))))</f>
        <v/>
      </c>
      <c r="O198" s="36">
        <f>IF(ISNUMBER(N198),M198*CollectPct,0)</f>
        <v/>
      </c>
      <c r="P198" s="10">
        <f>IF(R198="","",IF(R198=0,"Not counted",IF(M198&lt;=0,"Paid",IF(I198="Yes","Doubtful (left out)",IF(L198&lt;W1,IF(OverdueW1="No","Overdue (left out)","Overdue → Week 1"),IF(L198&lt;=W1+90,"Week "&amp;N198,"After Week 13"))))))</f>
        <v/>
      </c>
      <c r="Q198" s="10">
        <f>IF(R198="","",IF(R198=0,IF(NOT(ISNUMBER(F198)),"Fix: amount missing",IF(F198&lt;=0,"Fix: amount must be above 0",IF(AND(NOT(ISNUMBER(D198)),NOT(ISNUMBER(H198))),"Fix: add an invoice date or a promised date",IF(AND(D198&lt;&gt;"",NOT(ISNUMBER(D198))),"Fix: invoice date isn't a date",IF(AND(E198&lt;&gt;"",NOT(ISNUMBER(E198))),"Fix: terms must be a number",IF(AND(G198&lt;&gt;"",NOT(ISNUMBER(G198))),"Fix: received must be a number",IF(AND(H198&lt;&gt;"",NOT(ISNUMBER(H198))),"Fix: promised date isn't a date","Fix: received is more than the amount"))))))),IF(AND(C198&lt;&gt;"",ISNUMBER(MATCH(C198,InCats,0))),"OK","Category not on Settings (counted as Other)")))</f>
        <v/>
      </c>
      <c r="R198">
        <f>IF(COUNTA(A198:I198)=0,"",IF(AND(ISNUMBER(F198),F198&gt;0,OR(ISNUMBER(D198),ISNUMBER(H198)),OR(D198="",ISNUMBER(D198)),OR(E198="",ISNUMBER(E198)),OR(G198="",ISNUMBER(G198)),OR(H198="",ISNUMBER(H198))),IF(N(G198)&gt;F198,0,1),0))</f>
        <v/>
      </c>
    </row>
    <row r="199">
      <c r="A199" s="29" t="n"/>
      <c r="B199" s="29" t="n"/>
      <c r="C199" s="29" t="n"/>
      <c r="D199" s="24" t="n"/>
      <c r="E199" s="26" t="n"/>
      <c r="F199" s="34" t="n"/>
      <c r="G199" s="34" t="n"/>
      <c r="H199" s="24" t="n"/>
      <c r="I199" s="29" t="n"/>
      <c r="J199" s="32">
        <f>IF(R199&lt;&gt;1,"",IF(ISNUMBER(D199),INT(D199)+IF(ISNUMBER(E199),INT(E199),DefTerms),""))</f>
        <v/>
      </c>
      <c r="K199" s="35">
        <f>IF(R199&lt;&gt;1,"",IF(ISNUMBER(H199),0,IF(AND(A199&lt;&gt;"",ISNUMBER(MATCH(A199,CustName,0))),IF(ISNUMBER(INDEX(CustLate,MATCH(A199,CustName,0))),INT(INDEX(CustLate,MATCH(A199,CustName,0))),DefLate),DefLate)))</f>
        <v/>
      </c>
      <c r="L199" s="32">
        <f>IF(R199&lt;&gt;1,"",IF(ISNUMBER(H199),INT(H199),J199+K199)+StressDays)</f>
        <v/>
      </c>
      <c r="M199" s="21">
        <f>IF(R199&lt;&gt;1,0,F199-N(G199))</f>
        <v/>
      </c>
      <c r="N199" s="35">
        <f>IF(OR(R199&lt;&gt;1,M199&lt;=0),"",IF(I199="Yes","",IF(L199&lt;W1,IF(OverdueW1="No","",1),IF(L199&lt;=W1+90,INT((L199-W1)/7)+1,""))))</f>
        <v/>
      </c>
      <c r="O199" s="36">
        <f>IF(ISNUMBER(N199),M199*CollectPct,0)</f>
        <v/>
      </c>
      <c r="P199" s="10">
        <f>IF(R199="","",IF(R199=0,"Not counted",IF(M199&lt;=0,"Paid",IF(I199="Yes","Doubtful (left out)",IF(L199&lt;W1,IF(OverdueW1="No","Overdue (left out)","Overdue → Week 1"),IF(L199&lt;=W1+90,"Week "&amp;N199,"After Week 13"))))))</f>
        <v/>
      </c>
      <c r="Q199" s="10">
        <f>IF(R199="","",IF(R199=0,IF(NOT(ISNUMBER(F199)),"Fix: amount missing",IF(F199&lt;=0,"Fix: amount must be above 0",IF(AND(NOT(ISNUMBER(D199)),NOT(ISNUMBER(H199))),"Fix: add an invoice date or a promised date",IF(AND(D199&lt;&gt;"",NOT(ISNUMBER(D199))),"Fix: invoice date isn't a date",IF(AND(E199&lt;&gt;"",NOT(ISNUMBER(E199))),"Fix: terms must be a number",IF(AND(G199&lt;&gt;"",NOT(ISNUMBER(G199))),"Fix: received must be a number",IF(AND(H199&lt;&gt;"",NOT(ISNUMBER(H199))),"Fix: promised date isn't a date","Fix: received is more than the amount"))))))),IF(AND(C199&lt;&gt;"",ISNUMBER(MATCH(C199,InCats,0))),"OK","Category not on Settings (counted as Other)")))</f>
        <v/>
      </c>
      <c r="R199">
        <f>IF(COUNTA(A199:I199)=0,"",IF(AND(ISNUMBER(F199),F199&gt;0,OR(ISNUMBER(D199),ISNUMBER(H199)),OR(D199="",ISNUMBER(D199)),OR(E199="",ISNUMBER(E199)),OR(G199="",ISNUMBER(G199)),OR(H199="",ISNUMBER(H199))),IF(N(G199)&gt;F199,0,1),0))</f>
        <v/>
      </c>
    </row>
    <row r="200">
      <c r="A200" s="29" t="n"/>
      <c r="B200" s="29" t="n"/>
      <c r="C200" s="29" t="n"/>
      <c r="D200" s="24" t="n"/>
      <c r="E200" s="26" t="n"/>
      <c r="F200" s="34" t="n"/>
      <c r="G200" s="34" t="n"/>
      <c r="H200" s="24" t="n"/>
      <c r="I200" s="29" t="n"/>
      <c r="J200" s="32">
        <f>IF(R200&lt;&gt;1,"",IF(ISNUMBER(D200),INT(D200)+IF(ISNUMBER(E200),INT(E200),DefTerms),""))</f>
        <v/>
      </c>
      <c r="K200" s="35">
        <f>IF(R200&lt;&gt;1,"",IF(ISNUMBER(H200),0,IF(AND(A200&lt;&gt;"",ISNUMBER(MATCH(A200,CustName,0))),IF(ISNUMBER(INDEX(CustLate,MATCH(A200,CustName,0))),INT(INDEX(CustLate,MATCH(A200,CustName,0))),DefLate),DefLate)))</f>
        <v/>
      </c>
      <c r="L200" s="32">
        <f>IF(R200&lt;&gt;1,"",IF(ISNUMBER(H200),INT(H200),J200+K200)+StressDays)</f>
        <v/>
      </c>
      <c r="M200" s="21">
        <f>IF(R200&lt;&gt;1,0,F200-N(G200))</f>
        <v/>
      </c>
      <c r="N200" s="35">
        <f>IF(OR(R200&lt;&gt;1,M200&lt;=0),"",IF(I200="Yes","",IF(L200&lt;W1,IF(OverdueW1="No","",1),IF(L200&lt;=W1+90,INT((L200-W1)/7)+1,""))))</f>
        <v/>
      </c>
      <c r="O200" s="36">
        <f>IF(ISNUMBER(N200),M200*CollectPct,0)</f>
        <v/>
      </c>
      <c r="P200" s="10">
        <f>IF(R200="","",IF(R200=0,"Not counted",IF(M200&lt;=0,"Paid",IF(I200="Yes","Doubtful (left out)",IF(L200&lt;W1,IF(OverdueW1="No","Overdue (left out)","Overdue → Week 1"),IF(L200&lt;=W1+90,"Week "&amp;N200,"After Week 13"))))))</f>
        <v/>
      </c>
      <c r="Q200" s="10">
        <f>IF(R200="","",IF(R200=0,IF(NOT(ISNUMBER(F200)),"Fix: amount missing",IF(F200&lt;=0,"Fix: amount must be above 0",IF(AND(NOT(ISNUMBER(D200)),NOT(ISNUMBER(H200))),"Fix: add an invoice date or a promised date",IF(AND(D200&lt;&gt;"",NOT(ISNUMBER(D200))),"Fix: invoice date isn't a date",IF(AND(E200&lt;&gt;"",NOT(ISNUMBER(E200))),"Fix: terms must be a number",IF(AND(G200&lt;&gt;"",NOT(ISNUMBER(G200))),"Fix: received must be a number",IF(AND(H200&lt;&gt;"",NOT(ISNUMBER(H200))),"Fix: promised date isn't a date","Fix: received is more than the amount"))))))),IF(AND(C200&lt;&gt;"",ISNUMBER(MATCH(C200,InCats,0))),"OK","Category not on Settings (counted as Other)")))</f>
        <v/>
      </c>
      <c r="R200">
        <f>IF(COUNTA(A200:I200)=0,"",IF(AND(ISNUMBER(F200),F200&gt;0,OR(ISNUMBER(D200),ISNUMBER(H200)),OR(D200="",ISNUMBER(D200)),OR(E200="",ISNUMBER(E200)),OR(G200="",ISNUMBER(G200)),OR(H200="",ISNUMBER(H200))),IF(N(G200)&gt;F200,0,1),0))</f>
        <v/>
      </c>
    </row>
    <row r="201">
      <c r="A201" s="29" t="n"/>
      <c r="B201" s="29" t="n"/>
      <c r="C201" s="29" t="n"/>
      <c r="D201" s="24" t="n"/>
      <c r="E201" s="26" t="n"/>
      <c r="F201" s="34" t="n"/>
      <c r="G201" s="34" t="n"/>
      <c r="H201" s="24" t="n"/>
      <c r="I201" s="29" t="n"/>
      <c r="J201" s="32">
        <f>IF(R201&lt;&gt;1,"",IF(ISNUMBER(D201),INT(D201)+IF(ISNUMBER(E201),INT(E201),DefTerms),""))</f>
        <v/>
      </c>
      <c r="K201" s="35">
        <f>IF(R201&lt;&gt;1,"",IF(ISNUMBER(H201),0,IF(AND(A201&lt;&gt;"",ISNUMBER(MATCH(A201,CustName,0))),IF(ISNUMBER(INDEX(CustLate,MATCH(A201,CustName,0))),INT(INDEX(CustLate,MATCH(A201,CustName,0))),DefLate),DefLate)))</f>
        <v/>
      </c>
      <c r="L201" s="32">
        <f>IF(R201&lt;&gt;1,"",IF(ISNUMBER(H201),INT(H201),J201+K201)+StressDays)</f>
        <v/>
      </c>
      <c r="M201" s="21">
        <f>IF(R201&lt;&gt;1,0,F201-N(G201))</f>
        <v/>
      </c>
      <c r="N201" s="35">
        <f>IF(OR(R201&lt;&gt;1,M201&lt;=0),"",IF(I201="Yes","",IF(L201&lt;W1,IF(OverdueW1="No","",1),IF(L201&lt;=W1+90,INT((L201-W1)/7)+1,""))))</f>
        <v/>
      </c>
      <c r="O201" s="36">
        <f>IF(ISNUMBER(N201),M201*CollectPct,0)</f>
        <v/>
      </c>
      <c r="P201" s="10">
        <f>IF(R201="","",IF(R201=0,"Not counted",IF(M201&lt;=0,"Paid",IF(I201="Yes","Doubtful (left out)",IF(L201&lt;W1,IF(OverdueW1="No","Overdue (left out)","Overdue → Week 1"),IF(L201&lt;=W1+90,"Week "&amp;N201,"After Week 13"))))))</f>
        <v/>
      </c>
      <c r="Q201" s="10">
        <f>IF(R201="","",IF(R201=0,IF(NOT(ISNUMBER(F201)),"Fix: amount missing",IF(F201&lt;=0,"Fix: amount must be above 0",IF(AND(NOT(ISNUMBER(D201)),NOT(ISNUMBER(H201))),"Fix: add an invoice date or a promised date",IF(AND(D201&lt;&gt;"",NOT(ISNUMBER(D201))),"Fix: invoice date isn't a date",IF(AND(E201&lt;&gt;"",NOT(ISNUMBER(E201))),"Fix: terms must be a number",IF(AND(G201&lt;&gt;"",NOT(ISNUMBER(G201))),"Fix: received must be a number",IF(AND(H201&lt;&gt;"",NOT(ISNUMBER(H201))),"Fix: promised date isn't a date","Fix: received is more than the amount"))))))),IF(AND(C201&lt;&gt;"",ISNUMBER(MATCH(C201,InCats,0))),"OK","Category not on Settings (counted as Other)")))</f>
        <v/>
      </c>
      <c r="R201">
        <f>IF(COUNTA(A201:I201)=0,"",IF(AND(ISNUMBER(F201),F201&gt;0,OR(ISNUMBER(D201),ISNUMBER(H201)),OR(D201="",ISNUMBER(D201)),OR(E201="",ISNUMBER(E201)),OR(G201="",ISNUMBER(G201)),OR(H201="",ISNUMBER(H201))),IF(N(G201)&gt;F201,0,1),0))</f>
        <v/>
      </c>
    </row>
    <row r="202">
      <c r="A202" s="29" t="n"/>
      <c r="B202" s="29" t="n"/>
      <c r="C202" s="29" t="n"/>
      <c r="D202" s="24" t="n"/>
      <c r="E202" s="26" t="n"/>
      <c r="F202" s="34" t="n"/>
      <c r="G202" s="34" t="n"/>
      <c r="H202" s="24" t="n"/>
      <c r="I202" s="29" t="n"/>
      <c r="J202" s="32">
        <f>IF(R202&lt;&gt;1,"",IF(ISNUMBER(D202),INT(D202)+IF(ISNUMBER(E202),INT(E202),DefTerms),""))</f>
        <v/>
      </c>
      <c r="K202" s="35">
        <f>IF(R202&lt;&gt;1,"",IF(ISNUMBER(H202),0,IF(AND(A202&lt;&gt;"",ISNUMBER(MATCH(A202,CustName,0))),IF(ISNUMBER(INDEX(CustLate,MATCH(A202,CustName,0))),INT(INDEX(CustLate,MATCH(A202,CustName,0))),DefLate),DefLate)))</f>
        <v/>
      </c>
      <c r="L202" s="32">
        <f>IF(R202&lt;&gt;1,"",IF(ISNUMBER(H202),INT(H202),J202+K202)+StressDays)</f>
        <v/>
      </c>
      <c r="M202" s="21">
        <f>IF(R202&lt;&gt;1,0,F202-N(G202))</f>
        <v/>
      </c>
      <c r="N202" s="35">
        <f>IF(OR(R202&lt;&gt;1,M202&lt;=0),"",IF(I202="Yes","",IF(L202&lt;W1,IF(OverdueW1="No","",1),IF(L202&lt;=W1+90,INT((L202-W1)/7)+1,""))))</f>
        <v/>
      </c>
      <c r="O202" s="36">
        <f>IF(ISNUMBER(N202),M202*CollectPct,0)</f>
        <v/>
      </c>
      <c r="P202" s="10">
        <f>IF(R202="","",IF(R202=0,"Not counted",IF(M202&lt;=0,"Paid",IF(I202="Yes","Doubtful (left out)",IF(L202&lt;W1,IF(OverdueW1="No","Overdue (left out)","Overdue → Week 1"),IF(L202&lt;=W1+90,"Week "&amp;N202,"After Week 13"))))))</f>
        <v/>
      </c>
      <c r="Q202" s="10">
        <f>IF(R202="","",IF(R202=0,IF(NOT(ISNUMBER(F202)),"Fix: amount missing",IF(F202&lt;=0,"Fix: amount must be above 0",IF(AND(NOT(ISNUMBER(D202)),NOT(ISNUMBER(H202))),"Fix: add an invoice date or a promised date",IF(AND(D202&lt;&gt;"",NOT(ISNUMBER(D202))),"Fix: invoice date isn't a date",IF(AND(E202&lt;&gt;"",NOT(ISNUMBER(E202))),"Fix: terms must be a number",IF(AND(G202&lt;&gt;"",NOT(ISNUMBER(G202))),"Fix: received must be a number",IF(AND(H202&lt;&gt;"",NOT(ISNUMBER(H202))),"Fix: promised date isn't a date","Fix: received is more than the amount"))))))),IF(AND(C202&lt;&gt;"",ISNUMBER(MATCH(C202,InCats,0))),"OK","Category not on Settings (counted as Other)")))</f>
        <v/>
      </c>
      <c r="R202">
        <f>IF(COUNTA(A202:I202)=0,"",IF(AND(ISNUMBER(F202),F202&gt;0,OR(ISNUMBER(D202),ISNUMBER(H202)),OR(D202="",ISNUMBER(D202)),OR(E202="",ISNUMBER(E202)),OR(G202="",ISNUMBER(G202)),OR(H202="",ISNUMBER(H202))),IF(N(G202)&gt;F202,0,1),0))</f>
        <v/>
      </c>
    </row>
    <row r="203">
      <c r="A203" s="29" t="n"/>
      <c r="B203" s="29" t="n"/>
      <c r="C203" s="29" t="n"/>
      <c r="D203" s="24" t="n"/>
      <c r="E203" s="26" t="n"/>
      <c r="F203" s="34" t="n"/>
      <c r="G203" s="34" t="n"/>
      <c r="H203" s="24" t="n"/>
      <c r="I203" s="29" t="n"/>
      <c r="J203" s="32">
        <f>IF(R203&lt;&gt;1,"",IF(ISNUMBER(D203),INT(D203)+IF(ISNUMBER(E203),INT(E203),DefTerms),""))</f>
        <v/>
      </c>
      <c r="K203" s="35">
        <f>IF(R203&lt;&gt;1,"",IF(ISNUMBER(H203),0,IF(AND(A203&lt;&gt;"",ISNUMBER(MATCH(A203,CustName,0))),IF(ISNUMBER(INDEX(CustLate,MATCH(A203,CustName,0))),INT(INDEX(CustLate,MATCH(A203,CustName,0))),DefLate),DefLate)))</f>
        <v/>
      </c>
      <c r="L203" s="32">
        <f>IF(R203&lt;&gt;1,"",IF(ISNUMBER(H203),INT(H203),J203+K203)+StressDays)</f>
        <v/>
      </c>
      <c r="M203" s="21">
        <f>IF(R203&lt;&gt;1,0,F203-N(G203))</f>
        <v/>
      </c>
      <c r="N203" s="35">
        <f>IF(OR(R203&lt;&gt;1,M203&lt;=0),"",IF(I203="Yes","",IF(L203&lt;W1,IF(OverdueW1="No","",1),IF(L203&lt;=W1+90,INT((L203-W1)/7)+1,""))))</f>
        <v/>
      </c>
      <c r="O203" s="36">
        <f>IF(ISNUMBER(N203),M203*CollectPct,0)</f>
        <v/>
      </c>
      <c r="P203" s="10">
        <f>IF(R203="","",IF(R203=0,"Not counted",IF(M203&lt;=0,"Paid",IF(I203="Yes","Doubtful (left out)",IF(L203&lt;W1,IF(OverdueW1="No","Overdue (left out)","Overdue → Week 1"),IF(L203&lt;=W1+90,"Week "&amp;N203,"After Week 13"))))))</f>
        <v/>
      </c>
      <c r="Q203" s="10">
        <f>IF(R203="","",IF(R203=0,IF(NOT(ISNUMBER(F203)),"Fix: amount missing",IF(F203&lt;=0,"Fix: amount must be above 0",IF(AND(NOT(ISNUMBER(D203)),NOT(ISNUMBER(H203))),"Fix: add an invoice date or a promised date",IF(AND(D203&lt;&gt;"",NOT(ISNUMBER(D203))),"Fix: invoice date isn't a date",IF(AND(E203&lt;&gt;"",NOT(ISNUMBER(E203))),"Fix: terms must be a number",IF(AND(G203&lt;&gt;"",NOT(ISNUMBER(G203))),"Fix: received must be a number",IF(AND(H203&lt;&gt;"",NOT(ISNUMBER(H203))),"Fix: promised date isn't a date","Fix: received is more than the amount"))))))),IF(AND(C203&lt;&gt;"",ISNUMBER(MATCH(C203,InCats,0))),"OK","Category not on Settings (counted as Other)")))</f>
        <v/>
      </c>
      <c r="R203">
        <f>IF(COUNTA(A203:I203)=0,"",IF(AND(ISNUMBER(F203),F203&gt;0,OR(ISNUMBER(D203),ISNUMBER(H203)),OR(D203="",ISNUMBER(D203)),OR(E203="",ISNUMBER(E203)),OR(G203="",ISNUMBER(G203)),OR(H203="",ISNUMBER(H203))),IF(N(G203)&gt;F203,0,1),0))</f>
        <v/>
      </c>
    </row>
    <row r="204">
      <c r="A204" s="29" t="n"/>
      <c r="B204" s="29" t="n"/>
      <c r="C204" s="29" t="n"/>
      <c r="D204" s="24" t="n"/>
      <c r="E204" s="26" t="n"/>
      <c r="F204" s="34" t="n"/>
      <c r="G204" s="34" t="n"/>
      <c r="H204" s="24" t="n"/>
      <c r="I204" s="29" t="n"/>
      <c r="J204" s="32">
        <f>IF(R204&lt;&gt;1,"",IF(ISNUMBER(D204),INT(D204)+IF(ISNUMBER(E204),INT(E204),DefTerms),""))</f>
        <v/>
      </c>
      <c r="K204" s="35">
        <f>IF(R204&lt;&gt;1,"",IF(ISNUMBER(H204),0,IF(AND(A204&lt;&gt;"",ISNUMBER(MATCH(A204,CustName,0))),IF(ISNUMBER(INDEX(CustLate,MATCH(A204,CustName,0))),INT(INDEX(CustLate,MATCH(A204,CustName,0))),DefLate),DefLate)))</f>
        <v/>
      </c>
      <c r="L204" s="32">
        <f>IF(R204&lt;&gt;1,"",IF(ISNUMBER(H204),INT(H204),J204+K204)+StressDays)</f>
        <v/>
      </c>
      <c r="M204" s="21">
        <f>IF(R204&lt;&gt;1,0,F204-N(G204))</f>
        <v/>
      </c>
      <c r="N204" s="35">
        <f>IF(OR(R204&lt;&gt;1,M204&lt;=0),"",IF(I204="Yes","",IF(L204&lt;W1,IF(OverdueW1="No","",1),IF(L204&lt;=W1+90,INT((L204-W1)/7)+1,""))))</f>
        <v/>
      </c>
      <c r="O204" s="36">
        <f>IF(ISNUMBER(N204),M204*CollectPct,0)</f>
        <v/>
      </c>
      <c r="P204" s="10">
        <f>IF(R204="","",IF(R204=0,"Not counted",IF(M204&lt;=0,"Paid",IF(I204="Yes","Doubtful (left out)",IF(L204&lt;W1,IF(OverdueW1="No","Overdue (left out)","Overdue → Week 1"),IF(L204&lt;=W1+90,"Week "&amp;N204,"After Week 13"))))))</f>
        <v/>
      </c>
      <c r="Q204" s="10">
        <f>IF(R204="","",IF(R204=0,IF(NOT(ISNUMBER(F204)),"Fix: amount missing",IF(F204&lt;=0,"Fix: amount must be above 0",IF(AND(NOT(ISNUMBER(D204)),NOT(ISNUMBER(H204))),"Fix: add an invoice date or a promised date",IF(AND(D204&lt;&gt;"",NOT(ISNUMBER(D204))),"Fix: invoice date isn't a date",IF(AND(E204&lt;&gt;"",NOT(ISNUMBER(E204))),"Fix: terms must be a number",IF(AND(G204&lt;&gt;"",NOT(ISNUMBER(G204))),"Fix: received must be a number",IF(AND(H204&lt;&gt;"",NOT(ISNUMBER(H204))),"Fix: promised date isn't a date","Fix: received is more than the amount"))))))),IF(AND(C204&lt;&gt;"",ISNUMBER(MATCH(C204,InCats,0))),"OK","Category not on Settings (counted as Other)")))</f>
        <v/>
      </c>
      <c r="R204">
        <f>IF(COUNTA(A204:I204)=0,"",IF(AND(ISNUMBER(F204),F204&gt;0,OR(ISNUMBER(D204),ISNUMBER(H204)),OR(D204="",ISNUMBER(D204)),OR(E204="",ISNUMBER(E204)),OR(G204="",ISNUMBER(G204)),OR(H204="",ISNUMBER(H204))),IF(N(G204)&gt;F204,0,1),0))</f>
        <v/>
      </c>
    </row>
    <row r="205">
      <c r="A205" s="29" t="n"/>
      <c r="B205" s="29" t="n"/>
      <c r="C205" s="29" t="n"/>
      <c r="D205" s="24" t="n"/>
      <c r="E205" s="26" t="n"/>
      <c r="F205" s="34" t="n"/>
      <c r="G205" s="34" t="n"/>
      <c r="H205" s="24" t="n"/>
      <c r="I205" s="29" t="n"/>
      <c r="J205" s="32">
        <f>IF(R205&lt;&gt;1,"",IF(ISNUMBER(D205),INT(D205)+IF(ISNUMBER(E205),INT(E205),DefTerms),""))</f>
        <v/>
      </c>
      <c r="K205" s="35">
        <f>IF(R205&lt;&gt;1,"",IF(ISNUMBER(H205),0,IF(AND(A205&lt;&gt;"",ISNUMBER(MATCH(A205,CustName,0))),IF(ISNUMBER(INDEX(CustLate,MATCH(A205,CustName,0))),INT(INDEX(CustLate,MATCH(A205,CustName,0))),DefLate),DefLate)))</f>
        <v/>
      </c>
      <c r="L205" s="32">
        <f>IF(R205&lt;&gt;1,"",IF(ISNUMBER(H205),INT(H205),J205+K205)+StressDays)</f>
        <v/>
      </c>
      <c r="M205" s="21">
        <f>IF(R205&lt;&gt;1,0,F205-N(G205))</f>
        <v/>
      </c>
      <c r="N205" s="35">
        <f>IF(OR(R205&lt;&gt;1,M205&lt;=0),"",IF(I205="Yes","",IF(L205&lt;W1,IF(OverdueW1="No","",1),IF(L205&lt;=W1+90,INT((L205-W1)/7)+1,""))))</f>
        <v/>
      </c>
      <c r="O205" s="36">
        <f>IF(ISNUMBER(N205),M205*CollectPct,0)</f>
        <v/>
      </c>
      <c r="P205" s="10">
        <f>IF(R205="","",IF(R205=0,"Not counted",IF(M205&lt;=0,"Paid",IF(I205="Yes","Doubtful (left out)",IF(L205&lt;W1,IF(OverdueW1="No","Overdue (left out)","Overdue → Week 1"),IF(L205&lt;=W1+90,"Week "&amp;N205,"After Week 13"))))))</f>
        <v/>
      </c>
      <c r="Q205" s="10">
        <f>IF(R205="","",IF(R205=0,IF(NOT(ISNUMBER(F205)),"Fix: amount missing",IF(F205&lt;=0,"Fix: amount must be above 0",IF(AND(NOT(ISNUMBER(D205)),NOT(ISNUMBER(H205))),"Fix: add an invoice date or a promised date",IF(AND(D205&lt;&gt;"",NOT(ISNUMBER(D205))),"Fix: invoice date isn't a date",IF(AND(E205&lt;&gt;"",NOT(ISNUMBER(E205))),"Fix: terms must be a number",IF(AND(G205&lt;&gt;"",NOT(ISNUMBER(G205))),"Fix: received must be a number",IF(AND(H205&lt;&gt;"",NOT(ISNUMBER(H205))),"Fix: promised date isn't a date","Fix: received is more than the amount"))))))),IF(AND(C205&lt;&gt;"",ISNUMBER(MATCH(C205,InCats,0))),"OK","Category not on Settings (counted as Other)")))</f>
        <v/>
      </c>
      <c r="R205">
        <f>IF(COUNTA(A205:I205)=0,"",IF(AND(ISNUMBER(F205),F205&gt;0,OR(ISNUMBER(D205),ISNUMBER(H205)),OR(D205="",ISNUMBER(D205)),OR(E205="",ISNUMBER(E205)),OR(G205="",ISNUMBER(G205)),OR(H205="",ISNUMBER(H205))),IF(N(G205)&gt;F205,0,1),0))</f>
        <v/>
      </c>
    </row>
    <row r="206">
      <c r="A206" s="29" t="n"/>
      <c r="B206" s="29" t="n"/>
      <c r="C206" s="29" t="n"/>
      <c r="D206" s="24" t="n"/>
      <c r="E206" s="26" t="n"/>
      <c r="F206" s="34" t="n"/>
      <c r="G206" s="34" t="n"/>
      <c r="H206" s="24" t="n"/>
      <c r="I206" s="29" t="n"/>
      <c r="J206" s="32">
        <f>IF(R206&lt;&gt;1,"",IF(ISNUMBER(D206),INT(D206)+IF(ISNUMBER(E206),INT(E206),DefTerms),""))</f>
        <v/>
      </c>
      <c r="K206" s="35">
        <f>IF(R206&lt;&gt;1,"",IF(ISNUMBER(H206),0,IF(AND(A206&lt;&gt;"",ISNUMBER(MATCH(A206,CustName,0))),IF(ISNUMBER(INDEX(CustLate,MATCH(A206,CustName,0))),INT(INDEX(CustLate,MATCH(A206,CustName,0))),DefLate),DefLate)))</f>
        <v/>
      </c>
      <c r="L206" s="32">
        <f>IF(R206&lt;&gt;1,"",IF(ISNUMBER(H206),INT(H206),J206+K206)+StressDays)</f>
        <v/>
      </c>
      <c r="M206" s="21">
        <f>IF(R206&lt;&gt;1,0,F206-N(G206))</f>
        <v/>
      </c>
      <c r="N206" s="35">
        <f>IF(OR(R206&lt;&gt;1,M206&lt;=0),"",IF(I206="Yes","",IF(L206&lt;W1,IF(OverdueW1="No","",1),IF(L206&lt;=W1+90,INT((L206-W1)/7)+1,""))))</f>
        <v/>
      </c>
      <c r="O206" s="36">
        <f>IF(ISNUMBER(N206),M206*CollectPct,0)</f>
        <v/>
      </c>
      <c r="P206" s="10">
        <f>IF(R206="","",IF(R206=0,"Not counted",IF(M206&lt;=0,"Paid",IF(I206="Yes","Doubtful (left out)",IF(L206&lt;W1,IF(OverdueW1="No","Overdue (left out)","Overdue → Week 1"),IF(L206&lt;=W1+90,"Week "&amp;N206,"After Week 13"))))))</f>
        <v/>
      </c>
      <c r="Q206" s="10">
        <f>IF(R206="","",IF(R206=0,IF(NOT(ISNUMBER(F206)),"Fix: amount missing",IF(F206&lt;=0,"Fix: amount must be above 0",IF(AND(NOT(ISNUMBER(D206)),NOT(ISNUMBER(H206))),"Fix: add an invoice date or a promised date",IF(AND(D206&lt;&gt;"",NOT(ISNUMBER(D206))),"Fix: invoice date isn't a date",IF(AND(E206&lt;&gt;"",NOT(ISNUMBER(E206))),"Fix: terms must be a number",IF(AND(G206&lt;&gt;"",NOT(ISNUMBER(G206))),"Fix: received must be a number",IF(AND(H206&lt;&gt;"",NOT(ISNUMBER(H206))),"Fix: promised date isn't a date","Fix: received is more than the amount"))))))),IF(AND(C206&lt;&gt;"",ISNUMBER(MATCH(C206,InCats,0))),"OK","Category not on Settings (counted as Other)")))</f>
        <v/>
      </c>
      <c r="R206">
        <f>IF(COUNTA(A206:I206)=0,"",IF(AND(ISNUMBER(F206),F206&gt;0,OR(ISNUMBER(D206),ISNUMBER(H206)),OR(D206="",ISNUMBER(D206)),OR(E206="",ISNUMBER(E206)),OR(G206="",ISNUMBER(G206)),OR(H206="",ISNUMBER(H206))),IF(N(G206)&gt;F206,0,1),0))</f>
        <v/>
      </c>
    </row>
    <row r="207">
      <c r="A207" s="29" t="n"/>
      <c r="B207" s="29" t="n"/>
      <c r="C207" s="29" t="n"/>
      <c r="D207" s="24" t="n"/>
      <c r="E207" s="26" t="n"/>
      <c r="F207" s="34" t="n"/>
      <c r="G207" s="34" t="n"/>
      <c r="H207" s="24" t="n"/>
      <c r="I207" s="29" t="n"/>
      <c r="J207" s="32">
        <f>IF(R207&lt;&gt;1,"",IF(ISNUMBER(D207),INT(D207)+IF(ISNUMBER(E207),INT(E207),DefTerms),""))</f>
        <v/>
      </c>
      <c r="K207" s="35">
        <f>IF(R207&lt;&gt;1,"",IF(ISNUMBER(H207),0,IF(AND(A207&lt;&gt;"",ISNUMBER(MATCH(A207,CustName,0))),IF(ISNUMBER(INDEX(CustLate,MATCH(A207,CustName,0))),INT(INDEX(CustLate,MATCH(A207,CustName,0))),DefLate),DefLate)))</f>
        <v/>
      </c>
      <c r="L207" s="32">
        <f>IF(R207&lt;&gt;1,"",IF(ISNUMBER(H207),INT(H207),J207+K207)+StressDays)</f>
        <v/>
      </c>
      <c r="M207" s="21">
        <f>IF(R207&lt;&gt;1,0,F207-N(G207))</f>
        <v/>
      </c>
      <c r="N207" s="35">
        <f>IF(OR(R207&lt;&gt;1,M207&lt;=0),"",IF(I207="Yes","",IF(L207&lt;W1,IF(OverdueW1="No","",1),IF(L207&lt;=W1+90,INT((L207-W1)/7)+1,""))))</f>
        <v/>
      </c>
      <c r="O207" s="36">
        <f>IF(ISNUMBER(N207),M207*CollectPct,0)</f>
        <v/>
      </c>
      <c r="P207" s="10">
        <f>IF(R207="","",IF(R207=0,"Not counted",IF(M207&lt;=0,"Paid",IF(I207="Yes","Doubtful (left out)",IF(L207&lt;W1,IF(OverdueW1="No","Overdue (left out)","Overdue → Week 1"),IF(L207&lt;=W1+90,"Week "&amp;N207,"After Week 13"))))))</f>
        <v/>
      </c>
      <c r="Q207" s="10">
        <f>IF(R207="","",IF(R207=0,IF(NOT(ISNUMBER(F207)),"Fix: amount missing",IF(F207&lt;=0,"Fix: amount must be above 0",IF(AND(NOT(ISNUMBER(D207)),NOT(ISNUMBER(H207))),"Fix: add an invoice date or a promised date",IF(AND(D207&lt;&gt;"",NOT(ISNUMBER(D207))),"Fix: invoice date isn't a date",IF(AND(E207&lt;&gt;"",NOT(ISNUMBER(E207))),"Fix: terms must be a number",IF(AND(G207&lt;&gt;"",NOT(ISNUMBER(G207))),"Fix: received must be a number",IF(AND(H207&lt;&gt;"",NOT(ISNUMBER(H207))),"Fix: promised date isn't a date","Fix: received is more than the amount"))))))),IF(AND(C207&lt;&gt;"",ISNUMBER(MATCH(C207,InCats,0))),"OK","Category not on Settings (counted as Other)")))</f>
        <v/>
      </c>
      <c r="R207">
        <f>IF(COUNTA(A207:I207)=0,"",IF(AND(ISNUMBER(F207),F207&gt;0,OR(ISNUMBER(D207),ISNUMBER(H207)),OR(D207="",ISNUMBER(D207)),OR(E207="",ISNUMBER(E207)),OR(G207="",ISNUMBER(G207)),OR(H207="",ISNUMBER(H207))),IF(N(G207)&gt;F207,0,1),0))</f>
        <v/>
      </c>
    </row>
    <row r="208">
      <c r="A208" s="29" t="n"/>
      <c r="B208" s="29" t="n"/>
      <c r="C208" s="29" t="n"/>
      <c r="D208" s="24" t="n"/>
      <c r="E208" s="26" t="n"/>
      <c r="F208" s="34" t="n"/>
      <c r="G208" s="34" t="n"/>
      <c r="H208" s="24" t="n"/>
      <c r="I208" s="29" t="n"/>
      <c r="J208" s="32">
        <f>IF(R208&lt;&gt;1,"",IF(ISNUMBER(D208),INT(D208)+IF(ISNUMBER(E208),INT(E208),DefTerms),""))</f>
        <v/>
      </c>
      <c r="K208" s="35">
        <f>IF(R208&lt;&gt;1,"",IF(ISNUMBER(H208),0,IF(AND(A208&lt;&gt;"",ISNUMBER(MATCH(A208,CustName,0))),IF(ISNUMBER(INDEX(CustLate,MATCH(A208,CustName,0))),INT(INDEX(CustLate,MATCH(A208,CustName,0))),DefLate),DefLate)))</f>
        <v/>
      </c>
      <c r="L208" s="32">
        <f>IF(R208&lt;&gt;1,"",IF(ISNUMBER(H208),INT(H208),J208+K208)+StressDays)</f>
        <v/>
      </c>
      <c r="M208" s="21">
        <f>IF(R208&lt;&gt;1,0,F208-N(G208))</f>
        <v/>
      </c>
      <c r="N208" s="35">
        <f>IF(OR(R208&lt;&gt;1,M208&lt;=0),"",IF(I208="Yes","",IF(L208&lt;W1,IF(OverdueW1="No","",1),IF(L208&lt;=W1+90,INT((L208-W1)/7)+1,""))))</f>
        <v/>
      </c>
      <c r="O208" s="36">
        <f>IF(ISNUMBER(N208),M208*CollectPct,0)</f>
        <v/>
      </c>
      <c r="P208" s="10">
        <f>IF(R208="","",IF(R208=0,"Not counted",IF(M208&lt;=0,"Paid",IF(I208="Yes","Doubtful (left out)",IF(L208&lt;W1,IF(OverdueW1="No","Overdue (left out)","Overdue → Week 1"),IF(L208&lt;=W1+90,"Week "&amp;N208,"After Week 13"))))))</f>
        <v/>
      </c>
      <c r="Q208" s="10">
        <f>IF(R208="","",IF(R208=0,IF(NOT(ISNUMBER(F208)),"Fix: amount missing",IF(F208&lt;=0,"Fix: amount must be above 0",IF(AND(NOT(ISNUMBER(D208)),NOT(ISNUMBER(H208))),"Fix: add an invoice date or a promised date",IF(AND(D208&lt;&gt;"",NOT(ISNUMBER(D208))),"Fix: invoice date isn't a date",IF(AND(E208&lt;&gt;"",NOT(ISNUMBER(E208))),"Fix: terms must be a number",IF(AND(G208&lt;&gt;"",NOT(ISNUMBER(G208))),"Fix: received must be a number",IF(AND(H208&lt;&gt;"",NOT(ISNUMBER(H208))),"Fix: promised date isn't a date","Fix: received is more than the amount"))))))),IF(AND(C208&lt;&gt;"",ISNUMBER(MATCH(C208,InCats,0))),"OK","Category not on Settings (counted as Other)")))</f>
        <v/>
      </c>
      <c r="R208">
        <f>IF(COUNTA(A208:I208)=0,"",IF(AND(ISNUMBER(F208),F208&gt;0,OR(ISNUMBER(D208),ISNUMBER(H208)),OR(D208="",ISNUMBER(D208)),OR(E208="",ISNUMBER(E208)),OR(G208="",ISNUMBER(G208)),OR(H208="",ISNUMBER(H208))),IF(N(G208)&gt;F208,0,1),0))</f>
        <v/>
      </c>
    </row>
    <row r="209">
      <c r="A209" s="29" t="n"/>
      <c r="B209" s="29" t="n"/>
      <c r="C209" s="29" t="n"/>
      <c r="D209" s="24" t="n"/>
      <c r="E209" s="26" t="n"/>
      <c r="F209" s="34" t="n"/>
      <c r="G209" s="34" t="n"/>
      <c r="H209" s="24" t="n"/>
      <c r="I209" s="29" t="n"/>
      <c r="J209" s="32">
        <f>IF(R209&lt;&gt;1,"",IF(ISNUMBER(D209),INT(D209)+IF(ISNUMBER(E209),INT(E209),DefTerms),""))</f>
        <v/>
      </c>
      <c r="K209" s="35">
        <f>IF(R209&lt;&gt;1,"",IF(ISNUMBER(H209),0,IF(AND(A209&lt;&gt;"",ISNUMBER(MATCH(A209,CustName,0))),IF(ISNUMBER(INDEX(CustLate,MATCH(A209,CustName,0))),INT(INDEX(CustLate,MATCH(A209,CustName,0))),DefLate),DefLate)))</f>
        <v/>
      </c>
      <c r="L209" s="32">
        <f>IF(R209&lt;&gt;1,"",IF(ISNUMBER(H209),INT(H209),J209+K209)+StressDays)</f>
        <v/>
      </c>
      <c r="M209" s="21">
        <f>IF(R209&lt;&gt;1,0,F209-N(G209))</f>
        <v/>
      </c>
      <c r="N209" s="35">
        <f>IF(OR(R209&lt;&gt;1,M209&lt;=0),"",IF(I209="Yes","",IF(L209&lt;W1,IF(OverdueW1="No","",1),IF(L209&lt;=W1+90,INT((L209-W1)/7)+1,""))))</f>
        <v/>
      </c>
      <c r="O209" s="36">
        <f>IF(ISNUMBER(N209),M209*CollectPct,0)</f>
        <v/>
      </c>
      <c r="P209" s="10">
        <f>IF(R209="","",IF(R209=0,"Not counted",IF(M209&lt;=0,"Paid",IF(I209="Yes","Doubtful (left out)",IF(L209&lt;W1,IF(OverdueW1="No","Overdue (left out)","Overdue → Week 1"),IF(L209&lt;=W1+90,"Week "&amp;N209,"After Week 13"))))))</f>
        <v/>
      </c>
      <c r="Q209" s="10">
        <f>IF(R209="","",IF(R209=0,IF(NOT(ISNUMBER(F209)),"Fix: amount missing",IF(F209&lt;=0,"Fix: amount must be above 0",IF(AND(NOT(ISNUMBER(D209)),NOT(ISNUMBER(H209))),"Fix: add an invoice date or a promised date",IF(AND(D209&lt;&gt;"",NOT(ISNUMBER(D209))),"Fix: invoice date isn't a date",IF(AND(E209&lt;&gt;"",NOT(ISNUMBER(E209))),"Fix: terms must be a number",IF(AND(G209&lt;&gt;"",NOT(ISNUMBER(G209))),"Fix: received must be a number",IF(AND(H209&lt;&gt;"",NOT(ISNUMBER(H209))),"Fix: promised date isn't a date","Fix: received is more than the amount"))))))),IF(AND(C209&lt;&gt;"",ISNUMBER(MATCH(C209,InCats,0))),"OK","Category not on Settings (counted as Other)")))</f>
        <v/>
      </c>
      <c r="R209">
        <f>IF(COUNTA(A209:I209)=0,"",IF(AND(ISNUMBER(F209),F209&gt;0,OR(ISNUMBER(D209),ISNUMBER(H209)),OR(D209="",ISNUMBER(D209)),OR(E209="",ISNUMBER(E209)),OR(G209="",ISNUMBER(G209)),OR(H209="",ISNUMBER(H209))),IF(N(G209)&gt;F209,0,1),0))</f>
        <v/>
      </c>
    </row>
    <row r="210">
      <c r="A210" s="29" t="n"/>
      <c r="B210" s="29" t="n"/>
      <c r="C210" s="29" t="n"/>
      <c r="D210" s="24" t="n"/>
      <c r="E210" s="26" t="n"/>
      <c r="F210" s="34" t="n"/>
      <c r="G210" s="34" t="n"/>
      <c r="H210" s="24" t="n"/>
      <c r="I210" s="29" t="n"/>
      <c r="J210" s="32">
        <f>IF(R210&lt;&gt;1,"",IF(ISNUMBER(D210),INT(D210)+IF(ISNUMBER(E210),INT(E210),DefTerms),""))</f>
        <v/>
      </c>
      <c r="K210" s="35">
        <f>IF(R210&lt;&gt;1,"",IF(ISNUMBER(H210),0,IF(AND(A210&lt;&gt;"",ISNUMBER(MATCH(A210,CustName,0))),IF(ISNUMBER(INDEX(CustLate,MATCH(A210,CustName,0))),INT(INDEX(CustLate,MATCH(A210,CustName,0))),DefLate),DefLate)))</f>
        <v/>
      </c>
      <c r="L210" s="32">
        <f>IF(R210&lt;&gt;1,"",IF(ISNUMBER(H210),INT(H210),J210+K210)+StressDays)</f>
        <v/>
      </c>
      <c r="M210" s="21">
        <f>IF(R210&lt;&gt;1,0,F210-N(G210))</f>
        <v/>
      </c>
      <c r="N210" s="35">
        <f>IF(OR(R210&lt;&gt;1,M210&lt;=0),"",IF(I210="Yes","",IF(L210&lt;W1,IF(OverdueW1="No","",1),IF(L210&lt;=W1+90,INT((L210-W1)/7)+1,""))))</f>
        <v/>
      </c>
      <c r="O210" s="36">
        <f>IF(ISNUMBER(N210),M210*CollectPct,0)</f>
        <v/>
      </c>
      <c r="P210" s="10">
        <f>IF(R210="","",IF(R210=0,"Not counted",IF(M210&lt;=0,"Paid",IF(I210="Yes","Doubtful (left out)",IF(L210&lt;W1,IF(OverdueW1="No","Overdue (left out)","Overdue → Week 1"),IF(L210&lt;=W1+90,"Week "&amp;N210,"After Week 13"))))))</f>
        <v/>
      </c>
      <c r="Q210" s="10">
        <f>IF(R210="","",IF(R210=0,IF(NOT(ISNUMBER(F210)),"Fix: amount missing",IF(F210&lt;=0,"Fix: amount must be above 0",IF(AND(NOT(ISNUMBER(D210)),NOT(ISNUMBER(H210))),"Fix: add an invoice date or a promised date",IF(AND(D210&lt;&gt;"",NOT(ISNUMBER(D210))),"Fix: invoice date isn't a date",IF(AND(E210&lt;&gt;"",NOT(ISNUMBER(E210))),"Fix: terms must be a number",IF(AND(G210&lt;&gt;"",NOT(ISNUMBER(G210))),"Fix: received must be a number",IF(AND(H210&lt;&gt;"",NOT(ISNUMBER(H210))),"Fix: promised date isn't a date","Fix: received is more than the amount"))))))),IF(AND(C210&lt;&gt;"",ISNUMBER(MATCH(C210,InCats,0))),"OK","Category not on Settings (counted as Other)")))</f>
        <v/>
      </c>
      <c r="R210">
        <f>IF(COUNTA(A210:I210)=0,"",IF(AND(ISNUMBER(F210),F210&gt;0,OR(ISNUMBER(D210),ISNUMBER(H210)),OR(D210="",ISNUMBER(D210)),OR(E210="",ISNUMBER(E210)),OR(G210="",ISNUMBER(G210)),OR(H210="",ISNUMBER(H210))),IF(N(G210)&gt;F210,0,1),0))</f>
        <v/>
      </c>
    </row>
    <row r="211">
      <c r="A211" s="29" t="n"/>
      <c r="B211" s="29" t="n"/>
      <c r="C211" s="29" t="n"/>
      <c r="D211" s="24" t="n"/>
      <c r="E211" s="26" t="n"/>
      <c r="F211" s="34" t="n"/>
      <c r="G211" s="34" t="n"/>
      <c r="H211" s="24" t="n"/>
      <c r="I211" s="29" t="n"/>
      <c r="J211" s="32">
        <f>IF(R211&lt;&gt;1,"",IF(ISNUMBER(D211),INT(D211)+IF(ISNUMBER(E211),INT(E211),DefTerms),""))</f>
        <v/>
      </c>
      <c r="K211" s="35">
        <f>IF(R211&lt;&gt;1,"",IF(ISNUMBER(H211),0,IF(AND(A211&lt;&gt;"",ISNUMBER(MATCH(A211,CustName,0))),IF(ISNUMBER(INDEX(CustLate,MATCH(A211,CustName,0))),INT(INDEX(CustLate,MATCH(A211,CustName,0))),DefLate),DefLate)))</f>
        <v/>
      </c>
      <c r="L211" s="32">
        <f>IF(R211&lt;&gt;1,"",IF(ISNUMBER(H211),INT(H211),J211+K211)+StressDays)</f>
        <v/>
      </c>
      <c r="M211" s="21">
        <f>IF(R211&lt;&gt;1,0,F211-N(G211))</f>
        <v/>
      </c>
      <c r="N211" s="35">
        <f>IF(OR(R211&lt;&gt;1,M211&lt;=0),"",IF(I211="Yes","",IF(L211&lt;W1,IF(OverdueW1="No","",1),IF(L211&lt;=W1+90,INT((L211-W1)/7)+1,""))))</f>
        <v/>
      </c>
      <c r="O211" s="36">
        <f>IF(ISNUMBER(N211),M211*CollectPct,0)</f>
        <v/>
      </c>
      <c r="P211" s="10">
        <f>IF(R211="","",IF(R211=0,"Not counted",IF(M211&lt;=0,"Paid",IF(I211="Yes","Doubtful (left out)",IF(L211&lt;W1,IF(OverdueW1="No","Overdue (left out)","Overdue → Week 1"),IF(L211&lt;=W1+90,"Week "&amp;N211,"After Week 13"))))))</f>
        <v/>
      </c>
      <c r="Q211" s="10">
        <f>IF(R211="","",IF(R211=0,IF(NOT(ISNUMBER(F211)),"Fix: amount missing",IF(F211&lt;=0,"Fix: amount must be above 0",IF(AND(NOT(ISNUMBER(D211)),NOT(ISNUMBER(H211))),"Fix: add an invoice date or a promised date",IF(AND(D211&lt;&gt;"",NOT(ISNUMBER(D211))),"Fix: invoice date isn't a date",IF(AND(E211&lt;&gt;"",NOT(ISNUMBER(E211))),"Fix: terms must be a number",IF(AND(G211&lt;&gt;"",NOT(ISNUMBER(G211))),"Fix: received must be a number",IF(AND(H211&lt;&gt;"",NOT(ISNUMBER(H211))),"Fix: promised date isn't a date","Fix: received is more than the amount"))))))),IF(AND(C211&lt;&gt;"",ISNUMBER(MATCH(C211,InCats,0))),"OK","Category not on Settings (counted as Other)")))</f>
        <v/>
      </c>
      <c r="R211">
        <f>IF(COUNTA(A211:I211)=0,"",IF(AND(ISNUMBER(F211),F211&gt;0,OR(ISNUMBER(D211),ISNUMBER(H211)),OR(D211="",ISNUMBER(D211)),OR(E211="",ISNUMBER(E211)),OR(G211="",ISNUMBER(G211)),OR(H211="",ISNUMBER(H211))),IF(N(G211)&gt;F211,0,1),0))</f>
        <v/>
      </c>
    </row>
    <row r="212">
      <c r="A212" s="29" t="n"/>
      <c r="B212" s="29" t="n"/>
      <c r="C212" s="29" t="n"/>
      <c r="D212" s="24" t="n"/>
      <c r="E212" s="26" t="n"/>
      <c r="F212" s="34" t="n"/>
      <c r="G212" s="34" t="n"/>
      <c r="H212" s="24" t="n"/>
      <c r="I212" s="29" t="n"/>
      <c r="J212" s="32">
        <f>IF(R212&lt;&gt;1,"",IF(ISNUMBER(D212),INT(D212)+IF(ISNUMBER(E212),INT(E212),DefTerms),""))</f>
        <v/>
      </c>
      <c r="K212" s="35">
        <f>IF(R212&lt;&gt;1,"",IF(ISNUMBER(H212),0,IF(AND(A212&lt;&gt;"",ISNUMBER(MATCH(A212,CustName,0))),IF(ISNUMBER(INDEX(CustLate,MATCH(A212,CustName,0))),INT(INDEX(CustLate,MATCH(A212,CustName,0))),DefLate),DefLate)))</f>
        <v/>
      </c>
      <c r="L212" s="32">
        <f>IF(R212&lt;&gt;1,"",IF(ISNUMBER(H212),INT(H212),J212+K212)+StressDays)</f>
        <v/>
      </c>
      <c r="M212" s="21">
        <f>IF(R212&lt;&gt;1,0,F212-N(G212))</f>
        <v/>
      </c>
      <c r="N212" s="35">
        <f>IF(OR(R212&lt;&gt;1,M212&lt;=0),"",IF(I212="Yes","",IF(L212&lt;W1,IF(OverdueW1="No","",1),IF(L212&lt;=W1+90,INT((L212-W1)/7)+1,""))))</f>
        <v/>
      </c>
      <c r="O212" s="36">
        <f>IF(ISNUMBER(N212),M212*CollectPct,0)</f>
        <v/>
      </c>
      <c r="P212" s="10">
        <f>IF(R212="","",IF(R212=0,"Not counted",IF(M212&lt;=0,"Paid",IF(I212="Yes","Doubtful (left out)",IF(L212&lt;W1,IF(OverdueW1="No","Overdue (left out)","Overdue → Week 1"),IF(L212&lt;=W1+90,"Week "&amp;N212,"After Week 13"))))))</f>
        <v/>
      </c>
      <c r="Q212" s="10">
        <f>IF(R212="","",IF(R212=0,IF(NOT(ISNUMBER(F212)),"Fix: amount missing",IF(F212&lt;=0,"Fix: amount must be above 0",IF(AND(NOT(ISNUMBER(D212)),NOT(ISNUMBER(H212))),"Fix: add an invoice date or a promised date",IF(AND(D212&lt;&gt;"",NOT(ISNUMBER(D212))),"Fix: invoice date isn't a date",IF(AND(E212&lt;&gt;"",NOT(ISNUMBER(E212))),"Fix: terms must be a number",IF(AND(G212&lt;&gt;"",NOT(ISNUMBER(G212))),"Fix: received must be a number",IF(AND(H212&lt;&gt;"",NOT(ISNUMBER(H212))),"Fix: promised date isn't a date","Fix: received is more than the amount"))))))),IF(AND(C212&lt;&gt;"",ISNUMBER(MATCH(C212,InCats,0))),"OK","Category not on Settings (counted as Other)")))</f>
        <v/>
      </c>
      <c r="R212">
        <f>IF(COUNTA(A212:I212)=0,"",IF(AND(ISNUMBER(F212),F212&gt;0,OR(ISNUMBER(D212),ISNUMBER(H212)),OR(D212="",ISNUMBER(D212)),OR(E212="",ISNUMBER(E212)),OR(G212="",ISNUMBER(G212)),OR(H212="",ISNUMBER(H212))),IF(N(G212)&gt;F212,0,1),0))</f>
        <v/>
      </c>
    </row>
    <row r="213">
      <c r="A213" s="29" t="n"/>
      <c r="B213" s="29" t="n"/>
      <c r="C213" s="29" t="n"/>
      <c r="D213" s="24" t="n"/>
      <c r="E213" s="26" t="n"/>
      <c r="F213" s="34" t="n"/>
      <c r="G213" s="34" t="n"/>
      <c r="H213" s="24" t="n"/>
      <c r="I213" s="29" t="n"/>
      <c r="J213" s="32">
        <f>IF(R213&lt;&gt;1,"",IF(ISNUMBER(D213),INT(D213)+IF(ISNUMBER(E213),INT(E213),DefTerms),""))</f>
        <v/>
      </c>
      <c r="K213" s="35">
        <f>IF(R213&lt;&gt;1,"",IF(ISNUMBER(H213),0,IF(AND(A213&lt;&gt;"",ISNUMBER(MATCH(A213,CustName,0))),IF(ISNUMBER(INDEX(CustLate,MATCH(A213,CustName,0))),INT(INDEX(CustLate,MATCH(A213,CustName,0))),DefLate),DefLate)))</f>
        <v/>
      </c>
      <c r="L213" s="32">
        <f>IF(R213&lt;&gt;1,"",IF(ISNUMBER(H213),INT(H213),J213+K213)+StressDays)</f>
        <v/>
      </c>
      <c r="M213" s="21">
        <f>IF(R213&lt;&gt;1,0,F213-N(G213))</f>
        <v/>
      </c>
      <c r="N213" s="35">
        <f>IF(OR(R213&lt;&gt;1,M213&lt;=0),"",IF(I213="Yes","",IF(L213&lt;W1,IF(OverdueW1="No","",1),IF(L213&lt;=W1+90,INT((L213-W1)/7)+1,""))))</f>
        <v/>
      </c>
      <c r="O213" s="36">
        <f>IF(ISNUMBER(N213),M213*CollectPct,0)</f>
        <v/>
      </c>
      <c r="P213" s="10">
        <f>IF(R213="","",IF(R213=0,"Not counted",IF(M213&lt;=0,"Paid",IF(I213="Yes","Doubtful (left out)",IF(L213&lt;W1,IF(OverdueW1="No","Overdue (left out)","Overdue → Week 1"),IF(L213&lt;=W1+90,"Week "&amp;N213,"After Week 13"))))))</f>
        <v/>
      </c>
      <c r="Q213" s="10">
        <f>IF(R213="","",IF(R213=0,IF(NOT(ISNUMBER(F213)),"Fix: amount missing",IF(F213&lt;=0,"Fix: amount must be above 0",IF(AND(NOT(ISNUMBER(D213)),NOT(ISNUMBER(H213))),"Fix: add an invoice date or a promised date",IF(AND(D213&lt;&gt;"",NOT(ISNUMBER(D213))),"Fix: invoice date isn't a date",IF(AND(E213&lt;&gt;"",NOT(ISNUMBER(E213))),"Fix: terms must be a number",IF(AND(G213&lt;&gt;"",NOT(ISNUMBER(G213))),"Fix: received must be a number",IF(AND(H213&lt;&gt;"",NOT(ISNUMBER(H213))),"Fix: promised date isn't a date","Fix: received is more than the amount"))))))),IF(AND(C213&lt;&gt;"",ISNUMBER(MATCH(C213,InCats,0))),"OK","Category not on Settings (counted as Other)")))</f>
        <v/>
      </c>
      <c r="R213">
        <f>IF(COUNTA(A213:I213)=0,"",IF(AND(ISNUMBER(F213),F213&gt;0,OR(ISNUMBER(D213),ISNUMBER(H213)),OR(D213="",ISNUMBER(D213)),OR(E213="",ISNUMBER(E213)),OR(G213="",ISNUMBER(G213)),OR(H213="",ISNUMBER(H213))),IF(N(G213)&gt;F213,0,1),0))</f>
        <v/>
      </c>
    </row>
    <row r="214">
      <c r="A214" s="29" t="n"/>
      <c r="B214" s="29" t="n"/>
      <c r="C214" s="29" t="n"/>
      <c r="D214" s="24" t="n"/>
      <c r="E214" s="26" t="n"/>
      <c r="F214" s="34" t="n"/>
      <c r="G214" s="34" t="n"/>
      <c r="H214" s="24" t="n"/>
      <c r="I214" s="29" t="n"/>
      <c r="J214" s="32">
        <f>IF(R214&lt;&gt;1,"",IF(ISNUMBER(D214),INT(D214)+IF(ISNUMBER(E214),INT(E214),DefTerms),""))</f>
        <v/>
      </c>
      <c r="K214" s="35">
        <f>IF(R214&lt;&gt;1,"",IF(ISNUMBER(H214),0,IF(AND(A214&lt;&gt;"",ISNUMBER(MATCH(A214,CustName,0))),IF(ISNUMBER(INDEX(CustLate,MATCH(A214,CustName,0))),INT(INDEX(CustLate,MATCH(A214,CustName,0))),DefLate),DefLate)))</f>
        <v/>
      </c>
      <c r="L214" s="32">
        <f>IF(R214&lt;&gt;1,"",IF(ISNUMBER(H214),INT(H214),J214+K214)+StressDays)</f>
        <v/>
      </c>
      <c r="M214" s="21">
        <f>IF(R214&lt;&gt;1,0,F214-N(G214))</f>
        <v/>
      </c>
      <c r="N214" s="35">
        <f>IF(OR(R214&lt;&gt;1,M214&lt;=0),"",IF(I214="Yes","",IF(L214&lt;W1,IF(OverdueW1="No","",1),IF(L214&lt;=W1+90,INT((L214-W1)/7)+1,""))))</f>
        <v/>
      </c>
      <c r="O214" s="36">
        <f>IF(ISNUMBER(N214),M214*CollectPct,0)</f>
        <v/>
      </c>
      <c r="P214" s="10">
        <f>IF(R214="","",IF(R214=0,"Not counted",IF(M214&lt;=0,"Paid",IF(I214="Yes","Doubtful (left out)",IF(L214&lt;W1,IF(OverdueW1="No","Overdue (left out)","Overdue → Week 1"),IF(L214&lt;=W1+90,"Week "&amp;N214,"After Week 13"))))))</f>
        <v/>
      </c>
      <c r="Q214" s="10">
        <f>IF(R214="","",IF(R214=0,IF(NOT(ISNUMBER(F214)),"Fix: amount missing",IF(F214&lt;=0,"Fix: amount must be above 0",IF(AND(NOT(ISNUMBER(D214)),NOT(ISNUMBER(H214))),"Fix: add an invoice date or a promised date",IF(AND(D214&lt;&gt;"",NOT(ISNUMBER(D214))),"Fix: invoice date isn't a date",IF(AND(E214&lt;&gt;"",NOT(ISNUMBER(E214))),"Fix: terms must be a number",IF(AND(G214&lt;&gt;"",NOT(ISNUMBER(G214))),"Fix: received must be a number",IF(AND(H214&lt;&gt;"",NOT(ISNUMBER(H214))),"Fix: promised date isn't a date","Fix: received is more than the amount"))))))),IF(AND(C214&lt;&gt;"",ISNUMBER(MATCH(C214,InCats,0))),"OK","Category not on Settings (counted as Other)")))</f>
        <v/>
      </c>
      <c r="R214">
        <f>IF(COUNTA(A214:I214)=0,"",IF(AND(ISNUMBER(F214),F214&gt;0,OR(ISNUMBER(D214),ISNUMBER(H214)),OR(D214="",ISNUMBER(D214)),OR(E214="",ISNUMBER(E214)),OR(G214="",ISNUMBER(G214)),OR(H214="",ISNUMBER(H214))),IF(N(G214)&gt;F214,0,1),0))</f>
        <v/>
      </c>
    </row>
    <row r="215">
      <c r="A215" s="29" t="n"/>
      <c r="B215" s="29" t="n"/>
      <c r="C215" s="29" t="n"/>
      <c r="D215" s="24" t="n"/>
      <c r="E215" s="26" t="n"/>
      <c r="F215" s="34" t="n"/>
      <c r="G215" s="34" t="n"/>
      <c r="H215" s="24" t="n"/>
      <c r="I215" s="29" t="n"/>
      <c r="J215" s="32">
        <f>IF(R215&lt;&gt;1,"",IF(ISNUMBER(D215),INT(D215)+IF(ISNUMBER(E215),INT(E215),DefTerms),""))</f>
        <v/>
      </c>
      <c r="K215" s="35">
        <f>IF(R215&lt;&gt;1,"",IF(ISNUMBER(H215),0,IF(AND(A215&lt;&gt;"",ISNUMBER(MATCH(A215,CustName,0))),IF(ISNUMBER(INDEX(CustLate,MATCH(A215,CustName,0))),INT(INDEX(CustLate,MATCH(A215,CustName,0))),DefLate),DefLate)))</f>
        <v/>
      </c>
      <c r="L215" s="32">
        <f>IF(R215&lt;&gt;1,"",IF(ISNUMBER(H215),INT(H215),J215+K215)+StressDays)</f>
        <v/>
      </c>
      <c r="M215" s="21">
        <f>IF(R215&lt;&gt;1,0,F215-N(G215))</f>
        <v/>
      </c>
      <c r="N215" s="35">
        <f>IF(OR(R215&lt;&gt;1,M215&lt;=0),"",IF(I215="Yes","",IF(L215&lt;W1,IF(OverdueW1="No","",1),IF(L215&lt;=W1+90,INT((L215-W1)/7)+1,""))))</f>
        <v/>
      </c>
      <c r="O215" s="36">
        <f>IF(ISNUMBER(N215),M215*CollectPct,0)</f>
        <v/>
      </c>
      <c r="P215" s="10">
        <f>IF(R215="","",IF(R215=0,"Not counted",IF(M215&lt;=0,"Paid",IF(I215="Yes","Doubtful (left out)",IF(L215&lt;W1,IF(OverdueW1="No","Overdue (left out)","Overdue → Week 1"),IF(L215&lt;=W1+90,"Week "&amp;N215,"After Week 13"))))))</f>
        <v/>
      </c>
      <c r="Q215" s="10">
        <f>IF(R215="","",IF(R215=0,IF(NOT(ISNUMBER(F215)),"Fix: amount missing",IF(F215&lt;=0,"Fix: amount must be above 0",IF(AND(NOT(ISNUMBER(D215)),NOT(ISNUMBER(H215))),"Fix: add an invoice date or a promised date",IF(AND(D215&lt;&gt;"",NOT(ISNUMBER(D215))),"Fix: invoice date isn't a date",IF(AND(E215&lt;&gt;"",NOT(ISNUMBER(E215))),"Fix: terms must be a number",IF(AND(G215&lt;&gt;"",NOT(ISNUMBER(G215))),"Fix: received must be a number",IF(AND(H215&lt;&gt;"",NOT(ISNUMBER(H215))),"Fix: promised date isn't a date","Fix: received is more than the amount"))))))),IF(AND(C215&lt;&gt;"",ISNUMBER(MATCH(C215,InCats,0))),"OK","Category not on Settings (counted as Other)")))</f>
        <v/>
      </c>
      <c r="R215">
        <f>IF(COUNTA(A215:I215)=0,"",IF(AND(ISNUMBER(F215),F215&gt;0,OR(ISNUMBER(D215),ISNUMBER(H215)),OR(D215="",ISNUMBER(D215)),OR(E215="",ISNUMBER(E215)),OR(G215="",ISNUMBER(G215)),OR(H215="",ISNUMBER(H215))),IF(N(G215)&gt;F215,0,1),0))</f>
        <v/>
      </c>
    </row>
    <row r="216">
      <c r="A216" s="29" t="n"/>
      <c r="B216" s="29" t="n"/>
      <c r="C216" s="29" t="n"/>
      <c r="D216" s="24" t="n"/>
      <c r="E216" s="26" t="n"/>
      <c r="F216" s="34" t="n"/>
      <c r="G216" s="34" t="n"/>
      <c r="H216" s="24" t="n"/>
      <c r="I216" s="29" t="n"/>
      <c r="J216" s="32">
        <f>IF(R216&lt;&gt;1,"",IF(ISNUMBER(D216),INT(D216)+IF(ISNUMBER(E216),INT(E216),DefTerms),""))</f>
        <v/>
      </c>
      <c r="K216" s="35">
        <f>IF(R216&lt;&gt;1,"",IF(ISNUMBER(H216),0,IF(AND(A216&lt;&gt;"",ISNUMBER(MATCH(A216,CustName,0))),IF(ISNUMBER(INDEX(CustLate,MATCH(A216,CustName,0))),INT(INDEX(CustLate,MATCH(A216,CustName,0))),DefLate),DefLate)))</f>
        <v/>
      </c>
      <c r="L216" s="32">
        <f>IF(R216&lt;&gt;1,"",IF(ISNUMBER(H216),INT(H216),J216+K216)+StressDays)</f>
        <v/>
      </c>
      <c r="M216" s="21">
        <f>IF(R216&lt;&gt;1,0,F216-N(G216))</f>
        <v/>
      </c>
      <c r="N216" s="35">
        <f>IF(OR(R216&lt;&gt;1,M216&lt;=0),"",IF(I216="Yes","",IF(L216&lt;W1,IF(OverdueW1="No","",1),IF(L216&lt;=W1+90,INT((L216-W1)/7)+1,""))))</f>
        <v/>
      </c>
      <c r="O216" s="36">
        <f>IF(ISNUMBER(N216),M216*CollectPct,0)</f>
        <v/>
      </c>
      <c r="P216" s="10">
        <f>IF(R216="","",IF(R216=0,"Not counted",IF(M216&lt;=0,"Paid",IF(I216="Yes","Doubtful (left out)",IF(L216&lt;W1,IF(OverdueW1="No","Overdue (left out)","Overdue → Week 1"),IF(L216&lt;=W1+90,"Week "&amp;N216,"After Week 13"))))))</f>
        <v/>
      </c>
      <c r="Q216" s="10">
        <f>IF(R216="","",IF(R216=0,IF(NOT(ISNUMBER(F216)),"Fix: amount missing",IF(F216&lt;=0,"Fix: amount must be above 0",IF(AND(NOT(ISNUMBER(D216)),NOT(ISNUMBER(H216))),"Fix: add an invoice date or a promised date",IF(AND(D216&lt;&gt;"",NOT(ISNUMBER(D216))),"Fix: invoice date isn't a date",IF(AND(E216&lt;&gt;"",NOT(ISNUMBER(E216))),"Fix: terms must be a number",IF(AND(G216&lt;&gt;"",NOT(ISNUMBER(G216))),"Fix: received must be a number",IF(AND(H216&lt;&gt;"",NOT(ISNUMBER(H216))),"Fix: promised date isn't a date","Fix: received is more than the amount"))))))),IF(AND(C216&lt;&gt;"",ISNUMBER(MATCH(C216,InCats,0))),"OK","Category not on Settings (counted as Other)")))</f>
        <v/>
      </c>
      <c r="R216">
        <f>IF(COUNTA(A216:I216)=0,"",IF(AND(ISNUMBER(F216),F216&gt;0,OR(ISNUMBER(D216),ISNUMBER(H216)),OR(D216="",ISNUMBER(D216)),OR(E216="",ISNUMBER(E216)),OR(G216="",ISNUMBER(G216)),OR(H216="",ISNUMBER(H216))),IF(N(G216)&gt;F216,0,1),0))</f>
        <v/>
      </c>
    </row>
    <row r="217">
      <c r="A217" s="29" t="n"/>
      <c r="B217" s="29" t="n"/>
      <c r="C217" s="29" t="n"/>
      <c r="D217" s="24" t="n"/>
      <c r="E217" s="26" t="n"/>
      <c r="F217" s="34" t="n"/>
      <c r="G217" s="34" t="n"/>
      <c r="H217" s="24" t="n"/>
      <c r="I217" s="29" t="n"/>
      <c r="J217" s="32">
        <f>IF(R217&lt;&gt;1,"",IF(ISNUMBER(D217),INT(D217)+IF(ISNUMBER(E217),INT(E217),DefTerms),""))</f>
        <v/>
      </c>
      <c r="K217" s="35">
        <f>IF(R217&lt;&gt;1,"",IF(ISNUMBER(H217),0,IF(AND(A217&lt;&gt;"",ISNUMBER(MATCH(A217,CustName,0))),IF(ISNUMBER(INDEX(CustLate,MATCH(A217,CustName,0))),INT(INDEX(CustLate,MATCH(A217,CustName,0))),DefLate),DefLate)))</f>
        <v/>
      </c>
      <c r="L217" s="32">
        <f>IF(R217&lt;&gt;1,"",IF(ISNUMBER(H217),INT(H217),J217+K217)+StressDays)</f>
        <v/>
      </c>
      <c r="M217" s="21">
        <f>IF(R217&lt;&gt;1,0,F217-N(G217))</f>
        <v/>
      </c>
      <c r="N217" s="35">
        <f>IF(OR(R217&lt;&gt;1,M217&lt;=0),"",IF(I217="Yes","",IF(L217&lt;W1,IF(OverdueW1="No","",1),IF(L217&lt;=W1+90,INT((L217-W1)/7)+1,""))))</f>
        <v/>
      </c>
      <c r="O217" s="36">
        <f>IF(ISNUMBER(N217),M217*CollectPct,0)</f>
        <v/>
      </c>
      <c r="P217" s="10">
        <f>IF(R217="","",IF(R217=0,"Not counted",IF(M217&lt;=0,"Paid",IF(I217="Yes","Doubtful (left out)",IF(L217&lt;W1,IF(OverdueW1="No","Overdue (left out)","Overdue → Week 1"),IF(L217&lt;=W1+90,"Week "&amp;N217,"After Week 13"))))))</f>
        <v/>
      </c>
      <c r="Q217" s="10">
        <f>IF(R217="","",IF(R217=0,IF(NOT(ISNUMBER(F217)),"Fix: amount missing",IF(F217&lt;=0,"Fix: amount must be above 0",IF(AND(NOT(ISNUMBER(D217)),NOT(ISNUMBER(H217))),"Fix: add an invoice date or a promised date",IF(AND(D217&lt;&gt;"",NOT(ISNUMBER(D217))),"Fix: invoice date isn't a date",IF(AND(E217&lt;&gt;"",NOT(ISNUMBER(E217))),"Fix: terms must be a number",IF(AND(G217&lt;&gt;"",NOT(ISNUMBER(G217))),"Fix: received must be a number",IF(AND(H217&lt;&gt;"",NOT(ISNUMBER(H217))),"Fix: promised date isn't a date","Fix: received is more than the amount"))))))),IF(AND(C217&lt;&gt;"",ISNUMBER(MATCH(C217,InCats,0))),"OK","Category not on Settings (counted as Other)")))</f>
        <v/>
      </c>
      <c r="R217">
        <f>IF(COUNTA(A217:I217)=0,"",IF(AND(ISNUMBER(F217),F217&gt;0,OR(ISNUMBER(D217),ISNUMBER(H217)),OR(D217="",ISNUMBER(D217)),OR(E217="",ISNUMBER(E217)),OR(G217="",ISNUMBER(G217)),OR(H217="",ISNUMBER(H217))),IF(N(G217)&gt;F217,0,1),0))</f>
        <v/>
      </c>
    </row>
    <row r="218">
      <c r="A218" s="29" t="n"/>
      <c r="B218" s="29" t="n"/>
      <c r="C218" s="29" t="n"/>
      <c r="D218" s="24" t="n"/>
      <c r="E218" s="26" t="n"/>
      <c r="F218" s="34" t="n"/>
      <c r="G218" s="34" t="n"/>
      <c r="H218" s="24" t="n"/>
      <c r="I218" s="29" t="n"/>
      <c r="J218" s="32">
        <f>IF(R218&lt;&gt;1,"",IF(ISNUMBER(D218),INT(D218)+IF(ISNUMBER(E218),INT(E218),DefTerms),""))</f>
        <v/>
      </c>
      <c r="K218" s="35">
        <f>IF(R218&lt;&gt;1,"",IF(ISNUMBER(H218),0,IF(AND(A218&lt;&gt;"",ISNUMBER(MATCH(A218,CustName,0))),IF(ISNUMBER(INDEX(CustLate,MATCH(A218,CustName,0))),INT(INDEX(CustLate,MATCH(A218,CustName,0))),DefLate),DefLate)))</f>
        <v/>
      </c>
      <c r="L218" s="32">
        <f>IF(R218&lt;&gt;1,"",IF(ISNUMBER(H218),INT(H218),J218+K218)+StressDays)</f>
        <v/>
      </c>
      <c r="M218" s="21">
        <f>IF(R218&lt;&gt;1,0,F218-N(G218))</f>
        <v/>
      </c>
      <c r="N218" s="35">
        <f>IF(OR(R218&lt;&gt;1,M218&lt;=0),"",IF(I218="Yes","",IF(L218&lt;W1,IF(OverdueW1="No","",1),IF(L218&lt;=W1+90,INT((L218-W1)/7)+1,""))))</f>
        <v/>
      </c>
      <c r="O218" s="36">
        <f>IF(ISNUMBER(N218),M218*CollectPct,0)</f>
        <v/>
      </c>
      <c r="P218" s="10">
        <f>IF(R218="","",IF(R218=0,"Not counted",IF(M218&lt;=0,"Paid",IF(I218="Yes","Doubtful (left out)",IF(L218&lt;W1,IF(OverdueW1="No","Overdue (left out)","Overdue → Week 1"),IF(L218&lt;=W1+90,"Week "&amp;N218,"After Week 13"))))))</f>
        <v/>
      </c>
      <c r="Q218" s="10">
        <f>IF(R218="","",IF(R218=0,IF(NOT(ISNUMBER(F218)),"Fix: amount missing",IF(F218&lt;=0,"Fix: amount must be above 0",IF(AND(NOT(ISNUMBER(D218)),NOT(ISNUMBER(H218))),"Fix: add an invoice date or a promised date",IF(AND(D218&lt;&gt;"",NOT(ISNUMBER(D218))),"Fix: invoice date isn't a date",IF(AND(E218&lt;&gt;"",NOT(ISNUMBER(E218))),"Fix: terms must be a number",IF(AND(G218&lt;&gt;"",NOT(ISNUMBER(G218))),"Fix: received must be a number",IF(AND(H218&lt;&gt;"",NOT(ISNUMBER(H218))),"Fix: promised date isn't a date","Fix: received is more than the amount"))))))),IF(AND(C218&lt;&gt;"",ISNUMBER(MATCH(C218,InCats,0))),"OK","Category not on Settings (counted as Other)")))</f>
        <v/>
      </c>
      <c r="R218">
        <f>IF(COUNTA(A218:I218)=0,"",IF(AND(ISNUMBER(F218),F218&gt;0,OR(ISNUMBER(D218),ISNUMBER(H218)),OR(D218="",ISNUMBER(D218)),OR(E218="",ISNUMBER(E218)),OR(G218="",ISNUMBER(G218)),OR(H218="",ISNUMBER(H218))),IF(N(G218)&gt;F218,0,1),0))</f>
        <v/>
      </c>
    </row>
    <row r="219">
      <c r="A219" s="29" t="n"/>
      <c r="B219" s="29" t="n"/>
      <c r="C219" s="29" t="n"/>
      <c r="D219" s="24" t="n"/>
      <c r="E219" s="26" t="n"/>
      <c r="F219" s="34" t="n"/>
      <c r="G219" s="34" t="n"/>
      <c r="H219" s="24" t="n"/>
      <c r="I219" s="29" t="n"/>
      <c r="J219" s="32">
        <f>IF(R219&lt;&gt;1,"",IF(ISNUMBER(D219),INT(D219)+IF(ISNUMBER(E219),INT(E219),DefTerms),""))</f>
        <v/>
      </c>
      <c r="K219" s="35">
        <f>IF(R219&lt;&gt;1,"",IF(ISNUMBER(H219),0,IF(AND(A219&lt;&gt;"",ISNUMBER(MATCH(A219,CustName,0))),IF(ISNUMBER(INDEX(CustLate,MATCH(A219,CustName,0))),INT(INDEX(CustLate,MATCH(A219,CustName,0))),DefLate),DefLate)))</f>
        <v/>
      </c>
      <c r="L219" s="32">
        <f>IF(R219&lt;&gt;1,"",IF(ISNUMBER(H219),INT(H219),J219+K219)+StressDays)</f>
        <v/>
      </c>
      <c r="M219" s="21">
        <f>IF(R219&lt;&gt;1,0,F219-N(G219))</f>
        <v/>
      </c>
      <c r="N219" s="35">
        <f>IF(OR(R219&lt;&gt;1,M219&lt;=0),"",IF(I219="Yes","",IF(L219&lt;W1,IF(OverdueW1="No","",1),IF(L219&lt;=W1+90,INT((L219-W1)/7)+1,""))))</f>
        <v/>
      </c>
      <c r="O219" s="36">
        <f>IF(ISNUMBER(N219),M219*CollectPct,0)</f>
        <v/>
      </c>
      <c r="P219" s="10">
        <f>IF(R219="","",IF(R219=0,"Not counted",IF(M219&lt;=0,"Paid",IF(I219="Yes","Doubtful (left out)",IF(L219&lt;W1,IF(OverdueW1="No","Overdue (left out)","Overdue → Week 1"),IF(L219&lt;=W1+90,"Week "&amp;N219,"After Week 13"))))))</f>
        <v/>
      </c>
      <c r="Q219" s="10">
        <f>IF(R219="","",IF(R219=0,IF(NOT(ISNUMBER(F219)),"Fix: amount missing",IF(F219&lt;=0,"Fix: amount must be above 0",IF(AND(NOT(ISNUMBER(D219)),NOT(ISNUMBER(H219))),"Fix: add an invoice date or a promised date",IF(AND(D219&lt;&gt;"",NOT(ISNUMBER(D219))),"Fix: invoice date isn't a date",IF(AND(E219&lt;&gt;"",NOT(ISNUMBER(E219))),"Fix: terms must be a number",IF(AND(G219&lt;&gt;"",NOT(ISNUMBER(G219))),"Fix: received must be a number",IF(AND(H219&lt;&gt;"",NOT(ISNUMBER(H219))),"Fix: promised date isn't a date","Fix: received is more than the amount"))))))),IF(AND(C219&lt;&gt;"",ISNUMBER(MATCH(C219,InCats,0))),"OK","Category not on Settings (counted as Other)")))</f>
        <v/>
      </c>
      <c r="R219">
        <f>IF(COUNTA(A219:I219)=0,"",IF(AND(ISNUMBER(F219),F219&gt;0,OR(ISNUMBER(D219),ISNUMBER(H219)),OR(D219="",ISNUMBER(D219)),OR(E219="",ISNUMBER(E219)),OR(G219="",ISNUMBER(G219)),OR(H219="",ISNUMBER(H219))),IF(N(G219)&gt;F219,0,1),0))</f>
        <v/>
      </c>
    </row>
    <row r="220">
      <c r="A220" s="29" t="n"/>
      <c r="B220" s="29" t="n"/>
      <c r="C220" s="29" t="n"/>
      <c r="D220" s="24" t="n"/>
      <c r="E220" s="26" t="n"/>
      <c r="F220" s="34" t="n"/>
      <c r="G220" s="34" t="n"/>
      <c r="H220" s="24" t="n"/>
      <c r="I220" s="29" t="n"/>
      <c r="J220" s="32">
        <f>IF(R220&lt;&gt;1,"",IF(ISNUMBER(D220),INT(D220)+IF(ISNUMBER(E220),INT(E220),DefTerms),""))</f>
        <v/>
      </c>
      <c r="K220" s="35">
        <f>IF(R220&lt;&gt;1,"",IF(ISNUMBER(H220),0,IF(AND(A220&lt;&gt;"",ISNUMBER(MATCH(A220,CustName,0))),IF(ISNUMBER(INDEX(CustLate,MATCH(A220,CustName,0))),INT(INDEX(CustLate,MATCH(A220,CustName,0))),DefLate),DefLate)))</f>
        <v/>
      </c>
      <c r="L220" s="32">
        <f>IF(R220&lt;&gt;1,"",IF(ISNUMBER(H220),INT(H220),J220+K220)+StressDays)</f>
        <v/>
      </c>
      <c r="M220" s="21">
        <f>IF(R220&lt;&gt;1,0,F220-N(G220))</f>
        <v/>
      </c>
      <c r="N220" s="35">
        <f>IF(OR(R220&lt;&gt;1,M220&lt;=0),"",IF(I220="Yes","",IF(L220&lt;W1,IF(OverdueW1="No","",1),IF(L220&lt;=W1+90,INT((L220-W1)/7)+1,""))))</f>
        <v/>
      </c>
      <c r="O220" s="36">
        <f>IF(ISNUMBER(N220),M220*CollectPct,0)</f>
        <v/>
      </c>
      <c r="P220" s="10">
        <f>IF(R220="","",IF(R220=0,"Not counted",IF(M220&lt;=0,"Paid",IF(I220="Yes","Doubtful (left out)",IF(L220&lt;W1,IF(OverdueW1="No","Overdue (left out)","Overdue → Week 1"),IF(L220&lt;=W1+90,"Week "&amp;N220,"After Week 13"))))))</f>
        <v/>
      </c>
      <c r="Q220" s="10">
        <f>IF(R220="","",IF(R220=0,IF(NOT(ISNUMBER(F220)),"Fix: amount missing",IF(F220&lt;=0,"Fix: amount must be above 0",IF(AND(NOT(ISNUMBER(D220)),NOT(ISNUMBER(H220))),"Fix: add an invoice date or a promised date",IF(AND(D220&lt;&gt;"",NOT(ISNUMBER(D220))),"Fix: invoice date isn't a date",IF(AND(E220&lt;&gt;"",NOT(ISNUMBER(E220))),"Fix: terms must be a number",IF(AND(G220&lt;&gt;"",NOT(ISNUMBER(G220))),"Fix: received must be a number",IF(AND(H220&lt;&gt;"",NOT(ISNUMBER(H220))),"Fix: promised date isn't a date","Fix: received is more than the amount"))))))),IF(AND(C220&lt;&gt;"",ISNUMBER(MATCH(C220,InCats,0))),"OK","Category not on Settings (counted as Other)")))</f>
        <v/>
      </c>
      <c r="R220">
        <f>IF(COUNTA(A220:I220)=0,"",IF(AND(ISNUMBER(F220),F220&gt;0,OR(ISNUMBER(D220),ISNUMBER(H220)),OR(D220="",ISNUMBER(D220)),OR(E220="",ISNUMBER(E220)),OR(G220="",ISNUMBER(G220)),OR(H220="",ISNUMBER(H220))),IF(N(G220)&gt;F220,0,1),0))</f>
        <v/>
      </c>
    </row>
    <row r="221">
      <c r="A221" s="29" t="n"/>
      <c r="B221" s="29" t="n"/>
      <c r="C221" s="29" t="n"/>
      <c r="D221" s="24" t="n"/>
      <c r="E221" s="26" t="n"/>
      <c r="F221" s="34" t="n"/>
      <c r="G221" s="34" t="n"/>
      <c r="H221" s="24" t="n"/>
      <c r="I221" s="29" t="n"/>
      <c r="J221" s="32">
        <f>IF(R221&lt;&gt;1,"",IF(ISNUMBER(D221),INT(D221)+IF(ISNUMBER(E221),INT(E221),DefTerms),""))</f>
        <v/>
      </c>
      <c r="K221" s="35">
        <f>IF(R221&lt;&gt;1,"",IF(ISNUMBER(H221),0,IF(AND(A221&lt;&gt;"",ISNUMBER(MATCH(A221,CustName,0))),IF(ISNUMBER(INDEX(CustLate,MATCH(A221,CustName,0))),INT(INDEX(CustLate,MATCH(A221,CustName,0))),DefLate),DefLate)))</f>
        <v/>
      </c>
      <c r="L221" s="32">
        <f>IF(R221&lt;&gt;1,"",IF(ISNUMBER(H221),INT(H221),J221+K221)+StressDays)</f>
        <v/>
      </c>
      <c r="M221" s="21">
        <f>IF(R221&lt;&gt;1,0,F221-N(G221))</f>
        <v/>
      </c>
      <c r="N221" s="35">
        <f>IF(OR(R221&lt;&gt;1,M221&lt;=0),"",IF(I221="Yes","",IF(L221&lt;W1,IF(OverdueW1="No","",1),IF(L221&lt;=W1+90,INT((L221-W1)/7)+1,""))))</f>
        <v/>
      </c>
      <c r="O221" s="36">
        <f>IF(ISNUMBER(N221),M221*CollectPct,0)</f>
        <v/>
      </c>
      <c r="P221" s="10">
        <f>IF(R221="","",IF(R221=0,"Not counted",IF(M221&lt;=0,"Paid",IF(I221="Yes","Doubtful (left out)",IF(L221&lt;W1,IF(OverdueW1="No","Overdue (left out)","Overdue → Week 1"),IF(L221&lt;=W1+90,"Week "&amp;N221,"After Week 13"))))))</f>
        <v/>
      </c>
      <c r="Q221" s="10">
        <f>IF(R221="","",IF(R221=0,IF(NOT(ISNUMBER(F221)),"Fix: amount missing",IF(F221&lt;=0,"Fix: amount must be above 0",IF(AND(NOT(ISNUMBER(D221)),NOT(ISNUMBER(H221))),"Fix: add an invoice date or a promised date",IF(AND(D221&lt;&gt;"",NOT(ISNUMBER(D221))),"Fix: invoice date isn't a date",IF(AND(E221&lt;&gt;"",NOT(ISNUMBER(E221))),"Fix: terms must be a number",IF(AND(G221&lt;&gt;"",NOT(ISNUMBER(G221))),"Fix: received must be a number",IF(AND(H221&lt;&gt;"",NOT(ISNUMBER(H221))),"Fix: promised date isn't a date","Fix: received is more than the amount"))))))),IF(AND(C221&lt;&gt;"",ISNUMBER(MATCH(C221,InCats,0))),"OK","Category not on Settings (counted as Other)")))</f>
        <v/>
      </c>
      <c r="R221">
        <f>IF(COUNTA(A221:I221)=0,"",IF(AND(ISNUMBER(F221),F221&gt;0,OR(ISNUMBER(D221),ISNUMBER(H221)),OR(D221="",ISNUMBER(D221)),OR(E221="",ISNUMBER(E221)),OR(G221="",ISNUMBER(G221)),OR(H221="",ISNUMBER(H221))),IF(N(G221)&gt;F221,0,1),0))</f>
        <v/>
      </c>
    </row>
    <row r="222">
      <c r="A222" s="29" t="n"/>
      <c r="B222" s="29" t="n"/>
      <c r="C222" s="29" t="n"/>
      <c r="D222" s="24" t="n"/>
      <c r="E222" s="26" t="n"/>
      <c r="F222" s="34" t="n"/>
      <c r="G222" s="34" t="n"/>
      <c r="H222" s="24" t="n"/>
      <c r="I222" s="29" t="n"/>
      <c r="J222" s="32">
        <f>IF(R222&lt;&gt;1,"",IF(ISNUMBER(D222),INT(D222)+IF(ISNUMBER(E222),INT(E222),DefTerms),""))</f>
        <v/>
      </c>
      <c r="K222" s="35">
        <f>IF(R222&lt;&gt;1,"",IF(ISNUMBER(H222),0,IF(AND(A222&lt;&gt;"",ISNUMBER(MATCH(A222,CustName,0))),IF(ISNUMBER(INDEX(CustLate,MATCH(A222,CustName,0))),INT(INDEX(CustLate,MATCH(A222,CustName,0))),DefLate),DefLate)))</f>
        <v/>
      </c>
      <c r="L222" s="32">
        <f>IF(R222&lt;&gt;1,"",IF(ISNUMBER(H222),INT(H222),J222+K222)+StressDays)</f>
        <v/>
      </c>
      <c r="M222" s="21">
        <f>IF(R222&lt;&gt;1,0,F222-N(G222))</f>
        <v/>
      </c>
      <c r="N222" s="35">
        <f>IF(OR(R222&lt;&gt;1,M222&lt;=0),"",IF(I222="Yes","",IF(L222&lt;W1,IF(OverdueW1="No","",1),IF(L222&lt;=W1+90,INT((L222-W1)/7)+1,""))))</f>
        <v/>
      </c>
      <c r="O222" s="36">
        <f>IF(ISNUMBER(N222),M222*CollectPct,0)</f>
        <v/>
      </c>
      <c r="P222" s="10">
        <f>IF(R222="","",IF(R222=0,"Not counted",IF(M222&lt;=0,"Paid",IF(I222="Yes","Doubtful (left out)",IF(L222&lt;W1,IF(OverdueW1="No","Overdue (left out)","Overdue → Week 1"),IF(L222&lt;=W1+90,"Week "&amp;N222,"After Week 13"))))))</f>
        <v/>
      </c>
      <c r="Q222" s="10">
        <f>IF(R222="","",IF(R222=0,IF(NOT(ISNUMBER(F222)),"Fix: amount missing",IF(F222&lt;=0,"Fix: amount must be above 0",IF(AND(NOT(ISNUMBER(D222)),NOT(ISNUMBER(H222))),"Fix: add an invoice date or a promised date",IF(AND(D222&lt;&gt;"",NOT(ISNUMBER(D222))),"Fix: invoice date isn't a date",IF(AND(E222&lt;&gt;"",NOT(ISNUMBER(E222))),"Fix: terms must be a number",IF(AND(G222&lt;&gt;"",NOT(ISNUMBER(G222))),"Fix: received must be a number",IF(AND(H222&lt;&gt;"",NOT(ISNUMBER(H222))),"Fix: promised date isn't a date","Fix: received is more than the amount"))))))),IF(AND(C222&lt;&gt;"",ISNUMBER(MATCH(C222,InCats,0))),"OK","Category not on Settings (counted as Other)")))</f>
        <v/>
      </c>
      <c r="R222">
        <f>IF(COUNTA(A222:I222)=0,"",IF(AND(ISNUMBER(F222),F222&gt;0,OR(ISNUMBER(D222),ISNUMBER(H222)),OR(D222="",ISNUMBER(D222)),OR(E222="",ISNUMBER(E222)),OR(G222="",ISNUMBER(G222)),OR(H222="",ISNUMBER(H222))),IF(N(G222)&gt;F222,0,1),0))</f>
        <v/>
      </c>
    </row>
    <row r="223">
      <c r="A223" s="29" t="n"/>
      <c r="B223" s="29" t="n"/>
      <c r="C223" s="29" t="n"/>
      <c r="D223" s="24" t="n"/>
      <c r="E223" s="26" t="n"/>
      <c r="F223" s="34" t="n"/>
      <c r="G223" s="34" t="n"/>
      <c r="H223" s="24" t="n"/>
      <c r="I223" s="29" t="n"/>
      <c r="J223" s="32">
        <f>IF(R223&lt;&gt;1,"",IF(ISNUMBER(D223),INT(D223)+IF(ISNUMBER(E223),INT(E223),DefTerms),""))</f>
        <v/>
      </c>
      <c r="K223" s="35">
        <f>IF(R223&lt;&gt;1,"",IF(ISNUMBER(H223),0,IF(AND(A223&lt;&gt;"",ISNUMBER(MATCH(A223,CustName,0))),IF(ISNUMBER(INDEX(CustLate,MATCH(A223,CustName,0))),INT(INDEX(CustLate,MATCH(A223,CustName,0))),DefLate),DefLate)))</f>
        <v/>
      </c>
      <c r="L223" s="32">
        <f>IF(R223&lt;&gt;1,"",IF(ISNUMBER(H223),INT(H223),J223+K223)+StressDays)</f>
        <v/>
      </c>
      <c r="M223" s="21">
        <f>IF(R223&lt;&gt;1,0,F223-N(G223))</f>
        <v/>
      </c>
      <c r="N223" s="35">
        <f>IF(OR(R223&lt;&gt;1,M223&lt;=0),"",IF(I223="Yes","",IF(L223&lt;W1,IF(OverdueW1="No","",1),IF(L223&lt;=W1+90,INT((L223-W1)/7)+1,""))))</f>
        <v/>
      </c>
      <c r="O223" s="36">
        <f>IF(ISNUMBER(N223),M223*CollectPct,0)</f>
        <v/>
      </c>
      <c r="P223" s="10">
        <f>IF(R223="","",IF(R223=0,"Not counted",IF(M223&lt;=0,"Paid",IF(I223="Yes","Doubtful (left out)",IF(L223&lt;W1,IF(OverdueW1="No","Overdue (left out)","Overdue → Week 1"),IF(L223&lt;=W1+90,"Week "&amp;N223,"After Week 13"))))))</f>
        <v/>
      </c>
      <c r="Q223" s="10">
        <f>IF(R223="","",IF(R223=0,IF(NOT(ISNUMBER(F223)),"Fix: amount missing",IF(F223&lt;=0,"Fix: amount must be above 0",IF(AND(NOT(ISNUMBER(D223)),NOT(ISNUMBER(H223))),"Fix: add an invoice date or a promised date",IF(AND(D223&lt;&gt;"",NOT(ISNUMBER(D223))),"Fix: invoice date isn't a date",IF(AND(E223&lt;&gt;"",NOT(ISNUMBER(E223))),"Fix: terms must be a number",IF(AND(G223&lt;&gt;"",NOT(ISNUMBER(G223))),"Fix: received must be a number",IF(AND(H223&lt;&gt;"",NOT(ISNUMBER(H223))),"Fix: promised date isn't a date","Fix: received is more than the amount"))))))),IF(AND(C223&lt;&gt;"",ISNUMBER(MATCH(C223,InCats,0))),"OK","Category not on Settings (counted as Other)")))</f>
        <v/>
      </c>
      <c r="R223">
        <f>IF(COUNTA(A223:I223)=0,"",IF(AND(ISNUMBER(F223),F223&gt;0,OR(ISNUMBER(D223),ISNUMBER(H223)),OR(D223="",ISNUMBER(D223)),OR(E223="",ISNUMBER(E223)),OR(G223="",ISNUMBER(G223)),OR(H223="",ISNUMBER(H223))),IF(N(G223)&gt;F223,0,1),0))</f>
        <v/>
      </c>
    </row>
    <row r="224">
      <c r="A224" s="29" t="n"/>
      <c r="B224" s="29" t="n"/>
      <c r="C224" s="29" t="n"/>
      <c r="D224" s="24" t="n"/>
      <c r="E224" s="26" t="n"/>
      <c r="F224" s="34" t="n"/>
      <c r="G224" s="34" t="n"/>
      <c r="H224" s="24" t="n"/>
      <c r="I224" s="29" t="n"/>
      <c r="J224" s="32">
        <f>IF(R224&lt;&gt;1,"",IF(ISNUMBER(D224),INT(D224)+IF(ISNUMBER(E224),INT(E224),DefTerms),""))</f>
        <v/>
      </c>
      <c r="K224" s="35">
        <f>IF(R224&lt;&gt;1,"",IF(ISNUMBER(H224),0,IF(AND(A224&lt;&gt;"",ISNUMBER(MATCH(A224,CustName,0))),IF(ISNUMBER(INDEX(CustLate,MATCH(A224,CustName,0))),INT(INDEX(CustLate,MATCH(A224,CustName,0))),DefLate),DefLate)))</f>
        <v/>
      </c>
      <c r="L224" s="32">
        <f>IF(R224&lt;&gt;1,"",IF(ISNUMBER(H224),INT(H224),J224+K224)+StressDays)</f>
        <v/>
      </c>
      <c r="M224" s="21">
        <f>IF(R224&lt;&gt;1,0,F224-N(G224))</f>
        <v/>
      </c>
      <c r="N224" s="35">
        <f>IF(OR(R224&lt;&gt;1,M224&lt;=0),"",IF(I224="Yes","",IF(L224&lt;W1,IF(OverdueW1="No","",1),IF(L224&lt;=W1+90,INT((L224-W1)/7)+1,""))))</f>
        <v/>
      </c>
      <c r="O224" s="36">
        <f>IF(ISNUMBER(N224),M224*CollectPct,0)</f>
        <v/>
      </c>
      <c r="P224" s="10">
        <f>IF(R224="","",IF(R224=0,"Not counted",IF(M224&lt;=0,"Paid",IF(I224="Yes","Doubtful (left out)",IF(L224&lt;W1,IF(OverdueW1="No","Overdue (left out)","Overdue → Week 1"),IF(L224&lt;=W1+90,"Week "&amp;N224,"After Week 13"))))))</f>
        <v/>
      </c>
      <c r="Q224" s="10">
        <f>IF(R224="","",IF(R224=0,IF(NOT(ISNUMBER(F224)),"Fix: amount missing",IF(F224&lt;=0,"Fix: amount must be above 0",IF(AND(NOT(ISNUMBER(D224)),NOT(ISNUMBER(H224))),"Fix: add an invoice date or a promised date",IF(AND(D224&lt;&gt;"",NOT(ISNUMBER(D224))),"Fix: invoice date isn't a date",IF(AND(E224&lt;&gt;"",NOT(ISNUMBER(E224))),"Fix: terms must be a number",IF(AND(G224&lt;&gt;"",NOT(ISNUMBER(G224))),"Fix: received must be a number",IF(AND(H224&lt;&gt;"",NOT(ISNUMBER(H224))),"Fix: promised date isn't a date","Fix: received is more than the amount"))))))),IF(AND(C224&lt;&gt;"",ISNUMBER(MATCH(C224,InCats,0))),"OK","Category not on Settings (counted as Other)")))</f>
        <v/>
      </c>
      <c r="R224">
        <f>IF(COUNTA(A224:I224)=0,"",IF(AND(ISNUMBER(F224),F224&gt;0,OR(ISNUMBER(D224),ISNUMBER(H224)),OR(D224="",ISNUMBER(D224)),OR(E224="",ISNUMBER(E224)),OR(G224="",ISNUMBER(G224)),OR(H224="",ISNUMBER(H224))),IF(N(G224)&gt;F224,0,1),0))</f>
        <v/>
      </c>
    </row>
    <row r="225">
      <c r="A225" s="29" t="n"/>
      <c r="B225" s="29" t="n"/>
      <c r="C225" s="29" t="n"/>
      <c r="D225" s="24" t="n"/>
      <c r="E225" s="26" t="n"/>
      <c r="F225" s="34" t="n"/>
      <c r="G225" s="34" t="n"/>
      <c r="H225" s="24" t="n"/>
      <c r="I225" s="29" t="n"/>
      <c r="J225" s="32">
        <f>IF(R225&lt;&gt;1,"",IF(ISNUMBER(D225),INT(D225)+IF(ISNUMBER(E225),INT(E225),DefTerms),""))</f>
        <v/>
      </c>
      <c r="K225" s="35">
        <f>IF(R225&lt;&gt;1,"",IF(ISNUMBER(H225),0,IF(AND(A225&lt;&gt;"",ISNUMBER(MATCH(A225,CustName,0))),IF(ISNUMBER(INDEX(CustLate,MATCH(A225,CustName,0))),INT(INDEX(CustLate,MATCH(A225,CustName,0))),DefLate),DefLate)))</f>
        <v/>
      </c>
      <c r="L225" s="32">
        <f>IF(R225&lt;&gt;1,"",IF(ISNUMBER(H225),INT(H225),J225+K225)+StressDays)</f>
        <v/>
      </c>
      <c r="M225" s="21">
        <f>IF(R225&lt;&gt;1,0,F225-N(G225))</f>
        <v/>
      </c>
      <c r="N225" s="35">
        <f>IF(OR(R225&lt;&gt;1,M225&lt;=0),"",IF(I225="Yes","",IF(L225&lt;W1,IF(OverdueW1="No","",1),IF(L225&lt;=W1+90,INT((L225-W1)/7)+1,""))))</f>
        <v/>
      </c>
      <c r="O225" s="36">
        <f>IF(ISNUMBER(N225),M225*CollectPct,0)</f>
        <v/>
      </c>
      <c r="P225" s="10">
        <f>IF(R225="","",IF(R225=0,"Not counted",IF(M225&lt;=0,"Paid",IF(I225="Yes","Doubtful (left out)",IF(L225&lt;W1,IF(OverdueW1="No","Overdue (left out)","Overdue → Week 1"),IF(L225&lt;=W1+90,"Week "&amp;N225,"After Week 13"))))))</f>
        <v/>
      </c>
      <c r="Q225" s="10">
        <f>IF(R225="","",IF(R225=0,IF(NOT(ISNUMBER(F225)),"Fix: amount missing",IF(F225&lt;=0,"Fix: amount must be above 0",IF(AND(NOT(ISNUMBER(D225)),NOT(ISNUMBER(H225))),"Fix: add an invoice date or a promised date",IF(AND(D225&lt;&gt;"",NOT(ISNUMBER(D225))),"Fix: invoice date isn't a date",IF(AND(E225&lt;&gt;"",NOT(ISNUMBER(E225))),"Fix: terms must be a number",IF(AND(G225&lt;&gt;"",NOT(ISNUMBER(G225))),"Fix: received must be a number",IF(AND(H225&lt;&gt;"",NOT(ISNUMBER(H225))),"Fix: promised date isn't a date","Fix: received is more than the amount"))))))),IF(AND(C225&lt;&gt;"",ISNUMBER(MATCH(C225,InCats,0))),"OK","Category not on Settings (counted as Other)")))</f>
        <v/>
      </c>
      <c r="R225">
        <f>IF(COUNTA(A225:I225)=0,"",IF(AND(ISNUMBER(F225),F225&gt;0,OR(ISNUMBER(D225),ISNUMBER(H225)),OR(D225="",ISNUMBER(D225)),OR(E225="",ISNUMBER(E225)),OR(G225="",ISNUMBER(G225)),OR(H225="",ISNUMBER(H225))),IF(N(G225)&gt;F225,0,1),0))</f>
        <v/>
      </c>
    </row>
    <row r="226">
      <c r="A226" s="29" t="n"/>
      <c r="B226" s="29" t="n"/>
      <c r="C226" s="29" t="n"/>
      <c r="D226" s="24" t="n"/>
      <c r="E226" s="26" t="n"/>
      <c r="F226" s="34" t="n"/>
      <c r="G226" s="34" t="n"/>
      <c r="H226" s="24" t="n"/>
      <c r="I226" s="29" t="n"/>
      <c r="J226" s="32">
        <f>IF(R226&lt;&gt;1,"",IF(ISNUMBER(D226),INT(D226)+IF(ISNUMBER(E226),INT(E226),DefTerms),""))</f>
        <v/>
      </c>
      <c r="K226" s="35">
        <f>IF(R226&lt;&gt;1,"",IF(ISNUMBER(H226),0,IF(AND(A226&lt;&gt;"",ISNUMBER(MATCH(A226,CustName,0))),IF(ISNUMBER(INDEX(CustLate,MATCH(A226,CustName,0))),INT(INDEX(CustLate,MATCH(A226,CustName,0))),DefLate),DefLate)))</f>
        <v/>
      </c>
      <c r="L226" s="32">
        <f>IF(R226&lt;&gt;1,"",IF(ISNUMBER(H226),INT(H226),J226+K226)+StressDays)</f>
        <v/>
      </c>
      <c r="M226" s="21">
        <f>IF(R226&lt;&gt;1,0,F226-N(G226))</f>
        <v/>
      </c>
      <c r="N226" s="35">
        <f>IF(OR(R226&lt;&gt;1,M226&lt;=0),"",IF(I226="Yes","",IF(L226&lt;W1,IF(OverdueW1="No","",1),IF(L226&lt;=W1+90,INT((L226-W1)/7)+1,""))))</f>
        <v/>
      </c>
      <c r="O226" s="36">
        <f>IF(ISNUMBER(N226),M226*CollectPct,0)</f>
        <v/>
      </c>
      <c r="P226" s="10">
        <f>IF(R226="","",IF(R226=0,"Not counted",IF(M226&lt;=0,"Paid",IF(I226="Yes","Doubtful (left out)",IF(L226&lt;W1,IF(OverdueW1="No","Overdue (left out)","Overdue → Week 1"),IF(L226&lt;=W1+90,"Week "&amp;N226,"After Week 13"))))))</f>
        <v/>
      </c>
      <c r="Q226" s="10">
        <f>IF(R226="","",IF(R226=0,IF(NOT(ISNUMBER(F226)),"Fix: amount missing",IF(F226&lt;=0,"Fix: amount must be above 0",IF(AND(NOT(ISNUMBER(D226)),NOT(ISNUMBER(H226))),"Fix: add an invoice date or a promised date",IF(AND(D226&lt;&gt;"",NOT(ISNUMBER(D226))),"Fix: invoice date isn't a date",IF(AND(E226&lt;&gt;"",NOT(ISNUMBER(E226))),"Fix: terms must be a number",IF(AND(G226&lt;&gt;"",NOT(ISNUMBER(G226))),"Fix: received must be a number",IF(AND(H226&lt;&gt;"",NOT(ISNUMBER(H226))),"Fix: promised date isn't a date","Fix: received is more than the amount"))))))),IF(AND(C226&lt;&gt;"",ISNUMBER(MATCH(C226,InCats,0))),"OK","Category not on Settings (counted as Other)")))</f>
        <v/>
      </c>
      <c r="R226">
        <f>IF(COUNTA(A226:I226)=0,"",IF(AND(ISNUMBER(F226),F226&gt;0,OR(ISNUMBER(D226),ISNUMBER(H226)),OR(D226="",ISNUMBER(D226)),OR(E226="",ISNUMBER(E226)),OR(G226="",ISNUMBER(G226)),OR(H226="",ISNUMBER(H226))),IF(N(G226)&gt;F226,0,1),0))</f>
        <v/>
      </c>
    </row>
    <row r="227">
      <c r="A227" s="29" t="n"/>
      <c r="B227" s="29" t="n"/>
      <c r="C227" s="29" t="n"/>
      <c r="D227" s="24" t="n"/>
      <c r="E227" s="26" t="n"/>
      <c r="F227" s="34" t="n"/>
      <c r="G227" s="34" t="n"/>
      <c r="H227" s="24" t="n"/>
      <c r="I227" s="29" t="n"/>
      <c r="J227" s="32">
        <f>IF(R227&lt;&gt;1,"",IF(ISNUMBER(D227),INT(D227)+IF(ISNUMBER(E227),INT(E227),DefTerms),""))</f>
        <v/>
      </c>
      <c r="K227" s="35">
        <f>IF(R227&lt;&gt;1,"",IF(ISNUMBER(H227),0,IF(AND(A227&lt;&gt;"",ISNUMBER(MATCH(A227,CustName,0))),IF(ISNUMBER(INDEX(CustLate,MATCH(A227,CustName,0))),INT(INDEX(CustLate,MATCH(A227,CustName,0))),DefLate),DefLate)))</f>
        <v/>
      </c>
      <c r="L227" s="32">
        <f>IF(R227&lt;&gt;1,"",IF(ISNUMBER(H227),INT(H227),J227+K227)+StressDays)</f>
        <v/>
      </c>
      <c r="M227" s="21">
        <f>IF(R227&lt;&gt;1,0,F227-N(G227))</f>
        <v/>
      </c>
      <c r="N227" s="35">
        <f>IF(OR(R227&lt;&gt;1,M227&lt;=0),"",IF(I227="Yes","",IF(L227&lt;W1,IF(OverdueW1="No","",1),IF(L227&lt;=W1+90,INT((L227-W1)/7)+1,""))))</f>
        <v/>
      </c>
      <c r="O227" s="36">
        <f>IF(ISNUMBER(N227),M227*CollectPct,0)</f>
        <v/>
      </c>
      <c r="P227" s="10">
        <f>IF(R227="","",IF(R227=0,"Not counted",IF(M227&lt;=0,"Paid",IF(I227="Yes","Doubtful (left out)",IF(L227&lt;W1,IF(OverdueW1="No","Overdue (left out)","Overdue → Week 1"),IF(L227&lt;=W1+90,"Week "&amp;N227,"After Week 13"))))))</f>
        <v/>
      </c>
      <c r="Q227" s="10">
        <f>IF(R227="","",IF(R227=0,IF(NOT(ISNUMBER(F227)),"Fix: amount missing",IF(F227&lt;=0,"Fix: amount must be above 0",IF(AND(NOT(ISNUMBER(D227)),NOT(ISNUMBER(H227))),"Fix: add an invoice date or a promised date",IF(AND(D227&lt;&gt;"",NOT(ISNUMBER(D227))),"Fix: invoice date isn't a date",IF(AND(E227&lt;&gt;"",NOT(ISNUMBER(E227))),"Fix: terms must be a number",IF(AND(G227&lt;&gt;"",NOT(ISNUMBER(G227))),"Fix: received must be a number",IF(AND(H227&lt;&gt;"",NOT(ISNUMBER(H227))),"Fix: promised date isn't a date","Fix: received is more than the amount"))))))),IF(AND(C227&lt;&gt;"",ISNUMBER(MATCH(C227,InCats,0))),"OK","Category not on Settings (counted as Other)")))</f>
        <v/>
      </c>
      <c r="R227">
        <f>IF(COUNTA(A227:I227)=0,"",IF(AND(ISNUMBER(F227),F227&gt;0,OR(ISNUMBER(D227),ISNUMBER(H227)),OR(D227="",ISNUMBER(D227)),OR(E227="",ISNUMBER(E227)),OR(G227="",ISNUMBER(G227)),OR(H227="",ISNUMBER(H227))),IF(N(G227)&gt;F227,0,1),0))</f>
        <v/>
      </c>
    </row>
    <row r="228">
      <c r="A228" s="29" t="n"/>
      <c r="B228" s="29" t="n"/>
      <c r="C228" s="29" t="n"/>
      <c r="D228" s="24" t="n"/>
      <c r="E228" s="26" t="n"/>
      <c r="F228" s="34" t="n"/>
      <c r="G228" s="34" t="n"/>
      <c r="H228" s="24" t="n"/>
      <c r="I228" s="29" t="n"/>
      <c r="J228" s="32">
        <f>IF(R228&lt;&gt;1,"",IF(ISNUMBER(D228),INT(D228)+IF(ISNUMBER(E228),INT(E228),DefTerms),""))</f>
        <v/>
      </c>
      <c r="K228" s="35">
        <f>IF(R228&lt;&gt;1,"",IF(ISNUMBER(H228),0,IF(AND(A228&lt;&gt;"",ISNUMBER(MATCH(A228,CustName,0))),IF(ISNUMBER(INDEX(CustLate,MATCH(A228,CustName,0))),INT(INDEX(CustLate,MATCH(A228,CustName,0))),DefLate),DefLate)))</f>
        <v/>
      </c>
      <c r="L228" s="32">
        <f>IF(R228&lt;&gt;1,"",IF(ISNUMBER(H228),INT(H228),J228+K228)+StressDays)</f>
        <v/>
      </c>
      <c r="M228" s="21">
        <f>IF(R228&lt;&gt;1,0,F228-N(G228))</f>
        <v/>
      </c>
      <c r="N228" s="35">
        <f>IF(OR(R228&lt;&gt;1,M228&lt;=0),"",IF(I228="Yes","",IF(L228&lt;W1,IF(OverdueW1="No","",1),IF(L228&lt;=W1+90,INT((L228-W1)/7)+1,""))))</f>
        <v/>
      </c>
      <c r="O228" s="36">
        <f>IF(ISNUMBER(N228),M228*CollectPct,0)</f>
        <v/>
      </c>
      <c r="P228" s="10">
        <f>IF(R228="","",IF(R228=0,"Not counted",IF(M228&lt;=0,"Paid",IF(I228="Yes","Doubtful (left out)",IF(L228&lt;W1,IF(OverdueW1="No","Overdue (left out)","Overdue → Week 1"),IF(L228&lt;=W1+90,"Week "&amp;N228,"After Week 13"))))))</f>
        <v/>
      </c>
      <c r="Q228" s="10">
        <f>IF(R228="","",IF(R228=0,IF(NOT(ISNUMBER(F228)),"Fix: amount missing",IF(F228&lt;=0,"Fix: amount must be above 0",IF(AND(NOT(ISNUMBER(D228)),NOT(ISNUMBER(H228))),"Fix: add an invoice date or a promised date",IF(AND(D228&lt;&gt;"",NOT(ISNUMBER(D228))),"Fix: invoice date isn't a date",IF(AND(E228&lt;&gt;"",NOT(ISNUMBER(E228))),"Fix: terms must be a number",IF(AND(G228&lt;&gt;"",NOT(ISNUMBER(G228))),"Fix: received must be a number",IF(AND(H228&lt;&gt;"",NOT(ISNUMBER(H228))),"Fix: promised date isn't a date","Fix: received is more than the amount"))))))),IF(AND(C228&lt;&gt;"",ISNUMBER(MATCH(C228,InCats,0))),"OK","Category not on Settings (counted as Other)")))</f>
        <v/>
      </c>
      <c r="R228">
        <f>IF(COUNTA(A228:I228)=0,"",IF(AND(ISNUMBER(F228),F228&gt;0,OR(ISNUMBER(D228),ISNUMBER(H228)),OR(D228="",ISNUMBER(D228)),OR(E228="",ISNUMBER(E228)),OR(G228="",ISNUMBER(G228)),OR(H228="",ISNUMBER(H228))),IF(N(G228)&gt;F228,0,1),0))</f>
        <v/>
      </c>
    </row>
    <row r="229">
      <c r="A229" s="29" t="n"/>
      <c r="B229" s="29" t="n"/>
      <c r="C229" s="29" t="n"/>
      <c r="D229" s="24" t="n"/>
      <c r="E229" s="26" t="n"/>
      <c r="F229" s="34" t="n"/>
      <c r="G229" s="34" t="n"/>
      <c r="H229" s="24" t="n"/>
      <c r="I229" s="29" t="n"/>
      <c r="J229" s="32">
        <f>IF(R229&lt;&gt;1,"",IF(ISNUMBER(D229),INT(D229)+IF(ISNUMBER(E229),INT(E229),DefTerms),""))</f>
        <v/>
      </c>
      <c r="K229" s="35">
        <f>IF(R229&lt;&gt;1,"",IF(ISNUMBER(H229),0,IF(AND(A229&lt;&gt;"",ISNUMBER(MATCH(A229,CustName,0))),IF(ISNUMBER(INDEX(CustLate,MATCH(A229,CustName,0))),INT(INDEX(CustLate,MATCH(A229,CustName,0))),DefLate),DefLate)))</f>
        <v/>
      </c>
      <c r="L229" s="32">
        <f>IF(R229&lt;&gt;1,"",IF(ISNUMBER(H229),INT(H229),J229+K229)+StressDays)</f>
        <v/>
      </c>
      <c r="M229" s="21">
        <f>IF(R229&lt;&gt;1,0,F229-N(G229))</f>
        <v/>
      </c>
      <c r="N229" s="35">
        <f>IF(OR(R229&lt;&gt;1,M229&lt;=0),"",IF(I229="Yes","",IF(L229&lt;W1,IF(OverdueW1="No","",1),IF(L229&lt;=W1+90,INT((L229-W1)/7)+1,""))))</f>
        <v/>
      </c>
      <c r="O229" s="36">
        <f>IF(ISNUMBER(N229),M229*CollectPct,0)</f>
        <v/>
      </c>
      <c r="P229" s="10">
        <f>IF(R229="","",IF(R229=0,"Not counted",IF(M229&lt;=0,"Paid",IF(I229="Yes","Doubtful (left out)",IF(L229&lt;W1,IF(OverdueW1="No","Overdue (left out)","Overdue → Week 1"),IF(L229&lt;=W1+90,"Week "&amp;N229,"After Week 13"))))))</f>
        <v/>
      </c>
      <c r="Q229" s="10">
        <f>IF(R229="","",IF(R229=0,IF(NOT(ISNUMBER(F229)),"Fix: amount missing",IF(F229&lt;=0,"Fix: amount must be above 0",IF(AND(NOT(ISNUMBER(D229)),NOT(ISNUMBER(H229))),"Fix: add an invoice date or a promised date",IF(AND(D229&lt;&gt;"",NOT(ISNUMBER(D229))),"Fix: invoice date isn't a date",IF(AND(E229&lt;&gt;"",NOT(ISNUMBER(E229))),"Fix: terms must be a number",IF(AND(G229&lt;&gt;"",NOT(ISNUMBER(G229))),"Fix: received must be a number",IF(AND(H229&lt;&gt;"",NOT(ISNUMBER(H229))),"Fix: promised date isn't a date","Fix: received is more than the amount"))))))),IF(AND(C229&lt;&gt;"",ISNUMBER(MATCH(C229,InCats,0))),"OK","Category not on Settings (counted as Other)")))</f>
        <v/>
      </c>
      <c r="R229">
        <f>IF(COUNTA(A229:I229)=0,"",IF(AND(ISNUMBER(F229),F229&gt;0,OR(ISNUMBER(D229),ISNUMBER(H229)),OR(D229="",ISNUMBER(D229)),OR(E229="",ISNUMBER(E229)),OR(G229="",ISNUMBER(G229)),OR(H229="",ISNUMBER(H229))),IF(N(G229)&gt;F229,0,1),0))</f>
        <v/>
      </c>
    </row>
    <row r="230">
      <c r="A230" s="29" t="n"/>
      <c r="B230" s="29" t="n"/>
      <c r="C230" s="29" t="n"/>
      <c r="D230" s="24" t="n"/>
      <c r="E230" s="26" t="n"/>
      <c r="F230" s="34" t="n"/>
      <c r="G230" s="34" t="n"/>
      <c r="H230" s="24" t="n"/>
      <c r="I230" s="29" t="n"/>
      <c r="J230" s="32">
        <f>IF(R230&lt;&gt;1,"",IF(ISNUMBER(D230),INT(D230)+IF(ISNUMBER(E230),INT(E230),DefTerms),""))</f>
        <v/>
      </c>
      <c r="K230" s="35">
        <f>IF(R230&lt;&gt;1,"",IF(ISNUMBER(H230),0,IF(AND(A230&lt;&gt;"",ISNUMBER(MATCH(A230,CustName,0))),IF(ISNUMBER(INDEX(CustLate,MATCH(A230,CustName,0))),INT(INDEX(CustLate,MATCH(A230,CustName,0))),DefLate),DefLate)))</f>
        <v/>
      </c>
      <c r="L230" s="32">
        <f>IF(R230&lt;&gt;1,"",IF(ISNUMBER(H230),INT(H230),J230+K230)+StressDays)</f>
        <v/>
      </c>
      <c r="M230" s="21">
        <f>IF(R230&lt;&gt;1,0,F230-N(G230))</f>
        <v/>
      </c>
      <c r="N230" s="35">
        <f>IF(OR(R230&lt;&gt;1,M230&lt;=0),"",IF(I230="Yes","",IF(L230&lt;W1,IF(OverdueW1="No","",1),IF(L230&lt;=W1+90,INT((L230-W1)/7)+1,""))))</f>
        <v/>
      </c>
      <c r="O230" s="36">
        <f>IF(ISNUMBER(N230),M230*CollectPct,0)</f>
        <v/>
      </c>
      <c r="P230" s="10">
        <f>IF(R230="","",IF(R230=0,"Not counted",IF(M230&lt;=0,"Paid",IF(I230="Yes","Doubtful (left out)",IF(L230&lt;W1,IF(OverdueW1="No","Overdue (left out)","Overdue → Week 1"),IF(L230&lt;=W1+90,"Week "&amp;N230,"After Week 13"))))))</f>
        <v/>
      </c>
      <c r="Q230" s="10">
        <f>IF(R230="","",IF(R230=0,IF(NOT(ISNUMBER(F230)),"Fix: amount missing",IF(F230&lt;=0,"Fix: amount must be above 0",IF(AND(NOT(ISNUMBER(D230)),NOT(ISNUMBER(H230))),"Fix: add an invoice date or a promised date",IF(AND(D230&lt;&gt;"",NOT(ISNUMBER(D230))),"Fix: invoice date isn't a date",IF(AND(E230&lt;&gt;"",NOT(ISNUMBER(E230))),"Fix: terms must be a number",IF(AND(G230&lt;&gt;"",NOT(ISNUMBER(G230))),"Fix: received must be a number",IF(AND(H230&lt;&gt;"",NOT(ISNUMBER(H230))),"Fix: promised date isn't a date","Fix: received is more than the amount"))))))),IF(AND(C230&lt;&gt;"",ISNUMBER(MATCH(C230,InCats,0))),"OK","Category not on Settings (counted as Other)")))</f>
        <v/>
      </c>
      <c r="R230">
        <f>IF(COUNTA(A230:I230)=0,"",IF(AND(ISNUMBER(F230),F230&gt;0,OR(ISNUMBER(D230),ISNUMBER(H230)),OR(D230="",ISNUMBER(D230)),OR(E230="",ISNUMBER(E230)),OR(G230="",ISNUMBER(G230)),OR(H230="",ISNUMBER(H230))),IF(N(G230)&gt;F230,0,1),0))</f>
        <v/>
      </c>
    </row>
    <row r="231">
      <c r="A231" s="29" t="n"/>
      <c r="B231" s="29" t="n"/>
      <c r="C231" s="29" t="n"/>
      <c r="D231" s="24" t="n"/>
      <c r="E231" s="26" t="n"/>
      <c r="F231" s="34" t="n"/>
      <c r="G231" s="34" t="n"/>
      <c r="H231" s="24" t="n"/>
      <c r="I231" s="29" t="n"/>
      <c r="J231" s="32">
        <f>IF(R231&lt;&gt;1,"",IF(ISNUMBER(D231),INT(D231)+IF(ISNUMBER(E231),INT(E231),DefTerms),""))</f>
        <v/>
      </c>
      <c r="K231" s="35">
        <f>IF(R231&lt;&gt;1,"",IF(ISNUMBER(H231),0,IF(AND(A231&lt;&gt;"",ISNUMBER(MATCH(A231,CustName,0))),IF(ISNUMBER(INDEX(CustLate,MATCH(A231,CustName,0))),INT(INDEX(CustLate,MATCH(A231,CustName,0))),DefLate),DefLate)))</f>
        <v/>
      </c>
      <c r="L231" s="32">
        <f>IF(R231&lt;&gt;1,"",IF(ISNUMBER(H231),INT(H231),J231+K231)+StressDays)</f>
        <v/>
      </c>
      <c r="M231" s="21">
        <f>IF(R231&lt;&gt;1,0,F231-N(G231))</f>
        <v/>
      </c>
      <c r="N231" s="35">
        <f>IF(OR(R231&lt;&gt;1,M231&lt;=0),"",IF(I231="Yes","",IF(L231&lt;W1,IF(OverdueW1="No","",1),IF(L231&lt;=W1+90,INT((L231-W1)/7)+1,""))))</f>
        <v/>
      </c>
      <c r="O231" s="36">
        <f>IF(ISNUMBER(N231),M231*CollectPct,0)</f>
        <v/>
      </c>
      <c r="P231" s="10">
        <f>IF(R231="","",IF(R231=0,"Not counted",IF(M231&lt;=0,"Paid",IF(I231="Yes","Doubtful (left out)",IF(L231&lt;W1,IF(OverdueW1="No","Overdue (left out)","Overdue → Week 1"),IF(L231&lt;=W1+90,"Week "&amp;N231,"After Week 13"))))))</f>
        <v/>
      </c>
      <c r="Q231" s="10">
        <f>IF(R231="","",IF(R231=0,IF(NOT(ISNUMBER(F231)),"Fix: amount missing",IF(F231&lt;=0,"Fix: amount must be above 0",IF(AND(NOT(ISNUMBER(D231)),NOT(ISNUMBER(H231))),"Fix: add an invoice date or a promised date",IF(AND(D231&lt;&gt;"",NOT(ISNUMBER(D231))),"Fix: invoice date isn't a date",IF(AND(E231&lt;&gt;"",NOT(ISNUMBER(E231))),"Fix: terms must be a number",IF(AND(G231&lt;&gt;"",NOT(ISNUMBER(G231))),"Fix: received must be a number",IF(AND(H231&lt;&gt;"",NOT(ISNUMBER(H231))),"Fix: promised date isn't a date","Fix: received is more than the amount"))))))),IF(AND(C231&lt;&gt;"",ISNUMBER(MATCH(C231,InCats,0))),"OK","Category not on Settings (counted as Other)")))</f>
        <v/>
      </c>
      <c r="R231">
        <f>IF(COUNTA(A231:I231)=0,"",IF(AND(ISNUMBER(F231),F231&gt;0,OR(ISNUMBER(D231),ISNUMBER(H231)),OR(D231="",ISNUMBER(D231)),OR(E231="",ISNUMBER(E231)),OR(G231="",ISNUMBER(G231)),OR(H231="",ISNUMBER(H231))),IF(N(G231)&gt;F231,0,1),0))</f>
        <v/>
      </c>
    </row>
    <row r="232">
      <c r="A232" s="29" t="n"/>
      <c r="B232" s="29" t="n"/>
      <c r="C232" s="29" t="n"/>
      <c r="D232" s="24" t="n"/>
      <c r="E232" s="26" t="n"/>
      <c r="F232" s="34" t="n"/>
      <c r="G232" s="34" t="n"/>
      <c r="H232" s="24" t="n"/>
      <c r="I232" s="29" t="n"/>
      <c r="J232" s="32">
        <f>IF(R232&lt;&gt;1,"",IF(ISNUMBER(D232),INT(D232)+IF(ISNUMBER(E232),INT(E232),DefTerms),""))</f>
        <v/>
      </c>
      <c r="K232" s="35">
        <f>IF(R232&lt;&gt;1,"",IF(ISNUMBER(H232),0,IF(AND(A232&lt;&gt;"",ISNUMBER(MATCH(A232,CustName,0))),IF(ISNUMBER(INDEX(CustLate,MATCH(A232,CustName,0))),INT(INDEX(CustLate,MATCH(A232,CustName,0))),DefLate),DefLate)))</f>
        <v/>
      </c>
      <c r="L232" s="32">
        <f>IF(R232&lt;&gt;1,"",IF(ISNUMBER(H232),INT(H232),J232+K232)+StressDays)</f>
        <v/>
      </c>
      <c r="M232" s="21">
        <f>IF(R232&lt;&gt;1,0,F232-N(G232))</f>
        <v/>
      </c>
      <c r="N232" s="35">
        <f>IF(OR(R232&lt;&gt;1,M232&lt;=0),"",IF(I232="Yes","",IF(L232&lt;W1,IF(OverdueW1="No","",1),IF(L232&lt;=W1+90,INT((L232-W1)/7)+1,""))))</f>
        <v/>
      </c>
      <c r="O232" s="36">
        <f>IF(ISNUMBER(N232),M232*CollectPct,0)</f>
        <v/>
      </c>
      <c r="P232" s="10">
        <f>IF(R232="","",IF(R232=0,"Not counted",IF(M232&lt;=0,"Paid",IF(I232="Yes","Doubtful (left out)",IF(L232&lt;W1,IF(OverdueW1="No","Overdue (left out)","Overdue → Week 1"),IF(L232&lt;=W1+90,"Week "&amp;N232,"After Week 13"))))))</f>
        <v/>
      </c>
      <c r="Q232" s="10">
        <f>IF(R232="","",IF(R232=0,IF(NOT(ISNUMBER(F232)),"Fix: amount missing",IF(F232&lt;=0,"Fix: amount must be above 0",IF(AND(NOT(ISNUMBER(D232)),NOT(ISNUMBER(H232))),"Fix: add an invoice date or a promised date",IF(AND(D232&lt;&gt;"",NOT(ISNUMBER(D232))),"Fix: invoice date isn't a date",IF(AND(E232&lt;&gt;"",NOT(ISNUMBER(E232))),"Fix: terms must be a number",IF(AND(G232&lt;&gt;"",NOT(ISNUMBER(G232))),"Fix: received must be a number",IF(AND(H232&lt;&gt;"",NOT(ISNUMBER(H232))),"Fix: promised date isn't a date","Fix: received is more than the amount"))))))),IF(AND(C232&lt;&gt;"",ISNUMBER(MATCH(C232,InCats,0))),"OK","Category not on Settings (counted as Other)")))</f>
        <v/>
      </c>
      <c r="R232">
        <f>IF(COUNTA(A232:I232)=0,"",IF(AND(ISNUMBER(F232),F232&gt;0,OR(ISNUMBER(D232),ISNUMBER(H232)),OR(D232="",ISNUMBER(D232)),OR(E232="",ISNUMBER(E232)),OR(G232="",ISNUMBER(G232)),OR(H232="",ISNUMBER(H232))),IF(N(G232)&gt;F232,0,1),0))</f>
        <v/>
      </c>
    </row>
    <row r="233">
      <c r="A233" s="29" t="n"/>
      <c r="B233" s="29" t="n"/>
      <c r="C233" s="29" t="n"/>
      <c r="D233" s="24" t="n"/>
      <c r="E233" s="26" t="n"/>
      <c r="F233" s="34" t="n"/>
      <c r="G233" s="34" t="n"/>
      <c r="H233" s="24" t="n"/>
      <c r="I233" s="29" t="n"/>
      <c r="J233" s="32">
        <f>IF(R233&lt;&gt;1,"",IF(ISNUMBER(D233),INT(D233)+IF(ISNUMBER(E233),INT(E233),DefTerms),""))</f>
        <v/>
      </c>
      <c r="K233" s="35">
        <f>IF(R233&lt;&gt;1,"",IF(ISNUMBER(H233),0,IF(AND(A233&lt;&gt;"",ISNUMBER(MATCH(A233,CustName,0))),IF(ISNUMBER(INDEX(CustLate,MATCH(A233,CustName,0))),INT(INDEX(CustLate,MATCH(A233,CustName,0))),DefLate),DefLate)))</f>
        <v/>
      </c>
      <c r="L233" s="32">
        <f>IF(R233&lt;&gt;1,"",IF(ISNUMBER(H233),INT(H233),J233+K233)+StressDays)</f>
        <v/>
      </c>
      <c r="M233" s="21">
        <f>IF(R233&lt;&gt;1,0,F233-N(G233))</f>
        <v/>
      </c>
      <c r="N233" s="35">
        <f>IF(OR(R233&lt;&gt;1,M233&lt;=0),"",IF(I233="Yes","",IF(L233&lt;W1,IF(OverdueW1="No","",1),IF(L233&lt;=W1+90,INT((L233-W1)/7)+1,""))))</f>
        <v/>
      </c>
      <c r="O233" s="36">
        <f>IF(ISNUMBER(N233),M233*CollectPct,0)</f>
        <v/>
      </c>
      <c r="P233" s="10">
        <f>IF(R233="","",IF(R233=0,"Not counted",IF(M233&lt;=0,"Paid",IF(I233="Yes","Doubtful (left out)",IF(L233&lt;W1,IF(OverdueW1="No","Overdue (left out)","Overdue → Week 1"),IF(L233&lt;=W1+90,"Week "&amp;N233,"After Week 13"))))))</f>
        <v/>
      </c>
      <c r="Q233" s="10">
        <f>IF(R233="","",IF(R233=0,IF(NOT(ISNUMBER(F233)),"Fix: amount missing",IF(F233&lt;=0,"Fix: amount must be above 0",IF(AND(NOT(ISNUMBER(D233)),NOT(ISNUMBER(H233))),"Fix: add an invoice date or a promised date",IF(AND(D233&lt;&gt;"",NOT(ISNUMBER(D233))),"Fix: invoice date isn't a date",IF(AND(E233&lt;&gt;"",NOT(ISNUMBER(E233))),"Fix: terms must be a number",IF(AND(G233&lt;&gt;"",NOT(ISNUMBER(G233))),"Fix: received must be a number",IF(AND(H233&lt;&gt;"",NOT(ISNUMBER(H233))),"Fix: promised date isn't a date","Fix: received is more than the amount"))))))),IF(AND(C233&lt;&gt;"",ISNUMBER(MATCH(C233,InCats,0))),"OK","Category not on Settings (counted as Other)")))</f>
        <v/>
      </c>
      <c r="R233">
        <f>IF(COUNTA(A233:I233)=0,"",IF(AND(ISNUMBER(F233),F233&gt;0,OR(ISNUMBER(D233),ISNUMBER(H233)),OR(D233="",ISNUMBER(D233)),OR(E233="",ISNUMBER(E233)),OR(G233="",ISNUMBER(G233)),OR(H233="",ISNUMBER(H233))),IF(N(G233)&gt;F233,0,1),0))</f>
        <v/>
      </c>
    </row>
    <row r="234">
      <c r="A234" s="29" t="n"/>
      <c r="B234" s="29" t="n"/>
      <c r="C234" s="29" t="n"/>
      <c r="D234" s="24" t="n"/>
      <c r="E234" s="26" t="n"/>
      <c r="F234" s="34" t="n"/>
      <c r="G234" s="34" t="n"/>
      <c r="H234" s="24" t="n"/>
      <c r="I234" s="29" t="n"/>
      <c r="J234" s="32">
        <f>IF(R234&lt;&gt;1,"",IF(ISNUMBER(D234),INT(D234)+IF(ISNUMBER(E234),INT(E234),DefTerms),""))</f>
        <v/>
      </c>
      <c r="K234" s="35">
        <f>IF(R234&lt;&gt;1,"",IF(ISNUMBER(H234),0,IF(AND(A234&lt;&gt;"",ISNUMBER(MATCH(A234,CustName,0))),IF(ISNUMBER(INDEX(CustLate,MATCH(A234,CustName,0))),INT(INDEX(CustLate,MATCH(A234,CustName,0))),DefLate),DefLate)))</f>
        <v/>
      </c>
      <c r="L234" s="32">
        <f>IF(R234&lt;&gt;1,"",IF(ISNUMBER(H234),INT(H234),J234+K234)+StressDays)</f>
        <v/>
      </c>
      <c r="M234" s="21">
        <f>IF(R234&lt;&gt;1,0,F234-N(G234))</f>
        <v/>
      </c>
      <c r="N234" s="35">
        <f>IF(OR(R234&lt;&gt;1,M234&lt;=0),"",IF(I234="Yes","",IF(L234&lt;W1,IF(OverdueW1="No","",1),IF(L234&lt;=W1+90,INT((L234-W1)/7)+1,""))))</f>
        <v/>
      </c>
      <c r="O234" s="36">
        <f>IF(ISNUMBER(N234),M234*CollectPct,0)</f>
        <v/>
      </c>
      <c r="P234" s="10">
        <f>IF(R234="","",IF(R234=0,"Not counted",IF(M234&lt;=0,"Paid",IF(I234="Yes","Doubtful (left out)",IF(L234&lt;W1,IF(OverdueW1="No","Overdue (left out)","Overdue → Week 1"),IF(L234&lt;=W1+90,"Week "&amp;N234,"After Week 13"))))))</f>
        <v/>
      </c>
      <c r="Q234" s="10">
        <f>IF(R234="","",IF(R234=0,IF(NOT(ISNUMBER(F234)),"Fix: amount missing",IF(F234&lt;=0,"Fix: amount must be above 0",IF(AND(NOT(ISNUMBER(D234)),NOT(ISNUMBER(H234))),"Fix: add an invoice date or a promised date",IF(AND(D234&lt;&gt;"",NOT(ISNUMBER(D234))),"Fix: invoice date isn't a date",IF(AND(E234&lt;&gt;"",NOT(ISNUMBER(E234))),"Fix: terms must be a number",IF(AND(G234&lt;&gt;"",NOT(ISNUMBER(G234))),"Fix: received must be a number",IF(AND(H234&lt;&gt;"",NOT(ISNUMBER(H234))),"Fix: promised date isn't a date","Fix: received is more than the amount"))))))),IF(AND(C234&lt;&gt;"",ISNUMBER(MATCH(C234,InCats,0))),"OK","Category not on Settings (counted as Other)")))</f>
        <v/>
      </c>
      <c r="R234">
        <f>IF(COUNTA(A234:I234)=0,"",IF(AND(ISNUMBER(F234),F234&gt;0,OR(ISNUMBER(D234),ISNUMBER(H234)),OR(D234="",ISNUMBER(D234)),OR(E234="",ISNUMBER(E234)),OR(G234="",ISNUMBER(G234)),OR(H234="",ISNUMBER(H234))),IF(N(G234)&gt;F234,0,1),0))</f>
        <v/>
      </c>
    </row>
    <row r="235">
      <c r="A235" s="29" t="n"/>
      <c r="B235" s="29" t="n"/>
      <c r="C235" s="29" t="n"/>
      <c r="D235" s="24" t="n"/>
      <c r="E235" s="26" t="n"/>
      <c r="F235" s="34" t="n"/>
      <c r="G235" s="34" t="n"/>
      <c r="H235" s="24" t="n"/>
      <c r="I235" s="29" t="n"/>
      <c r="J235" s="32">
        <f>IF(R235&lt;&gt;1,"",IF(ISNUMBER(D235),INT(D235)+IF(ISNUMBER(E235),INT(E235),DefTerms),""))</f>
        <v/>
      </c>
      <c r="K235" s="35">
        <f>IF(R235&lt;&gt;1,"",IF(ISNUMBER(H235),0,IF(AND(A235&lt;&gt;"",ISNUMBER(MATCH(A235,CustName,0))),IF(ISNUMBER(INDEX(CustLate,MATCH(A235,CustName,0))),INT(INDEX(CustLate,MATCH(A235,CustName,0))),DefLate),DefLate)))</f>
        <v/>
      </c>
      <c r="L235" s="32">
        <f>IF(R235&lt;&gt;1,"",IF(ISNUMBER(H235),INT(H235),J235+K235)+StressDays)</f>
        <v/>
      </c>
      <c r="M235" s="21">
        <f>IF(R235&lt;&gt;1,0,F235-N(G235))</f>
        <v/>
      </c>
      <c r="N235" s="35">
        <f>IF(OR(R235&lt;&gt;1,M235&lt;=0),"",IF(I235="Yes","",IF(L235&lt;W1,IF(OverdueW1="No","",1),IF(L235&lt;=W1+90,INT((L235-W1)/7)+1,""))))</f>
        <v/>
      </c>
      <c r="O235" s="36">
        <f>IF(ISNUMBER(N235),M235*CollectPct,0)</f>
        <v/>
      </c>
      <c r="P235" s="10">
        <f>IF(R235="","",IF(R235=0,"Not counted",IF(M235&lt;=0,"Paid",IF(I235="Yes","Doubtful (left out)",IF(L235&lt;W1,IF(OverdueW1="No","Overdue (left out)","Overdue → Week 1"),IF(L235&lt;=W1+90,"Week "&amp;N235,"After Week 13"))))))</f>
        <v/>
      </c>
      <c r="Q235" s="10">
        <f>IF(R235="","",IF(R235=0,IF(NOT(ISNUMBER(F235)),"Fix: amount missing",IF(F235&lt;=0,"Fix: amount must be above 0",IF(AND(NOT(ISNUMBER(D235)),NOT(ISNUMBER(H235))),"Fix: add an invoice date or a promised date",IF(AND(D235&lt;&gt;"",NOT(ISNUMBER(D235))),"Fix: invoice date isn't a date",IF(AND(E235&lt;&gt;"",NOT(ISNUMBER(E235))),"Fix: terms must be a number",IF(AND(G235&lt;&gt;"",NOT(ISNUMBER(G235))),"Fix: received must be a number",IF(AND(H235&lt;&gt;"",NOT(ISNUMBER(H235))),"Fix: promised date isn't a date","Fix: received is more than the amount"))))))),IF(AND(C235&lt;&gt;"",ISNUMBER(MATCH(C235,InCats,0))),"OK","Category not on Settings (counted as Other)")))</f>
        <v/>
      </c>
      <c r="R235">
        <f>IF(COUNTA(A235:I235)=0,"",IF(AND(ISNUMBER(F235),F235&gt;0,OR(ISNUMBER(D235),ISNUMBER(H235)),OR(D235="",ISNUMBER(D235)),OR(E235="",ISNUMBER(E235)),OR(G235="",ISNUMBER(G235)),OR(H235="",ISNUMBER(H235))),IF(N(G235)&gt;F235,0,1),0))</f>
        <v/>
      </c>
    </row>
    <row r="236">
      <c r="A236" s="29" t="n"/>
      <c r="B236" s="29" t="n"/>
      <c r="C236" s="29" t="n"/>
      <c r="D236" s="24" t="n"/>
      <c r="E236" s="26" t="n"/>
      <c r="F236" s="34" t="n"/>
      <c r="G236" s="34" t="n"/>
      <c r="H236" s="24" t="n"/>
      <c r="I236" s="29" t="n"/>
      <c r="J236" s="32">
        <f>IF(R236&lt;&gt;1,"",IF(ISNUMBER(D236),INT(D236)+IF(ISNUMBER(E236),INT(E236),DefTerms),""))</f>
        <v/>
      </c>
      <c r="K236" s="35">
        <f>IF(R236&lt;&gt;1,"",IF(ISNUMBER(H236),0,IF(AND(A236&lt;&gt;"",ISNUMBER(MATCH(A236,CustName,0))),IF(ISNUMBER(INDEX(CustLate,MATCH(A236,CustName,0))),INT(INDEX(CustLate,MATCH(A236,CustName,0))),DefLate),DefLate)))</f>
        <v/>
      </c>
      <c r="L236" s="32">
        <f>IF(R236&lt;&gt;1,"",IF(ISNUMBER(H236),INT(H236),J236+K236)+StressDays)</f>
        <v/>
      </c>
      <c r="M236" s="21">
        <f>IF(R236&lt;&gt;1,0,F236-N(G236))</f>
        <v/>
      </c>
      <c r="N236" s="35">
        <f>IF(OR(R236&lt;&gt;1,M236&lt;=0),"",IF(I236="Yes","",IF(L236&lt;W1,IF(OverdueW1="No","",1),IF(L236&lt;=W1+90,INT((L236-W1)/7)+1,""))))</f>
        <v/>
      </c>
      <c r="O236" s="36">
        <f>IF(ISNUMBER(N236),M236*CollectPct,0)</f>
        <v/>
      </c>
      <c r="P236" s="10">
        <f>IF(R236="","",IF(R236=0,"Not counted",IF(M236&lt;=0,"Paid",IF(I236="Yes","Doubtful (left out)",IF(L236&lt;W1,IF(OverdueW1="No","Overdue (left out)","Overdue → Week 1"),IF(L236&lt;=W1+90,"Week "&amp;N236,"After Week 13"))))))</f>
        <v/>
      </c>
      <c r="Q236" s="10">
        <f>IF(R236="","",IF(R236=0,IF(NOT(ISNUMBER(F236)),"Fix: amount missing",IF(F236&lt;=0,"Fix: amount must be above 0",IF(AND(NOT(ISNUMBER(D236)),NOT(ISNUMBER(H236))),"Fix: add an invoice date or a promised date",IF(AND(D236&lt;&gt;"",NOT(ISNUMBER(D236))),"Fix: invoice date isn't a date",IF(AND(E236&lt;&gt;"",NOT(ISNUMBER(E236))),"Fix: terms must be a number",IF(AND(G236&lt;&gt;"",NOT(ISNUMBER(G236))),"Fix: received must be a number",IF(AND(H236&lt;&gt;"",NOT(ISNUMBER(H236))),"Fix: promised date isn't a date","Fix: received is more than the amount"))))))),IF(AND(C236&lt;&gt;"",ISNUMBER(MATCH(C236,InCats,0))),"OK","Category not on Settings (counted as Other)")))</f>
        <v/>
      </c>
      <c r="R236">
        <f>IF(COUNTA(A236:I236)=0,"",IF(AND(ISNUMBER(F236),F236&gt;0,OR(ISNUMBER(D236),ISNUMBER(H236)),OR(D236="",ISNUMBER(D236)),OR(E236="",ISNUMBER(E236)),OR(G236="",ISNUMBER(G236)),OR(H236="",ISNUMBER(H236))),IF(N(G236)&gt;F236,0,1),0))</f>
        <v/>
      </c>
    </row>
    <row r="237">
      <c r="A237" s="29" t="n"/>
      <c r="B237" s="29" t="n"/>
      <c r="C237" s="29" t="n"/>
      <c r="D237" s="24" t="n"/>
      <c r="E237" s="26" t="n"/>
      <c r="F237" s="34" t="n"/>
      <c r="G237" s="34" t="n"/>
      <c r="H237" s="24" t="n"/>
      <c r="I237" s="29" t="n"/>
      <c r="J237" s="32">
        <f>IF(R237&lt;&gt;1,"",IF(ISNUMBER(D237),INT(D237)+IF(ISNUMBER(E237),INT(E237),DefTerms),""))</f>
        <v/>
      </c>
      <c r="K237" s="35">
        <f>IF(R237&lt;&gt;1,"",IF(ISNUMBER(H237),0,IF(AND(A237&lt;&gt;"",ISNUMBER(MATCH(A237,CustName,0))),IF(ISNUMBER(INDEX(CustLate,MATCH(A237,CustName,0))),INT(INDEX(CustLate,MATCH(A237,CustName,0))),DefLate),DefLate)))</f>
        <v/>
      </c>
      <c r="L237" s="32">
        <f>IF(R237&lt;&gt;1,"",IF(ISNUMBER(H237),INT(H237),J237+K237)+StressDays)</f>
        <v/>
      </c>
      <c r="M237" s="21">
        <f>IF(R237&lt;&gt;1,0,F237-N(G237))</f>
        <v/>
      </c>
      <c r="N237" s="35">
        <f>IF(OR(R237&lt;&gt;1,M237&lt;=0),"",IF(I237="Yes","",IF(L237&lt;W1,IF(OverdueW1="No","",1),IF(L237&lt;=W1+90,INT((L237-W1)/7)+1,""))))</f>
        <v/>
      </c>
      <c r="O237" s="36">
        <f>IF(ISNUMBER(N237),M237*CollectPct,0)</f>
        <v/>
      </c>
      <c r="P237" s="10">
        <f>IF(R237="","",IF(R237=0,"Not counted",IF(M237&lt;=0,"Paid",IF(I237="Yes","Doubtful (left out)",IF(L237&lt;W1,IF(OverdueW1="No","Overdue (left out)","Overdue → Week 1"),IF(L237&lt;=W1+90,"Week "&amp;N237,"After Week 13"))))))</f>
        <v/>
      </c>
      <c r="Q237" s="10">
        <f>IF(R237="","",IF(R237=0,IF(NOT(ISNUMBER(F237)),"Fix: amount missing",IF(F237&lt;=0,"Fix: amount must be above 0",IF(AND(NOT(ISNUMBER(D237)),NOT(ISNUMBER(H237))),"Fix: add an invoice date or a promised date",IF(AND(D237&lt;&gt;"",NOT(ISNUMBER(D237))),"Fix: invoice date isn't a date",IF(AND(E237&lt;&gt;"",NOT(ISNUMBER(E237))),"Fix: terms must be a number",IF(AND(G237&lt;&gt;"",NOT(ISNUMBER(G237))),"Fix: received must be a number",IF(AND(H237&lt;&gt;"",NOT(ISNUMBER(H237))),"Fix: promised date isn't a date","Fix: received is more than the amount"))))))),IF(AND(C237&lt;&gt;"",ISNUMBER(MATCH(C237,InCats,0))),"OK","Category not on Settings (counted as Other)")))</f>
        <v/>
      </c>
      <c r="R237">
        <f>IF(COUNTA(A237:I237)=0,"",IF(AND(ISNUMBER(F237),F237&gt;0,OR(ISNUMBER(D237),ISNUMBER(H237)),OR(D237="",ISNUMBER(D237)),OR(E237="",ISNUMBER(E237)),OR(G237="",ISNUMBER(G237)),OR(H237="",ISNUMBER(H237))),IF(N(G237)&gt;F237,0,1),0))</f>
        <v/>
      </c>
    </row>
    <row r="238">
      <c r="A238" s="29" t="n"/>
      <c r="B238" s="29" t="n"/>
      <c r="C238" s="29" t="n"/>
      <c r="D238" s="24" t="n"/>
      <c r="E238" s="26" t="n"/>
      <c r="F238" s="34" t="n"/>
      <c r="G238" s="34" t="n"/>
      <c r="H238" s="24" t="n"/>
      <c r="I238" s="29" t="n"/>
      <c r="J238" s="32">
        <f>IF(R238&lt;&gt;1,"",IF(ISNUMBER(D238),INT(D238)+IF(ISNUMBER(E238),INT(E238),DefTerms),""))</f>
        <v/>
      </c>
      <c r="K238" s="35">
        <f>IF(R238&lt;&gt;1,"",IF(ISNUMBER(H238),0,IF(AND(A238&lt;&gt;"",ISNUMBER(MATCH(A238,CustName,0))),IF(ISNUMBER(INDEX(CustLate,MATCH(A238,CustName,0))),INT(INDEX(CustLate,MATCH(A238,CustName,0))),DefLate),DefLate)))</f>
        <v/>
      </c>
      <c r="L238" s="32">
        <f>IF(R238&lt;&gt;1,"",IF(ISNUMBER(H238),INT(H238),J238+K238)+StressDays)</f>
        <v/>
      </c>
      <c r="M238" s="21">
        <f>IF(R238&lt;&gt;1,0,F238-N(G238))</f>
        <v/>
      </c>
      <c r="N238" s="35">
        <f>IF(OR(R238&lt;&gt;1,M238&lt;=0),"",IF(I238="Yes","",IF(L238&lt;W1,IF(OverdueW1="No","",1),IF(L238&lt;=W1+90,INT((L238-W1)/7)+1,""))))</f>
        <v/>
      </c>
      <c r="O238" s="36">
        <f>IF(ISNUMBER(N238),M238*CollectPct,0)</f>
        <v/>
      </c>
      <c r="P238" s="10">
        <f>IF(R238="","",IF(R238=0,"Not counted",IF(M238&lt;=0,"Paid",IF(I238="Yes","Doubtful (left out)",IF(L238&lt;W1,IF(OverdueW1="No","Overdue (left out)","Overdue → Week 1"),IF(L238&lt;=W1+90,"Week "&amp;N238,"After Week 13"))))))</f>
        <v/>
      </c>
      <c r="Q238" s="10">
        <f>IF(R238="","",IF(R238=0,IF(NOT(ISNUMBER(F238)),"Fix: amount missing",IF(F238&lt;=0,"Fix: amount must be above 0",IF(AND(NOT(ISNUMBER(D238)),NOT(ISNUMBER(H238))),"Fix: add an invoice date or a promised date",IF(AND(D238&lt;&gt;"",NOT(ISNUMBER(D238))),"Fix: invoice date isn't a date",IF(AND(E238&lt;&gt;"",NOT(ISNUMBER(E238))),"Fix: terms must be a number",IF(AND(G238&lt;&gt;"",NOT(ISNUMBER(G238))),"Fix: received must be a number",IF(AND(H238&lt;&gt;"",NOT(ISNUMBER(H238))),"Fix: promised date isn't a date","Fix: received is more than the amount"))))))),IF(AND(C238&lt;&gt;"",ISNUMBER(MATCH(C238,InCats,0))),"OK","Category not on Settings (counted as Other)")))</f>
        <v/>
      </c>
      <c r="R238">
        <f>IF(COUNTA(A238:I238)=0,"",IF(AND(ISNUMBER(F238),F238&gt;0,OR(ISNUMBER(D238),ISNUMBER(H238)),OR(D238="",ISNUMBER(D238)),OR(E238="",ISNUMBER(E238)),OR(G238="",ISNUMBER(G238)),OR(H238="",ISNUMBER(H238))),IF(N(G238)&gt;F238,0,1),0))</f>
        <v/>
      </c>
    </row>
    <row r="239">
      <c r="A239" s="29" t="n"/>
      <c r="B239" s="29" t="n"/>
      <c r="C239" s="29" t="n"/>
      <c r="D239" s="24" t="n"/>
      <c r="E239" s="26" t="n"/>
      <c r="F239" s="34" t="n"/>
      <c r="G239" s="34" t="n"/>
      <c r="H239" s="24" t="n"/>
      <c r="I239" s="29" t="n"/>
      <c r="J239" s="32">
        <f>IF(R239&lt;&gt;1,"",IF(ISNUMBER(D239),INT(D239)+IF(ISNUMBER(E239),INT(E239),DefTerms),""))</f>
        <v/>
      </c>
      <c r="K239" s="35">
        <f>IF(R239&lt;&gt;1,"",IF(ISNUMBER(H239),0,IF(AND(A239&lt;&gt;"",ISNUMBER(MATCH(A239,CustName,0))),IF(ISNUMBER(INDEX(CustLate,MATCH(A239,CustName,0))),INT(INDEX(CustLate,MATCH(A239,CustName,0))),DefLate),DefLate)))</f>
        <v/>
      </c>
      <c r="L239" s="32">
        <f>IF(R239&lt;&gt;1,"",IF(ISNUMBER(H239),INT(H239),J239+K239)+StressDays)</f>
        <v/>
      </c>
      <c r="M239" s="21">
        <f>IF(R239&lt;&gt;1,0,F239-N(G239))</f>
        <v/>
      </c>
      <c r="N239" s="35">
        <f>IF(OR(R239&lt;&gt;1,M239&lt;=0),"",IF(I239="Yes","",IF(L239&lt;W1,IF(OverdueW1="No","",1),IF(L239&lt;=W1+90,INT((L239-W1)/7)+1,""))))</f>
        <v/>
      </c>
      <c r="O239" s="36">
        <f>IF(ISNUMBER(N239),M239*CollectPct,0)</f>
        <v/>
      </c>
      <c r="P239" s="10">
        <f>IF(R239="","",IF(R239=0,"Not counted",IF(M239&lt;=0,"Paid",IF(I239="Yes","Doubtful (left out)",IF(L239&lt;W1,IF(OverdueW1="No","Overdue (left out)","Overdue → Week 1"),IF(L239&lt;=W1+90,"Week "&amp;N239,"After Week 13"))))))</f>
        <v/>
      </c>
      <c r="Q239" s="10">
        <f>IF(R239="","",IF(R239=0,IF(NOT(ISNUMBER(F239)),"Fix: amount missing",IF(F239&lt;=0,"Fix: amount must be above 0",IF(AND(NOT(ISNUMBER(D239)),NOT(ISNUMBER(H239))),"Fix: add an invoice date or a promised date",IF(AND(D239&lt;&gt;"",NOT(ISNUMBER(D239))),"Fix: invoice date isn't a date",IF(AND(E239&lt;&gt;"",NOT(ISNUMBER(E239))),"Fix: terms must be a number",IF(AND(G239&lt;&gt;"",NOT(ISNUMBER(G239))),"Fix: received must be a number",IF(AND(H239&lt;&gt;"",NOT(ISNUMBER(H239))),"Fix: promised date isn't a date","Fix: received is more than the amount"))))))),IF(AND(C239&lt;&gt;"",ISNUMBER(MATCH(C239,InCats,0))),"OK","Category not on Settings (counted as Other)")))</f>
        <v/>
      </c>
      <c r="R239">
        <f>IF(COUNTA(A239:I239)=0,"",IF(AND(ISNUMBER(F239),F239&gt;0,OR(ISNUMBER(D239),ISNUMBER(H239)),OR(D239="",ISNUMBER(D239)),OR(E239="",ISNUMBER(E239)),OR(G239="",ISNUMBER(G239)),OR(H239="",ISNUMBER(H239))),IF(N(G239)&gt;F239,0,1),0))</f>
        <v/>
      </c>
    </row>
    <row r="240">
      <c r="A240" s="29" t="n"/>
      <c r="B240" s="29" t="n"/>
      <c r="C240" s="29" t="n"/>
      <c r="D240" s="24" t="n"/>
      <c r="E240" s="26" t="n"/>
      <c r="F240" s="34" t="n"/>
      <c r="G240" s="34" t="n"/>
      <c r="H240" s="24" t="n"/>
      <c r="I240" s="29" t="n"/>
      <c r="J240" s="32">
        <f>IF(R240&lt;&gt;1,"",IF(ISNUMBER(D240),INT(D240)+IF(ISNUMBER(E240),INT(E240),DefTerms),""))</f>
        <v/>
      </c>
      <c r="K240" s="35">
        <f>IF(R240&lt;&gt;1,"",IF(ISNUMBER(H240),0,IF(AND(A240&lt;&gt;"",ISNUMBER(MATCH(A240,CustName,0))),IF(ISNUMBER(INDEX(CustLate,MATCH(A240,CustName,0))),INT(INDEX(CustLate,MATCH(A240,CustName,0))),DefLate),DefLate)))</f>
        <v/>
      </c>
      <c r="L240" s="32">
        <f>IF(R240&lt;&gt;1,"",IF(ISNUMBER(H240),INT(H240),J240+K240)+StressDays)</f>
        <v/>
      </c>
      <c r="M240" s="21">
        <f>IF(R240&lt;&gt;1,0,F240-N(G240))</f>
        <v/>
      </c>
      <c r="N240" s="35">
        <f>IF(OR(R240&lt;&gt;1,M240&lt;=0),"",IF(I240="Yes","",IF(L240&lt;W1,IF(OverdueW1="No","",1),IF(L240&lt;=W1+90,INT((L240-W1)/7)+1,""))))</f>
        <v/>
      </c>
      <c r="O240" s="36">
        <f>IF(ISNUMBER(N240),M240*CollectPct,0)</f>
        <v/>
      </c>
      <c r="P240" s="10">
        <f>IF(R240="","",IF(R240=0,"Not counted",IF(M240&lt;=0,"Paid",IF(I240="Yes","Doubtful (left out)",IF(L240&lt;W1,IF(OverdueW1="No","Overdue (left out)","Overdue → Week 1"),IF(L240&lt;=W1+90,"Week "&amp;N240,"After Week 13"))))))</f>
        <v/>
      </c>
      <c r="Q240" s="10">
        <f>IF(R240="","",IF(R240=0,IF(NOT(ISNUMBER(F240)),"Fix: amount missing",IF(F240&lt;=0,"Fix: amount must be above 0",IF(AND(NOT(ISNUMBER(D240)),NOT(ISNUMBER(H240))),"Fix: add an invoice date or a promised date",IF(AND(D240&lt;&gt;"",NOT(ISNUMBER(D240))),"Fix: invoice date isn't a date",IF(AND(E240&lt;&gt;"",NOT(ISNUMBER(E240))),"Fix: terms must be a number",IF(AND(G240&lt;&gt;"",NOT(ISNUMBER(G240))),"Fix: received must be a number",IF(AND(H240&lt;&gt;"",NOT(ISNUMBER(H240))),"Fix: promised date isn't a date","Fix: received is more than the amount"))))))),IF(AND(C240&lt;&gt;"",ISNUMBER(MATCH(C240,InCats,0))),"OK","Category not on Settings (counted as Other)")))</f>
        <v/>
      </c>
      <c r="R240">
        <f>IF(COUNTA(A240:I240)=0,"",IF(AND(ISNUMBER(F240),F240&gt;0,OR(ISNUMBER(D240),ISNUMBER(H240)),OR(D240="",ISNUMBER(D240)),OR(E240="",ISNUMBER(E240)),OR(G240="",ISNUMBER(G240)),OR(H240="",ISNUMBER(H240))),IF(N(G240)&gt;F240,0,1),0))</f>
        <v/>
      </c>
    </row>
    <row r="241">
      <c r="A241" s="29" t="n"/>
      <c r="B241" s="29" t="n"/>
      <c r="C241" s="29" t="n"/>
      <c r="D241" s="24" t="n"/>
      <c r="E241" s="26" t="n"/>
      <c r="F241" s="34" t="n"/>
      <c r="G241" s="34" t="n"/>
      <c r="H241" s="24" t="n"/>
      <c r="I241" s="29" t="n"/>
      <c r="J241" s="32">
        <f>IF(R241&lt;&gt;1,"",IF(ISNUMBER(D241),INT(D241)+IF(ISNUMBER(E241),INT(E241),DefTerms),""))</f>
        <v/>
      </c>
      <c r="K241" s="35">
        <f>IF(R241&lt;&gt;1,"",IF(ISNUMBER(H241),0,IF(AND(A241&lt;&gt;"",ISNUMBER(MATCH(A241,CustName,0))),IF(ISNUMBER(INDEX(CustLate,MATCH(A241,CustName,0))),INT(INDEX(CustLate,MATCH(A241,CustName,0))),DefLate),DefLate)))</f>
        <v/>
      </c>
      <c r="L241" s="32">
        <f>IF(R241&lt;&gt;1,"",IF(ISNUMBER(H241),INT(H241),J241+K241)+StressDays)</f>
        <v/>
      </c>
      <c r="M241" s="21">
        <f>IF(R241&lt;&gt;1,0,F241-N(G241))</f>
        <v/>
      </c>
      <c r="N241" s="35">
        <f>IF(OR(R241&lt;&gt;1,M241&lt;=0),"",IF(I241="Yes","",IF(L241&lt;W1,IF(OverdueW1="No","",1),IF(L241&lt;=W1+90,INT((L241-W1)/7)+1,""))))</f>
        <v/>
      </c>
      <c r="O241" s="36">
        <f>IF(ISNUMBER(N241),M241*CollectPct,0)</f>
        <v/>
      </c>
      <c r="P241" s="10">
        <f>IF(R241="","",IF(R241=0,"Not counted",IF(M241&lt;=0,"Paid",IF(I241="Yes","Doubtful (left out)",IF(L241&lt;W1,IF(OverdueW1="No","Overdue (left out)","Overdue → Week 1"),IF(L241&lt;=W1+90,"Week "&amp;N241,"After Week 13"))))))</f>
        <v/>
      </c>
      <c r="Q241" s="10">
        <f>IF(R241="","",IF(R241=0,IF(NOT(ISNUMBER(F241)),"Fix: amount missing",IF(F241&lt;=0,"Fix: amount must be above 0",IF(AND(NOT(ISNUMBER(D241)),NOT(ISNUMBER(H241))),"Fix: add an invoice date or a promised date",IF(AND(D241&lt;&gt;"",NOT(ISNUMBER(D241))),"Fix: invoice date isn't a date",IF(AND(E241&lt;&gt;"",NOT(ISNUMBER(E241))),"Fix: terms must be a number",IF(AND(G241&lt;&gt;"",NOT(ISNUMBER(G241))),"Fix: received must be a number",IF(AND(H241&lt;&gt;"",NOT(ISNUMBER(H241))),"Fix: promised date isn't a date","Fix: received is more than the amount"))))))),IF(AND(C241&lt;&gt;"",ISNUMBER(MATCH(C241,InCats,0))),"OK","Category not on Settings (counted as Other)")))</f>
        <v/>
      </c>
      <c r="R241">
        <f>IF(COUNTA(A241:I241)=0,"",IF(AND(ISNUMBER(F241),F241&gt;0,OR(ISNUMBER(D241),ISNUMBER(H241)),OR(D241="",ISNUMBER(D241)),OR(E241="",ISNUMBER(E241)),OR(G241="",ISNUMBER(G241)),OR(H241="",ISNUMBER(H241))),IF(N(G241)&gt;F241,0,1),0))</f>
        <v/>
      </c>
    </row>
    <row r="242">
      <c r="A242" s="29" t="n"/>
      <c r="B242" s="29" t="n"/>
      <c r="C242" s="29" t="n"/>
      <c r="D242" s="24" t="n"/>
      <c r="E242" s="26" t="n"/>
      <c r="F242" s="34" t="n"/>
      <c r="G242" s="34" t="n"/>
      <c r="H242" s="24" t="n"/>
      <c r="I242" s="29" t="n"/>
      <c r="J242" s="32">
        <f>IF(R242&lt;&gt;1,"",IF(ISNUMBER(D242),INT(D242)+IF(ISNUMBER(E242),INT(E242),DefTerms),""))</f>
        <v/>
      </c>
      <c r="K242" s="35">
        <f>IF(R242&lt;&gt;1,"",IF(ISNUMBER(H242),0,IF(AND(A242&lt;&gt;"",ISNUMBER(MATCH(A242,CustName,0))),IF(ISNUMBER(INDEX(CustLate,MATCH(A242,CustName,0))),INT(INDEX(CustLate,MATCH(A242,CustName,0))),DefLate),DefLate)))</f>
        <v/>
      </c>
      <c r="L242" s="32">
        <f>IF(R242&lt;&gt;1,"",IF(ISNUMBER(H242),INT(H242),J242+K242)+StressDays)</f>
        <v/>
      </c>
      <c r="M242" s="21">
        <f>IF(R242&lt;&gt;1,0,F242-N(G242))</f>
        <v/>
      </c>
      <c r="N242" s="35">
        <f>IF(OR(R242&lt;&gt;1,M242&lt;=0),"",IF(I242="Yes","",IF(L242&lt;W1,IF(OverdueW1="No","",1),IF(L242&lt;=W1+90,INT((L242-W1)/7)+1,""))))</f>
        <v/>
      </c>
      <c r="O242" s="36">
        <f>IF(ISNUMBER(N242),M242*CollectPct,0)</f>
        <v/>
      </c>
      <c r="P242" s="10">
        <f>IF(R242="","",IF(R242=0,"Not counted",IF(M242&lt;=0,"Paid",IF(I242="Yes","Doubtful (left out)",IF(L242&lt;W1,IF(OverdueW1="No","Overdue (left out)","Overdue → Week 1"),IF(L242&lt;=W1+90,"Week "&amp;N242,"After Week 13"))))))</f>
        <v/>
      </c>
      <c r="Q242" s="10">
        <f>IF(R242="","",IF(R242=0,IF(NOT(ISNUMBER(F242)),"Fix: amount missing",IF(F242&lt;=0,"Fix: amount must be above 0",IF(AND(NOT(ISNUMBER(D242)),NOT(ISNUMBER(H242))),"Fix: add an invoice date or a promised date",IF(AND(D242&lt;&gt;"",NOT(ISNUMBER(D242))),"Fix: invoice date isn't a date",IF(AND(E242&lt;&gt;"",NOT(ISNUMBER(E242))),"Fix: terms must be a number",IF(AND(G242&lt;&gt;"",NOT(ISNUMBER(G242))),"Fix: received must be a number",IF(AND(H242&lt;&gt;"",NOT(ISNUMBER(H242))),"Fix: promised date isn't a date","Fix: received is more than the amount"))))))),IF(AND(C242&lt;&gt;"",ISNUMBER(MATCH(C242,InCats,0))),"OK","Category not on Settings (counted as Other)")))</f>
        <v/>
      </c>
      <c r="R242">
        <f>IF(COUNTA(A242:I242)=0,"",IF(AND(ISNUMBER(F242),F242&gt;0,OR(ISNUMBER(D242),ISNUMBER(H242)),OR(D242="",ISNUMBER(D242)),OR(E242="",ISNUMBER(E242)),OR(G242="",ISNUMBER(G242)),OR(H242="",ISNUMBER(H242))),IF(N(G242)&gt;F242,0,1),0))</f>
        <v/>
      </c>
    </row>
    <row r="243">
      <c r="A243" s="29" t="n"/>
      <c r="B243" s="29" t="n"/>
      <c r="C243" s="29" t="n"/>
      <c r="D243" s="24" t="n"/>
      <c r="E243" s="26" t="n"/>
      <c r="F243" s="34" t="n"/>
      <c r="G243" s="34" t="n"/>
      <c r="H243" s="24" t="n"/>
      <c r="I243" s="29" t="n"/>
      <c r="J243" s="32">
        <f>IF(R243&lt;&gt;1,"",IF(ISNUMBER(D243),INT(D243)+IF(ISNUMBER(E243),INT(E243),DefTerms),""))</f>
        <v/>
      </c>
      <c r="K243" s="35">
        <f>IF(R243&lt;&gt;1,"",IF(ISNUMBER(H243),0,IF(AND(A243&lt;&gt;"",ISNUMBER(MATCH(A243,CustName,0))),IF(ISNUMBER(INDEX(CustLate,MATCH(A243,CustName,0))),INT(INDEX(CustLate,MATCH(A243,CustName,0))),DefLate),DefLate)))</f>
        <v/>
      </c>
      <c r="L243" s="32">
        <f>IF(R243&lt;&gt;1,"",IF(ISNUMBER(H243),INT(H243),J243+K243)+StressDays)</f>
        <v/>
      </c>
      <c r="M243" s="21">
        <f>IF(R243&lt;&gt;1,0,F243-N(G243))</f>
        <v/>
      </c>
      <c r="N243" s="35">
        <f>IF(OR(R243&lt;&gt;1,M243&lt;=0),"",IF(I243="Yes","",IF(L243&lt;W1,IF(OverdueW1="No","",1),IF(L243&lt;=W1+90,INT((L243-W1)/7)+1,""))))</f>
        <v/>
      </c>
      <c r="O243" s="36">
        <f>IF(ISNUMBER(N243),M243*CollectPct,0)</f>
        <v/>
      </c>
      <c r="P243" s="10">
        <f>IF(R243="","",IF(R243=0,"Not counted",IF(M243&lt;=0,"Paid",IF(I243="Yes","Doubtful (left out)",IF(L243&lt;W1,IF(OverdueW1="No","Overdue (left out)","Overdue → Week 1"),IF(L243&lt;=W1+90,"Week "&amp;N243,"After Week 13"))))))</f>
        <v/>
      </c>
      <c r="Q243" s="10">
        <f>IF(R243="","",IF(R243=0,IF(NOT(ISNUMBER(F243)),"Fix: amount missing",IF(F243&lt;=0,"Fix: amount must be above 0",IF(AND(NOT(ISNUMBER(D243)),NOT(ISNUMBER(H243))),"Fix: add an invoice date or a promised date",IF(AND(D243&lt;&gt;"",NOT(ISNUMBER(D243))),"Fix: invoice date isn't a date",IF(AND(E243&lt;&gt;"",NOT(ISNUMBER(E243))),"Fix: terms must be a number",IF(AND(G243&lt;&gt;"",NOT(ISNUMBER(G243))),"Fix: received must be a number",IF(AND(H243&lt;&gt;"",NOT(ISNUMBER(H243))),"Fix: promised date isn't a date","Fix: received is more than the amount"))))))),IF(AND(C243&lt;&gt;"",ISNUMBER(MATCH(C243,InCats,0))),"OK","Category not on Settings (counted as Other)")))</f>
        <v/>
      </c>
      <c r="R243">
        <f>IF(COUNTA(A243:I243)=0,"",IF(AND(ISNUMBER(F243),F243&gt;0,OR(ISNUMBER(D243),ISNUMBER(H243)),OR(D243="",ISNUMBER(D243)),OR(E243="",ISNUMBER(E243)),OR(G243="",ISNUMBER(G243)),OR(H243="",ISNUMBER(H243))),IF(N(G243)&gt;F243,0,1),0))</f>
        <v/>
      </c>
    </row>
    <row r="244">
      <c r="A244" s="29" t="n"/>
      <c r="B244" s="29" t="n"/>
      <c r="C244" s="29" t="n"/>
      <c r="D244" s="24" t="n"/>
      <c r="E244" s="26" t="n"/>
      <c r="F244" s="34" t="n"/>
      <c r="G244" s="34" t="n"/>
      <c r="H244" s="24" t="n"/>
      <c r="I244" s="29" t="n"/>
      <c r="J244" s="32">
        <f>IF(R244&lt;&gt;1,"",IF(ISNUMBER(D244),INT(D244)+IF(ISNUMBER(E244),INT(E244),DefTerms),""))</f>
        <v/>
      </c>
      <c r="K244" s="35">
        <f>IF(R244&lt;&gt;1,"",IF(ISNUMBER(H244),0,IF(AND(A244&lt;&gt;"",ISNUMBER(MATCH(A244,CustName,0))),IF(ISNUMBER(INDEX(CustLate,MATCH(A244,CustName,0))),INT(INDEX(CustLate,MATCH(A244,CustName,0))),DefLate),DefLate)))</f>
        <v/>
      </c>
      <c r="L244" s="32">
        <f>IF(R244&lt;&gt;1,"",IF(ISNUMBER(H244),INT(H244),J244+K244)+StressDays)</f>
        <v/>
      </c>
      <c r="M244" s="21">
        <f>IF(R244&lt;&gt;1,0,F244-N(G244))</f>
        <v/>
      </c>
      <c r="N244" s="35">
        <f>IF(OR(R244&lt;&gt;1,M244&lt;=0),"",IF(I244="Yes","",IF(L244&lt;W1,IF(OverdueW1="No","",1),IF(L244&lt;=W1+90,INT((L244-W1)/7)+1,""))))</f>
        <v/>
      </c>
      <c r="O244" s="36">
        <f>IF(ISNUMBER(N244),M244*CollectPct,0)</f>
        <v/>
      </c>
      <c r="P244" s="10">
        <f>IF(R244="","",IF(R244=0,"Not counted",IF(M244&lt;=0,"Paid",IF(I244="Yes","Doubtful (left out)",IF(L244&lt;W1,IF(OverdueW1="No","Overdue (left out)","Overdue → Week 1"),IF(L244&lt;=W1+90,"Week "&amp;N244,"After Week 13"))))))</f>
        <v/>
      </c>
      <c r="Q244" s="10">
        <f>IF(R244="","",IF(R244=0,IF(NOT(ISNUMBER(F244)),"Fix: amount missing",IF(F244&lt;=0,"Fix: amount must be above 0",IF(AND(NOT(ISNUMBER(D244)),NOT(ISNUMBER(H244))),"Fix: add an invoice date or a promised date",IF(AND(D244&lt;&gt;"",NOT(ISNUMBER(D244))),"Fix: invoice date isn't a date",IF(AND(E244&lt;&gt;"",NOT(ISNUMBER(E244))),"Fix: terms must be a number",IF(AND(G244&lt;&gt;"",NOT(ISNUMBER(G244))),"Fix: received must be a number",IF(AND(H244&lt;&gt;"",NOT(ISNUMBER(H244))),"Fix: promised date isn't a date","Fix: received is more than the amount"))))))),IF(AND(C244&lt;&gt;"",ISNUMBER(MATCH(C244,InCats,0))),"OK","Category not on Settings (counted as Other)")))</f>
        <v/>
      </c>
      <c r="R244">
        <f>IF(COUNTA(A244:I244)=0,"",IF(AND(ISNUMBER(F244),F244&gt;0,OR(ISNUMBER(D244),ISNUMBER(H244)),OR(D244="",ISNUMBER(D244)),OR(E244="",ISNUMBER(E244)),OR(G244="",ISNUMBER(G244)),OR(H244="",ISNUMBER(H244))),IF(N(G244)&gt;F244,0,1),0))</f>
        <v/>
      </c>
    </row>
    <row r="245">
      <c r="A245" s="29" t="n"/>
      <c r="B245" s="29" t="n"/>
      <c r="C245" s="29" t="n"/>
      <c r="D245" s="24" t="n"/>
      <c r="E245" s="26" t="n"/>
      <c r="F245" s="34" t="n"/>
      <c r="G245" s="34" t="n"/>
      <c r="H245" s="24" t="n"/>
      <c r="I245" s="29" t="n"/>
      <c r="J245" s="32">
        <f>IF(R245&lt;&gt;1,"",IF(ISNUMBER(D245),INT(D245)+IF(ISNUMBER(E245),INT(E245),DefTerms),""))</f>
        <v/>
      </c>
      <c r="K245" s="35">
        <f>IF(R245&lt;&gt;1,"",IF(ISNUMBER(H245),0,IF(AND(A245&lt;&gt;"",ISNUMBER(MATCH(A245,CustName,0))),IF(ISNUMBER(INDEX(CustLate,MATCH(A245,CustName,0))),INT(INDEX(CustLate,MATCH(A245,CustName,0))),DefLate),DefLate)))</f>
        <v/>
      </c>
      <c r="L245" s="32">
        <f>IF(R245&lt;&gt;1,"",IF(ISNUMBER(H245),INT(H245),J245+K245)+StressDays)</f>
        <v/>
      </c>
      <c r="M245" s="21">
        <f>IF(R245&lt;&gt;1,0,F245-N(G245))</f>
        <v/>
      </c>
      <c r="N245" s="35">
        <f>IF(OR(R245&lt;&gt;1,M245&lt;=0),"",IF(I245="Yes","",IF(L245&lt;W1,IF(OverdueW1="No","",1),IF(L245&lt;=W1+90,INT((L245-W1)/7)+1,""))))</f>
        <v/>
      </c>
      <c r="O245" s="36">
        <f>IF(ISNUMBER(N245),M245*CollectPct,0)</f>
        <v/>
      </c>
      <c r="P245" s="10">
        <f>IF(R245="","",IF(R245=0,"Not counted",IF(M245&lt;=0,"Paid",IF(I245="Yes","Doubtful (left out)",IF(L245&lt;W1,IF(OverdueW1="No","Overdue (left out)","Overdue → Week 1"),IF(L245&lt;=W1+90,"Week "&amp;N245,"After Week 13"))))))</f>
        <v/>
      </c>
      <c r="Q245" s="10">
        <f>IF(R245="","",IF(R245=0,IF(NOT(ISNUMBER(F245)),"Fix: amount missing",IF(F245&lt;=0,"Fix: amount must be above 0",IF(AND(NOT(ISNUMBER(D245)),NOT(ISNUMBER(H245))),"Fix: add an invoice date or a promised date",IF(AND(D245&lt;&gt;"",NOT(ISNUMBER(D245))),"Fix: invoice date isn't a date",IF(AND(E245&lt;&gt;"",NOT(ISNUMBER(E245))),"Fix: terms must be a number",IF(AND(G245&lt;&gt;"",NOT(ISNUMBER(G245))),"Fix: received must be a number",IF(AND(H245&lt;&gt;"",NOT(ISNUMBER(H245))),"Fix: promised date isn't a date","Fix: received is more than the amount"))))))),IF(AND(C245&lt;&gt;"",ISNUMBER(MATCH(C245,InCats,0))),"OK","Category not on Settings (counted as Other)")))</f>
        <v/>
      </c>
      <c r="R245">
        <f>IF(COUNTA(A245:I245)=0,"",IF(AND(ISNUMBER(F245),F245&gt;0,OR(ISNUMBER(D245),ISNUMBER(H245)),OR(D245="",ISNUMBER(D245)),OR(E245="",ISNUMBER(E245)),OR(G245="",ISNUMBER(G245)),OR(H245="",ISNUMBER(H245))),IF(N(G245)&gt;F245,0,1),0))</f>
        <v/>
      </c>
    </row>
    <row r="246">
      <c r="A246" s="29" t="n"/>
      <c r="B246" s="29" t="n"/>
      <c r="C246" s="29" t="n"/>
      <c r="D246" s="24" t="n"/>
      <c r="E246" s="26" t="n"/>
      <c r="F246" s="34" t="n"/>
      <c r="G246" s="34" t="n"/>
      <c r="H246" s="24" t="n"/>
      <c r="I246" s="29" t="n"/>
      <c r="J246" s="32">
        <f>IF(R246&lt;&gt;1,"",IF(ISNUMBER(D246),INT(D246)+IF(ISNUMBER(E246),INT(E246),DefTerms),""))</f>
        <v/>
      </c>
      <c r="K246" s="35">
        <f>IF(R246&lt;&gt;1,"",IF(ISNUMBER(H246),0,IF(AND(A246&lt;&gt;"",ISNUMBER(MATCH(A246,CustName,0))),IF(ISNUMBER(INDEX(CustLate,MATCH(A246,CustName,0))),INT(INDEX(CustLate,MATCH(A246,CustName,0))),DefLate),DefLate)))</f>
        <v/>
      </c>
      <c r="L246" s="32">
        <f>IF(R246&lt;&gt;1,"",IF(ISNUMBER(H246),INT(H246),J246+K246)+StressDays)</f>
        <v/>
      </c>
      <c r="M246" s="21">
        <f>IF(R246&lt;&gt;1,0,F246-N(G246))</f>
        <v/>
      </c>
      <c r="N246" s="35">
        <f>IF(OR(R246&lt;&gt;1,M246&lt;=0),"",IF(I246="Yes","",IF(L246&lt;W1,IF(OverdueW1="No","",1),IF(L246&lt;=W1+90,INT((L246-W1)/7)+1,""))))</f>
        <v/>
      </c>
      <c r="O246" s="36">
        <f>IF(ISNUMBER(N246),M246*CollectPct,0)</f>
        <v/>
      </c>
      <c r="P246" s="10">
        <f>IF(R246="","",IF(R246=0,"Not counted",IF(M246&lt;=0,"Paid",IF(I246="Yes","Doubtful (left out)",IF(L246&lt;W1,IF(OverdueW1="No","Overdue (left out)","Overdue → Week 1"),IF(L246&lt;=W1+90,"Week "&amp;N246,"After Week 13"))))))</f>
        <v/>
      </c>
      <c r="Q246" s="10">
        <f>IF(R246="","",IF(R246=0,IF(NOT(ISNUMBER(F246)),"Fix: amount missing",IF(F246&lt;=0,"Fix: amount must be above 0",IF(AND(NOT(ISNUMBER(D246)),NOT(ISNUMBER(H246))),"Fix: add an invoice date or a promised date",IF(AND(D246&lt;&gt;"",NOT(ISNUMBER(D246))),"Fix: invoice date isn't a date",IF(AND(E246&lt;&gt;"",NOT(ISNUMBER(E246))),"Fix: terms must be a number",IF(AND(G246&lt;&gt;"",NOT(ISNUMBER(G246))),"Fix: received must be a number",IF(AND(H246&lt;&gt;"",NOT(ISNUMBER(H246))),"Fix: promised date isn't a date","Fix: received is more than the amount"))))))),IF(AND(C246&lt;&gt;"",ISNUMBER(MATCH(C246,InCats,0))),"OK","Category not on Settings (counted as Other)")))</f>
        <v/>
      </c>
      <c r="R246">
        <f>IF(COUNTA(A246:I246)=0,"",IF(AND(ISNUMBER(F246),F246&gt;0,OR(ISNUMBER(D246),ISNUMBER(H246)),OR(D246="",ISNUMBER(D246)),OR(E246="",ISNUMBER(E246)),OR(G246="",ISNUMBER(G246)),OR(H246="",ISNUMBER(H246))),IF(N(G246)&gt;F246,0,1),0))</f>
        <v/>
      </c>
    </row>
    <row r="247">
      <c r="A247" s="29" t="n"/>
      <c r="B247" s="29" t="n"/>
      <c r="C247" s="29" t="n"/>
      <c r="D247" s="24" t="n"/>
      <c r="E247" s="26" t="n"/>
      <c r="F247" s="34" t="n"/>
      <c r="G247" s="34" t="n"/>
      <c r="H247" s="24" t="n"/>
      <c r="I247" s="29" t="n"/>
      <c r="J247" s="32">
        <f>IF(R247&lt;&gt;1,"",IF(ISNUMBER(D247),INT(D247)+IF(ISNUMBER(E247),INT(E247),DefTerms),""))</f>
        <v/>
      </c>
      <c r="K247" s="35">
        <f>IF(R247&lt;&gt;1,"",IF(ISNUMBER(H247),0,IF(AND(A247&lt;&gt;"",ISNUMBER(MATCH(A247,CustName,0))),IF(ISNUMBER(INDEX(CustLate,MATCH(A247,CustName,0))),INT(INDEX(CustLate,MATCH(A247,CustName,0))),DefLate),DefLate)))</f>
        <v/>
      </c>
      <c r="L247" s="32">
        <f>IF(R247&lt;&gt;1,"",IF(ISNUMBER(H247),INT(H247),J247+K247)+StressDays)</f>
        <v/>
      </c>
      <c r="M247" s="21">
        <f>IF(R247&lt;&gt;1,0,F247-N(G247))</f>
        <v/>
      </c>
      <c r="N247" s="35">
        <f>IF(OR(R247&lt;&gt;1,M247&lt;=0),"",IF(I247="Yes","",IF(L247&lt;W1,IF(OverdueW1="No","",1),IF(L247&lt;=W1+90,INT((L247-W1)/7)+1,""))))</f>
        <v/>
      </c>
      <c r="O247" s="36">
        <f>IF(ISNUMBER(N247),M247*CollectPct,0)</f>
        <v/>
      </c>
      <c r="P247" s="10">
        <f>IF(R247="","",IF(R247=0,"Not counted",IF(M247&lt;=0,"Paid",IF(I247="Yes","Doubtful (left out)",IF(L247&lt;W1,IF(OverdueW1="No","Overdue (left out)","Overdue → Week 1"),IF(L247&lt;=W1+90,"Week "&amp;N247,"After Week 13"))))))</f>
        <v/>
      </c>
      <c r="Q247" s="10">
        <f>IF(R247="","",IF(R247=0,IF(NOT(ISNUMBER(F247)),"Fix: amount missing",IF(F247&lt;=0,"Fix: amount must be above 0",IF(AND(NOT(ISNUMBER(D247)),NOT(ISNUMBER(H247))),"Fix: add an invoice date or a promised date",IF(AND(D247&lt;&gt;"",NOT(ISNUMBER(D247))),"Fix: invoice date isn't a date",IF(AND(E247&lt;&gt;"",NOT(ISNUMBER(E247))),"Fix: terms must be a number",IF(AND(G247&lt;&gt;"",NOT(ISNUMBER(G247))),"Fix: received must be a number",IF(AND(H247&lt;&gt;"",NOT(ISNUMBER(H247))),"Fix: promised date isn't a date","Fix: received is more than the amount"))))))),IF(AND(C247&lt;&gt;"",ISNUMBER(MATCH(C247,InCats,0))),"OK","Category not on Settings (counted as Other)")))</f>
        <v/>
      </c>
      <c r="R247">
        <f>IF(COUNTA(A247:I247)=0,"",IF(AND(ISNUMBER(F247),F247&gt;0,OR(ISNUMBER(D247),ISNUMBER(H247)),OR(D247="",ISNUMBER(D247)),OR(E247="",ISNUMBER(E247)),OR(G247="",ISNUMBER(G247)),OR(H247="",ISNUMBER(H247))),IF(N(G247)&gt;F247,0,1),0))</f>
        <v/>
      </c>
    </row>
    <row r="248">
      <c r="A248" s="29" t="n"/>
      <c r="B248" s="29" t="n"/>
      <c r="C248" s="29" t="n"/>
      <c r="D248" s="24" t="n"/>
      <c r="E248" s="26" t="n"/>
      <c r="F248" s="34" t="n"/>
      <c r="G248" s="34" t="n"/>
      <c r="H248" s="24" t="n"/>
      <c r="I248" s="29" t="n"/>
      <c r="J248" s="32">
        <f>IF(R248&lt;&gt;1,"",IF(ISNUMBER(D248),INT(D248)+IF(ISNUMBER(E248),INT(E248),DefTerms),""))</f>
        <v/>
      </c>
      <c r="K248" s="35">
        <f>IF(R248&lt;&gt;1,"",IF(ISNUMBER(H248),0,IF(AND(A248&lt;&gt;"",ISNUMBER(MATCH(A248,CustName,0))),IF(ISNUMBER(INDEX(CustLate,MATCH(A248,CustName,0))),INT(INDEX(CustLate,MATCH(A248,CustName,0))),DefLate),DefLate)))</f>
        <v/>
      </c>
      <c r="L248" s="32">
        <f>IF(R248&lt;&gt;1,"",IF(ISNUMBER(H248),INT(H248),J248+K248)+StressDays)</f>
        <v/>
      </c>
      <c r="M248" s="21">
        <f>IF(R248&lt;&gt;1,0,F248-N(G248))</f>
        <v/>
      </c>
      <c r="N248" s="35">
        <f>IF(OR(R248&lt;&gt;1,M248&lt;=0),"",IF(I248="Yes","",IF(L248&lt;W1,IF(OverdueW1="No","",1),IF(L248&lt;=W1+90,INT((L248-W1)/7)+1,""))))</f>
        <v/>
      </c>
      <c r="O248" s="36">
        <f>IF(ISNUMBER(N248),M248*CollectPct,0)</f>
        <v/>
      </c>
      <c r="P248" s="10">
        <f>IF(R248="","",IF(R248=0,"Not counted",IF(M248&lt;=0,"Paid",IF(I248="Yes","Doubtful (left out)",IF(L248&lt;W1,IF(OverdueW1="No","Overdue (left out)","Overdue → Week 1"),IF(L248&lt;=W1+90,"Week "&amp;N248,"After Week 13"))))))</f>
        <v/>
      </c>
      <c r="Q248" s="10">
        <f>IF(R248="","",IF(R248=0,IF(NOT(ISNUMBER(F248)),"Fix: amount missing",IF(F248&lt;=0,"Fix: amount must be above 0",IF(AND(NOT(ISNUMBER(D248)),NOT(ISNUMBER(H248))),"Fix: add an invoice date or a promised date",IF(AND(D248&lt;&gt;"",NOT(ISNUMBER(D248))),"Fix: invoice date isn't a date",IF(AND(E248&lt;&gt;"",NOT(ISNUMBER(E248))),"Fix: terms must be a number",IF(AND(G248&lt;&gt;"",NOT(ISNUMBER(G248))),"Fix: received must be a number",IF(AND(H248&lt;&gt;"",NOT(ISNUMBER(H248))),"Fix: promised date isn't a date","Fix: received is more than the amount"))))))),IF(AND(C248&lt;&gt;"",ISNUMBER(MATCH(C248,InCats,0))),"OK","Category not on Settings (counted as Other)")))</f>
        <v/>
      </c>
      <c r="R248">
        <f>IF(COUNTA(A248:I248)=0,"",IF(AND(ISNUMBER(F248),F248&gt;0,OR(ISNUMBER(D248),ISNUMBER(H248)),OR(D248="",ISNUMBER(D248)),OR(E248="",ISNUMBER(E248)),OR(G248="",ISNUMBER(G248)),OR(H248="",ISNUMBER(H248))),IF(N(G248)&gt;F248,0,1),0))</f>
        <v/>
      </c>
    </row>
    <row r="249">
      <c r="A249" s="29" t="n"/>
      <c r="B249" s="29" t="n"/>
      <c r="C249" s="29" t="n"/>
      <c r="D249" s="24" t="n"/>
      <c r="E249" s="26" t="n"/>
      <c r="F249" s="34" t="n"/>
      <c r="G249" s="34" t="n"/>
      <c r="H249" s="24" t="n"/>
      <c r="I249" s="29" t="n"/>
      <c r="J249" s="32">
        <f>IF(R249&lt;&gt;1,"",IF(ISNUMBER(D249),INT(D249)+IF(ISNUMBER(E249),INT(E249),DefTerms),""))</f>
        <v/>
      </c>
      <c r="K249" s="35">
        <f>IF(R249&lt;&gt;1,"",IF(ISNUMBER(H249),0,IF(AND(A249&lt;&gt;"",ISNUMBER(MATCH(A249,CustName,0))),IF(ISNUMBER(INDEX(CustLate,MATCH(A249,CustName,0))),INT(INDEX(CustLate,MATCH(A249,CustName,0))),DefLate),DefLate)))</f>
        <v/>
      </c>
      <c r="L249" s="32">
        <f>IF(R249&lt;&gt;1,"",IF(ISNUMBER(H249),INT(H249),J249+K249)+StressDays)</f>
        <v/>
      </c>
      <c r="M249" s="21">
        <f>IF(R249&lt;&gt;1,0,F249-N(G249))</f>
        <v/>
      </c>
      <c r="N249" s="35">
        <f>IF(OR(R249&lt;&gt;1,M249&lt;=0),"",IF(I249="Yes","",IF(L249&lt;W1,IF(OverdueW1="No","",1),IF(L249&lt;=W1+90,INT((L249-W1)/7)+1,""))))</f>
        <v/>
      </c>
      <c r="O249" s="36">
        <f>IF(ISNUMBER(N249),M249*CollectPct,0)</f>
        <v/>
      </c>
      <c r="P249" s="10">
        <f>IF(R249="","",IF(R249=0,"Not counted",IF(M249&lt;=0,"Paid",IF(I249="Yes","Doubtful (left out)",IF(L249&lt;W1,IF(OverdueW1="No","Overdue (left out)","Overdue → Week 1"),IF(L249&lt;=W1+90,"Week "&amp;N249,"After Week 13"))))))</f>
        <v/>
      </c>
      <c r="Q249" s="10">
        <f>IF(R249="","",IF(R249=0,IF(NOT(ISNUMBER(F249)),"Fix: amount missing",IF(F249&lt;=0,"Fix: amount must be above 0",IF(AND(NOT(ISNUMBER(D249)),NOT(ISNUMBER(H249))),"Fix: add an invoice date or a promised date",IF(AND(D249&lt;&gt;"",NOT(ISNUMBER(D249))),"Fix: invoice date isn't a date",IF(AND(E249&lt;&gt;"",NOT(ISNUMBER(E249))),"Fix: terms must be a number",IF(AND(G249&lt;&gt;"",NOT(ISNUMBER(G249))),"Fix: received must be a number",IF(AND(H249&lt;&gt;"",NOT(ISNUMBER(H249))),"Fix: promised date isn't a date","Fix: received is more than the amount"))))))),IF(AND(C249&lt;&gt;"",ISNUMBER(MATCH(C249,InCats,0))),"OK","Category not on Settings (counted as Other)")))</f>
        <v/>
      </c>
      <c r="R249">
        <f>IF(COUNTA(A249:I249)=0,"",IF(AND(ISNUMBER(F249),F249&gt;0,OR(ISNUMBER(D249),ISNUMBER(H249)),OR(D249="",ISNUMBER(D249)),OR(E249="",ISNUMBER(E249)),OR(G249="",ISNUMBER(G249)),OR(H249="",ISNUMBER(H249))),IF(N(G249)&gt;F249,0,1),0))</f>
        <v/>
      </c>
    </row>
    <row r="250">
      <c r="A250" s="29" t="n"/>
      <c r="B250" s="29" t="n"/>
      <c r="C250" s="29" t="n"/>
      <c r="D250" s="24" t="n"/>
      <c r="E250" s="26" t="n"/>
      <c r="F250" s="34" t="n"/>
      <c r="G250" s="34" t="n"/>
      <c r="H250" s="24" t="n"/>
      <c r="I250" s="29" t="n"/>
      <c r="J250" s="32">
        <f>IF(R250&lt;&gt;1,"",IF(ISNUMBER(D250),INT(D250)+IF(ISNUMBER(E250),INT(E250),DefTerms),""))</f>
        <v/>
      </c>
      <c r="K250" s="35">
        <f>IF(R250&lt;&gt;1,"",IF(ISNUMBER(H250),0,IF(AND(A250&lt;&gt;"",ISNUMBER(MATCH(A250,CustName,0))),IF(ISNUMBER(INDEX(CustLate,MATCH(A250,CustName,0))),INT(INDEX(CustLate,MATCH(A250,CustName,0))),DefLate),DefLate)))</f>
        <v/>
      </c>
      <c r="L250" s="32">
        <f>IF(R250&lt;&gt;1,"",IF(ISNUMBER(H250),INT(H250),J250+K250)+StressDays)</f>
        <v/>
      </c>
      <c r="M250" s="21">
        <f>IF(R250&lt;&gt;1,0,F250-N(G250))</f>
        <v/>
      </c>
      <c r="N250" s="35">
        <f>IF(OR(R250&lt;&gt;1,M250&lt;=0),"",IF(I250="Yes","",IF(L250&lt;W1,IF(OverdueW1="No","",1),IF(L250&lt;=W1+90,INT((L250-W1)/7)+1,""))))</f>
        <v/>
      </c>
      <c r="O250" s="36">
        <f>IF(ISNUMBER(N250),M250*CollectPct,0)</f>
        <v/>
      </c>
      <c r="P250" s="10">
        <f>IF(R250="","",IF(R250=0,"Not counted",IF(M250&lt;=0,"Paid",IF(I250="Yes","Doubtful (left out)",IF(L250&lt;W1,IF(OverdueW1="No","Overdue (left out)","Overdue → Week 1"),IF(L250&lt;=W1+90,"Week "&amp;N250,"After Week 13"))))))</f>
        <v/>
      </c>
      <c r="Q250" s="10">
        <f>IF(R250="","",IF(R250=0,IF(NOT(ISNUMBER(F250)),"Fix: amount missing",IF(F250&lt;=0,"Fix: amount must be above 0",IF(AND(NOT(ISNUMBER(D250)),NOT(ISNUMBER(H250))),"Fix: add an invoice date or a promised date",IF(AND(D250&lt;&gt;"",NOT(ISNUMBER(D250))),"Fix: invoice date isn't a date",IF(AND(E250&lt;&gt;"",NOT(ISNUMBER(E250))),"Fix: terms must be a number",IF(AND(G250&lt;&gt;"",NOT(ISNUMBER(G250))),"Fix: received must be a number",IF(AND(H250&lt;&gt;"",NOT(ISNUMBER(H250))),"Fix: promised date isn't a date","Fix: received is more than the amount"))))))),IF(AND(C250&lt;&gt;"",ISNUMBER(MATCH(C250,InCats,0))),"OK","Category not on Settings (counted as Other)")))</f>
        <v/>
      </c>
      <c r="R250">
        <f>IF(COUNTA(A250:I250)=0,"",IF(AND(ISNUMBER(F250),F250&gt;0,OR(ISNUMBER(D250),ISNUMBER(H250)),OR(D250="",ISNUMBER(D250)),OR(E250="",ISNUMBER(E250)),OR(G250="",ISNUMBER(G250)),OR(H250="",ISNUMBER(H250))),IF(N(G250)&gt;F250,0,1),0))</f>
        <v/>
      </c>
    </row>
    <row r="251">
      <c r="A251" s="29" t="n"/>
      <c r="B251" s="29" t="n"/>
      <c r="C251" s="29" t="n"/>
      <c r="D251" s="24" t="n"/>
      <c r="E251" s="26" t="n"/>
      <c r="F251" s="34" t="n"/>
      <c r="G251" s="34" t="n"/>
      <c r="H251" s="24" t="n"/>
      <c r="I251" s="29" t="n"/>
      <c r="J251" s="32">
        <f>IF(R251&lt;&gt;1,"",IF(ISNUMBER(D251),INT(D251)+IF(ISNUMBER(E251),INT(E251),DefTerms),""))</f>
        <v/>
      </c>
      <c r="K251" s="35">
        <f>IF(R251&lt;&gt;1,"",IF(ISNUMBER(H251),0,IF(AND(A251&lt;&gt;"",ISNUMBER(MATCH(A251,CustName,0))),IF(ISNUMBER(INDEX(CustLate,MATCH(A251,CustName,0))),INT(INDEX(CustLate,MATCH(A251,CustName,0))),DefLate),DefLate)))</f>
        <v/>
      </c>
      <c r="L251" s="32">
        <f>IF(R251&lt;&gt;1,"",IF(ISNUMBER(H251),INT(H251),J251+K251)+StressDays)</f>
        <v/>
      </c>
      <c r="M251" s="21">
        <f>IF(R251&lt;&gt;1,0,F251-N(G251))</f>
        <v/>
      </c>
      <c r="N251" s="35">
        <f>IF(OR(R251&lt;&gt;1,M251&lt;=0),"",IF(I251="Yes","",IF(L251&lt;W1,IF(OverdueW1="No","",1),IF(L251&lt;=W1+90,INT((L251-W1)/7)+1,""))))</f>
        <v/>
      </c>
      <c r="O251" s="36">
        <f>IF(ISNUMBER(N251),M251*CollectPct,0)</f>
        <v/>
      </c>
      <c r="P251" s="10">
        <f>IF(R251="","",IF(R251=0,"Not counted",IF(M251&lt;=0,"Paid",IF(I251="Yes","Doubtful (left out)",IF(L251&lt;W1,IF(OverdueW1="No","Overdue (left out)","Overdue → Week 1"),IF(L251&lt;=W1+90,"Week "&amp;N251,"After Week 13"))))))</f>
        <v/>
      </c>
      <c r="Q251" s="10">
        <f>IF(R251="","",IF(R251=0,IF(NOT(ISNUMBER(F251)),"Fix: amount missing",IF(F251&lt;=0,"Fix: amount must be above 0",IF(AND(NOT(ISNUMBER(D251)),NOT(ISNUMBER(H251))),"Fix: add an invoice date or a promised date",IF(AND(D251&lt;&gt;"",NOT(ISNUMBER(D251))),"Fix: invoice date isn't a date",IF(AND(E251&lt;&gt;"",NOT(ISNUMBER(E251))),"Fix: terms must be a number",IF(AND(G251&lt;&gt;"",NOT(ISNUMBER(G251))),"Fix: received must be a number",IF(AND(H251&lt;&gt;"",NOT(ISNUMBER(H251))),"Fix: promised date isn't a date","Fix: received is more than the amount"))))))),IF(AND(C251&lt;&gt;"",ISNUMBER(MATCH(C251,InCats,0))),"OK","Category not on Settings (counted as Other)")))</f>
        <v/>
      </c>
      <c r="R251">
        <f>IF(COUNTA(A251:I251)=0,"",IF(AND(ISNUMBER(F251),F251&gt;0,OR(ISNUMBER(D251),ISNUMBER(H251)),OR(D251="",ISNUMBER(D251)),OR(E251="",ISNUMBER(E251)),OR(G251="",ISNUMBER(G251)),OR(H251="",ISNUMBER(H251))),IF(N(G251)&gt;F251,0,1),0))</f>
        <v/>
      </c>
    </row>
    <row r="252">
      <c r="A252" s="29" t="n"/>
      <c r="B252" s="29" t="n"/>
      <c r="C252" s="29" t="n"/>
      <c r="D252" s="24" t="n"/>
      <c r="E252" s="26" t="n"/>
      <c r="F252" s="34" t="n"/>
      <c r="G252" s="34" t="n"/>
      <c r="H252" s="24" t="n"/>
      <c r="I252" s="29" t="n"/>
      <c r="J252" s="32">
        <f>IF(R252&lt;&gt;1,"",IF(ISNUMBER(D252),INT(D252)+IF(ISNUMBER(E252),INT(E252),DefTerms),""))</f>
        <v/>
      </c>
      <c r="K252" s="35">
        <f>IF(R252&lt;&gt;1,"",IF(ISNUMBER(H252),0,IF(AND(A252&lt;&gt;"",ISNUMBER(MATCH(A252,CustName,0))),IF(ISNUMBER(INDEX(CustLate,MATCH(A252,CustName,0))),INT(INDEX(CustLate,MATCH(A252,CustName,0))),DefLate),DefLate)))</f>
        <v/>
      </c>
      <c r="L252" s="32">
        <f>IF(R252&lt;&gt;1,"",IF(ISNUMBER(H252),INT(H252),J252+K252)+StressDays)</f>
        <v/>
      </c>
      <c r="M252" s="21">
        <f>IF(R252&lt;&gt;1,0,F252-N(G252))</f>
        <v/>
      </c>
      <c r="N252" s="35">
        <f>IF(OR(R252&lt;&gt;1,M252&lt;=0),"",IF(I252="Yes","",IF(L252&lt;W1,IF(OverdueW1="No","",1),IF(L252&lt;=W1+90,INT((L252-W1)/7)+1,""))))</f>
        <v/>
      </c>
      <c r="O252" s="36">
        <f>IF(ISNUMBER(N252),M252*CollectPct,0)</f>
        <v/>
      </c>
      <c r="P252" s="10">
        <f>IF(R252="","",IF(R252=0,"Not counted",IF(M252&lt;=0,"Paid",IF(I252="Yes","Doubtful (left out)",IF(L252&lt;W1,IF(OverdueW1="No","Overdue (left out)","Overdue → Week 1"),IF(L252&lt;=W1+90,"Week "&amp;N252,"After Week 13"))))))</f>
        <v/>
      </c>
      <c r="Q252" s="10">
        <f>IF(R252="","",IF(R252=0,IF(NOT(ISNUMBER(F252)),"Fix: amount missing",IF(F252&lt;=0,"Fix: amount must be above 0",IF(AND(NOT(ISNUMBER(D252)),NOT(ISNUMBER(H252))),"Fix: add an invoice date or a promised date",IF(AND(D252&lt;&gt;"",NOT(ISNUMBER(D252))),"Fix: invoice date isn't a date",IF(AND(E252&lt;&gt;"",NOT(ISNUMBER(E252))),"Fix: terms must be a number",IF(AND(G252&lt;&gt;"",NOT(ISNUMBER(G252))),"Fix: received must be a number",IF(AND(H252&lt;&gt;"",NOT(ISNUMBER(H252))),"Fix: promised date isn't a date","Fix: received is more than the amount"))))))),IF(AND(C252&lt;&gt;"",ISNUMBER(MATCH(C252,InCats,0))),"OK","Category not on Settings (counted as Other)")))</f>
        <v/>
      </c>
      <c r="R252">
        <f>IF(COUNTA(A252:I252)=0,"",IF(AND(ISNUMBER(F252),F252&gt;0,OR(ISNUMBER(D252),ISNUMBER(H252)),OR(D252="",ISNUMBER(D252)),OR(E252="",ISNUMBER(E252)),OR(G252="",ISNUMBER(G252)),OR(H252="",ISNUMBER(H252))),IF(N(G252)&gt;F252,0,1),0))</f>
        <v/>
      </c>
    </row>
    <row r="253">
      <c r="A253" s="29" t="n"/>
      <c r="B253" s="29" t="n"/>
      <c r="C253" s="29" t="n"/>
      <c r="D253" s="24" t="n"/>
      <c r="E253" s="26" t="n"/>
      <c r="F253" s="34" t="n"/>
      <c r="G253" s="34" t="n"/>
      <c r="H253" s="24" t="n"/>
      <c r="I253" s="29" t="n"/>
      <c r="J253" s="32">
        <f>IF(R253&lt;&gt;1,"",IF(ISNUMBER(D253),INT(D253)+IF(ISNUMBER(E253),INT(E253),DefTerms),""))</f>
        <v/>
      </c>
      <c r="K253" s="35">
        <f>IF(R253&lt;&gt;1,"",IF(ISNUMBER(H253),0,IF(AND(A253&lt;&gt;"",ISNUMBER(MATCH(A253,CustName,0))),IF(ISNUMBER(INDEX(CustLate,MATCH(A253,CustName,0))),INT(INDEX(CustLate,MATCH(A253,CustName,0))),DefLate),DefLate)))</f>
        <v/>
      </c>
      <c r="L253" s="32">
        <f>IF(R253&lt;&gt;1,"",IF(ISNUMBER(H253),INT(H253),J253+K253)+StressDays)</f>
        <v/>
      </c>
      <c r="M253" s="21">
        <f>IF(R253&lt;&gt;1,0,F253-N(G253))</f>
        <v/>
      </c>
      <c r="N253" s="35">
        <f>IF(OR(R253&lt;&gt;1,M253&lt;=0),"",IF(I253="Yes","",IF(L253&lt;W1,IF(OverdueW1="No","",1),IF(L253&lt;=W1+90,INT((L253-W1)/7)+1,""))))</f>
        <v/>
      </c>
      <c r="O253" s="36">
        <f>IF(ISNUMBER(N253),M253*CollectPct,0)</f>
        <v/>
      </c>
      <c r="P253" s="10">
        <f>IF(R253="","",IF(R253=0,"Not counted",IF(M253&lt;=0,"Paid",IF(I253="Yes","Doubtful (left out)",IF(L253&lt;W1,IF(OverdueW1="No","Overdue (left out)","Overdue → Week 1"),IF(L253&lt;=W1+90,"Week "&amp;N253,"After Week 13"))))))</f>
        <v/>
      </c>
      <c r="Q253" s="10">
        <f>IF(R253="","",IF(R253=0,IF(NOT(ISNUMBER(F253)),"Fix: amount missing",IF(F253&lt;=0,"Fix: amount must be above 0",IF(AND(NOT(ISNUMBER(D253)),NOT(ISNUMBER(H253))),"Fix: add an invoice date or a promised date",IF(AND(D253&lt;&gt;"",NOT(ISNUMBER(D253))),"Fix: invoice date isn't a date",IF(AND(E253&lt;&gt;"",NOT(ISNUMBER(E253))),"Fix: terms must be a number",IF(AND(G253&lt;&gt;"",NOT(ISNUMBER(G253))),"Fix: received must be a number",IF(AND(H253&lt;&gt;"",NOT(ISNUMBER(H253))),"Fix: promised date isn't a date","Fix: received is more than the amount"))))))),IF(AND(C253&lt;&gt;"",ISNUMBER(MATCH(C253,InCats,0))),"OK","Category not on Settings (counted as Other)")))</f>
        <v/>
      </c>
      <c r="R253">
        <f>IF(COUNTA(A253:I253)=0,"",IF(AND(ISNUMBER(F253),F253&gt;0,OR(ISNUMBER(D253),ISNUMBER(H253)),OR(D253="",ISNUMBER(D253)),OR(E253="",ISNUMBER(E253)),OR(G253="",ISNUMBER(G253)),OR(H253="",ISNUMBER(H253))),IF(N(G253)&gt;F253,0,1),0))</f>
        <v/>
      </c>
    </row>
    <row r="254">
      <c r="A254" s="29" t="n"/>
      <c r="B254" s="29" t="n"/>
      <c r="C254" s="29" t="n"/>
      <c r="D254" s="24" t="n"/>
      <c r="E254" s="26" t="n"/>
      <c r="F254" s="34" t="n"/>
      <c r="G254" s="34" t="n"/>
      <c r="H254" s="24" t="n"/>
      <c r="I254" s="29" t="n"/>
      <c r="J254" s="32">
        <f>IF(R254&lt;&gt;1,"",IF(ISNUMBER(D254),INT(D254)+IF(ISNUMBER(E254),INT(E254),DefTerms),""))</f>
        <v/>
      </c>
      <c r="K254" s="35">
        <f>IF(R254&lt;&gt;1,"",IF(ISNUMBER(H254),0,IF(AND(A254&lt;&gt;"",ISNUMBER(MATCH(A254,CustName,0))),IF(ISNUMBER(INDEX(CustLate,MATCH(A254,CustName,0))),INT(INDEX(CustLate,MATCH(A254,CustName,0))),DefLate),DefLate)))</f>
        <v/>
      </c>
      <c r="L254" s="32">
        <f>IF(R254&lt;&gt;1,"",IF(ISNUMBER(H254),INT(H254),J254+K254)+StressDays)</f>
        <v/>
      </c>
      <c r="M254" s="21">
        <f>IF(R254&lt;&gt;1,0,F254-N(G254))</f>
        <v/>
      </c>
      <c r="N254" s="35">
        <f>IF(OR(R254&lt;&gt;1,M254&lt;=0),"",IF(I254="Yes","",IF(L254&lt;W1,IF(OverdueW1="No","",1),IF(L254&lt;=W1+90,INT((L254-W1)/7)+1,""))))</f>
        <v/>
      </c>
      <c r="O254" s="36">
        <f>IF(ISNUMBER(N254),M254*CollectPct,0)</f>
        <v/>
      </c>
      <c r="P254" s="10">
        <f>IF(R254="","",IF(R254=0,"Not counted",IF(M254&lt;=0,"Paid",IF(I254="Yes","Doubtful (left out)",IF(L254&lt;W1,IF(OverdueW1="No","Overdue (left out)","Overdue → Week 1"),IF(L254&lt;=W1+90,"Week "&amp;N254,"After Week 13"))))))</f>
        <v/>
      </c>
      <c r="Q254" s="10">
        <f>IF(R254="","",IF(R254=0,IF(NOT(ISNUMBER(F254)),"Fix: amount missing",IF(F254&lt;=0,"Fix: amount must be above 0",IF(AND(NOT(ISNUMBER(D254)),NOT(ISNUMBER(H254))),"Fix: add an invoice date or a promised date",IF(AND(D254&lt;&gt;"",NOT(ISNUMBER(D254))),"Fix: invoice date isn't a date",IF(AND(E254&lt;&gt;"",NOT(ISNUMBER(E254))),"Fix: terms must be a number",IF(AND(G254&lt;&gt;"",NOT(ISNUMBER(G254))),"Fix: received must be a number",IF(AND(H254&lt;&gt;"",NOT(ISNUMBER(H254))),"Fix: promised date isn't a date","Fix: received is more than the amount"))))))),IF(AND(C254&lt;&gt;"",ISNUMBER(MATCH(C254,InCats,0))),"OK","Category not on Settings (counted as Other)")))</f>
        <v/>
      </c>
      <c r="R254">
        <f>IF(COUNTA(A254:I254)=0,"",IF(AND(ISNUMBER(F254),F254&gt;0,OR(ISNUMBER(D254),ISNUMBER(H254)),OR(D254="",ISNUMBER(D254)),OR(E254="",ISNUMBER(E254)),OR(G254="",ISNUMBER(G254)),OR(H254="",ISNUMBER(H254))),IF(N(G254)&gt;F254,0,1),0))</f>
        <v/>
      </c>
    </row>
    <row r="255">
      <c r="A255" s="29" t="n"/>
      <c r="B255" s="29" t="n"/>
      <c r="C255" s="29" t="n"/>
      <c r="D255" s="24" t="n"/>
      <c r="E255" s="26" t="n"/>
      <c r="F255" s="34" t="n"/>
      <c r="G255" s="34" t="n"/>
      <c r="H255" s="24" t="n"/>
      <c r="I255" s="29" t="n"/>
      <c r="J255" s="32">
        <f>IF(R255&lt;&gt;1,"",IF(ISNUMBER(D255),INT(D255)+IF(ISNUMBER(E255),INT(E255),DefTerms),""))</f>
        <v/>
      </c>
      <c r="K255" s="35">
        <f>IF(R255&lt;&gt;1,"",IF(ISNUMBER(H255),0,IF(AND(A255&lt;&gt;"",ISNUMBER(MATCH(A255,CustName,0))),IF(ISNUMBER(INDEX(CustLate,MATCH(A255,CustName,0))),INT(INDEX(CustLate,MATCH(A255,CustName,0))),DefLate),DefLate)))</f>
        <v/>
      </c>
      <c r="L255" s="32">
        <f>IF(R255&lt;&gt;1,"",IF(ISNUMBER(H255),INT(H255),J255+K255)+StressDays)</f>
        <v/>
      </c>
      <c r="M255" s="21">
        <f>IF(R255&lt;&gt;1,0,F255-N(G255))</f>
        <v/>
      </c>
      <c r="N255" s="35">
        <f>IF(OR(R255&lt;&gt;1,M255&lt;=0),"",IF(I255="Yes","",IF(L255&lt;W1,IF(OverdueW1="No","",1),IF(L255&lt;=W1+90,INT((L255-W1)/7)+1,""))))</f>
        <v/>
      </c>
      <c r="O255" s="36">
        <f>IF(ISNUMBER(N255),M255*CollectPct,0)</f>
        <v/>
      </c>
      <c r="P255" s="10">
        <f>IF(R255="","",IF(R255=0,"Not counted",IF(M255&lt;=0,"Paid",IF(I255="Yes","Doubtful (left out)",IF(L255&lt;W1,IF(OverdueW1="No","Overdue (left out)","Overdue → Week 1"),IF(L255&lt;=W1+90,"Week "&amp;N255,"After Week 13"))))))</f>
        <v/>
      </c>
      <c r="Q255" s="10">
        <f>IF(R255="","",IF(R255=0,IF(NOT(ISNUMBER(F255)),"Fix: amount missing",IF(F255&lt;=0,"Fix: amount must be above 0",IF(AND(NOT(ISNUMBER(D255)),NOT(ISNUMBER(H255))),"Fix: add an invoice date or a promised date",IF(AND(D255&lt;&gt;"",NOT(ISNUMBER(D255))),"Fix: invoice date isn't a date",IF(AND(E255&lt;&gt;"",NOT(ISNUMBER(E255))),"Fix: terms must be a number",IF(AND(G255&lt;&gt;"",NOT(ISNUMBER(G255))),"Fix: received must be a number",IF(AND(H255&lt;&gt;"",NOT(ISNUMBER(H255))),"Fix: promised date isn't a date","Fix: received is more than the amount"))))))),IF(AND(C255&lt;&gt;"",ISNUMBER(MATCH(C255,InCats,0))),"OK","Category not on Settings (counted as Other)")))</f>
        <v/>
      </c>
      <c r="R255">
        <f>IF(COUNTA(A255:I255)=0,"",IF(AND(ISNUMBER(F255),F255&gt;0,OR(ISNUMBER(D255),ISNUMBER(H255)),OR(D255="",ISNUMBER(D255)),OR(E255="",ISNUMBER(E255)),OR(G255="",ISNUMBER(G255)),OR(H255="",ISNUMBER(H255))),IF(N(G255)&gt;F255,0,1),0))</f>
        <v/>
      </c>
    </row>
    <row r="256">
      <c r="A256" s="29" t="n"/>
      <c r="B256" s="29" t="n"/>
      <c r="C256" s="29" t="n"/>
      <c r="D256" s="24" t="n"/>
      <c r="E256" s="26" t="n"/>
      <c r="F256" s="34" t="n"/>
      <c r="G256" s="34" t="n"/>
      <c r="H256" s="24" t="n"/>
      <c r="I256" s="29" t="n"/>
      <c r="J256" s="32">
        <f>IF(R256&lt;&gt;1,"",IF(ISNUMBER(D256),INT(D256)+IF(ISNUMBER(E256),INT(E256),DefTerms),""))</f>
        <v/>
      </c>
      <c r="K256" s="35">
        <f>IF(R256&lt;&gt;1,"",IF(ISNUMBER(H256),0,IF(AND(A256&lt;&gt;"",ISNUMBER(MATCH(A256,CustName,0))),IF(ISNUMBER(INDEX(CustLate,MATCH(A256,CustName,0))),INT(INDEX(CustLate,MATCH(A256,CustName,0))),DefLate),DefLate)))</f>
        <v/>
      </c>
      <c r="L256" s="32">
        <f>IF(R256&lt;&gt;1,"",IF(ISNUMBER(H256),INT(H256),J256+K256)+StressDays)</f>
        <v/>
      </c>
      <c r="M256" s="21">
        <f>IF(R256&lt;&gt;1,0,F256-N(G256))</f>
        <v/>
      </c>
      <c r="N256" s="35">
        <f>IF(OR(R256&lt;&gt;1,M256&lt;=0),"",IF(I256="Yes","",IF(L256&lt;W1,IF(OverdueW1="No","",1),IF(L256&lt;=W1+90,INT((L256-W1)/7)+1,""))))</f>
        <v/>
      </c>
      <c r="O256" s="36">
        <f>IF(ISNUMBER(N256),M256*CollectPct,0)</f>
        <v/>
      </c>
      <c r="P256" s="10">
        <f>IF(R256="","",IF(R256=0,"Not counted",IF(M256&lt;=0,"Paid",IF(I256="Yes","Doubtful (left out)",IF(L256&lt;W1,IF(OverdueW1="No","Overdue (left out)","Overdue → Week 1"),IF(L256&lt;=W1+90,"Week "&amp;N256,"After Week 13"))))))</f>
        <v/>
      </c>
      <c r="Q256" s="10">
        <f>IF(R256="","",IF(R256=0,IF(NOT(ISNUMBER(F256)),"Fix: amount missing",IF(F256&lt;=0,"Fix: amount must be above 0",IF(AND(NOT(ISNUMBER(D256)),NOT(ISNUMBER(H256))),"Fix: add an invoice date or a promised date",IF(AND(D256&lt;&gt;"",NOT(ISNUMBER(D256))),"Fix: invoice date isn't a date",IF(AND(E256&lt;&gt;"",NOT(ISNUMBER(E256))),"Fix: terms must be a number",IF(AND(G256&lt;&gt;"",NOT(ISNUMBER(G256))),"Fix: received must be a number",IF(AND(H256&lt;&gt;"",NOT(ISNUMBER(H256))),"Fix: promised date isn't a date","Fix: received is more than the amount"))))))),IF(AND(C256&lt;&gt;"",ISNUMBER(MATCH(C256,InCats,0))),"OK","Category not on Settings (counted as Other)")))</f>
        <v/>
      </c>
      <c r="R256">
        <f>IF(COUNTA(A256:I256)=0,"",IF(AND(ISNUMBER(F256),F256&gt;0,OR(ISNUMBER(D256),ISNUMBER(H256)),OR(D256="",ISNUMBER(D256)),OR(E256="",ISNUMBER(E256)),OR(G256="",ISNUMBER(G256)),OR(H256="",ISNUMBER(H256))),IF(N(G256)&gt;F256,0,1),0))</f>
        <v/>
      </c>
    </row>
    <row r="257">
      <c r="A257" s="29" t="n"/>
      <c r="B257" s="29" t="n"/>
      <c r="C257" s="29" t="n"/>
      <c r="D257" s="24" t="n"/>
      <c r="E257" s="26" t="n"/>
      <c r="F257" s="34" t="n"/>
      <c r="G257" s="34" t="n"/>
      <c r="H257" s="24" t="n"/>
      <c r="I257" s="29" t="n"/>
      <c r="J257" s="32">
        <f>IF(R257&lt;&gt;1,"",IF(ISNUMBER(D257),INT(D257)+IF(ISNUMBER(E257),INT(E257),DefTerms),""))</f>
        <v/>
      </c>
      <c r="K257" s="35">
        <f>IF(R257&lt;&gt;1,"",IF(ISNUMBER(H257),0,IF(AND(A257&lt;&gt;"",ISNUMBER(MATCH(A257,CustName,0))),IF(ISNUMBER(INDEX(CustLate,MATCH(A257,CustName,0))),INT(INDEX(CustLate,MATCH(A257,CustName,0))),DefLate),DefLate)))</f>
        <v/>
      </c>
      <c r="L257" s="32">
        <f>IF(R257&lt;&gt;1,"",IF(ISNUMBER(H257),INT(H257),J257+K257)+StressDays)</f>
        <v/>
      </c>
      <c r="M257" s="21">
        <f>IF(R257&lt;&gt;1,0,F257-N(G257))</f>
        <v/>
      </c>
      <c r="N257" s="35">
        <f>IF(OR(R257&lt;&gt;1,M257&lt;=0),"",IF(I257="Yes","",IF(L257&lt;W1,IF(OverdueW1="No","",1),IF(L257&lt;=W1+90,INT((L257-W1)/7)+1,""))))</f>
        <v/>
      </c>
      <c r="O257" s="36">
        <f>IF(ISNUMBER(N257),M257*CollectPct,0)</f>
        <v/>
      </c>
      <c r="P257" s="10">
        <f>IF(R257="","",IF(R257=0,"Not counted",IF(M257&lt;=0,"Paid",IF(I257="Yes","Doubtful (left out)",IF(L257&lt;W1,IF(OverdueW1="No","Overdue (left out)","Overdue → Week 1"),IF(L257&lt;=W1+90,"Week "&amp;N257,"After Week 13"))))))</f>
        <v/>
      </c>
      <c r="Q257" s="10">
        <f>IF(R257="","",IF(R257=0,IF(NOT(ISNUMBER(F257)),"Fix: amount missing",IF(F257&lt;=0,"Fix: amount must be above 0",IF(AND(NOT(ISNUMBER(D257)),NOT(ISNUMBER(H257))),"Fix: add an invoice date or a promised date",IF(AND(D257&lt;&gt;"",NOT(ISNUMBER(D257))),"Fix: invoice date isn't a date",IF(AND(E257&lt;&gt;"",NOT(ISNUMBER(E257))),"Fix: terms must be a number",IF(AND(G257&lt;&gt;"",NOT(ISNUMBER(G257))),"Fix: received must be a number",IF(AND(H257&lt;&gt;"",NOT(ISNUMBER(H257))),"Fix: promised date isn't a date","Fix: received is more than the amount"))))))),IF(AND(C257&lt;&gt;"",ISNUMBER(MATCH(C257,InCats,0))),"OK","Category not on Settings (counted as Other)")))</f>
        <v/>
      </c>
      <c r="R257">
        <f>IF(COUNTA(A257:I257)=0,"",IF(AND(ISNUMBER(F257),F257&gt;0,OR(ISNUMBER(D257),ISNUMBER(H257)),OR(D257="",ISNUMBER(D257)),OR(E257="",ISNUMBER(E257)),OR(G257="",ISNUMBER(G257)),OR(H257="",ISNUMBER(H257))),IF(N(G257)&gt;F257,0,1),0))</f>
        <v/>
      </c>
    </row>
    <row r="258">
      <c r="A258" s="29" t="n"/>
      <c r="B258" s="29" t="n"/>
      <c r="C258" s="29" t="n"/>
      <c r="D258" s="24" t="n"/>
      <c r="E258" s="26" t="n"/>
      <c r="F258" s="34" t="n"/>
      <c r="G258" s="34" t="n"/>
      <c r="H258" s="24" t="n"/>
      <c r="I258" s="29" t="n"/>
      <c r="J258" s="32">
        <f>IF(R258&lt;&gt;1,"",IF(ISNUMBER(D258),INT(D258)+IF(ISNUMBER(E258),INT(E258),DefTerms),""))</f>
        <v/>
      </c>
      <c r="K258" s="35">
        <f>IF(R258&lt;&gt;1,"",IF(ISNUMBER(H258),0,IF(AND(A258&lt;&gt;"",ISNUMBER(MATCH(A258,CustName,0))),IF(ISNUMBER(INDEX(CustLate,MATCH(A258,CustName,0))),INT(INDEX(CustLate,MATCH(A258,CustName,0))),DefLate),DefLate)))</f>
        <v/>
      </c>
      <c r="L258" s="32">
        <f>IF(R258&lt;&gt;1,"",IF(ISNUMBER(H258),INT(H258),J258+K258)+StressDays)</f>
        <v/>
      </c>
      <c r="M258" s="21">
        <f>IF(R258&lt;&gt;1,0,F258-N(G258))</f>
        <v/>
      </c>
      <c r="N258" s="35">
        <f>IF(OR(R258&lt;&gt;1,M258&lt;=0),"",IF(I258="Yes","",IF(L258&lt;W1,IF(OverdueW1="No","",1),IF(L258&lt;=W1+90,INT((L258-W1)/7)+1,""))))</f>
        <v/>
      </c>
      <c r="O258" s="36">
        <f>IF(ISNUMBER(N258),M258*CollectPct,0)</f>
        <v/>
      </c>
      <c r="P258" s="10">
        <f>IF(R258="","",IF(R258=0,"Not counted",IF(M258&lt;=0,"Paid",IF(I258="Yes","Doubtful (left out)",IF(L258&lt;W1,IF(OverdueW1="No","Overdue (left out)","Overdue → Week 1"),IF(L258&lt;=W1+90,"Week "&amp;N258,"After Week 13"))))))</f>
        <v/>
      </c>
      <c r="Q258" s="10">
        <f>IF(R258="","",IF(R258=0,IF(NOT(ISNUMBER(F258)),"Fix: amount missing",IF(F258&lt;=0,"Fix: amount must be above 0",IF(AND(NOT(ISNUMBER(D258)),NOT(ISNUMBER(H258))),"Fix: add an invoice date or a promised date",IF(AND(D258&lt;&gt;"",NOT(ISNUMBER(D258))),"Fix: invoice date isn't a date",IF(AND(E258&lt;&gt;"",NOT(ISNUMBER(E258))),"Fix: terms must be a number",IF(AND(G258&lt;&gt;"",NOT(ISNUMBER(G258))),"Fix: received must be a number",IF(AND(H258&lt;&gt;"",NOT(ISNUMBER(H258))),"Fix: promised date isn't a date","Fix: received is more than the amount"))))))),IF(AND(C258&lt;&gt;"",ISNUMBER(MATCH(C258,InCats,0))),"OK","Category not on Settings (counted as Other)")))</f>
        <v/>
      </c>
      <c r="R258">
        <f>IF(COUNTA(A258:I258)=0,"",IF(AND(ISNUMBER(F258),F258&gt;0,OR(ISNUMBER(D258),ISNUMBER(H258)),OR(D258="",ISNUMBER(D258)),OR(E258="",ISNUMBER(E258)),OR(G258="",ISNUMBER(G258)),OR(H258="",ISNUMBER(H258))),IF(N(G258)&gt;F258,0,1),0))</f>
        <v/>
      </c>
    </row>
    <row r="259">
      <c r="A259" s="29" t="n"/>
      <c r="B259" s="29" t="n"/>
      <c r="C259" s="29" t="n"/>
      <c r="D259" s="24" t="n"/>
      <c r="E259" s="26" t="n"/>
      <c r="F259" s="34" t="n"/>
      <c r="G259" s="34" t="n"/>
      <c r="H259" s="24" t="n"/>
      <c r="I259" s="29" t="n"/>
      <c r="J259" s="32">
        <f>IF(R259&lt;&gt;1,"",IF(ISNUMBER(D259),INT(D259)+IF(ISNUMBER(E259),INT(E259),DefTerms),""))</f>
        <v/>
      </c>
      <c r="K259" s="35">
        <f>IF(R259&lt;&gt;1,"",IF(ISNUMBER(H259),0,IF(AND(A259&lt;&gt;"",ISNUMBER(MATCH(A259,CustName,0))),IF(ISNUMBER(INDEX(CustLate,MATCH(A259,CustName,0))),INT(INDEX(CustLate,MATCH(A259,CustName,0))),DefLate),DefLate)))</f>
        <v/>
      </c>
      <c r="L259" s="32">
        <f>IF(R259&lt;&gt;1,"",IF(ISNUMBER(H259),INT(H259),J259+K259)+StressDays)</f>
        <v/>
      </c>
      <c r="M259" s="21">
        <f>IF(R259&lt;&gt;1,0,F259-N(G259))</f>
        <v/>
      </c>
      <c r="N259" s="35">
        <f>IF(OR(R259&lt;&gt;1,M259&lt;=0),"",IF(I259="Yes","",IF(L259&lt;W1,IF(OverdueW1="No","",1),IF(L259&lt;=W1+90,INT((L259-W1)/7)+1,""))))</f>
        <v/>
      </c>
      <c r="O259" s="36">
        <f>IF(ISNUMBER(N259),M259*CollectPct,0)</f>
        <v/>
      </c>
      <c r="P259" s="10">
        <f>IF(R259="","",IF(R259=0,"Not counted",IF(M259&lt;=0,"Paid",IF(I259="Yes","Doubtful (left out)",IF(L259&lt;W1,IF(OverdueW1="No","Overdue (left out)","Overdue → Week 1"),IF(L259&lt;=W1+90,"Week "&amp;N259,"After Week 13"))))))</f>
        <v/>
      </c>
      <c r="Q259" s="10">
        <f>IF(R259="","",IF(R259=0,IF(NOT(ISNUMBER(F259)),"Fix: amount missing",IF(F259&lt;=0,"Fix: amount must be above 0",IF(AND(NOT(ISNUMBER(D259)),NOT(ISNUMBER(H259))),"Fix: add an invoice date or a promised date",IF(AND(D259&lt;&gt;"",NOT(ISNUMBER(D259))),"Fix: invoice date isn't a date",IF(AND(E259&lt;&gt;"",NOT(ISNUMBER(E259))),"Fix: terms must be a number",IF(AND(G259&lt;&gt;"",NOT(ISNUMBER(G259))),"Fix: received must be a number",IF(AND(H259&lt;&gt;"",NOT(ISNUMBER(H259))),"Fix: promised date isn't a date","Fix: received is more than the amount"))))))),IF(AND(C259&lt;&gt;"",ISNUMBER(MATCH(C259,InCats,0))),"OK","Category not on Settings (counted as Other)")))</f>
        <v/>
      </c>
      <c r="R259">
        <f>IF(COUNTA(A259:I259)=0,"",IF(AND(ISNUMBER(F259),F259&gt;0,OR(ISNUMBER(D259),ISNUMBER(H259)),OR(D259="",ISNUMBER(D259)),OR(E259="",ISNUMBER(E259)),OR(G259="",ISNUMBER(G259)),OR(H259="",ISNUMBER(H259))),IF(N(G259)&gt;F259,0,1),0))</f>
        <v/>
      </c>
    </row>
    <row r="260">
      <c r="A260" s="29" t="n"/>
      <c r="B260" s="29" t="n"/>
      <c r="C260" s="29" t="n"/>
      <c r="D260" s="24" t="n"/>
      <c r="E260" s="26" t="n"/>
      <c r="F260" s="34" t="n"/>
      <c r="G260" s="34" t="n"/>
      <c r="H260" s="24" t="n"/>
      <c r="I260" s="29" t="n"/>
      <c r="J260" s="32">
        <f>IF(R260&lt;&gt;1,"",IF(ISNUMBER(D260),INT(D260)+IF(ISNUMBER(E260),INT(E260),DefTerms),""))</f>
        <v/>
      </c>
      <c r="K260" s="35">
        <f>IF(R260&lt;&gt;1,"",IF(ISNUMBER(H260),0,IF(AND(A260&lt;&gt;"",ISNUMBER(MATCH(A260,CustName,0))),IF(ISNUMBER(INDEX(CustLate,MATCH(A260,CustName,0))),INT(INDEX(CustLate,MATCH(A260,CustName,0))),DefLate),DefLate)))</f>
        <v/>
      </c>
      <c r="L260" s="32">
        <f>IF(R260&lt;&gt;1,"",IF(ISNUMBER(H260),INT(H260),J260+K260)+StressDays)</f>
        <v/>
      </c>
      <c r="M260" s="21">
        <f>IF(R260&lt;&gt;1,0,F260-N(G260))</f>
        <v/>
      </c>
      <c r="N260" s="35">
        <f>IF(OR(R260&lt;&gt;1,M260&lt;=0),"",IF(I260="Yes","",IF(L260&lt;W1,IF(OverdueW1="No","",1),IF(L260&lt;=W1+90,INT((L260-W1)/7)+1,""))))</f>
        <v/>
      </c>
      <c r="O260" s="36">
        <f>IF(ISNUMBER(N260),M260*CollectPct,0)</f>
        <v/>
      </c>
      <c r="P260" s="10">
        <f>IF(R260="","",IF(R260=0,"Not counted",IF(M260&lt;=0,"Paid",IF(I260="Yes","Doubtful (left out)",IF(L260&lt;W1,IF(OverdueW1="No","Overdue (left out)","Overdue → Week 1"),IF(L260&lt;=W1+90,"Week "&amp;N260,"After Week 13"))))))</f>
        <v/>
      </c>
      <c r="Q260" s="10">
        <f>IF(R260="","",IF(R260=0,IF(NOT(ISNUMBER(F260)),"Fix: amount missing",IF(F260&lt;=0,"Fix: amount must be above 0",IF(AND(NOT(ISNUMBER(D260)),NOT(ISNUMBER(H260))),"Fix: add an invoice date or a promised date",IF(AND(D260&lt;&gt;"",NOT(ISNUMBER(D260))),"Fix: invoice date isn't a date",IF(AND(E260&lt;&gt;"",NOT(ISNUMBER(E260))),"Fix: terms must be a number",IF(AND(G260&lt;&gt;"",NOT(ISNUMBER(G260))),"Fix: received must be a number",IF(AND(H260&lt;&gt;"",NOT(ISNUMBER(H260))),"Fix: promised date isn't a date","Fix: received is more than the amount"))))))),IF(AND(C260&lt;&gt;"",ISNUMBER(MATCH(C260,InCats,0))),"OK","Category not on Settings (counted as Other)")))</f>
        <v/>
      </c>
      <c r="R260">
        <f>IF(COUNTA(A260:I260)=0,"",IF(AND(ISNUMBER(F260),F260&gt;0,OR(ISNUMBER(D260),ISNUMBER(H260)),OR(D260="",ISNUMBER(D260)),OR(E260="",ISNUMBER(E260)),OR(G260="",ISNUMBER(G260)),OR(H260="",ISNUMBER(H260))),IF(N(G260)&gt;F260,0,1),0))</f>
        <v/>
      </c>
    </row>
    <row r="261">
      <c r="A261" s="29" t="n"/>
      <c r="B261" s="29" t="n"/>
      <c r="C261" s="29" t="n"/>
      <c r="D261" s="24" t="n"/>
      <c r="E261" s="26" t="n"/>
      <c r="F261" s="34" t="n"/>
      <c r="G261" s="34" t="n"/>
      <c r="H261" s="24" t="n"/>
      <c r="I261" s="29" t="n"/>
      <c r="J261" s="32">
        <f>IF(R261&lt;&gt;1,"",IF(ISNUMBER(D261),INT(D261)+IF(ISNUMBER(E261),INT(E261),DefTerms),""))</f>
        <v/>
      </c>
      <c r="K261" s="35">
        <f>IF(R261&lt;&gt;1,"",IF(ISNUMBER(H261),0,IF(AND(A261&lt;&gt;"",ISNUMBER(MATCH(A261,CustName,0))),IF(ISNUMBER(INDEX(CustLate,MATCH(A261,CustName,0))),INT(INDEX(CustLate,MATCH(A261,CustName,0))),DefLate),DefLate)))</f>
        <v/>
      </c>
      <c r="L261" s="32">
        <f>IF(R261&lt;&gt;1,"",IF(ISNUMBER(H261),INT(H261),J261+K261)+StressDays)</f>
        <v/>
      </c>
      <c r="M261" s="21">
        <f>IF(R261&lt;&gt;1,0,F261-N(G261))</f>
        <v/>
      </c>
      <c r="N261" s="35">
        <f>IF(OR(R261&lt;&gt;1,M261&lt;=0),"",IF(I261="Yes","",IF(L261&lt;W1,IF(OverdueW1="No","",1),IF(L261&lt;=W1+90,INT((L261-W1)/7)+1,""))))</f>
        <v/>
      </c>
      <c r="O261" s="36">
        <f>IF(ISNUMBER(N261),M261*CollectPct,0)</f>
        <v/>
      </c>
      <c r="P261" s="10">
        <f>IF(R261="","",IF(R261=0,"Not counted",IF(M261&lt;=0,"Paid",IF(I261="Yes","Doubtful (left out)",IF(L261&lt;W1,IF(OverdueW1="No","Overdue (left out)","Overdue → Week 1"),IF(L261&lt;=W1+90,"Week "&amp;N261,"After Week 13"))))))</f>
        <v/>
      </c>
      <c r="Q261" s="10">
        <f>IF(R261="","",IF(R261=0,IF(NOT(ISNUMBER(F261)),"Fix: amount missing",IF(F261&lt;=0,"Fix: amount must be above 0",IF(AND(NOT(ISNUMBER(D261)),NOT(ISNUMBER(H261))),"Fix: add an invoice date or a promised date",IF(AND(D261&lt;&gt;"",NOT(ISNUMBER(D261))),"Fix: invoice date isn't a date",IF(AND(E261&lt;&gt;"",NOT(ISNUMBER(E261))),"Fix: terms must be a number",IF(AND(G261&lt;&gt;"",NOT(ISNUMBER(G261))),"Fix: received must be a number",IF(AND(H261&lt;&gt;"",NOT(ISNUMBER(H261))),"Fix: promised date isn't a date","Fix: received is more than the amount"))))))),IF(AND(C261&lt;&gt;"",ISNUMBER(MATCH(C261,InCats,0))),"OK","Category not on Settings (counted as Other)")))</f>
        <v/>
      </c>
      <c r="R261">
        <f>IF(COUNTA(A261:I261)=0,"",IF(AND(ISNUMBER(F261),F261&gt;0,OR(ISNUMBER(D261),ISNUMBER(H261)),OR(D261="",ISNUMBER(D261)),OR(E261="",ISNUMBER(E261)),OR(G261="",ISNUMBER(G261)),OR(H261="",ISNUMBER(H261))),IF(N(G261)&gt;F261,0,1),0))</f>
        <v/>
      </c>
    </row>
    <row r="262">
      <c r="A262" s="29" t="n"/>
      <c r="B262" s="29" t="n"/>
      <c r="C262" s="29" t="n"/>
      <c r="D262" s="24" t="n"/>
      <c r="E262" s="26" t="n"/>
      <c r="F262" s="34" t="n"/>
      <c r="G262" s="34" t="n"/>
      <c r="H262" s="24" t="n"/>
      <c r="I262" s="29" t="n"/>
      <c r="J262" s="32">
        <f>IF(R262&lt;&gt;1,"",IF(ISNUMBER(D262),INT(D262)+IF(ISNUMBER(E262),INT(E262),DefTerms),""))</f>
        <v/>
      </c>
      <c r="K262" s="35">
        <f>IF(R262&lt;&gt;1,"",IF(ISNUMBER(H262),0,IF(AND(A262&lt;&gt;"",ISNUMBER(MATCH(A262,CustName,0))),IF(ISNUMBER(INDEX(CustLate,MATCH(A262,CustName,0))),INT(INDEX(CustLate,MATCH(A262,CustName,0))),DefLate),DefLate)))</f>
        <v/>
      </c>
      <c r="L262" s="32">
        <f>IF(R262&lt;&gt;1,"",IF(ISNUMBER(H262),INT(H262),J262+K262)+StressDays)</f>
        <v/>
      </c>
      <c r="M262" s="21">
        <f>IF(R262&lt;&gt;1,0,F262-N(G262))</f>
        <v/>
      </c>
      <c r="N262" s="35">
        <f>IF(OR(R262&lt;&gt;1,M262&lt;=0),"",IF(I262="Yes","",IF(L262&lt;W1,IF(OverdueW1="No","",1),IF(L262&lt;=W1+90,INT((L262-W1)/7)+1,""))))</f>
        <v/>
      </c>
      <c r="O262" s="36">
        <f>IF(ISNUMBER(N262),M262*CollectPct,0)</f>
        <v/>
      </c>
      <c r="P262" s="10">
        <f>IF(R262="","",IF(R262=0,"Not counted",IF(M262&lt;=0,"Paid",IF(I262="Yes","Doubtful (left out)",IF(L262&lt;W1,IF(OverdueW1="No","Overdue (left out)","Overdue → Week 1"),IF(L262&lt;=W1+90,"Week "&amp;N262,"After Week 13"))))))</f>
        <v/>
      </c>
      <c r="Q262" s="10">
        <f>IF(R262="","",IF(R262=0,IF(NOT(ISNUMBER(F262)),"Fix: amount missing",IF(F262&lt;=0,"Fix: amount must be above 0",IF(AND(NOT(ISNUMBER(D262)),NOT(ISNUMBER(H262))),"Fix: add an invoice date or a promised date",IF(AND(D262&lt;&gt;"",NOT(ISNUMBER(D262))),"Fix: invoice date isn't a date",IF(AND(E262&lt;&gt;"",NOT(ISNUMBER(E262))),"Fix: terms must be a number",IF(AND(G262&lt;&gt;"",NOT(ISNUMBER(G262))),"Fix: received must be a number",IF(AND(H262&lt;&gt;"",NOT(ISNUMBER(H262))),"Fix: promised date isn't a date","Fix: received is more than the amount"))))))),IF(AND(C262&lt;&gt;"",ISNUMBER(MATCH(C262,InCats,0))),"OK","Category not on Settings (counted as Other)")))</f>
        <v/>
      </c>
      <c r="R262">
        <f>IF(COUNTA(A262:I262)=0,"",IF(AND(ISNUMBER(F262),F262&gt;0,OR(ISNUMBER(D262),ISNUMBER(H262)),OR(D262="",ISNUMBER(D262)),OR(E262="",ISNUMBER(E262)),OR(G262="",ISNUMBER(G262)),OR(H262="",ISNUMBER(H262))),IF(N(G262)&gt;F262,0,1),0))</f>
        <v/>
      </c>
    </row>
    <row r="263">
      <c r="A263" s="29" t="n"/>
      <c r="B263" s="29" t="n"/>
      <c r="C263" s="29" t="n"/>
      <c r="D263" s="24" t="n"/>
      <c r="E263" s="26" t="n"/>
      <c r="F263" s="34" t="n"/>
      <c r="G263" s="34" t="n"/>
      <c r="H263" s="24" t="n"/>
      <c r="I263" s="29" t="n"/>
      <c r="J263" s="32">
        <f>IF(R263&lt;&gt;1,"",IF(ISNUMBER(D263),INT(D263)+IF(ISNUMBER(E263),INT(E263),DefTerms),""))</f>
        <v/>
      </c>
      <c r="K263" s="35">
        <f>IF(R263&lt;&gt;1,"",IF(ISNUMBER(H263),0,IF(AND(A263&lt;&gt;"",ISNUMBER(MATCH(A263,CustName,0))),IF(ISNUMBER(INDEX(CustLate,MATCH(A263,CustName,0))),INT(INDEX(CustLate,MATCH(A263,CustName,0))),DefLate),DefLate)))</f>
        <v/>
      </c>
      <c r="L263" s="32">
        <f>IF(R263&lt;&gt;1,"",IF(ISNUMBER(H263),INT(H263),J263+K263)+StressDays)</f>
        <v/>
      </c>
      <c r="M263" s="21">
        <f>IF(R263&lt;&gt;1,0,F263-N(G263))</f>
        <v/>
      </c>
      <c r="N263" s="35">
        <f>IF(OR(R263&lt;&gt;1,M263&lt;=0),"",IF(I263="Yes","",IF(L263&lt;W1,IF(OverdueW1="No","",1),IF(L263&lt;=W1+90,INT((L263-W1)/7)+1,""))))</f>
        <v/>
      </c>
      <c r="O263" s="36">
        <f>IF(ISNUMBER(N263),M263*CollectPct,0)</f>
        <v/>
      </c>
      <c r="P263" s="10">
        <f>IF(R263="","",IF(R263=0,"Not counted",IF(M263&lt;=0,"Paid",IF(I263="Yes","Doubtful (left out)",IF(L263&lt;W1,IF(OverdueW1="No","Overdue (left out)","Overdue → Week 1"),IF(L263&lt;=W1+90,"Week "&amp;N263,"After Week 13"))))))</f>
        <v/>
      </c>
      <c r="Q263" s="10">
        <f>IF(R263="","",IF(R263=0,IF(NOT(ISNUMBER(F263)),"Fix: amount missing",IF(F263&lt;=0,"Fix: amount must be above 0",IF(AND(NOT(ISNUMBER(D263)),NOT(ISNUMBER(H263))),"Fix: add an invoice date or a promised date",IF(AND(D263&lt;&gt;"",NOT(ISNUMBER(D263))),"Fix: invoice date isn't a date",IF(AND(E263&lt;&gt;"",NOT(ISNUMBER(E263))),"Fix: terms must be a number",IF(AND(G263&lt;&gt;"",NOT(ISNUMBER(G263))),"Fix: received must be a number",IF(AND(H263&lt;&gt;"",NOT(ISNUMBER(H263))),"Fix: promised date isn't a date","Fix: received is more than the amount"))))))),IF(AND(C263&lt;&gt;"",ISNUMBER(MATCH(C263,InCats,0))),"OK","Category not on Settings (counted as Other)")))</f>
        <v/>
      </c>
      <c r="R263">
        <f>IF(COUNTA(A263:I263)=0,"",IF(AND(ISNUMBER(F263),F263&gt;0,OR(ISNUMBER(D263),ISNUMBER(H263)),OR(D263="",ISNUMBER(D263)),OR(E263="",ISNUMBER(E263)),OR(G263="",ISNUMBER(G263)),OR(H263="",ISNUMBER(H263))),IF(N(G263)&gt;F263,0,1),0))</f>
        <v/>
      </c>
    </row>
    <row r="264">
      <c r="A264" s="29" t="n"/>
      <c r="B264" s="29" t="n"/>
      <c r="C264" s="29" t="n"/>
      <c r="D264" s="24" t="n"/>
      <c r="E264" s="26" t="n"/>
      <c r="F264" s="34" t="n"/>
      <c r="G264" s="34" t="n"/>
      <c r="H264" s="24" t="n"/>
      <c r="I264" s="29" t="n"/>
      <c r="J264" s="32">
        <f>IF(R264&lt;&gt;1,"",IF(ISNUMBER(D264),INT(D264)+IF(ISNUMBER(E264),INT(E264),DefTerms),""))</f>
        <v/>
      </c>
      <c r="K264" s="35">
        <f>IF(R264&lt;&gt;1,"",IF(ISNUMBER(H264),0,IF(AND(A264&lt;&gt;"",ISNUMBER(MATCH(A264,CustName,0))),IF(ISNUMBER(INDEX(CustLate,MATCH(A264,CustName,0))),INT(INDEX(CustLate,MATCH(A264,CustName,0))),DefLate),DefLate)))</f>
        <v/>
      </c>
      <c r="L264" s="32">
        <f>IF(R264&lt;&gt;1,"",IF(ISNUMBER(H264),INT(H264),J264+K264)+StressDays)</f>
        <v/>
      </c>
      <c r="M264" s="21">
        <f>IF(R264&lt;&gt;1,0,F264-N(G264))</f>
        <v/>
      </c>
      <c r="N264" s="35">
        <f>IF(OR(R264&lt;&gt;1,M264&lt;=0),"",IF(I264="Yes","",IF(L264&lt;W1,IF(OverdueW1="No","",1),IF(L264&lt;=W1+90,INT((L264-W1)/7)+1,""))))</f>
        <v/>
      </c>
      <c r="O264" s="36">
        <f>IF(ISNUMBER(N264),M264*CollectPct,0)</f>
        <v/>
      </c>
      <c r="P264" s="10">
        <f>IF(R264="","",IF(R264=0,"Not counted",IF(M264&lt;=0,"Paid",IF(I264="Yes","Doubtful (left out)",IF(L264&lt;W1,IF(OverdueW1="No","Overdue (left out)","Overdue → Week 1"),IF(L264&lt;=W1+90,"Week "&amp;N264,"After Week 13"))))))</f>
        <v/>
      </c>
      <c r="Q264" s="10">
        <f>IF(R264="","",IF(R264=0,IF(NOT(ISNUMBER(F264)),"Fix: amount missing",IF(F264&lt;=0,"Fix: amount must be above 0",IF(AND(NOT(ISNUMBER(D264)),NOT(ISNUMBER(H264))),"Fix: add an invoice date or a promised date",IF(AND(D264&lt;&gt;"",NOT(ISNUMBER(D264))),"Fix: invoice date isn't a date",IF(AND(E264&lt;&gt;"",NOT(ISNUMBER(E264))),"Fix: terms must be a number",IF(AND(G264&lt;&gt;"",NOT(ISNUMBER(G264))),"Fix: received must be a number",IF(AND(H264&lt;&gt;"",NOT(ISNUMBER(H264))),"Fix: promised date isn't a date","Fix: received is more than the amount"))))))),IF(AND(C264&lt;&gt;"",ISNUMBER(MATCH(C264,InCats,0))),"OK","Category not on Settings (counted as Other)")))</f>
        <v/>
      </c>
      <c r="R264">
        <f>IF(COUNTA(A264:I264)=0,"",IF(AND(ISNUMBER(F264),F264&gt;0,OR(ISNUMBER(D264),ISNUMBER(H264)),OR(D264="",ISNUMBER(D264)),OR(E264="",ISNUMBER(E264)),OR(G264="",ISNUMBER(G264)),OR(H264="",ISNUMBER(H264))),IF(N(G264)&gt;F264,0,1),0))</f>
        <v/>
      </c>
    </row>
    <row r="265">
      <c r="A265" s="29" t="n"/>
      <c r="B265" s="29" t="n"/>
      <c r="C265" s="29" t="n"/>
      <c r="D265" s="24" t="n"/>
      <c r="E265" s="26" t="n"/>
      <c r="F265" s="34" t="n"/>
      <c r="G265" s="34" t="n"/>
      <c r="H265" s="24" t="n"/>
      <c r="I265" s="29" t="n"/>
      <c r="J265" s="32">
        <f>IF(R265&lt;&gt;1,"",IF(ISNUMBER(D265),INT(D265)+IF(ISNUMBER(E265),INT(E265),DefTerms),""))</f>
        <v/>
      </c>
      <c r="K265" s="35">
        <f>IF(R265&lt;&gt;1,"",IF(ISNUMBER(H265),0,IF(AND(A265&lt;&gt;"",ISNUMBER(MATCH(A265,CustName,0))),IF(ISNUMBER(INDEX(CustLate,MATCH(A265,CustName,0))),INT(INDEX(CustLate,MATCH(A265,CustName,0))),DefLate),DefLate)))</f>
        <v/>
      </c>
      <c r="L265" s="32">
        <f>IF(R265&lt;&gt;1,"",IF(ISNUMBER(H265),INT(H265),J265+K265)+StressDays)</f>
        <v/>
      </c>
      <c r="M265" s="21">
        <f>IF(R265&lt;&gt;1,0,F265-N(G265))</f>
        <v/>
      </c>
      <c r="N265" s="35">
        <f>IF(OR(R265&lt;&gt;1,M265&lt;=0),"",IF(I265="Yes","",IF(L265&lt;W1,IF(OverdueW1="No","",1),IF(L265&lt;=W1+90,INT((L265-W1)/7)+1,""))))</f>
        <v/>
      </c>
      <c r="O265" s="36">
        <f>IF(ISNUMBER(N265),M265*CollectPct,0)</f>
        <v/>
      </c>
      <c r="P265" s="10">
        <f>IF(R265="","",IF(R265=0,"Not counted",IF(M265&lt;=0,"Paid",IF(I265="Yes","Doubtful (left out)",IF(L265&lt;W1,IF(OverdueW1="No","Overdue (left out)","Overdue → Week 1"),IF(L265&lt;=W1+90,"Week "&amp;N265,"After Week 13"))))))</f>
        <v/>
      </c>
      <c r="Q265" s="10">
        <f>IF(R265="","",IF(R265=0,IF(NOT(ISNUMBER(F265)),"Fix: amount missing",IF(F265&lt;=0,"Fix: amount must be above 0",IF(AND(NOT(ISNUMBER(D265)),NOT(ISNUMBER(H265))),"Fix: add an invoice date or a promised date",IF(AND(D265&lt;&gt;"",NOT(ISNUMBER(D265))),"Fix: invoice date isn't a date",IF(AND(E265&lt;&gt;"",NOT(ISNUMBER(E265))),"Fix: terms must be a number",IF(AND(G265&lt;&gt;"",NOT(ISNUMBER(G265))),"Fix: received must be a number",IF(AND(H265&lt;&gt;"",NOT(ISNUMBER(H265))),"Fix: promised date isn't a date","Fix: received is more than the amount"))))))),IF(AND(C265&lt;&gt;"",ISNUMBER(MATCH(C265,InCats,0))),"OK","Category not on Settings (counted as Other)")))</f>
        <v/>
      </c>
      <c r="R265">
        <f>IF(COUNTA(A265:I265)=0,"",IF(AND(ISNUMBER(F265),F265&gt;0,OR(ISNUMBER(D265),ISNUMBER(H265)),OR(D265="",ISNUMBER(D265)),OR(E265="",ISNUMBER(E265)),OR(G265="",ISNUMBER(G265)),OR(H265="",ISNUMBER(H265))),IF(N(G265)&gt;F265,0,1),0))</f>
        <v/>
      </c>
    </row>
    <row r="266">
      <c r="A266" s="29" t="n"/>
      <c r="B266" s="29" t="n"/>
      <c r="C266" s="29" t="n"/>
      <c r="D266" s="24" t="n"/>
      <c r="E266" s="26" t="n"/>
      <c r="F266" s="34" t="n"/>
      <c r="G266" s="34" t="n"/>
      <c r="H266" s="24" t="n"/>
      <c r="I266" s="29" t="n"/>
      <c r="J266" s="32">
        <f>IF(R266&lt;&gt;1,"",IF(ISNUMBER(D266),INT(D266)+IF(ISNUMBER(E266),INT(E266),DefTerms),""))</f>
        <v/>
      </c>
      <c r="K266" s="35">
        <f>IF(R266&lt;&gt;1,"",IF(ISNUMBER(H266),0,IF(AND(A266&lt;&gt;"",ISNUMBER(MATCH(A266,CustName,0))),IF(ISNUMBER(INDEX(CustLate,MATCH(A266,CustName,0))),INT(INDEX(CustLate,MATCH(A266,CustName,0))),DefLate),DefLate)))</f>
        <v/>
      </c>
      <c r="L266" s="32">
        <f>IF(R266&lt;&gt;1,"",IF(ISNUMBER(H266),INT(H266),J266+K266)+StressDays)</f>
        <v/>
      </c>
      <c r="M266" s="21">
        <f>IF(R266&lt;&gt;1,0,F266-N(G266))</f>
        <v/>
      </c>
      <c r="N266" s="35">
        <f>IF(OR(R266&lt;&gt;1,M266&lt;=0),"",IF(I266="Yes","",IF(L266&lt;W1,IF(OverdueW1="No","",1),IF(L266&lt;=W1+90,INT((L266-W1)/7)+1,""))))</f>
        <v/>
      </c>
      <c r="O266" s="36">
        <f>IF(ISNUMBER(N266),M266*CollectPct,0)</f>
        <v/>
      </c>
      <c r="P266" s="10">
        <f>IF(R266="","",IF(R266=0,"Not counted",IF(M266&lt;=0,"Paid",IF(I266="Yes","Doubtful (left out)",IF(L266&lt;W1,IF(OverdueW1="No","Overdue (left out)","Overdue → Week 1"),IF(L266&lt;=W1+90,"Week "&amp;N266,"After Week 13"))))))</f>
        <v/>
      </c>
      <c r="Q266" s="10">
        <f>IF(R266="","",IF(R266=0,IF(NOT(ISNUMBER(F266)),"Fix: amount missing",IF(F266&lt;=0,"Fix: amount must be above 0",IF(AND(NOT(ISNUMBER(D266)),NOT(ISNUMBER(H266))),"Fix: add an invoice date or a promised date",IF(AND(D266&lt;&gt;"",NOT(ISNUMBER(D266))),"Fix: invoice date isn't a date",IF(AND(E266&lt;&gt;"",NOT(ISNUMBER(E266))),"Fix: terms must be a number",IF(AND(G266&lt;&gt;"",NOT(ISNUMBER(G266))),"Fix: received must be a number",IF(AND(H266&lt;&gt;"",NOT(ISNUMBER(H266))),"Fix: promised date isn't a date","Fix: received is more than the amount"))))))),IF(AND(C266&lt;&gt;"",ISNUMBER(MATCH(C266,InCats,0))),"OK","Category not on Settings (counted as Other)")))</f>
        <v/>
      </c>
      <c r="R266">
        <f>IF(COUNTA(A266:I266)=0,"",IF(AND(ISNUMBER(F266),F266&gt;0,OR(ISNUMBER(D266),ISNUMBER(H266)),OR(D266="",ISNUMBER(D266)),OR(E266="",ISNUMBER(E266)),OR(G266="",ISNUMBER(G266)),OR(H266="",ISNUMBER(H266))),IF(N(G266)&gt;F266,0,1),0))</f>
        <v/>
      </c>
    </row>
    <row r="267">
      <c r="A267" s="29" t="n"/>
      <c r="B267" s="29" t="n"/>
      <c r="C267" s="29" t="n"/>
      <c r="D267" s="24" t="n"/>
      <c r="E267" s="26" t="n"/>
      <c r="F267" s="34" t="n"/>
      <c r="G267" s="34" t="n"/>
      <c r="H267" s="24" t="n"/>
      <c r="I267" s="29" t="n"/>
      <c r="J267" s="32">
        <f>IF(R267&lt;&gt;1,"",IF(ISNUMBER(D267),INT(D267)+IF(ISNUMBER(E267),INT(E267),DefTerms),""))</f>
        <v/>
      </c>
      <c r="K267" s="35">
        <f>IF(R267&lt;&gt;1,"",IF(ISNUMBER(H267),0,IF(AND(A267&lt;&gt;"",ISNUMBER(MATCH(A267,CustName,0))),IF(ISNUMBER(INDEX(CustLate,MATCH(A267,CustName,0))),INT(INDEX(CustLate,MATCH(A267,CustName,0))),DefLate),DefLate)))</f>
        <v/>
      </c>
      <c r="L267" s="32">
        <f>IF(R267&lt;&gt;1,"",IF(ISNUMBER(H267),INT(H267),J267+K267)+StressDays)</f>
        <v/>
      </c>
      <c r="M267" s="21">
        <f>IF(R267&lt;&gt;1,0,F267-N(G267))</f>
        <v/>
      </c>
      <c r="N267" s="35">
        <f>IF(OR(R267&lt;&gt;1,M267&lt;=0),"",IF(I267="Yes","",IF(L267&lt;W1,IF(OverdueW1="No","",1),IF(L267&lt;=W1+90,INT((L267-W1)/7)+1,""))))</f>
        <v/>
      </c>
      <c r="O267" s="36">
        <f>IF(ISNUMBER(N267),M267*CollectPct,0)</f>
        <v/>
      </c>
      <c r="P267" s="10">
        <f>IF(R267="","",IF(R267=0,"Not counted",IF(M267&lt;=0,"Paid",IF(I267="Yes","Doubtful (left out)",IF(L267&lt;W1,IF(OverdueW1="No","Overdue (left out)","Overdue → Week 1"),IF(L267&lt;=W1+90,"Week "&amp;N267,"After Week 13"))))))</f>
        <v/>
      </c>
      <c r="Q267" s="10">
        <f>IF(R267="","",IF(R267=0,IF(NOT(ISNUMBER(F267)),"Fix: amount missing",IF(F267&lt;=0,"Fix: amount must be above 0",IF(AND(NOT(ISNUMBER(D267)),NOT(ISNUMBER(H267))),"Fix: add an invoice date or a promised date",IF(AND(D267&lt;&gt;"",NOT(ISNUMBER(D267))),"Fix: invoice date isn't a date",IF(AND(E267&lt;&gt;"",NOT(ISNUMBER(E267))),"Fix: terms must be a number",IF(AND(G267&lt;&gt;"",NOT(ISNUMBER(G267))),"Fix: received must be a number",IF(AND(H267&lt;&gt;"",NOT(ISNUMBER(H267))),"Fix: promised date isn't a date","Fix: received is more than the amount"))))))),IF(AND(C267&lt;&gt;"",ISNUMBER(MATCH(C267,InCats,0))),"OK","Category not on Settings (counted as Other)")))</f>
        <v/>
      </c>
      <c r="R267">
        <f>IF(COUNTA(A267:I267)=0,"",IF(AND(ISNUMBER(F267),F267&gt;0,OR(ISNUMBER(D267),ISNUMBER(H267)),OR(D267="",ISNUMBER(D267)),OR(E267="",ISNUMBER(E267)),OR(G267="",ISNUMBER(G267)),OR(H267="",ISNUMBER(H267))),IF(N(G267)&gt;F267,0,1),0))</f>
        <v/>
      </c>
    </row>
    <row r="268">
      <c r="A268" s="29" t="n"/>
      <c r="B268" s="29" t="n"/>
      <c r="C268" s="29" t="n"/>
      <c r="D268" s="24" t="n"/>
      <c r="E268" s="26" t="n"/>
      <c r="F268" s="34" t="n"/>
      <c r="G268" s="34" t="n"/>
      <c r="H268" s="24" t="n"/>
      <c r="I268" s="29" t="n"/>
      <c r="J268" s="32">
        <f>IF(R268&lt;&gt;1,"",IF(ISNUMBER(D268),INT(D268)+IF(ISNUMBER(E268),INT(E268),DefTerms),""))</f>
        <v/>
      </c>
      <c r="K268" s="35">
        <f>IF(R268&lt;&gt;1,"",IF(ISNUMBER(H268),0,IF(AND(A268&lt;&gt;"",ISNUMBER(MATCH(A268,CustName,0))),IF(ISNUMBER(INDEX(CustLate,MATCH(A268,CustName,0))),INT(INDEX(CustLate,MATCH(A268,CustName,0))),DefLate),DefLate)))</f>
        <v/>
      </c>
      <c r="L268" s="32">
        <f>IF(R268&lt;&gt;1,"",IF(ISNUMBER(H268),INT(H268),J268+K268)+StressDays)</f>
        <v/>
      </c>
      <c r="M268" s="21">
        <f>IF(R268&lt;&gt;1,0,F268-N(G268))</f>
        <v/>
      </c>
      <c r="N268" s="35">
        <f>IF(OR(R268&lt;&gt;1,M268&lt;=0),"",IF(I268="Yes","",IF(L268&lt;W1,IF(OverdueW1="No","",1),IF(L268&lt;=W1+90,INT((L268-W1)/7)+1,""))))</f>
        <v/>
      </c>
      <c r="O268" s="36">
        <f>IF(ISNUMBER(N268),M268*CollectPct,0)</f>
        <v/>
      </c>
      <c r="P268" s="10">
        <f>IF(R268="","",IF(R268=0,"Not counted",IF(M268&lt;=0,"Paid",IF(I268="Yes","Doubtful (left out)",IF(L268&lt;W1,IF(OverdueW1="No","Overdue (left out)","Overdue → Week 1"),IF(L268&lt;=W1+90,"Week "&amp;N268,"After Week 13"))))))</f>
        <v/>
      </c>
      <c r="Q268" s="10">
        <f>IF(R268="","",IF(R268=0,IF(NOT(ISNUMBER(F268)),"Fix: amount missing",IF(F268&lt;=0,"Fix: amount must be above 0",IF(AND(NOT(ISNUMBER(D268)),NOT(ISNUMBER(H268))),"Fix: add an invoice date or a promised date",IF(AND(D268&lt;&gt;"",NOT(ISNUMBER(D268))),"Fix: invoice date isn't a date",IF(AND(E268&lt;&gt;"",NOT(ISNUMBER(E268))),"Fix: terms must be a number",IF(AND(G268&lt;&gt;"",NOT(ISNUMBER(G268))),"Fix: received must be a number",IF(AND(H268&lt;&gt;"",NOT(ISNUMBER(H268))),"Fix: promised date isn't a date","Fix: received is more than the amount"))))))),IF(AND(C268&lt;&gt;"",ISNUMBER(MATCH(C268,InCats,0))),"OK","Category not on Settings (counted as Other)")))</f>
        <v/>
      </c>
      <c r="R268">
        <f>IF(COUNTA(A268:I268)=0,"",IF(AND(ISNUMBER(F268),F268&gt;0,OR(ISNUMBER(D268),ISNUMBER(H268)),OR(D268="",ISNUMBER(D268)),OR(E268="",ISNUMBER(E268)),OR(G268="",ISNUMBER(G268)),OR(H268="",ISNUMBER(H268))),IF(N(G268)&gt;F268,0,1),0))</f>
        <v/>
      </c>
    </row>
    <row r="269">
      <c r="A269" s="29" t="n"/>
      <c r="B269" s="29" t="n"/>
      <c r="C269" s="29" t="n"/>
      <c r="D269" s="24" t="n"/>
      <c r="E269" s="26" t="n"/>
      <c r="F269" s="34" t="n"/>
      <c r="G269" s="34" t="n"/>
      <c r="H269" s="24" t="n"/>
      <c r="I269" s="29" t="n"/>
      <c r="J269" s="32">
        <f>IF(R269&lt;&gt;1,"",IF(ISNUMBER(D269),INT(D269)+IF(ISNUMBER(E269),INT(E269),DefTerms),""))</f>
        <v/>
      </c>
      <c r="K269" s="35">
        <f>IF(R269&lt;&gt;1,"",IF(ISNUMBER(H269),0,IF(AND(A269&lt;&gt;"",ISNUMBER(MATCH(A269,CustName,0))),IF(ISNUMBER(INDEX(CustLate,MATCH(A269,CustName,0))),INT(INDEX(CustLate,MATCH(A269,CustName,0))),DefLate),DefLate)))</f>
        <v/>
      </c>
      <c r="L269" s="32">
        <f>IF(R269&lt;&gt;1,"",IF(ISNUMBER(H269),INT(H269),J269+K269)+StressDays)</f>
        <v/>
      </c>
      <c r="M269" s="21">
        <f>IF(R269&lt;&gt;1,0,F269-N(G269))</f>
        <v/>
      </c>
      <c r="N269" s="35">
        <f>IF(OR(R269&lt;&gt;1,M269&lt;=0),"",IF(I269="Yes","",IF(L269&lt;W1,IF(OverdueW1="No","",1),IF(L269&lt;=W1+90,INT((L269-W1)/7)+1,""))))</f>
        <v/>
      </c>
      <c r="O269" s="36">
        <f>IF(ISNUMBER(N269),M269*CollectPct,0)</f>
        <v/>
      </c>
      <c r="P269" s="10">
        <f>IF(R269="","",IF(R269=0,"Not counted",IF(M269&lt;=0,"Paid",IF(I269="Yes","Doubtful (left out)",IF(L269&lt;W1,IF(OverdueW1="No","Overdue (left out)","Overdue → Week 1"),IF(L269&lt;=W1+90,"Week "&amp;N269,"After Week 13"))))))</f>
        <v/>
      </c>
      <c r="Q269" s="10">
        <f>IF(R269="","",IF(R269=0,IF(NOT(ISNUMBER(F269)),"Fix: amount missing",IF(F269&lt;=0,"Fix: amount must be above 0",IF(AND(NOT(ISNUMBER(D269)),NOT(ISNUMBER(H269))),"Fix: add an invoice date or a promised date",IF(AND(D269&lt;&gt;"",NOT(ISNUMBER(D269))),"Fix: invoice date isn't a date",IF(AND(E269&lt;&gt;"",NOT(ISNUMBER(E269))),"Fix: terms must be a number",IF(AND(G269&lt;&gt;"",NOT(ISNUMBER(G269))),"Fix: received must be a number",IF(AND(H269&lt;&gt;"",NOT(ISNUMBER(H269))),"Fix: promised date isn't a date","Fix: received is more than the amount"))))))),IF(AND(C269&lt;&gt;"",ISNUMBER(MATCH(C269,InCats,0))),"OK","Category not on Settings (counted as Other)")))</f>
        <v/>
      </c>
      <c r="R269">
        <f>IF(COUNTA(A269:I269)=0,"",IF(AND(ISNUMBER(F269),F269&gt;0,OR(ISNUMBER(D269),ISNUMBER(H269)),OR(D269="",ISNUMBER(D269)),OR(E269="",ISNUMBER(E269)),OR(G269="",ISNUMBER(G269)),OR(H269="",ISNUMBER(H269))),IF(N(G269)&gt;F269,0,1),0))</f>
        <v/>
      </c>
    </row>
    <row r="270">
      <c r="A270" s="29" t="n"/>
      <c r="B270" s="29" t="n"/>
      <c r="C270" s="29" t="n"/>
      <c r="D270" s="24" t="n"/>
      <c r="E270" s="26" t="n"/>
      <c r="F270" s="34" t="n"/>
      <c r="G270" s="34" t="n"/>
      <c r="H270" s="24" t="n"/>
      <c r="I270" s="29" t="n"/>
      <c r="J270" s="32">
        <f>IF(R270&lt;&gt;1,"",IF(ISNUMBER(D270),INT(D270)+IF(ISNUMBER(E270),INT(E270),DefTerms),""))</f>
        <v/>
      </c>
      <c r="K270" s="35">
        <f>IF(R270&lt;&gt;1,"",IF(ISNUMBER(H270),0,IF(AND(A270&lt;&gt;"",ISNUMBER(MATCH(A270,CustName,0))),IF(ISNUMBER(INDEX(CustLate,MATCH(A270,CustName,0))),INT(INDEX(CustLate,MATCH(A270,CustName,0))),DefLate),DefLate)))</f>
        <v/>
      </c>
      <c r="L270" s="32">
        <f>IF(R270&lt;&gt;1,"",IF(ISNUMBER(H270),INT(H270),J270+K270)+StressDays)</f>
        <v/>
      </c>
      <c r="M270" s="21">
        <f>IF(R270&lt;&gt;1,0,F270-N(G270))</f>
        <v/>
      </c>
      <c r="N270" s="35">
        <f>IF(OR(R270&lt;&gt;1,M270&lt;=0),"",IF(I270="Yes","",IF(L270&lt;W1,IF(OverdueW1="No","",1),IF(L270&lt;=W1+90,INT((L270-W1)/7)+1,""))))</f>
        <v/>
      </c>
      <c r="O270" s="36">
        <f>IF(ISNUMBER(N270),M270*CollectPct,0)</f>
        <v/>
      </c>
      <c r="P270" s="10">
        <f>IF(R270="","",IF(R270=0,"Not counted",IF(M270&lt;=0,"Paid",IF(I270="Yes","Doubtful (left out)",IF(L270&lt;W1,IF(OverdueW1="No","Overdue (left out)","Overdue → Week 1"),IF(L270&lt;=W1+90,"Week "&amp;N270,"After Week 13"))))))</f>
        <v/>
      </c>
      <c r="Q270" s="10">
        <f>IF(R270="","",IF(R270=0,IF(NOT(ISNUMBER(F270)),"Fix: amount missing",IF(F270&lt;=0,"Fix: amount must be above 0",IF(AND(NOT(ISNUMBER(D270)),NOT(ISNUMBER(H270))),"Fix: add an invoice date or a promised date",IF(AND(D270&lt;&gt;"",NOT(ISNUMBER(D270))),"Fix: invoice date isn't a date",IF(AND(E270&lt;&gt;"",NOT(ISNUMBER(E270))),"Fix: terms must be a number",IF(AND(G270&lt;&gt;"",NOT(ISNUMBER(G270))),"Fix: received must be a number",IF(AND(H270&lt;&gt;"",NOT(ISNUMBER(H270))),"Fix: promised date isn't a date","Fix: received is more than the amount"))))))),IF(AND(C270&lt;&gt;"",ISNUMBER(MATCH(C270,InCats,0))),"OK","Category not on Settings (counted as Other)")))</f>
        <v/>
      </c>
      <c r="R270">
        <f>IF(COUNTA(A270:I270)=0,"",IF(AND(ISNUMBER(F270),F270&gt;0,OR(ISNUMBER(D270),ISNUMBER(H270)),OR(D270="",ISNUMBER(D270)),OR(E270="",ISNUMBER(E270)),OR(G270="",ISNUMBER(G270)),OR(H270="",ISNUMBER(H270))),IF(N(G270)&gt;F270,0,1),0))</f>
        <v/>
      </c>
    </row>
    <row r="271">
      <c r="A271" s="29" t="n"/>
      <c r="B271" s="29" t="n"/>
      <c r="C271" s="29" t="n"/>
      <c r="D271" s="24" t="n"/>
      <c r="E271" s="26" t="n"/>
      <c r="F271" s="34" t="n"/>
      <c r="G271" s="34" t="n"/>
      <c r="H271" s="24" t="n"/>
      <c r="I271" s="29" t="n"/>
      <c r="J271" s="32">
        <f>IF(R271&lt;&gt;1,"",IF(ISNUMBER(D271),INT(D271)+IF(ISNUMBER(E271),INT(E271),DefTerms),""))</f>
        <v/>
      </c>
      <c r="K271" s="35">
        <f>IF(R271&lt;&gt;1,"",IF(ISNUMBER(H271),0,IF(AND(A271&lt;&gt;"",ISNUMBER(MATCH(A271,CustName,0))),IF(ISNUMBER(INDEX(CustLate,MATCH(A271,CustName,0))),INT(INDEX(CustLate,MATCH(A271,CustName,0))),DefLate),DefLate)))</f>
        <v/>
      </c>
      <c r="L271" s="32">
        <f>IF(R271&lt;&gt;1,"",IF(ISNUMBER(H271),INT(H271),J271+K271)+StressDays)</f>
        <v/>
      </c>
      <c r="M271" s="21">
        <f>IF(R271&lt;&gt;1,0,F271-N(G271))</f>
        <v/>
      </c>
      <c r="N271" s="35">
        <f>IF(OR(R271&lt;&gt;1,M271&lt;=0),"",IF(I271="Yes","",IF(L271&lt;W1,IF(OverdueW1="No","",1),IF(L271&lt;=W1+90,INT((L271-W1)/7)+1,""))))</f>
        <v/>
      </c>
      <c r="O271" s="36">
        <f>IF(ISNUMBER(N271),M271*CollectPct,0)</f>
        <v/>
      </c>
      <c r="P271" s="10">
        <f>IF(R271="","",IF(R271=0,"Not counted",IF(M271&lt;=0,"Paid",IF(I271="Yes","Doubtful (left out)",IF(L271&lt;W1,IF(OverdueW1="No","Overdue (left out)","Overdue → Week 1"),IF(L271&lt;=W1+90,"Week "&amp;N271,"After Week 13"))))))</f>
        <v/>
      </c>
      <c r="Q271" s="10">
        <f>IF(R271="","",IF(R271=0,IF(NOT(ISNUMBER(F271)),"Fix: amount missing",IF(F271&lt;=0,"Fix: amount must be above 0",IF(AND(NOT(ISNUMBER(D271)),NOT(ISNUMBER(H271))),"Fix: add an invoice date or a promised date",IF(AND(D271&lt;&gt;"",NOT(ISNUMBER(D271))),"Fix: invoice date isn't a date",IF(AND(E271&lt;&gt;"",NOT(ISNUMBER(E271))),"Fix: terms must be a number",IF(AND(G271&lt;&gt;"",NOT(ISNUMBER(G271))),"Fix: received must be a number",IF(AND(H271&lt;&gt;"",NOT(ISNUMBER(H271))),"Fix: promised date isn't a date","Fix: received is more than the amount"))))))),IF(AND(C271&lt;&gt;"",ISNUMBER(MATCH(C271,InCats,0))),"OK","Category not on Settings (counted as Other)")))</f>
        <v/>
      </c>
      <c r="R271">
        <f>IF(COUNTA(A271:I271)=0,"",IF(AND(ISNUMBER(F271),F271&gt;0,OR(ISNUMBER(D271),ISNUMBER(H271)),OR(D271="",ISNUMBER(D271)),OR(E271="",ISNUMBER(E271)),OR(G271="",ISNUMBER(G271)),OR(H271="",ISNUMBER(H271))),IF(N(G271)&gt;F271,0,1),0))</f>
        <v/>
      </c>
    </row>
    <row r="272">
      <c r="A272" s="29" t="n"/>
      <c r="B272" s="29" t="n"/>
      <c r="C272" s="29" t="n"/>
      <c r="D272" s="24" t="n"/>
      <c r="E272" s="26" t="n"/>
      <c r="F272" s="34" t="n"/>
      <c r="G272" s="34" t="n"/>
      <c r="H272" s="24" t="n"/>
      <c r="I272" s="29" t="n"/>
      <c r="J272" s="32">
        <f>IF(R272&lt;&gt;1,"",IF(ISNUMBER(D272),INT(D272)+IF(ISNUMBER(E272),INT(E272),DefTerms),""))</f>
        <v/>
      </c>
      <c r="K272" s="35">
        <f>IF(R272&lt;&gt;1,"",IF(ISNUMBER(H272),0,IF(AND(A272&lt;&gt;"",ISNUMBER(MATCH(A272,CustName,0))),IF(ISNUMBER(INDEX(CustLate,MATCH(A272,CustName,0))),INT(INDEX(CustLate,MATCH(A272,CustName,0))),DefLate),DefLate)))</f>
        <v/>
      </c>
      <c r="L272" s="32">
        <f>IF(R272&lt;&gt;1,"",IF(ISNUMBER(H272),INT(H272),J272+K272)+StressDays)</f>
        <v/>
      </c>
      <c r="M272" s="21">
        <f>IF(R272&lt;&gt;1,0,F272-N(G272))</f>
        <v/>
      </c>
      <c r="N272" s="35">
        <f>IF(OR(R272&lt;&gt;1,M272&lt;=0),"",IF(I272="Yes","",IF(L272&lt;W1,IF(OverdueW1="No","",1),IF(L272&lt;=W1+90,INT((L272-W1)/7)+1,""))))</f>
        <v/>
      </c>
      <c r="O272" s="36">
        <f>IF(ISNUMBER(N272),M272*CollectPct,0)</f>
        <v/>
      </c>
      <c r="P272" s="10">
        <f>IF(R272="","",IF(R272=0,"Not counted",IF(M272&lt;=0,"Paid",IF(I272="Yes","Doubtful (left out)",IF(L272&lt;W1,IF(OverdueW1="No","Overdue (left out)","Overdue → Week 1"),IF(L272&lt;=W1+90,"Week "&amp;N272,"After Week 13"))))))</f>
        <v/>
      </c>
      <c r="Q272" s="10">
        <f>IF(R272="","",IF(R272=0,IF(NOT(ISNUMBER(F272)),"Fix: amount missing",IF(F272&lt;=0,"Fix: amount must be above 0",IF(AND(NOT(ISNUMBER(D272)),NOT(ISNUMBER(H272))),"Fix: add an invoice date or a promised date",IF(AND(D272&lt;&gt;"",NOT(ISNUMBER(D272))),"Fix: invoice date isn't a date",IF(AND(E272&lt;&gt;"",NOT(ISNUMBER(E272))),"Fix: terms must be a number",IF(AND(G272&lt;&gt;"",NOT(ISNUMBER(G272))),"Fix: received must be a number",IF(AND(H272&lt;&gt;"",NOT(ISNUMBER(H272))),"Fix: promised date isn't a date","Fix: received is more than the amount"))))))),IF(AND(C272&lt;&gt;"",ISNUMBER(MATCH(C272,InCats,0))),"OK","Category not on Settings (counted as Other)")))</f>
        <v/>
      </c>
      <c r="R272">
        <f>IF(COUNTA(A272:I272)=0,"",IF(AND(ISNUMBER(F272),F272&gt;0,OR(ISNUMBER(D272),ISNUMBER(H272)),OR(D272="",ISNUMBER(D272)),OR(E272="",ISNUMBER(E272)),OR(G272="",ISNUMBER(G272)),OR(H272="",ISNUMBER(H272))),IF(N(G272)&gt;F272,0,1),0))</f>
        <v/>
      </c>
    </row>
    <row r="273">
      <c r="A273" s="29" t="n"/>
      <c r="B273" s="29" t="n"/>
      <c r="C273" s="29" t="n"/>
      <c r="D273" s="24" t="n"/>
      <c r="E273" s="26" t="n"/>
      <c r="F273" s="34" t="n"/>
      <c r="G273" s="34" t="n"/>
      <c r="H273" s="24" t="n"/>
      <c r="I273" s="29" t="n"/>
      <c r="J273" s="32">
        <f>IF(R273&lt;&gt;1,"",IF(ISNUMBER(D273),INT(D273)+IF(ISNUMBER(E273),INT(E273),DefTerms),""))</f>
        <v/>
      </c>
      <c r="K273" s="35">
        <f>IF(R273&lt;&gt;1,"",IF(ISNUMBER(H273),0,IF(AND(A273&lt;&gt;"",ISNUMBER(MATCH(A273,CustName,0))),IF(ISNUMBER(INDEX(CustLate,MATCH(A273,CustName,0))),INT(INDEX(CustLate,MATCH(A273,CustName,0))),DefLate),DefLate)))</f>
        <v/>
      </c>
      <c r="L273" s="32">
        <f>IF(R273&lt;&gt;1,"",IF(ISNUMBER(H273),INT(H273),J273+K273)+StressDays)</f>
        <v/>
      </c>
      <c r="M273" s="21">
        <f>IF(R273&lt;&gt;1,0,F273-N(G273))</f>
        <v/>
      </c>
      <c r="N273" s="35">
        <f>IF(OR(R273&lt;&gt;1,M273&lt;=0),"",IF(I273="Yes","",IF(L273&lt;W1,IF(OverdueW1="No","",1),IF(L273&lt;=W1+90,INT((L273-W1)/7)+1,""))))</f>
        <v/>
      </c>
      <c r="O273" s="36">
        <f>IF(ISNUMBER(N273),M273*CollectPct,0)</f>
        <v/>
      </c>
      <c r="P273" s="10">
        <f>IF(R273="","",IF(R273=0,"Not counted",IF(M273&lt;=0,"Paid",IF(I273="Yes","Doubtful (left out)",IF(L273&lt;W1,IF(OverdueW1="No","Overdue (left out)","Overdue → Week 1"),IF(L273&lt;=W1+90,"Week "&amp;N273,"After Week 13"))))))</f>
        <v/>
      </c>
      <c r="Q273" s="10">
        <f>IF(R273="","",IF(R273=0,IF(NOT(ISNUMBER(F273)),"Fix: amount missing",IF(F273&lt;=0,"Fix: amount must be above 0",IF(AND(NOT(ISNUMBER(D273)),NOT(ISNUMBER(H273))),"Fix: add an invoice date or a promised date",IF(AND(D273&lt;&gt;"",NOT(ISNUMBER(D273))),"Fix: invoice date isn't a date",IF(AND(E273&lt;&gt;"",NOT(ISNUMBER(E273))),"Fix: terms must be a number",IF(AND(G273&lt;&gt;"",NOT(ISNUMBER(G273))),"Fix: received must be a number",IF(AND(H273&lt;&gt;"",NOT(ISNUMBER(H273))),"Fix: promised date isn't a date","Fix: received is more than the amount"))))))),IF(AND(C273&lt;&gt;"",ISNUMBER(MATCH(C273,InCats,0))),"OK","Category not on Settings (counted as Other)")))</f>
        <v/>
      </c>
      <c r="R273">
        <f>IF(COUNTA(A273:I273)=0,"",IF(AND(ISNUMBER(F273),F273&gt;0,OR(ISNUMBER(D273),ISNUMBER(H273)),OR(D273="",ISNUMBER(D273)),OR(E273="",ISNUMBER(E273)),OR(G273="",ISNUMBER(G273)),OR(H273="",ISNUMBER(H273))),IF(N(G273)&gt;F273,0,1),0))</f>
        <v/>
      </c>
    </row>
    <row r="274">
      <c r="A274" s="29" t="n"/>
      <c r="B274" s="29" t="n"/>
      <c r="C274" s="29" t="n"/>
      <c r="D274" s="24" t="n"/>
      <c r="E274" s="26" t="n"/>
      <c r="F274" s="34" t="n"/>
      <c r="G274" s="34" t="n"/>
      <c r="H274" s="24" t="n"/>
      <c r="I274" s="29" t="n"/>
      <c r="J274" s="32">
        <f>IF(R274&lt;&gt;1,"",IF(ISNUMBER(D274),INT(D274)+IF(ISNUMBER(E274),INT(E274),DefTerms),""))</f>
        <v/>
      </c>
      <c r="K274" s="35">
        <f>IF(R274&lt;&gt;1,"",IF(ISNUMBER(H274),0,IF(AND(A274&lt;&gt;"",ISNUMBER(MATCH(A274,CustName,0))),IF(ISNUMBER(INDEX(CustLate,MATCH(A274,CustName,0))),INT(INDEX(CustLate,MATCH(A274,CustName,0))),DefLate),DefLate)))</f>
        <v/>
      </c>
      <c r="L274" s="32">
        <f>IF(R274&lt;&gt;1,"",IF(ISNUMBER(H274),INT(H274),J274+K274)+StressDays)</f>
        <v/>
      </c>
      <c r="M274" s="21">
        <f>IF(R274&lt;&gt;1,0,F274-N(G274))</f>
        <v/>
      </c>
      <c r="N274" s="35">
        <f>IF(OR(R274&lt;&gt;1,M274&lt;=0),"",IF(I274="Yes","",IF(L274&lt;W1,IF(OverdueW1="No","",1),IF(L274&lt;=W1+90,INT((L274-W1)/7)+1,""))))</f>
        <v/>
      </c>
      <c r="O274" s="36">
        <f>IF(ISNUMBER(N274),M274*CollectPct,0)</f>
        <v/>
      </c>
      <c r="P274" s="10">
        <f>IF(R274="","",IF(R274=0,"Not counted",IF(M274&lt;=0,"Paid",IF(I274="Yes","Doubtful (left out)",IF(L274&lt;W1,IF(OverdueW1="No","Overdue (left out)","Overdue → Week 1"),IF(L274&lt;=W1+90,"Week "&amp;N274,"After Week 13"))))))</f>
        <v/>
      </c>
      <c r="Q274" s="10">
        <f>IF(R274="","",IF(R274=0,IF(NOT(ISNUMBER(F274)),"Fix: amount missing",IF(F274&lt;=0,"Fix: amount must be above 0",IF(AND(NOT(ISNUMBER(D274)),NOT(ISNUMBER(H274))),"Fix: add an invoice date or a promised date",IF(AND(D274&lt;&gt;"",NOT(ISNUMBER(D274))),"Fix: invoice date isn't a date",IF(AND(E274&lt;&gt;"",NOT(ISNUMBER(E274))),"Fix: terms must be a number",IF(AND(G274&lt;&gt;"",NOT(ISNUMBER(G274))),"Fix: received must be a number",IF(AND(H274&lt;&gt;"",NOT(ISNUMBER(H274))),"Fix: promised date isn't a date","Fix: received is more than the amount"))))))),IF(AND(C274&lt;&gt;"",ISNUMBER(MATCH(C274,InCats,0))),"OK","Category not on Settings (counted as Other)")))</f>
        <v/>
      </c>
      <c r="R274">
        <f>IF(COUNTA(A274:I274)=0,"",IF(AND(ISNUMBER(F274),F274&gt;0,OR(ISNUMBER(D274),ISNUMBER(H274)),OR(D274="",ISNUMBER(D274)),OR(E274="",ISNUMBER(E274)),OR(G274="",ISNUMBER(G274)),OR(H274="",ISNUMBER(H274))),IF(N(G274)&gt;F274,0,1),0))</f>
        <v/>
      </c>
    </row>
    <row r="275">
      <c r="A275" s="29" t="n"/>
      <c r="B275" s="29" t="n"/>
      <c r="C275" s="29" t="n"/>
      <c r="D275" s="24" t="n"/>
      <c r="E275" s="26" t="n"/>
      <c r="F275" s="34" t="n"/>
      <c r="G275" s="34" t="n"/>
      <c r="H275" s="24" t="n"/>
      <c r="I275" s="29" t="n"/>
      <c r="J275" s="32">
        <f>IF(R275&lt;&gt;1,"",IF(ISNUMBER(D275),INT(D275)+IF(ISNUMBER(E275),INT(E275),DefTerms),""))</f>
        <v/>
      </c>
      <c r="K275" s="35">
        <f>IF(R275&lt;&gt;1,"",IF(ISNUMBER(H275),0,IF(AND(A275&lt;&gt;"",ISNUMBER(MATCH(A275,CustName,0))),IF(ISNUMBER(INDEX(CustLate,MATCH(A275,CustName,0))),INT(INDEX(CustLate,MATCH(A275,CustName,0))),DefLate),DefLate)))</f>
        <v/>
      </c>
      <c r="L275" s="32">
        <f>IF(R275&lt;&gt;1,"",IF(ISNUMBER(H275),INT(H275),J275+K275)+StressDays)</f>
        <v/>
      </c>
      <c r="M275" s="21">
        <f>IF(R275&lt;&gt;1,0,F275-N(G275))</f>
        <v/>
      </c>
      <c r="N275" s="35">
        <f>IF(OR(R275&lt;&gt;1,M275&lt;=0),"",IF(I275="Yes","",IF(L275&lt;W1,IF(OverdueW1="No","",1),IF(L275&lt;=W1+90,INT((L275-W1)/7)+1,""))))</f>
        <v/>
      </c>
      <c r="O275" s="36">
        <f>IF(ISNUMBER(N275),M275*CollectPct,0)</f>
        <v/>
      </c>
      <c r="P275" s="10">
        <f>IF(R275="","",IF(R275=0,"Not counted",IF(M275&lt;=0,"Paid",IF(I275="Yes","Doubtful (left out)",IF(L275&lt;W1,IF(OverdueW1="No","Overdue (left out)","Overdue → Week 1"),IF(L275&lt;=W1+90,"Week "&amp;N275,"After Week 13"))))))</f>
        <v/>
      </c>
      <c r="Q275" s="10">
        <f>IF(R275="","",IF(R275=0,IF(NOT(ISNUMBER(F275)),"Fix: amount missing",IF(F275&lt;=0,"Fix: amount must be above 0",IF(AND(NOT(ISNUMBER(D275)),NOT(ISNUMBER(H275))),"Fix: add an invoice date or a promised date",IF(AND(D275&lt;&gt;"",NOT(ISNUMBER(D275))),"Fix: invoice date isn't a date",IF(AND(E275&lt;&gt;"",NOT(ISNUMBER(E275))),"Fix: terms must be a number",IF(AND(G275&lt;&gt;"",NOT(ISNUMBER(G275))),"Fix: received must be a number",IF(AND(H275&lt;&gt;"",NOT(ISNUMBER(H275))),"Fix: promised date isn't a date","Fix: received is more than the amount"))))))),IF(AND(C275&lt;&gt;"",ISNUMBER(MATCH(C275,InCats,0))),"OK","Category not on Settings (counted as Other)")))</f>
        <v/>
      </c>
      <c r="R275">
        <f>IF(COUNTA(A275:I275)=0,"",IF(AND(ISNUMBER(F275),F275&gt;0,OR(ISNUMBER(D275),ISNUMBER(H275)),OR(D275="",ISNUMBER(D275)),OR(E275="",ISNUMBER(E275)),OR(G275="",ISNUMBER(G275)),OR(H275="",ISNUMBER(H275))),IF(N(G275)&gt;F275,0,1),0))</f>
        <v/>
      </c>
    </row>
    <row r="276">
      <c r="A276" s="29" t="n"/>
      <c r="B276" s="29" t="n"/>
      <c r="C276" s="29" t="n"/>
      <c r="D276" s="24" t="n"/>
      <c r="E276" s="26" t="n"/>
      <c r="F276" s="34" t="n"/>
      <c r="G276" s="34" t="n"/>
      <c r="H276" s="24" t="n"/>
      <c r="I276" s="29" t="n"/>
      <c r="J276" s="32">
        <f>IF(R276&lt;&gt;1,"",IF(ISNUMBER(D276),INT(D276)+IF(ISNUMBER(E276),INT(E276),DefTerms),""))</f>
        <v/>
      </c>
      <c r="K276" s="35">
        <f>IF(R276&lt;&gt;1,"",IF(ISNUMBER(H276),0,IF(AND(A276&lt;&gt;"",ISNUMBER(MATCH(A276,CustName,0))),IF(ISNUMBER(INDEX(CustLate,MATCH(A276,CustName,0))),INT(INDEX(CustLate,MATCH(A276,CustName,0))),DefLate),DefLate)))</f>
        <v/>
      </c>
      <c r="L276" s="32">
        <f>IF(R276&lt;&gt;1,"",IF(ISNUMBER(H276),INT(H276),J276+K276)+StressDays)</f>
        <v/>
      </c>
      <c r="M276" s="21">
        <f>IF(R276&lt;&gt;1,0,F276-N(G276))</f>
        <v/>
      </c>
      <c r="N276" s="35">
        <f>IF(OR(R276&lt;&gt;1,M276&lt;=0),"",IF(I276="Yes","",IF(L276&lt;W1,IF(OverdueW1="No","",1),IF(L276&lt;=W1+90,INT((L276-W1)/7)+1,""))))</f>
        <v/>
      </c>
      <c r="O276" s="36">
        <f>IF(ISNUMBER(N276),M276*CollectPct,0)</f>
        <v/>
      </c>
      <c r="P276" s="10">
        <f>IF(R276="","",IF(R276=0,"Not counted",IF(M276&lt;=0,"Paid",IF(I276="Yes","Doubtful (left out)",IF(L276&lt;W1,IF(OverdueW1="No","Overdue (left out)","Overdue → Week 1"),IF(L276&lt;=W1+90,"Week "&amp;N276,"After Week 13"))))))</f>
        <v/>
      </c>
      <c r="Q276" s="10">
        <f>IF(R276="","",IF(R276=0,IF(NOT(ISNUMBER(F276)),"Fix: amount missing",IF(F276&lt;=0,"Fix: amount must be above 0",IF(AND(NOT(ISNUMBER(D276)),NOT(ISNUMBER(H276))),"Fix: add an invoice date or a promised date",IF(AND(D276&lt;&gt;"",NOT(ISNUMBER(D276))),"Fix: invoice date isn't a date",IF(AND(E276&lt;&gt;"",NOT(ISNUMBER(E276))),"Fix: terms must be a number",IF(AND(G276&lt;&gt;"",NOT(ISNUMBER(G276))),"Fix: received must be a number",IF(AND(H276&lt;&gt;"",NOT(ISNUMBER(H276))),"Fix: promised date isn't a date","Fix: received is more than the amount"))))))),IF(AND(C276&lt;&gt;"",ISNUMBER(MATCH(C276,InCats,0))),"OK","Category not on Settings (counted as Other)")))</f>
        <v/>
      </c>
      <c r="R276">
        <f>IF(COUNTA(A276:I276)=0,"",IF(AND(ISNUMBER(F276),F276&gt;0,OR(ISNUMBER(D276),ISNUMBER(H276)),OR(D276="",ISNUMBER(D276)),OR(E276="",ISNUMBER(E276)),OR(G276="",ISNUMBER(G276)),OR(H276="",ISNUMBER(H276))),IF(N(G276)&gt;F276,0,1),0))</f>
        <v/>
      </c>
    </row>
    <row r="277">
      <c r="A277" s="29" t="n"/>
      <c r="B277" s="29" t="n"/>
      <c r="C277" s="29" t="n"/>
      <c r="D277" s="24" t="n"/>
      <c r="E277" s="26" t="n"/>
      <c r="F277" s="34" t="n"/>
      <c r="G277" s="34" t="n"/>
      <c r="H277" s="24" t="n"/>
      <c r="I277" s="29" t="n"/>
      <c r="J277" s="32">
        <f>IF(R277&lt;&gt;1,"",IF(ISNUMBER(D277),INT(D277)+IF(ISNUMBER(E277),INT(E277),DefTerms),""))</f>
        <v/>
      </c>
      <c r="K277" s="35">
        <f>IF(R277&lt;&gt;1,"",IF(ISNUMBER(H277),0,IF(AND(A277&lt;&gt;"",ISNUMBER(MATCH(A277,CustName,0))),IF(ISNUMBER(INDEX(CustLate,MATCH(A277,CustName,0))),INT(INDEX(CustLate,MATCH(A277,CustName,0))),DefLate),DefLate)))</f>
        <v/>
      </c>
      <c r="L277" s="32">
        <f>IF(R277&lt;&gt;1,"",IF(ISNUMBER(H277),INT(H277),J277+K277)+StressDays)</f>
        <v/>
      </c>
      <c r="M277" s="21">
        <f>IF(R277&lt;&gt;1,0,F277-N(G277))</f>
        <v/>
      </c>
      <c r="N277" s="35">
        <f>IF(OR(R277&lt;&gt;1,M277&lt;=0),"",IF(I277="Yes","",IF(L277&lt;W1,IF(OverdueW1="No","",1),IF(L277&lt;=W1+90,INT((L277-W1)/7)+1,""))))</f>
        <v/>
      </c>
      <c r="O277" s="36">
        <f>IF(ISNUMBER(N277),M277*CollectPct,0)</f>
        <v/>
      </c>
      <c r="P277" s="10">
        <f>IF(R277="","",IF(R277=0,"Not counted",IF(M277&lt;=0,"Paid",IF(I277="Yes","Doubtful (left out)",IF(L277&lt;W1,IF(OverdueW1="No","Overdue (left out)","Overdue → Week 1"),IF(L277&lt;=W1+90,"Week "&amp;N277,"After Week 13"))))))</f>
        <v/>
      </c>
      <c r="Q277" s="10">
        <f>IF(R277="","",IF(R277=0,IF(NOT(ISNUMBER(F277)),"Fix: amount missing",IF(F277&lt;=0,"Fix: amount must be above 0",IF(AND(NOT(ISNUMBER(D277)),NOT(ISNUMBER(H277))),"Fix: add an invoice date or a promised date",IF(AND(D277&lt;&gt;"",NOT(ISNUMBER(D277))),"Fix: invoice date isn't a date",IF(AND(E277&lt;&gt;"",NOT(ISNUMBER(E277))),"Fix: terms must be a number",IF(AND(G277&lt;&gt;"",NOT(ISNUMBER(G277))),"Fix: received must be a number",IF(AND(H277&lt;&gt;"",NOT(ISNUMBER(H277))),"Fix: promised date isn't a date","Fix: received is more than the amount"))))))),IF(AND(C277&lt;&gt;"",ISNUMBER(MATCH(C277,InCats,0))),"OK","Category not on Settings (counted as Other)")))</f>
        <v/>
      </c>
      <c r="R277">
        <f>IF(COUNTA(A277:I277)=0,"",IF(AND(ISNUMBER(F277),F277&gt;0,OR(ISNUMBER(D277),ISNUMBER(H277)),OR(D277="",ISNUMBER(D277)),OR(E277="",ISNUMBER(E277)),OR(G277="",ISNUMBER(G277)),OR(H277="",ISNUMBER(H277))),IF(N(G277)&gt;F277,0,1),0))</f>
        <v/>
      </c>
    </row>
    <row r="278">
      <c r="A278" s="29" t="n"/>
      <c r="B278" s="29" t="n"/>
      <c r="C278" s="29" t="n"/>
      <c r="D278" s="24" t="n"/>
      <c r="E278" s="26" t="n"/>
      <c r="F278" s="34" t="n"/>
      <c r="G278" s="34" t="n"/>
      <c r="H278" s="24" t="n"/>
      <c r="I278" s="29" t="n"/>
      <c r="J278" s="32">
        <f>IF(R278&lt;&gt;1,"",IF(ISNUMBER(D278),INT(D278)+IF(ISNUMBER(E278),INT(E278),DefTerms),""))</f>
        <v/>
      </c>
      <c r="K278" s="35">
        <f>IF(R278&lt;&gt;1,"",IF(ISNUMBER(H278),0,IF(AND(A278&lt;&gt;"",ISNUMBER(MATCH(A278,CustName,0))),IF(ISNUMBER(INDEX(CustLate,MATCH(A278,CustName,0))),INT(INDEX(CustLate,MATCH(A278,CustName,0))),DefLate),DefLate)))</f>
        <v/>
      </c>
      <c r="L278" s="32">
        <f>IF(R278&lt;&gt;1,"",IF(ISNUMBER(H278),INT(H278),J278+K278)+StressDays)</f>
        <v/>
      </c>
      <c r="M278" s="21">
        <f>IF(R278&lt;&gt;1,0,F278-N(G278))</f>
        <v/>
      </c>
      <c r="N278" s="35">
        <f>IF(OR(R278&lt;&gt;1,M278&lt;=0),"",IF(I278="Yes","",IF(L278&lt;W1,IF(OverdueW1="No","",1),IF(L278&lt;=W1+90,INT((L278-W1)/7)+1,""))))</f>
        <v/>
      </c>
      <c r="O278" s="36">
        <f>IF(ISNUMBER(N278),M278*CollectPct,0)</f>
        <v/>
      </c>
      <c r="P278" s="10">
        <f>IF(R278="","",IF(R278=0,"Not counted",IF(M278&lt;=0,"Paid",IF(I278="Yes","Doubtful (left out)",IF(L278&lt;W1,IF(OverdueW1="No","Overdue (left out)","Overdue → Week 1"),IF(L278&lt;=W1+90,"Week "&amp;N278,"After Week 13"))))))</f>
        <v/>
      </c>
      <c r="Q278" s="10">
        <f>IF(R278="","",IF(R278=0,IF(NOT(ISNUMBER(F278)),"Fix: amount missing",IF(F278&lt;=0,"Fix: amount must be above 0",IF(AND(NOT(ISNUMBER(D278)),NOT(ISNUMBER(H278))),"Fix: add an invoice date or a promised date",IF(AND(D278&lt;&gt;"",NOT(ISNUMBER(D278))),"Fix: invoice date isn't a date",IF(AND(E278&lt;&gt;"",NOT(ISNUMBER(E278))),"Fix: terms must be a number",IF(AND(G278&lt;&gt;"",NOT(ISNUMBER(G278))),"Fix: received must be a number",IF(AND(H278&lt;&gt;"",NOT(ISNUMBER(H278))),"Fix: promised date isn't a date","Fix: received is more than the amount"))))))),IF(AND(C278&lt;&gt;"",ISNUMBER(MATCH(C278,InCats,0))),"OK","Category not on Settings (counted as Other)")))</f>
        <v/>
      </c>
      <c r="R278">
        <f>IF(COUNTA(A278:I278)=0,"",IF(AND(ISNUMBER(F278),F278&gt;0,OR(ISNUMBER(D278),ISNUMBER(H278)),OR(D278="",ISNUMBER(D278)),OR(E278="",ISNUMBER(E278)),OR(G278="",ISNUMBER(G278)),OR(H278="",ISNUMBER(H278))),IF(N(G278)&gt;F278,0,1),0))</f>
        <v/>
      </c>
    </row>
    <row r="279">
      <c r="A279" s="29" t="n"/>
      <c r="B279" s="29" t="n"/>
      <c r="C279" s="29" t="n"/>
      <c r="D279" s="24" t="n"/>
      <c r="E279" s="26" t="n"/>
      <c r="F279" s="34" t="n"/>
      <c r="G279" s="34" t="n"/>
      <c r="H279" s="24" t="n"/>
      <c r="I279" s="29" t="n"/>
      <c r="J279" s="32">
        <f>IF(R279&lt;&gt;1,"",IF(ISNUMBER(D279),INT(D279)+IF(ISNUMBER(E279),INT(E279),DefTerms),""))</f>
        <v/>
      </c>
      <c r="K279" s="35">
        <f>IF(R279&lt;&gt;1,"",IF(ISNUMBER(H279),0,IF(AND(A279&lt;&gt;"",ISNUMBER(MATCH(A279,CustName,0))),IF(ISNUMBER(INDEX(CustLate,MATCH(A279,CustName,0))),INT(INDEX(CustLate,MATCH(A279,CustName,0))),DefLate),DefLate)))</f>
        <v/>
      </c>
      <c r="L279" s="32">
        <f>IF(R279&lt;&gt;1,"",IF(ISNUMBER(H279),INT(H279),J279+K279)+StressDays)</f>
        <v/>
      </c>
      <c r="M279" s="21">
        <f>IF(R279&lt;&gt;1,0,F279-N(G279))</f>
        <v/>
      </c>
      <c r="N279" s="35">
        <f>IF(OR(R279&lt;&gt;1,M279&lt;=0),"",IF(I279="Yes","",IF(L279&lt;W1,IF(OverdueW1="No","",1),IF(L279&lt;=W1+90,INT((L279-W1)/7)+1,""))))</f>
        <v/>
      </c>
      <c r="O279" s="36">
        <f>IF(ISNUMBER(N279),M279*CollectPct,0)</f>
        <v/>
      </c>
      <c r="P279" s="10">
        <f>IF(R279="","",IF(R279=0,"Not counted",IF(M279&lt;=0,"Paid",IF(I279="Yes","Doubtful (left out)",IF(L279&lt;W1,IF(OverdueW1="No","Overdue (left out)","Overdue → Week 1"),IF(L279&lt;=W1+90,"Week "&amp;N279,"After Week 13"))))))</f>
        <v/>
      </c>
      <c r="Q279" s="10">
        <f>IF(R279="","",IF(R279=0,IF(NOT(ISNUMBER(F279)),"Fix: amount missing",IF(F279&lt;=0,"Fix: amount must be above 0",IF(AND(NOT(ISNUMBER(D279)),NOT(ISNUMBER(H279))),"Fix: add an invoice date or a promised date",IF(AND(D279&lt;&gt;"",NOT(ISNUMBER(D279))),"Fix: invoice date isn't a date",IF(AND(E279&lt;&gt;"",NOT(ISNUMBER(E279))),"Fix: terms must be a number",IF(AND(G279&lt;&gt;"",NOT(ISNUMBER(G279))),"Fix: received must be a number",IF(AND(H279&lt;&gt;"",NOT(ISNUMBER(H279))),"Fix: promised date isn't a date","Fix: received is more than the amount"))))))),IF(AND(C279&lt;&gt;"",ISNUMBER(MATCH(C279,InCats,0))),"OK","Category not on Settings (counted as Other)")))</f>
        <v/>
      </c>
      <c r="R279">
        <f>IF(COUNTA(A279:I279)=0,"",IF(AND(ISNUMBER(F279),F279&gt;0,OR(ISNUMBER(D279),ISNUMBER(H279)),OR(D279="",ISNUMBER(D279)),OR(E279="",ISNUMBER(E279)),OR(G279="",ISNUMBER(G279)),OR(H279="",ISNUMBER(H279))),IF(N(G279)&gt;F279,0,1),0))</f>
        <v/>
      </c>
    </row>
    <row r="280">
      <c r="A280" s="29" t="n"/>
      <c r="B280" s="29" t="n"/>
      <c r="C280" s="29" t="n"/>
      <c r="D280" s="24" t="n"/>
      <c r="E280" s="26" t="n"/>
      <c r="F280" s="34" t="n"/>
      <c r="G280" s="34" t="n"/>
      <c r="H280" s="24" t="n"/>
      <c r="I280" s="29" t="n"/>
      <c r="J280" s="32">
        <f>IF(R280&lt;&gt;1,"",IF(ISNUMBER(D280),INT(D280)+IF(ISNUMBER(E280),INT(E280),DefTerms),""))</f>
        <v/>
      </c>
      <c r="K280" s="35">
        <f>IF(R280&lt;&gt;1,"",IF(ISNUMBER(H280),0,IF(AND(A280&lt;&gt;"",ISNUMBER(MATCH(A280,CustName,0))),IF(ISNUMBER(INDEX(CustLate,MATCH(A280,CustName,0))),INT(INDEX(CustLate,MATCH(A280,CustName,0))),DefLate),DefLate)))</f>
        <v/>
      </c>
      <c r="L280" s="32">
        <f>IF(R280&lt;&gt;1,"",IF(ISNUMBER(H280),INT(H280),J280+K280)+StressDays)</f>
        <v/>
      </c>
      <c r="M280" s="21">
        <f>IF(R280&lt;&gt;1,0,F280-N(G280))</f>
        <v/>
      </c>
      <c r="N280" s="35">
        <f>IF(OR(R280&lt;&gt;1,M280&lt;=0),"",IF(I280="Yes","",IF(L280&lt;W1,IF(OverdueW1="No","",1),IF(L280&lt;=W1+90,INT((L280-W1)/7)+1,""))))</f>
        <v/>
      </c>
      <c r="O280" s="36">
        <f>IF(ISNUMBER(N280),M280*CollectPct,0)</f>
        <v/>
      </c>
      <c r="P280" s="10">
        <f>IF(R280="","",IF(R280=0,"Not counted",IF(M280&lt;=0,"Paid",IF(I280="Yes","Doubtful (left out)",IF(L280&lt;W1,IF(OverdueW1="No","Overdue (left out)","Overdue → Week 1"),IF(L280&lt;=W1+90,"Week "&amp;N280,"After Week 13"))))))</f>
        <v/>
      </c>
      <c r="Q280" s="10">
        <f>IF(R280="","",IF(R280=0,IF(NOT(ISNUMBER(F280)),"Fix: amount missing",IF(F280&lt;=0,"Fix: amount must be above 0",IF(AND(NOT(ISNUMBER(D280)),NOT(ISNUMBER(H280))),"Fix: add an invoice date or a promised date",IF(AND(D280&lt;&gt;"",NOT(ISNUMBER(D280))),"Fix: invoice date isn't a date",IF(AND(E280&lt;&gt;"",NOT(ISNUMBER(E280))),"Fix: terms must be a number",IF(AND(G280&lt;&gt;"",NOT(ISNUMBER(G280))),"Fix: received must be a number",IF(AND(H280&lt;&gt;"",NOT(ISNUMBER(H280))),"Fix: promised date isn't a date","Fix: received is more than the amount"))))))),IF(AND(C280&lt;&gt;"",ISNUMBER(MATCH(C280,InCats,0))),"OK","Category not on Settings (counted as Other)")))</f>
        <v/>
      </c>
      <c r="R280">
        <f>IF(COUNTA(A280:I280)=0,"",IF(AND(ISNUMBER(F280),F280&gt;0,OR(ISNUMBER(D280),ISNUMBER(H280)),OR(D280="",ISNUMBER(D280)),OR(E280="",ISNUMBER(E280)),OR(G280="",ISNUMBER(G280)),OR(H280="",ISNUMBER(H280))),IF(N(G280)&gt;F280,0,1),0))</f>
        <v/>
      </c>
    </row>
    <row r="281">
      <c r="A281" s="29" t="n"/>
      <c r="B281" s="29" t="n"/>
      <c r="C281" s="29" t="n"/>
      <c r="D281" s="24" t="n"/>
      <c r="E281" s="26" t="n"/>
      <c r="F281" s="34" t="n"/>
      <c r="G281" s="34" t="n"/>
      <c r="H281" s="24" t="n"/>
      <c r="I281" s="29" t="n"/>
      <c r="J281" s="32">
        <f>IF(R281&lt;&gt;1,"",IF(ISNUMBER(D281),INT(D281)+IF(ISNUMBER(E281),INT(E281),DefTerms),""))</f>
        <v/>
      </c>
      <c r="K281" s="35">
        <f>IF(R281&lt;&gt;1,"",IF(ISNUMBER(H281),0,IF(AND(A281&lt;&gt;"",ISNUMBER(MATCH(A281,CustName,0))),IF(ISNUMBER(INDEX(CustLate,MATCH(A281,CustName,0))),INT(INDEX(CustLate,MATCH(A281,CustName,0))),DefLate),DefLate)))</f>
        <v/>
      </c>
      <c r="L281" s="32">
        <f>IF(R281&lt;&gt;1,"",IF(ISNUMBER(H281),INT(H281),J281+K281)+StressDays)</f>
        <v/>
      </c>
      <c r="M281" s="21">
        <f>IF(R281&lt;&gt;1,0,F281-N(G281))</f>
        <v/>
      </c>
      <c r="N281" s="35">
        <f>IF(OR(R281&lt;&gt;1,M281&lt;=0),"",IF(I281="Yes","",IF(L281&lt;W1,IF(OverdueW1="No","",1),IF(L281&lt;=W1+90,INT((L281-W1)/7)+1,""))))</f>
        <v/>
      </c>
      <c r="O281" s="36">
        <f>IF(ISNUMBER(N281),M281*CollectPct,0)</f>
        <v/>
      </c>
      <c r="P281" s="10">
        <f>IF(R281="","",IF(R281=0,"Not counted",IF(M281&lt;=0,"Paid",IF(I281="Yes","Doubtful (left out)",IF(L281&lt;W1,IF(OverdueW1="No","Overdue (left out)","Overdue → Week 1"),IF(L281&lt;=W1+90,"Week "&amp;N281,"After Week 13"))))))</f>
        <v/>
      </c>
      <c r="Q281" s="10">
        <f>IF(R281="","",IF(R281=0,IF(NOT(ISNUMBER(F281)),"Fix: amount missing",IF(F281&lt;=0,"Fix: amount must be above 0",IF(AND(NOT(ISNUMBER(D281)),NOT(ISNUMBER(H281))),"Fix: add an invoice date or a promised date",IF(AND(D281&lt;&gt;"",NOT(ISNUMBER(D281))),"Fix: invoice date isn't a date",IF(AND(E281&lt;&gt;"",NOT(ISNUMBER(E281))),"Fix: terms must be a number",IF(AND(G281&lt;&gt;"",NOT(ISNUMBER(G281))),"Fix: received must be a number",IF(AND(H281&lt;&gt;"",NOT(ISNUMBER(H281))),"Fix: promised date isn't a date","Fix: received is more than the amount"))))))),IF(AND(C281&lt;&gt;"",ISNUMBER(MATCH(C281,InCats,0))),"OK","Category not on Settings (counted as Other)")))</f>
        <v/>
      </c>
      <c r="R281">
        <f>IF(COUNTA(A281:I281)=0,"",IF(AND(ISNUMBER(F281),F281&gt;0,OR(ISNUMBER(D281),ISNUMBER(H281)),OR(D281="",ISNUMBER(D281)),OR(E281="",ISNUMBER(E281)),OR(G281="",ISNUMBER(G281)),OR(H281="",ISNUMBER(H281))),IF(N(G281)&gt;F281,0,1),0))</f>
        <v/>
      </c>
    </row>
    <row r="282">
      <c r="A282" s="29" t="n"/>
      <c r="B282" s="29" t="n"/>
      <c r="C282" s="29" t="n"/>
      <c r="D282" s="24" t="n"/>
      <c r="E282" s="26" t="n"/>
      <c r="F282" s="34" t="n"/>
      <c r="G282" s="34" t="n"/>
      <c r="H282" s="24" t="n"/>
      <c r="I282" s="29" t="n"/>
      <c r="J282" s="32">
        <f>IF(R282&lt;&gt;1,"",IF(ISNUMBER(D282),INT(D282)+IF(ISNUMBER(E282),INT(E282),DefTerms),""))</f>
        <v/>
      </c>
      <c r="K282" s="35">
        <f>IF(R282&lt;&gt;1,"",IF(ISNUMBER(H282),0,IF(AND(A282&lt;&gt;"",ISNUMBER(MATCH(A282,CustName,0))),IF(ISNUMBER(INDEX(CustLate,MATCH(A282,CustName,0))),INT(INDEX(CustLate,MATCH(A282,CustName,0))),DefLate),DefLate)))</f>
        <v/>
      </c>
      <c r="L282" s="32">
        <f>IF(R282&lt;&gt;1,"",IF(ISNUMBER(H282),INT(H282),J282+K282)+StressDays)</f>
        <v/>
      </c>
      <c r="M282" s="21">
        <f>IF(R282&lt;&gt;1,0,F282-N(G282))</f>
        <v/>
      </c>
      <c r="N282" s="35">
        <f>IF(OR(R282&lt;&gt;1,M282&lt;=0),"",IF(I282="Yes","",IF(L282&lt;W1,IF(OverdueW1="No","",1),IF(L282&lt;=W1+90,INT((L282-W1)/7)+1,""))))</f>
        <v/>
      </c>
      <c r="O282" s="36">
        <f>IF(ISNUMBER(N282),M282*CollectPct,0)</f>
        <v/>
      </c>
      <c r="P282" s="10">
        <f>IF(R282="","",IF(R282=0,"Not counted",IF(M282&lt;=0,"Paid",IF(I282="Yes","Doubtful (left out)",IF(L282&lt;W1,IF(OverdueW1="No","Overdue (left out)","Overdue → Week 1"),IF(L282&lt;=W1+90,"Week "&amp;N282,"After Week 13"))))))</f>
        <v/>
      </c>
      <c r="Q282" s="10">
        <f>IF(R282="","",IF(R282=0,IF(NOT(ISNUMBER(F282)),"Fix: amount missing",IF(F282&lt;=0,"Fix: amount must be above 0",IF(AND(NOT(ISNUMBER(D282)),NOT(ISNUMBER(H282))),"Fix: add an invoice date or a promised date",IF(AND(D282&lt;&gt;"",NOT(ISNUMBER(D282))),"Fix: invoice date isn't a date",IF(AND(E282&lt;&gt;"",NOT(ISNUMBER(E282))),"Fix: terms must be a number",IF(AND(G282&lt;&gt;"",NOT(ISNUMBER(G282))),"Fix: received must be a number",IF(AND(H282&lt;&gt;"",NOT(ISNUMBER(H282))),"Fix: promised date isn't a date","Fix: received is more than the amount"))))))),IF(AND(C282&lt;&gt;"",ISNUMBER(MATCH(C282,InCats,0))),"OK","Category not on Settings (counted as Other)")))</f>
        <v/>
      </c>
      <c r="R282">
        <f>IF(COUNTA(A282:I282)=0,"",IF(AND(ISNUMBER(F282),F282&gt;0,OR(ISNUMBER(D282),ISNUMBER(H282)),OR(D282="",ISNUMBER(D282)),OR(E282="",ISNUMBER(E282)),OR(G282="",ISNUMBER(G282)),OR(H282="",ISNUMBER(H282))),IF(N(G282)&gt;F282,0,1),0))</f>
        <v/>
      </c>
    </row>
    <row r="283">
      <c r="A283" s="29" t="n"/>
      <c r="B283" s="29" t="n"/>
      <c r="C283" s="29" t="n"/>
      <c r="D283" s="24" t="n"/>
      <c r="E283" s="26" t="n"/>
      <c r="F283" s="34" t="n"/>
      <c r="G283" s="34" t="n"/>
      <c r="H283" s="24" t="n"/>
      <c r="I283" s="29" t="n"/>
      <c r="J283" s="32">
        <f>IF(R283&lt;&gt;1,"",IF(ISNUMBER(D283),INT(D283)+IF(ISNUMBER(E283),INT(E283),DefTerms),""))</f>
        <v/>
      </c>
      <c r="K283" s="35">
        <f>IF(R283&lt;&gt;1,"",IF(ISNUMBER(H283),0,IF(AND(A283&lt;&gt;"",ISNUMBER(MATCH(A283,CustName,0))),IF(ISNUMBER(INDEX(CustLate,MATCH(A283,CustName,0))),INT(INDEX(CustLate,MATCH(A283,CustName,0))),DefLate),DefLate)))</f>
        <v/>
      </c>
      <c r="L283" s="32">
        <f>IF(R283&lt;&gt;1,"",IF(ISNUMBER(H283),INT(H283),J283+K283)+StressDays)</f>
        <v/>
      </c>
      <c r="M283" s="21">
        <f>IF(R283&lt;&gt;1,0,F283-N(G283))</f>
        <v/>
      </c>
      <c r="N283" s="35">
        <f>IF(OR(R283&lt;&gt;1,M283&lt;=0),"",IF(I283="Yes","",IF(L283&lt;W1,IF(OverdueW1="No","",1),IF(L283&lt;=W1+90,INT((L283-W1)/7)+1,""))))</f>
        <v/>
      </c>
      <c r="O283" s="36">
        <f>IF(ISNUMBER(N283),M283*CollectPct,0)</f>
        <v/>
      </c>
      <c r="P283" s="10">
        <f>IF(R283="","",IF(R283=0,"Not counted",IF(M283&lt;=0,"Paid",IF(I283="Yes","Doubtful (left out)",IF(L283&lt;W1,IF(OverdueW1="No","Overdue (left out)","Overdue → Week 1"),IF(L283&lt;=W1+90,"Week "&amp;N283,"After Week 13"))))))</f>
        <v/>
      </c>
      <c r="Q283" s="10">
        <f>IF(R283="","",IF(R283=0,IF(NOT(ISNUMBER(F283)),"Fix: amount missing",IF(F283&lt;=0,"Fix: amount must be above 0",IF(AND(NOT(ISNUMBER(D283)),NOT(ISNUMBER(H283))),"Fix: add an invoice date or a promised date",IF(AND(D283&lt;&gt;"",NOT(ISNUMBER(D283))),"Fix: invoice date isn't a date",IF(AND(E283&lt;&gt;"",NOT(ISNUMBER(E283))),"Fix: terms must be a number",IF(AND(G283&lt;&gt;"",NOT(ISNUMBER(G283))),"Fix: received must be a number",IF(AND(H283&lt;&gt;"",NOT(ISNUMBER(H283))),"Fix: promised date isn't a date","Fix: received is more than the amount"))))))),IF(AND(C283&lt;&gt;"",ISNUMBER(MATCH(C283,InCats,0))),"OK","Category not on Settings (counted as Other)")))</f>
        <v/>
      </c>
      <c r="R283">
        <f>IF(COUNTA(A283:I283)=0,"",IF(AND(ISNUMBER(F283),F283&gt;0,OR(ISNUMBER(D283),ISNUMBER(H283)),OR(D283="",ISNUMBER(D283)),OR(E283="",ISNUMBER(E283)),OR(G283="",ISNUMBER(G283)),OR(H283="",ISNUMBER(H283))),IF(N(G283)&gt;F283,0,1),0))</f>
        <v/>
      </c>
    </row>
    <row r="284">
      <c r="A284" s="29" t="n"/>
      <c r="B284" s="29" t="n"/>
      <c r="C284" s="29" t="n"/>
      <c r="D284" s="24" t="n"/>
      <c r="E284" s="26" t="n"/>
      <c r="F284" s="34" t="n"/>
      <c r="G284" s="34" t="n"/>
      <c r="H284" s="24" t="n"/>
      <c r="I284" s="29" t="n"/>
      <c r="J284" s="32">
        <f>IF(R284&lt;&gt;1,"",IF(ISNUMBER(D284),INT(D284)+IF(ISNUMBER(E284),INT(E284),DefTerms),""))</f>
        <v/>
      </c>
      <c r="K284" s="35">
        <f>IF(R284&lt;&gt;1,"",IF(ISNUMBER(H284),0,IF(AND(A284&lt;&gt;"",ISNUMBER(MATCH(A284,CustName,0))),IF(ISNUMBER(INDEX(CustLate,MATCH(A284,CustName,0))),INT(INDEX(CustLate,MATCH(A284,CustName,0))),DefLate),DefLate)))</f>
        <v/>
      </c>
      <c r="L284" s="32">
        <f>IF(R284&lt;&gt;1,"",IF(ISNUMBER(H284),INT(H284),J284+K284)+StressDays)</f>
        <v/>
      </c>
      <c r="M284" s="21">
        <f>IF(R284&lt;&gt;1,0,F284-N(G284))</f>
        <v/>
      </c>
      <c r="N284" s="35">
        <f>IF(OR(R284&lt;&gt;1,M284&lt;=0),"",IF(I284="Yes","",IF(L284&lt;W1,IF(OverdueW1="No","",1),IF(L284&lt;=W1+90,INT((L284-W1)/7)+1,""))))</f>
        <v/>
      </c>
      <c r="O284" s="36">
        <f>IF(ISNUMBER(N284),M284*CollectPct,0)</f>
        <v/>
      </c>
      <c r="P284" s="10">
        <f>IF(R284="","",IF(R284=0,"Not counted",IF(M284&lt;=0,"Paid",IF(I284="Yes","Doubtful (left out)",IF(L284&lt;W1,IF(OverdueW1="No","Overdue (left out)","Overdue → Week 1"),IF(L284&lt;=W1+90,"Week "&amp;N284,"After Week 13"))))))</f>
        <v/>
      </c>
      <c r="Q284" s="10">
        <f>IF(R284="","",IF(R284=0,IF(NOT(ISNUMBER(F284)),"Fix: amount missing",IF(F284&lt;=0,"Fix: amount must be above 0",IF(AND(NOT(ISNUMBER(D284)),NOT(ISNUMBER(H284))),"Fix: add an invoice date or a promised date",IF(AND(D284&lt;&gt;"",NOT(ISNUMBER(D284))),"Fix: invoice date isn't a date",IF(AND(E284&lt;&gt;"",NOT(ISNUMBER(E284))),"Fix: terms must be a number",IF(AND(G284&lt;&gt;"",NOT(ISNUMBER(G284))),"Fix: received must be a number",IF(AND(H284&lt;&gt;"",NOT(ISNUMBER(H284))),"Fix: promised date isn't a date","Fix: received is more than the amount"))))))),IF(AND(C284&lt;&gt;"",ISNUMBER(MATCH(C284,InCats,0))),"OK","Category not on Settings (counted as Other)")))</f>
        <v/>
      </c>
      <c r="R284">
        <f>IF(COUNTA(A284:I284)=0,"",IF(AND(ISNUMBER(F284),F284&gt;0,OR(ISNUMBER(D284),ISNUMBER(H284)),OR(D284="",ISNUMBER(D284)),OR(E284="",ISNUMBER(E284)),OR(G284="",ISNUMBER(G284)),OR(H284="",ISNUMBER(H284))),IF(N(G284)&gt;F284,0,1),0))</f>
        <v/>
      </c>
    </row>
    <row r="285">
      <c r="A285" s="29" t="n"/>
      <c r="B285" s="29" t="n"/>
      <c r="C285" s="29" t="n"/>
      <c r="D285" s="24" t="n"/>
      <c r="E285" s="26" t="n"/>
      <c r="F285" s="34" t="n"/>
      <c r="G285" s="34" t="n"/>
      <c r="H285" s="24" t="n"/>
      <c r="I285" s="29" t="n"/>
      <c r="J285" s="32">
        <f>IF(R285&lt;&gt;1,"",IF(ISNUMBER(D285),INT(D285)+IF(ISNUMBER(E285),INT(E285),DefTerms),""))</f>
        <v/>
      </c>
      <c r="K285" s="35">
        <f>IF(R285&lt;&gt;1,"",IF(ISNUMBER(H285),0,IF(AND(A285&lt;&gt;"",ISNUMBER(MATCH(A285,CustName,0))),IF(ISNUMBER(INDEX(CustLate,MATCH(A285,CustName,0))),INT(INDEX(CustLate,MATCH(A285,CustName,0))),DefLate),DefLate)))</f>
        <v/>
      </c>
      <c r="L285" s="32">
        <f>IF(R285&lt;&gt;1,"",IF(ISNUMBER(H285),INT(H285),J285+K285)+StressDays)</f>
        <v/>
      </c>
      <c r="M285" s="21">
        <f>IF(R285&lt;&gt;1,0,F285-N(G285))</f>
        <v/>
      </c>
      <c r="N285" s="35">
        <f>IF(OR(R285&lt;&gt;1,M285&lt;=0),"",IF(I285="Yes","",IF(L285&lt;W1,IF(OverdueW1="No","",1),IF(L285&lt;=W1+90,INT((L285-W1)/7)+1,""))))</f>
        <v/>
      </c>
      <c r="O285" s="36">
        <f>IF(ISNUMBER(N285),M285*CollectPct,0)</f>
        <v/>
      </c>
      <c r="P285" s="10">
        <f>IF(R285="","",IF(R285=0,"Not counted",IF(M285&lt;=0,"Paid",IF(I285="Yes","Doubtful (left out)",IF(L285&lt;W1,IF(OverdueW1="No","Overdue (left out)","Overdue → Week 1"),IF(L285&lt;=W1+90,"Week "&amp;N285,"After Week 13"))))))</f>
        <v/>
      </c>
      <c r="Q285" s="10">
        <f>IF(R285="","",IF(R285=0,IF(NOT(ISNUMBER(F285)),"Fix: amount missing",IF(F285&lt;=0,"Fix: amount must be above 0",IF(AND(NOT(ISNUMBER(D285)),NOT(ISNUMBER(H285))),"Fix: add an invoice date or a promised date",IF(AND(D285&lt;&gt;"",NOT(ISNUMBER(D285))),"Fix: invoice date isn't a date",IF(AND(E285&lt;&gt;"",NOT(ISNUMBER(E285))),"Fix: terms must be a number",IF(AND(G285&lt;&gt;"",NOT(ISNUMBER(G285))),"Fix: received must be a number",IF(AND(H285&lt;&gt;"",NOT(ISNUMBER(H285))),"Fix: promised date isn't a date","Fix: received is more than the amount"))))))),IF(AND(C285&lt;&gt;"",ISNUMBER(MATCH(C285,InCats,0))),"OK","Category not on Settings (counted as Other)")))</f>
        <v/>
      </c>
      <c r="R285">
        <f>IF(COUNTA(A285:I285)=0,"",IF(AND(ISNUMBER(F285),F285&gt;0,OR(ISNUMBER(D285),ISNUMBER(H285)),OR(D285="",ISNUMBER(D285)),OR(E285="",ISNUMBER(E285)),OR(G285="",ISNUMBER(G285)),OR(H285="",ISNUMBER(H285))),IF(N(G285)&gt;F285,0,1),0))</f>
        <v/>
      </c>
    </row>
    <row r="286">
      <c r="A286" s="29" t="n"/>
      <c r="B286" s="29" t="n"/>
      <c r="C286" s="29" t="n"/>
      <c r="D286" s="24" t="n"/>
      <c r="E286" s="26" t="n"/>
      <c r="F286" s="34" t="n"/>
      <c r="G286" s="34" t="n"/>
      <c r="H286" s="24" t="n"/>
      <c r="I286" s="29" t="n"/>
      <c r="J286" s="32">
        <f>IF(R286&lt;&gt;1,"",IF(ISNUMBER(D286),INT(D286)+IF(ISNUMBER(E286),INT(E286),DefTerms),""))</f>
        <v/>
      </c>
      <c r="K286" s="35">
        <f>IF(R286&lt;&gt;1,"",IF(ISNUMBER(H286),0,IF(AND(A286&lt;&gt;"",ISNUMBER(MATCH(A286,CustName,0))),IF(ISNUMBER(INDEX(CustLate,MATCH(A286,CustName,0))),INT(INDEX(CustLate,MATCH(A286,CustName,0))),DefLate),DefLate)))</f>
        <v/>
      </c>
      <c r="L286" s="32">
        <f>IF(R286&lt;&gt;1,"",IF(ISNUMBER(H286),INT(H286),J286+K286)+StressDays)</f>
        <v/>
      </c>
      <c r="M286" s="21">
        <f>IF(R286&lt;&gt;1,0,F286-N(G286))</f>
        <v/>
      </c>
      <c r="N286" s="35">
        <f>IF(OR(R286&lt;&gt;1,M286&lt;=0),"",IF(I286="Yes","",IF(L286&lt;W1,IF(OverdueW1="No","",1),IF(L286&lt;=W1+90,INT((L286-W1)/7)+1,""))))</f>
        <v/>
      </c>
      <c r="O286" s="36">
        <f>IF(ISNUMBER(N286),M286*CollectPct,0)</f>
        <v/>
      </c>
      <c r="P286" s="10">
        <f>IF(R286="","",IF(R286=0,"Not counted",IF(M286&lt;=0,"Paid",IF(I286="Yes","Doubtful (left out)",IF(L286&lt;W1,IF(OverdueW1="No","Overdue (left out)","Overdue → Week 1"),IF(L286&lt;=W1+90,"Week "&amp;N286,"After Week 13"))))))</f>
        <v/>
      </c>
      <c r="Q286" s="10">
        <f>IF(R286="","",IF(R286=0,IF(NOT(ISNUMBER(F286)),"Fix: amount missing",IF(F286&lt;=0,"Fix: amount must be above 0",IF(AND(NOT(ISNUMBER(D286)),NOT(ISNUMBER(H286))),"Fix: add an invoice date or a promised date",IF(AND(D286&lt;&gt;"",NOT(ISNUMBER(D286))),"Fix: invoice date isn't a date",IF(AND(E286&lt;&gt;"",NOT(ISNUMBER(E286))),"Fix: terms must be a number",IF(AND(G286&lt;&gt;"",NOT(ISNUMBER(G286))),"Fix: received must be a number",IF(AND(H286&lt;&gt;"",NOT(ISNUMBER(H286))),"Fix: promised date isn't a date","Fix: received is more than the amount"))))))),IF(AND(C286&lt;&gt;"",ISNUMBER(MATCH(C286,InCats,0))),"OK","Category not on Settings (counted as Other)")))</f>
        <v/>
      </c>
      <c r="R286">
        <f>IF(COUNTA(A286:I286)=0,"",IF(AND(ISNUMBER(F286),F286&gt;0,OR(ISNUMBER(D286),ISNUMBER(H286)),OR(D286="",ISNUMBER(D286)),OR(E286="",ISNUMBER(E286)),OR(G286="",ISNUMBER(G286)),OR(H286="",ISNUMBER(H286))),IF(N(G286)&gt;F286,0,1),0))</f>
        <v/>
      </c>
    </row>
    <row r="287">
      <c r="A287" s="29" t="n"/>
      <c r="B287" s="29" t="n"/>
      <c r="C287" s="29" t="n"/>
      <c r="D287" s="24" t="n"/>
      <c r="E287" s="26" t="n"/>
      <c r="F287" s="34" t="n"/>
      <c r="G287" s="34" t="n"/>
      <c r="H287" s="24" t="n"/>
      <c r="I287" s="29" t="n"/>
      <c r="J287" s="32">
        <f>IF(R287&lt;&gt;1,"",IF(ISNUMBER(D287),INT(D287)+IF(ISNUMBER(E287),INT(E287),DefTerms),""))</f>
        <v/>
      </c>
      <c r="K287" s="35">
        <f>IF(R287&lt;&gt;1,"",IF(ISNUMBER(H287),0,IF(AND(A287&lt;&gt;"",ISNUMBER(MATCH(A287,CustName,0))),IF(ISNUMBER(INDEX(CustLate,MATCH(A287,CustName,0))),INT(INDEX(CustLate,MATCH(A287,CustName,0))),DefLate),DefLate)))</f>
        <v/>
      </c>
      <c r="L287" s="32">
        <f>IF(R287&lt;&gt;1,"",IF(ISNUMBER(H287),INT(H287),J287+K287)+StressDays)</f>
        <v/>
      </c>
      <c r="M287" s="21">
        <f>IF(R287&lt;&gt;1,0,F287-N(G287))</f>
        <v/>
      </c>
      <c r="N287" s="35">
        <f>IF(OR(R287&lt;&gt;1,M287&lt;=0),"",IF(I287="Yes","",IF(L287&lt;W1,IF(OverdueW1="No","",1),IF(L287&lt;=W1+90,INT((L287-W1)/7)+1,""))))</f>
        <v/>
      </c>
      <c r="O287" s="36">
        <f>IF(ISNUMBER(N287),M287*CollectPct,0)</f>
        <v/>
      </c>
      <c r="P287" s="10">
        <f>IF(R287="","",IF(R287=0,"Not counted",IF(M287&lt;=0,"Paid",IF(I287="Yes","Doubtful (left out)",IF(L287&lt;W1,IF(OverdueW1="No","Overdue (left out)","Overdue → Week 1"),IF(L287&lt;=W1+90,"Week "&amp;N287,"After Week 13"))))))</f>
        <v/>
      </c>
      <c r="Q287" s="10">
        <f>IF(R287="","",IF(R287=0,IF(NOT(ISNUMBER(F287)),"Fix: amount missing",IF(F287&lt;=0,"Fix: amount must be above 0",IF(AND(NOT(ISNUMBER(D287)),NOT(ISNUMBER(H287))),"Fix: add an invoice date or a promised date",IF(AND(D287&lt;&gt;"",NOT(ISNUMBER(D287))),"Fix: invoice date isn't a date",IF(AND(E287&lt;&gt;"",NOT(ISNUMBER(E287))),"Fix: terms must be a number",IF(AND(G287&lt;&gt;"",NOT(ISNUMBER(G287))),"Fix: received must be a number",IF(AND(H287&lt;&gt;"",NOT(ISNUMBER(H287))),"Fix: promised date isn't a date","Fix: received is more than the amount"))))))),IF(AND(C287&lt;&gt;"",ISNUMBER(MATCH(C287,InCats,0))),"OK","Category not on Settings (counted as Other)")))</f>
        <v/>
      </c>
      <c r="R287">
        <f>IF(COUNTA(A287:I287)=0,"",IF(AND(ISNUMBER(F287),F287&gt;0,OR(ISNUMBER(D287),ISNUMBER(H287)),OR(D287="",ISNUMBER(D287)),OR(E287="",ISNUMBER(E287)),OR(G287="",ISNUMBER(G287)),OR(H287="",ISNUMBER(H287))),IF(N(G287)&gt;F287,0,1),0))</f>
        <v/>
      </c>
    </row>
    <row r="288">
      <c r="A288" s="29" t="n"/>
      <c r="B288" s="29" t="n"/>
      <c r="C288" s="29" t="n"/>
      <c r="D288" s="24" t="n"/>
      <c r="E288" s="26" t="n"/>
      <c r="F288" s="34" t="n"/>
      <c r="G288" s="34" t="n"/>
      <c r="H288" s="24" t="n"/>
      <c r="I288" s="29" t="n"/>
      <c r="J288" s="32">
        <f>IF(R288&lt;&gt;1,"",IF(ISNUMBER(D288),INT(D288)+IF(ISNUMBER(E288),INT(E288),DefTerms),""))</f>
        <v/>
      </c>
      <c r="K288" s="35">
        <f>IF(R288&lt;&gt;1,"",IF(ISNUMBER(H288),0,IF(AND(A288&lt;&gt;"",ISNUMBER(MATCH(A288,CustName,0))),IF(ISNUMBER(INDEX(CustLate,MATCH(A288,CustName,0))),INT(INDEX(CustLate,MATCH(A288,CustName,0))),DefLate),DefLate)))</f>
        <v/>
      </c>
      <c r="L288" s="32">
        <f>IF(R288&lt;&gt;1,"",IF(ISNUMBER(H288),INT(H288),J288+K288)+StressDays)</f>
        <v/>
      </c>
      <c r="M288" s="21">
        <f>IF(R288&lt;&gt;1,0,F288-N(G288))</f>
        <v/>
      </c>
      <c r="N288" s="35">
        <f>IF(OR(R288&lt;&gt;1,M288&lt;=0),"",IF(I288="Yes","",IF(L288&lt;W1,IF(OverdueW1="No","",1),IF(L288&lt;=W1+90,INT((L288-W1)/7)+1,""))))</f>
        <v/>
      </c>
      <c r="O288" s="36">
        <f>IF(ISNUMBER(N288),M288*CollectPct,0)</f>
        <v/>
      </c>
      <c r="P288" s="10">
        <f>IF(R288="","",IF(R288=0,"Not counted",IF(M288&lt;=0,"Paid",IF(I288="Yes","Doubtful (left out)",IF(L288&lt;W1,IF(OverdueW1="No","Overdue (left out)","Overdue → Week 1"),IF(L288&lt;=W1+90,"Week "&amp;N288,"After Week 13"))))))</f>
        <v/>
      </c>
      <c r="Q288" s="10">
        <f>IF(R288="","",IF(R288=0,IF(NOT(ISNUMBER(F288)),"Fix: amount missing",IF(F288&lt;=0,"Fix: amount must be above 0",IF(AND(NOT(ISNUMBER(D288)),NOT(ISNUMBER(H288))),"Fix: add an invoice date or a promised date",IF(AND(D288&lt;&gt;"",NOT(ISNUMBER(D288))),"Fix: invoice date isn't a date",IF(AND(E288&lt;&gt;"",NOT(ISNUMBER(E288))),"Fix: terms must be a number",IF(AND(G288&lt;&gt;"",NOT(ISNUMBER(G288))),"Fix: received must be a number",IF(AND(H288&lt;&gt;"",NOT(ISNUMBER(H288))),"Fix: promised date isn't a date","Fix: received is more than the amount"))))))),IF(AND(C288&lt;&gt;"",ISNUMBER(MATCH(C288,InCats,0))),"OK","Category not on Settings (counted as Other)")))</f>
        <v/>
      </c>
      <c r="R288">
        <f>IF(COUNTA(A288:I288)=0,"",IF(AND(ISNUMBER(F288),F288&gt;0,OR(ISNUMBER(D288),ISNUMBER(H288)),OR(D288="",ISNUMBER(D288)),OR(E288="",ISNUMBER(E288)),OR(G288="",ISNUMBER(G288)),OR(H288="",ISNUMBER(H288))),IF(N(G288)&gt;F288,0,1),0))</f>
        <v/>
      </c>
    </row>
    <row r="289">
      <c r="A289" s="29" t="n"/>
      <c r="B289" s="29" t="n"/>
      <c r="C289" s="29" t="n"/>
      <c r="D289" s="24" t="n"/>
      <c r="E289" s="26" t="n"/>
      <c r="F289" s="34" t="n"/>
      <c r="G289" s="34" t="n"/>
      <c r="H289" s="24" t="n"/>
      <c r="I289" s="29" t="n"/>
      <c r="J289" s="32">
        <f>IF(R289&lt;&gt;1,"",IF(ISNUMBER(D289),INT(D289)+IF(ISNUMBER(E289),INT(E289),DefTerms),""))</f>
        <v/>
      </c>
      <c r="K289" s="35">
        <f>IF(R289&lt;&gt;1,"",IF(ISNUMBER(H289),0,IF(AND(A289&lt;&gt;"",ISNUMBER(MATCH(A289,CustName,0))),IF(ISNUMBER(INDEX(CustLate,MATCH(A289,CustName,0))),INT(INDEX(CustLate,MATCH(A289,CustName,0))),DefLate),DefLate)))</f>
        <v/>
      </c>
      <c r="L289" s="32">
        <f>IF(R289&lt;&gt;1,"",IF(ISNUMBER(H289),INT(H289),J289+K289)+StressDays)</f>
        <v/>
      </c>
      <c r="M289" s="21">
        <f>IF(R289&lt;&gt;1,0,F289-N(G289))</f>
        <v/>
      </c>
      <c r="N289" s="35">
        <f>IF(OR(R289&lt;&gt;1,M289&lt;=0),"",IF(I289="Yes","",IF(L289&lt;W1,IF(OverdueW1="No","",1),IF(L289&lt;=W1+90,INT((L289-W1)/7)+1,""))))</f>
        <v/>
      </c>
      <c r="O289" s="36">
        <f>IF(ISNUMBER(N289),M289*CollectPct,0)</f>
        <v/>
      </c>
      <c r="P289" s="10">
        <f>IF(R289="","",IF(R289=0,"Not counted",IF(M289&lt;=0,"Paid",IF(I289="Yes","Doubtful (left out)",IF(L289&lt;W1,IF(OverdueW1="No","Overdue (left out)","Overdue → Week 1"),IF(L289&lt;=W1+90,"Week "&amp;N289,"After Week 13"))))))</f>
        <v/>
      </c>
      <c r="Q289" s="10">
        <f>IF(R289="","",IF(R289=0,IF(NOT(ISNUMBER(F289)),"Fix: amount missing",IF(F289&lt;=0,"Fix: amount must be above 0",IF(AND(NOT(ISNUMBER(D289)),NOT(ISNUMBER(H289))),"Fix: add an invoice date or a promised date",IF(AND(D289&lt;&gt;"",NOT(ISNUMBER(D289))),"Fix: invoice date isn't a date",IF(AND(E289&lt;&gt;"",NOT(ISNUMBER(E289))),"Fix: terms must be a number",IF(AND(G289&lt;&gt;"",NOT(ISNUMBER(G289))),"Fix: received must be a number",IF(AND(H289&lt;&gt;"",NOT(ISNUMBER(H289))),"Fix: promised date isn't a date","Fix: received is more than the amount"))))))),IF(AND(C289&lt;&gt;"",ISNUMBER(MATCH(C289,InCats,0))),"OK","Category not on Settings (counted as Other)")))</f>
        <v/>
      </c>
      <c r="R289">
        <f>IF(COUNTA(A289:I289)=0,"",IF(AND(ISNUMBER(F289),F289&gt;0,OR(ISNUMBER(D289),ISNUMBER(H289)),OR(D289="",ISNUMBER(D289)),OR(E289="",ISNUMBER(E289)),OR(G289="",ISNUMBER(G289)),OR(H289="",ISNUMBER(H289))),IF(N(G289)&gt;F289,0,1),0))</f>
        <v/>
      </c>
    </row>
    <row r="290">
      <c r="A290" s="29" t="n"/>
      <c r="B290" s="29" t="n"/>
      <c r="C290" s="29" t="n"/>
      <c r="D290" s="24" t="n"/>
      <c r="E290" s="26" t="n"/>
      <c r="F290" s="34" t="n"/>
      <c r="G290" s="34" t="n"/>
      <c r="H290" s="24" t="n"/>
      <c r="I290" s="29" t="n"/>
      <c r="J290" s="32">
        <f>IF(R290&lt;&gt;1,"",IF(ISNUMBER(D290),INT(D290)+IF(ISNUMBER(E290),INT(E290),DefTerms),""))</f>
        <v/>
      </c>
      <c r="K290" s="35">
        <f>IF(R290&lt;&gt;1,"",IF(ISNUMBER(H290),0,IF(AND(A290&lt;&gt;"",ISNUMBER(MATCH(A290,CustName,0))),IF(ISNUMBER(INDEX(CustLate,MATCH(A290,CustName,0))),INT(INDEX(CustLate,MATCH(A290,CustName,0))),DefLate),DefLate)))</f>
        <v/>
      </c>
      <c r="L290" s="32">
        <f>IF(R290&lt;&gt;1,"",IF(ISNUMBER(H290),INT(H290),J290+K290)+StressDays)</f>
        <v/>
      </c>
      <c r="M290" s="21">
        <f>IF(R290&lt;&gt;1,0,F290-N(G290))</f>
        <v/>
      </c>
      <c r="N290" s="35">
        <f>IF(OR(R290&lt;&gt;1,M290&lt;=0),"",IF(I290="Yes","",IF(L290&lt;W1,IF(OverdueW1="No","",1),IF(L290&lt;=W1+90,INT((L290-W1)/7)+1,""))))</f>
        <v/>
      </c>
      <c r="O290" s="36">
        <f>IF(ISNUMBER(N290),M290*CollectPct,0)</f>
        <v/>
      </c>
      <c r="P290" s="10">
        <f>IF(R290="","",IF(R290=0,"Not counted",IF(M290&lt;=0,"Paid",IF(I290="Yes","Doubtful (left out)",IF(L290&lt;W1,IF(OverdueW1="No","Overdue (left out)","Overdue → Week 1"),IF(L290&lt;=W1+90,"Week "&amp;N290,"After Week 13"))))))</f>
        <v/>
      </c>
      <c r="Q290" s="10">
        <f>IF(R290="","",IF(R290=0,IF(NOT(ISNUMBER(F290)),"Fix: amount missing",IF(F290&lt;=0,"Fix: amount must be above 0",IF(AND(NOT(ISNUMBER(D290)),NOT(ISNUMBER(H290))),"Fix: add an invoice date or a promised date",IF(AND(D290&lt;&gt;"",NOT(ISNUMBER(D290))),"Fix: invoice date isn't a date",IF(AND(E290&lt;&gt;"",NOT(ISNUMBER(E290))),"Fix: terms must be a number",IF(AND(G290&lt;&gt;"",NOT(ISNUMBER(G290))),"Fix: received must be a number",IF(AND(H290&lt;&gt;"",NOT(ISNUMBER(H290))),"Fix: promised date isn't a date","Fix: received is more than the amount"))))))),IF(AND(C290&lt;&gt;"",ISNUMBER(MATCH(C290,InCats,0))),"OK","Category not on Settings (counted as Other)")))</f>
        <v/>
      </c>
      <c r="R290">
        <f>IF(COUNTA(A290:I290)=0,"",IF(AND(ISNUMBER(F290),F290&gt;0,OR(ISNUMBER(D290),ISNUMBER(H290)),OR(D290="",ISNUMBER(D290)),OR(E290="",ISNUMBER(E290)),OR(G290="",ISNUMBER(G290)),OR(H290="",ISNUMBER(H290))),IF(N(G290)&gt;F290,0,1),0))</f>
        <v/>
      </c>
    </row>
    <row r="291">
      <c r="A291" s="29" t="n"/>
      <c r="B291" s="29" t="n"/>
      <c r="C291" s="29" t="n"/>
      <c r="D291" s="24" t="n"/>
      <c r="E291" s="26" t="n"/>
      <c r="F291" s="34" t="n"/>
      <c r="G291" s="34" t="n"/>
      <c r="H291" s="24" t="n"/>
      <c r="I291" s="29" t="n"/>
      <c r="J291" s="32">
        <f>IF(R291&lt;&gt;1,"",IF(ISNUMBER(D291),INT(D291)+IF(ISNUMBER(E291),INT(E291),DefTerms),""))</f>
        <v/>
      </c>
      <c r="K291" s="35">
        <f>IF(R291&lt;&gt;1,"",IF(ISNUMBER(H291),0,IF(AND(A291&lt;&gt;"",ISNUMBER(MATCH(A291,CustName,0))),IF(ISNUMBER(INDEX(CustLate,MATCH(A291,CustName,0))),INT(INDEX(CustLate,MATCH(A291,CustName,0))),DefLate),DefLate)))</f>
        <v/>
      </c>
      <c r="L291" s="32">
        <f>IF(R291&lt;&gt;1,"",IF(ISNUMBER(H291),INT(H291),J291+K291)+StressDays)</f>
        <v/>
      </c>
      <c r="M291" s="21">
        <f>IF(R291&lt;&gt;1,0,F291-N(G291))</f>
        <v/>
      </c>
      <c r="N291" s="35">
        <f>IF(OR(R291&lt;&gt;1,M291&lt;=0),"",IF(I291="Yes","",IF(L291&lt;W1,IF(OverdueW1="No","",1),IF(L291&lt;=W1+90,INT((L291-W1)/7)+1,""))))</f>
        <v/>
      </c>
      <c r="O291" s="36">
        <f>IF(ISNUMBER(N291),M291*CollectPct,0)</f>
        <v/>
      </c>
      <c r="P291" s="10">
        <f>IF(R291="","",IF(R291=0,"Not counted",IF(M291&lt;=0,"Paid",IF(I291="Yes","Doubtful (left out)",IF(L291&lt;W1,IF(OverdueW1="No","Overdue (left out)","Overdue → Week 1"),IF(L291&lt;=W1+90,"Week "&amp;N291,"After Week 13"))))))</f>
        <v/>
      </c>
      <c r="Q291" s="10">
        <f>IF(R291="","",IF(R291=0,IF(NOT(ISNUMBER(F291)),"Fix: amount missing",IF(F291&lt;=0,"Fix: amount must be above 0",IF(AND(NOT(ISNUMBER(D291)),NOT(ISNUMBER(H291))),"Fix: add an invoice date or a promised date",IF(AND(D291&lt;&gt;"",NOT(ISNUMBER(D291))),"Fix: invoice date isn't a date",IF(AND(E291&lt;&gt;"",NOT(ISNUMBER(E291))),"Fix: terms must be a number",IF(AND(G291&lt;&gt;"",NOT(ISNUMBER(G291))),"Fix: received must be a number",IF(AND(H291&lt;&gt;"",NOT(ISNUMBER(H291))),"Fix: promised date isn't a date","Fix: received is more than the amount"))))))),IF(AND(C291&lt;&gt;"",ISNUMBER(MATCH(C291,InCats,0))),"OK","Category not on Settings (counted as Other)")))</f>
        <v/>
      </c>
      <c r="R291">
        <f>IF(COUNTA(A291:I291)=0,"",IF(AND(ISNUMBER(F291),F291&gt;0,OR(ISNUMBER(D291),ISNUMBER(H291)),OR(D291="",ISNUMBER(D291)),OR(E291="",ISNUMBER(E291)),OR(G291="",ISNUMBER(G291)),OR(H291="",ISNUMBER(H291))),IF(N(G291)&gt;F291,0,1),0))</f>
        <v/>
      </c>
    </row>
    <row r="292">
      <c r="A292" s="29" t="n"/>
      <c r="B292" s="29" t="n"/>
      <c r="C292" s="29" t="n"/>
      <c r="D292" s="24" t="n"/>
      <c r="E292" s="26" t="n"/>
      <c r="F292" s="34" t="n"/>
      <c r="G292" s="34" t="n"/>
      <c r="H292" s="24" t="n"/>
      <c r="I292" s="29" t="n"/>
      <c r="J292" s="32">
        <f>IF(R292&lt;&gt;1,"",IF(ISNUMBER(D292),INT(D292)+IF(ISNUMBER(E292),INT(E292),DefTerms),""))</f>
        <v/>
      </c>
      <c r="K292" s="35">
        <f>IF(R292&lt;&gt;1,"",IF(ISNUMBER(H292),0,IF(AND(A292&lt;&gt;"",ISNUMBER(MATCH(A292,CustName,0))),IF(ISNUMBER(INDEX(CustLate,MATCH(A292,CustName,0))),INT(INDEX(CustLate,MATCH(A292,CustName,0))),DefLate),DefLate)))</f>
        <v/>
      </c>
      <c r="L292" s="32">
        <f>IF(R292&lt;&gt;1,"",IF(ISNUMBER(H292),INT(H292),J292+K292)+StressDays)</f>
        <v/>
      </c>
      <c r="M292" s="21">
        <f>IF(R292&lt;&gt;1,0,F292-N(G292))</f>
        <v/>
      </c>
      <c r="N292" s="35">
        <f>IF(OR(R292&lt;&gt;1,M292&lt;=0),"",IF(I292="Yes","",IF(L292&lt;W1,IF(OverdueW1="No","",1),IF(L292&lt;=W1+90,INT((L292-W1)/7)+1,""))))</f>
        <v/>
      </c>
      <c r="O292" s="36">
        <f>IF(ISNUMBER(N292),M292*CollectPct,0)</f>
        <v/>
      </c>
      <c r="P292" s="10">
        <f>IF(R292="","",IF(R292=0,"Not counted",IF(M292&lt;=0,"Paid",IF(I292="Yes","Doubtful (left out)",IF(L292&lt;W1,IF(OverdueW1="No","Overdue (left out)","Overdue → Week 1"),IF(L292&lt;=W1+90,"Week "&amp;N292,"After Week 13"))))))</f>
        <v/>
      </c>
      <c r="Q292" s="10">
        <f>IF(R292="","",IF(R292=0,IF(NOT(ISNUMBER(F292)),"Fix: amount missing",IF(F292&lt;=0,"Fix: amount must be above 0",IF(AND(NOT(ISNUMBER(D292)),NOT(ISNUMBER(H292))),"Fix: add an invoice date or a promised date",IF(AND(D292&lt;&gt;"",NOT(ISNUMBER(D292))),"Fix: invoice date isn't a date",IF(AND(E292&lt;&gt;"",NOT(ISNUMBER(E292))),"Fix: terms must be a number",IF(AND(G292&lt;&gt;"",NOT(ISNUMBER(G292))),"Fix: received must be a number",IF(AND(H292&lt;&gt;"",NOT(ISNUMBER(H292))),"Fix: promised date isn't a date","Fix: received is more than the amount"))))))),IF(AND(C292&lt;&gt;"",ISNUMBER(MATCH(C292,InCats,0))),"OK","Category not on Settings (counted as Other)")))</f>
        <v/>
      </c>
      <c r="R292">
        <f>IF(COUNTA(A292:I292)=0,"",IF(AND(ISNUMBER(F292),F292&gt;0,OR(ISNUMBER(D292),ISNUMBER(H292)),OR(D292="",ISNUMBER(D292)),OR(E292="",ISNUMBER(E292)),OR(G292="",ISNUMBER(G292)),OR(H292="",ISNUMBER(H292))),IF(N(G292)&gt;F292,0,1),0))</f>
        <v/>
      </c>
    </row>
    <row r="293">
      <c r="A293" s="29" t="n"/>
      <c r="B293" s="29" t="n"/>
      <c r="C293" s="29" t="n"/>
      <c r="D293" s="24" t="n"/>
      <c r="E293" s="26" t="n"/>
      <c r="F293" s="34" t="n"/>
      <c r="G293" s="34" t="n"/>
      <c r="H293" s="24" t="n"/>
      <c r="I293" s="29" t="n"/>
      <c r="J293" s="32">
        <f>IF(R293&lt;&gt;1,"",IF(ISNUMBER(D293),INT(D293)+IF(ISNUMBER(E293),INT(E293),DefTerms),""))</f>
        <v/>
      </c>
      <c r="K293" s="35">
        <f>IF(R293&lt;&gt;1,"",IF(ISNUMBER(H293),0,IF(AND(A293&lt;&gt;"",ISNUMBER(MATCH(A293,CustName,0))),IF(ISNUMBER(INDEX(CustLate,MATCH(A293,CustName,0))),INT(INDEX(CustLate,MATCH(A293,CustName,0))),DefLate),DefLate)))</f>
        <v/>
      </c>
      <c r="L293" s="32">
        <f>IF(R293&lt;&gt;1,"",IF(ISNUMBER(H293),INT(H293),J293+K293)+StressDays)</f>
        <v/>
      </c>
      <c r="M293" s="21">
        <f>IF(R293&lt;&gt;1,0,F293-N(G293))</f>
        <v/>
      </c>
      <c r="N293" s="35">
        <f>IF(OR(R293&lt;&gt;1,M293&lt;=0),"",IF(I293="Yes","",IF(L293&lt;W1,IF(OverdueW1="No","",1),IF(L293&lt;=W1+90,INT((L293-W1)/7)+1,""))))</f>
        <v/>
      </c>
      <c r="O293" s="36">
        <f>IF(ISNUMBER(N293),M293*CollectPct,0)</f>
        <v/>
      </c>
      <c r="P293" s="10">
        <f>IF(R293="","",IF(R293=0,"Not counted",IF(M293&lt;=0,"Paid",IF(I293="Yes","Doubtful (left out)",IF(L293&lt;W1,IF(OverdueW1="No","Overdue (left out)","Overdue → Week 1"),IF(L293&lt;=W1+90,"Week "&amp;N293,"After Week 13"))))))</f>
        <v/>
      </c>
      <c r="Q293" s="10">
        <f>IF(R293="","",IF(R293=0,IF(NOT(ISNUMBER(F293)),"Fix: amount missing",IF(F293&lt;=0,"Fix: amount must be above 0",IF(AND(NOT(ISNUMBER(D293)),NOT(ISNUMBER(H293))),"Fix: add an invoice date or a promised date",IF(AND(D293&lt;&gt;"",NOT(ISNUMBER(D293))),"Fix: invoice date isn't a date",IF(AND(E293&lt;&gt;"",NOT(ISNUMBER(E293))),"Fix: terms must be a number",IF(AND(G293&lt;&gt;"",NOT(ISNUMBER(G293))),"Fix: received must be a number",IF(AND(H293&lt;&gt;"",NOT(ISNUMBER(H293))),"Fix: promised date isn't a date","Fix: received is more than the amount"))))))),IF(AND(C293&lt;&gt;"",ISNUMBER(MATCH(C293,InCats,0))),"OK","Category not on Settings (counted as Other)")))</f>
        <v/>
      </c>
      <c r="R293">
        <f>IF(COUNTA(A293:I293)=0,"",IF(AND(ISNUMBER(F293),F293&gt;0,OR(ISNUMBER(D293),ISNUMBER(H293)),OR(D293="",ISNUMBER(D293)),OR(E293="",ISNUMBER(E293)),OR(G293="",ISNUMBER(G293)),OR(H293="",ISNUMBER(H293))),IF(N(G293)&gt;F293,0,1),0))</f>
        <v/>
      </c>
    </row>
    <row r="294">
      <c r="A294" s="29" t="n"/>
      <c r="B294" s="29" t="n"/>
      <c r="C294" s="29" t="n"/>
      <c r="D294" s="24" t="n"/>
      <c r="E294" s="26" t="n"/>
      <c r="F294" s="34" t="n"/>
      <c r="G294" s="34" t="n"/>
      <c r="H294" s="24" t="n"/>
      <c r="I294" s="29" t="n"/>
      <c r="J294" s="32">
        <f>IF(R294&lt;&gt;1,"",IF(ISNUMBER(D294),INT(D294)+IF(ISNUMBER(E294),INT(E294),DefTerms),""))</f>
        <v/>
      </c>
      <c r="K294" s="35">
        <f>IF(R294&lt;&gt;1,"",IF(ISNUMBER(H294),0,IF(AND(A294&lt;&gt;"",ISNUMBER(MATCH(A294,CustName,0))),IF(ISNUMBER(INDEX(CustLate,MATCH(A294,CustName,0))),INT(INDEX(CustLate,MATCH(A294,CustName,0))),DefLate),DefLate)))</f>
        <v/>
      </c>
      <c r="L294" s="32">
        <f>IF(R294&lt;&gt;1,"",IF(ISNUMBER(H294),INT(H294),J294+K294)+StressDays)</f>
        <v/>
      </c>
      <c r="M294" s="21">
        <f>IF(R294&lt;&gt;1,0,F294-N(G294))</f>
        <v/>
      </c>
      <c r="N294" s="35">
        <f>IF(OR(R294&lt;&gt;1,M294&lt;=0),"",IF(I294="Yes","",IF(L294&lt;W1,IF(OverdueW1="No","",1),IF(L294&lt;=W1+90,INT((L294-W1)/7)+1,""))))</f>
        <v/>
      </c>
      <c r="O294" s="36">
        <f>IF(ISNUMBER(N294),M294*CollectPct,0)</f>
        <v/>
      </c>
      <c r="P294" s="10">
        <f>IF(R294="","",IF(R294=0,"Not counted",IF(M294&lt;=0,"Paid",IF(I294="Yes","Doubtful (left out)",IF(L294&lt;W1,IF(OverdueW1="No","Overdue (left out)","Overdue → Week 1"),IF(L294&lt;=W1+90,"Week "&amp;N294,"After Week 13"))))))</f>
        <v/>
      </c>
      <c r="Q294" s="10">
        <f>IF(R294="","",IF(R294=0,IF(NOT(ISNUMBER(F294)),"Fix: amount missing",IF(F294&lt;=0,"Fix: amount must be above 0",IF(AND(NOT(ISNUMBER(D294)),NOT(ISNUMBER(H294))),"Fix: add an invoice date or a promised date",IF(AND(D294&lt;&gt;"",NOT(ISNUMBER(D294))),"Fix: invoice date isn't a date",IF(AND(E294&lt;&gt;"",NOT(ISNUMBER(E294))),"Fix: terms must be a number",IF(AND(G294&lt;&gt;"",NOT(ISNUMBER(G294))),"Fix: received must be a number",IF(AND(H294&lt;&gt;"",NOT(ISNUMBER(H294))),"Fix: promised date isn't a date","Fix: received is more than the amount"))))))),IF(AND(C294&lt;&gt;"",ISNUMBER(MATCH(C294,InCats,0))),"OK","Category not on Settings (counted as Other)")))</f>
        <v/>
      </c>
      <c r="R294">
        <f>IF(COUNTA(A294:I294)=0,"",IF(AND(ISNUMBER(F294),F294&gt;0,OR(ISNUMBER(D294),ISNUMBER(H294)),OR(D294="",ISNUMBER(D294)),OR(E294="",ISNUMBER(E294)),OR(G294="",ISNUMBER(G294)),OR(H294="",ISNUMBER(H294))),IF(N(G294)&gt;F294,0,1),0))</f>
        <v/>
      </c>
    </row>
    <row r="295">
      <c r="A295" s="29" t="n"/>
      <c r="B295" s="29" t="n"/>
      <c r="C295" s="29" t="n"/>
      <c r="D295" s="24" t="n"/>
      <c r="E295" s="26" t="n"/>
      <c r="F295" s="34" t="n"/>
      <c r="G295" s="34" t="n"/>
      <c r="H295" s="24" t="n"/>
      <c r="I295" s="29" t="n"/>
      <c r="J295" s="32">
        <f>IF(R295&lt;&gt;1,"",IF(ISNUMBER(D295),INT(D295)+IF(ISNUMBER(E295),INT(E295),DefTerms),""))</f>
        <v/>
      </c>
      <c r="K295" s="35">
        <f>IF(R295&lt;&gt;1,"",IF(ISNUMBER(H295),0,IF(AND(A295&lt;&gt;"",ISNUMBER(MATCH(A295,CustName,0))),IF(ISNUMBER(INDEX(CustLate,MATCH(A295,CustName,0))),INT(INDEX(CustLate,MATCH(A295,CustName,0))),DefLate),DefLate)))</f>
        <v/>
      </c>
      <c r="L295" s="32">
        <f>IF(R295&lt;&gt;1,"",IF(ISNUMBER(H295),INT(H295),J295+K295)+StressDays)</f>
        <v/>
      </c>
      <c r="M295" s="21">
        <f>IF(R295&lt;&gt;1,0,F295-N(G295))</f>
        <v/>
      </c>
      <c r="N295" s="35">
        <f>IF(OR(R295&lt;&gt;1,M295&lt;=0),"",IF(I295="Yes","",IF(L295&lt;W1,IF(OverdueW1="No","",1),IF(L295&lt;=W1+90,INT((L295-W1)/7)+1,""))))</f>
        <v/>
      </c>
      <c r="O295" s="36">
        <f>IF(ISNUMBER(N295),M295*CollectPct,0)</f>
        <v/>
      </c>
      <c r="P295" s="10">
        <f>IF(R295="","",IF(R295=0,"Not counted",IF(M295&lt;=0,"Paid",IF(I295="Yes","Doubtful (left out)",IF(L295&lt;W1,IF(OverdueW1="No","Overdue (left out)","Overdue → Week 1"),IF(L295&lt;=W1+90,"Week "&amp;N295,"After Week 13"))))))</f>
        <v/>
      </c>
      <c r="Q295" s="10">
        <f>IF(R295="","",IF(R295=0,IF(NOT(ISNUMBER(F295)),"Fix: amount missing",IF(F295&lt;=0,"Fix: amount must be above 0",IF(AND(NOT(ISNUMBER(D295)),NOT(ISNUMBER(H295))),"Fix: add an invoice date or a promised date",IF(AND(D295&lt;&gt;"",NOT(ISNUMBER(D295))),"Fix: invoice date isn't a date",IF(AND(E295&lt;&gt;"",NOT(ISNUMBER(E295))),"Fix: terms must be a number",IF(AND(G295&lt;&gt;"",NOT(ISNUMBER(G295))),"Fix: received must be a number",IF(AND(H295&lt;&gt;"",NOT(ISNUMBER(H295))),"Fix: promised date isn't a date","Fix: received is more than the amount"))))))),IF(AND(C295&lt;&gt;"",ISNUMBER(MATCH(C295,InCats,0))),"OK","Category not on Settings (counted as Other)")))</f>
        <v/>
      </c>
      <c r="R295">
        <f>IF(COUNTA(A295:I295)=0,"",IF(AND(ISNUMBER(F295),F295&gt;0,OR(ISNUMBER(D295),ISNUMBER(H295)),OR(D295="",ISNUMBER(D295)),OR(E295="",ISNUMBER(E295)),OR(G295="",ISNUMBER(G295)),OR(H295="",ISNUMBER(H295))),IF(N(G295)&gt;F295,0,1),0))</f>
        <v/>
      </c>
    </row>
    <row r="296">
      <c r="A296" s="29" t="n"/>
      <c r="B296" s="29" t="n"/>
      <c r="C296" s="29" t="n"/>
      <c r="D296" s="24" t="n"/>
      <c r="E296" s="26" t="n"/>
      <c r="F296" s="34" t="n"/>
      <c r="G296" s="34" t="n"/>
      <c r="H296" s="24" t="n"/>
      <c r="I296" s="29" t="n"/>
      <c r="J296" s="32">
        <f>IF(R296&lt;&gt;1,"",IF(ISNUMBER(D296),INT(D296)+IF(ISNUMBER(E296),INT(E296),DefTerms),""))</f>
        <v/>
      </c>
      <c r="K296" s="35">
        <f>IF(R296&lt;&gt;1,"",IF(ISNUMBER(H296),0,IF(AND(A296&lt;&gt;"",ISNUMBER(MATCH(A296,CustName,0))),IF(ISNUMBER(INDEX(CustLate,MATCH(A296,CustName,0))),INT(INDEX(CustLate,MATCH(A296,CustName,0))),DefLate),DefLate)))</f>
        <v/>
      </c>
      <c r="L296" s="32">
        <f>IF(R296&lt;&gt;1,"",IF(ISNUMBER(H296),INT(H296),J296+K296)+StressDays)</f>
        <v/>
      </c>
      <c r="M296" s="21">
        <f>IF(R296&lt;&gt;1,0,F296-N(G296))</f>
        <v/>
      </c>
      <c r="N296" s="35">
        <f>IF(OR(R296&lt;&gt;1,M296&lt;=0),"",IF(I296="Yes","",IF(L296&lt;W1,IF(OverdueW1="No","",1),IF(L296&lt;=W1+90,INT((L296-W1)/7)+1,""))))</f>
        <v/>
      </c>
      <c r="O296" s="36">
        <f>IF(ISNUMBER(N296),M296*CollectPct,0)</f>
        <v/>
      </c>
      <c r="P296" s="10">
        <f>IF(R296="","",IF(R296=0,"Not counted",IF(M296&lt;=0,"Paid",IF(I296="Yes","Doubtful (left out)",IF(L296&lt;W1,IF(OverdueW1="No","Overdue (left out)","Overdue → Week 1"),IF(L296&lt;=W1+90,"Week "&amp;N296,"After Week 13"))))))</f>
        <v/>
      </c>
      <c r="Q296" s="10">
        <f>IF(R296="","",IF(R296=0,IF(NOT(ISNUMBER(F296)),"Fix: amount missing",IF(F296&lt;=0,"Fix: amount must be above 0",IF(AND(NOT(ISNUMBER(D296)),NOT(ISNUMBER(H296))),"Fix: add an invoice date or a promised date",IF(AND(D296&lt;&gt;"",NOT(ISNUMBER(D296))),"Fix: invoice date isn't a date",IF(AND(E296&lt;&gt;"",NOT(ISNUMBER(E296))),"Fix: terms must be a number",IF(AND(G296&lt;&gt;"",NOT(ISNUMBER(G296))),"Fix: received must be a number",IF(AND(H296&lt;&gt;"",NOT(ISNUMBER(H296))),"Fix: promised date isn't a date","Fix: received is more than the amount"))))))),IF(AND(C296&lt;&gt;"",ISNUMBER(MATCH(C296,InCats,0))),"OK","Category not on Settings (counted as Other)")))</f>
        <v/>
      </c>
      <c r="R296">
        <f>IF(COUNTA(A296:I296)=0,"",IF(AND(ISNUMBER(F296),F296&gt;0,OR(ISNUMBER(D296),ISNUMBER(H296)),OR(D296="",ISNUMBER(D296)),OR(E296="",ISNUMBER(E296)),OR(G296="",ISNUMBER(G296)),OR(H296="",ISNUMBER(H296))),IF(N(G296)&gt;F296,0,1),0))</f>
        <v/>
      </c>
    </row>
    <row r="297">
      <c r="A297" s="29" t="n"/>
      <c r="B297" s="29" t="n"/>
      <c r="C297" s="29" t="n"/>
      <c r="D297" s="24" t="n"/>
      <c r="E297" s="26" t="n"/>
      <c r="F297" s="34" t="n"/>
      <c r="G297" s="34" t="n"/>
      <c r="H297" s="24" t="n"/>
      <c r="I297" s="29" t="n"/>
      <c r="J297" s="32">
        <f>IF(R297&lt;&gt;1,"",IF(ISNUMBER(D297),INT(D297)+IF(ISNUMBER(E297),INT(E297),DefTerms),""))</f>
        <v/>
      </c>
      <c r="K297" s="35">
        <f>IF(R297&lt;&gt;1,"",IF(ISNUMBER(H297),0,IF(AND(A297&lt;&gt;"",ISNUMBER(MATCH(A297,CustName,0))),IF(ISNUMBER(INDEX(CustLate,MATCH(A297,CustName,0))),INT(INDEX(CustLate,MATCH(A297,CustName,0))),DefLate),DefLate)))</f>
        <v/>
      </c>
      <c r="L297" s="32">
        <f>IF(R297&lt;&gt;1,"",IF(ISNUMBER(H297),INT(H297),J297+K297)+StressDays)</f>
        <v/>
      </c>
      <c r="M297" s="21">
        <f>IF(R297&lt;&gt;1,0,F297-N(G297))</f>
        <v/>
      </c>
      <c r="N297" s="35">
        <f>IF(OR(R297&lt;&gt;1,M297&lt;=0),"",IF(I297="Yes","",IF(L297&lt;W1,IF(OverdueW1="No","",1),IF(L297&lt;=W1+90,INT((L297-W1)/7)+1,""))))</f>
        <v/>
      </c>
      <c r="O297" s="36">
        <f>IF(ISNUMBER(N297),M297*CollectPct,0)</f>
        <v/>
      </c>
      <c r="P297" s="10">
        <f>IF(R297="","",IF(R297=0,"Not counted",IF(M297&lt;=0,"Paid",IF(I297="Yes","Doubtful (left out)",IF(L297&lt;W1,IF(OverdueW1="No","Overdue (left out)","Overdue → Week 1"),IF(L297&lt;=W1+90,"Week "&amp;N297,"After Week 13"))))))</f>
        <v/>
      </c>
      <c r="Q297" s="10">
        <f>IF(R297="","",IF(R297=0,IF(NOT(ISNUMBER(F297)),"Fix: amount missing",IF(F297&lt;=0,"Fix: amount must be above 0",IF(AND(NOT(ISNUMBER(D297)),NOT(ISNUMBER(H297))),"Fix: add an invoice date or a promised date",IF(AND(D297&lt;&gt;"",NOT(ISNUMBER(D297))),"Fix: invoice date isn't a date",IF(AND(E297&lt;&gt;"",NOT(ISNUMBER(E297))),"Fix: terms must be a number",IF(AND(G297&lt;&gt;"",NOT(ISNUMBER(G297))),"Fix: received must be a number",IF(AND(H297&lt;&gt;"",NOT(ISNUMBER(H297))),"Fix: promised date isn't a date","Fix: received is more than the amount"))))))),IF(AND(C297&lt;&gt;"",ISNUMBER(MATCH(C297,InCats,0))),"OK","Category not on Settings (counted as Other)")))</f>
        <v/>
      </c>
      <c r="R297">
        <f>IF(COUNTA(A297:I297)=0,"",IF(AND(ISNUMBER(F297),F297&gt;0,OR(ISNUMBER(D297),ISNUMBER(H297)),OR(D297="",ISNUMBER(D297)),OR(E297="",ISNUMBER(E297)),OR(G297="",ISNUMBER(G297)),OR(H297="",ISNUMBER(H297))),IF(N(G297)&gt;F297,0,1),0))</f>
        <v/>
      </c>
    </row>
    <row r="298">
      <c r="A298" s="29" t="n"/>
      <c r="B298" s="29" t="n"/>
      <c r="C298" s="29" t="n"/>
      <c r="D298" s="24" t="n"/>
      <c r="E298" s="26" t="n"/>
      <c r="F298" s="34" t="n"/>
      <c r="G298" s="34" t="n"/>
      <c r="H298" s="24" t="n"/>
      <c r="I298" s="29" t="n"/>
      <c r="J298" s="32">
        <f>IF(R298&lt;&gt;1,"",IF(ISNUMBER(D298),INT(D298)+IF(ISNUMBER(E298),INT(E298),DefTerms),""))</f>
        <v/>
      </c>
      <c r="K298" s="35">
        <f>IF(R298&lt;&gt;1,"",IF(ISNUMBER(H298),0,IF(AND(A298&lt;&gt;"",ISNUMBER(MATCH(A298,CustName,0))),IF(ISNUMBER(INDEX(CustLate,MATCH(A298,CustName,0))),INT(INDEX(CustLate,MATCH(A298,CustName,0))),DefLate),DefLate)))</f>
        <v/>
      </c>
      <c r="L298" s="32">
        <f>IF(R298&lt;&gt;1,"",IF(ISNUMBER(H298),INT(H298),J298+K298)+StressDays)</f>
        <v/>
      </c>
      <c r="M298" s="21">
        <f>IF(R298&lt;&gt;1,0,F298-N(G298))</f>
        <v/>
      </c>
      <c r="N298" s="35">
        <f>IF(OR(R298&lt;&gt;1,M298&lt;=0),"",IF(I298="Yes","",IF(L298&lt;W1,IF(OverdueW1="No","",1),IF(L298&lt;=W1+90,INT((L298-W1)/7)+1,""))))</f>
        <v/>
      </c>
      <c r="O298" s="36">
        <f>IF(ISNUMBER(N298),M298*CollectPct,0)</f>
        <v/>
      </c>
      <c r="P298" s="10">
        <f>IF(R298="","",IF(R298=0,"Not counted",IF(M298&lt;=0,"Paid",IF(I298="Yes","Doubtful (left out)",IF(L298&lt;W1,IF(OverdueW1="No","Overdue (left out)","Overdue → Week 1"),IF(L298&lt;=W1+90,"Week "&amp;N298,"After Week 13"))))))</f>
        <v/>
      </c>
      <c r="Q298" s="10">
        <f>IF(R298="","",IF(R298=0,IF(NOT(ISNUMBER(F298)),"Fix: amount missing",IF(F298&lt;=0,"Fix: amount must be above 0",IF(AND(NOT(ISNUMBER(D298)),NOT(ISNUMBER(H298))),"Fix: add an invoice date or a promised date",IF(AND(D298&lt;&gt;"",NOT(ISNUMBER(D298))),"Fix: invoice date isn't a date",IF(AND(E298&lt;&gt;"",NOT(ISNUMBER(E298))),"Fix: terms must be a number",IF(AND(G298&lt;&gt;"",NOT(ISNUMBER(G298))),"Fix: received must be a number",IF(AND(H298&lt;&gt;"",NOT(ISNUMBER(H298))),"Fix: promised date isn't a date","Fix: received is more than the amount"))))))),IF(AND(C298&lt;&gt;"",ISNUMBER(MATCH(C298,InCats,0))),"OK","Category not on Settings (counted as Other)")))</f>
        <v/>
      </c>
      <c r="R298">
        <f>IF(COUNTA(A298:I298)=0,"",IF(AND(ISNUMBER(F298),F298&gt;0,OR(ISNUMBER(D298),ISNUMBER(H298)),OR(D298="",ISNUMBER(D298)),OR(E298="",ISNUMBER(E298)),OR(G298="",ISNUMBER(G298)),OR(H298="",ISNUMBER(H298))),IF(N(G298)&gt;F298,0,1),0))</f>
        <v/>
      </c>
    </row>
    <row r="299">
      <c r="A299" s="29" t="n"/>
      <c r="B299" s="29" t="n"/>
      <c r="C299" s="29" t="n"/>
      <c r="D299" s="24" t="n"/>
      <c r="E299" s="26" t="n"/>
      <c r="F299" s="34" t="n"/>
      <c r="G299" s="34" t="n"/>
      <c r="H299" s="24" t="n"/>
      <c r="I299" s="29" t="n"/>
      <c r="J299" s="32">
        <f>IF(R299&lt;&gt;1,"",IF(ISNUMBER(D299),INT(D299)+IF(ISNUMBER(E299),INT(E299),DefTerms),""))</f>
        <v/>
      </c>
      <c r="K299" s="35">
        <f>IF(R299&lt;&gt;1,"",IF(ISNUMBER(H299),0,IF(AND(A299&lt;&gt;"",ISNUMBER(MATCH(A299,CustName,0))),IF(ISNUMBER(INDEX(CustLate,MATCH(A299,CustName,0))),INT(INDEX(CustLate,MATCH(A299,CustName,0))),DefLate),DefLate)))</f>
        <v/>
      </c>
      <c r="L299" s="32">
        <f>IF(R299&lt;&gt;1,"",IF(ISNUMBER(H299),INT(H299),J299+K299)+StressDays)</f>
        <v/>
      </c>
      <c r="M299" s="21">
        <f>IF(R299&lt;&gt;1,0,F299-N(G299))</f>
        <v/>
      </c>
      <c r="N299" s="35">
        <f>IF(OR(R299&lt;&gt;1,M299&lt;=0),"",IF(I299="Yes","",IF(L299&lt;W1,IF(OverdueW1="No","",1),IF(L299&lt;=W1+90,INT((L299-W1)/7)+1,""))))</f>
        <v/>
      </c>
      <c r="O299" s="36">
        <f>IF(ISNUMBER(N299),M299*CollectPct,0)</f>
        <v/>
      </c>
      <c r="P299" s="10">
        <f>IF(R299="","",IF(R299=0,"Not counted",IF(M299&lt;=0,"Paid",IF(I299="Yes","Doubtful (left out)",IF(L299&lt;W1,IF(OverdueW1="No","Overdue (left out)","Overdue → Week 1"),IF(L299&lt;=W1+90,"Week "&amp;N299,"After Week 13"))))))</f>
        <v/>
      </c>
      <c r="Q299" s="10">
        <f>IF(R299="","",IF(R299=0,IF(NOT(ISNUMBER(F299)),"Fix: amount missing",IF(F299&lt;=0,"Fix: amount must be above 0",IF(AND(NOT(ISNUMBER(D299)),NOT(ISNUMBER(H299))),"Fix: add an invoice date or a promised date",IF(AND(D299&lt;&gt;"",NOT(ISNUMBER(D299))),"Fix: invoice date isn't a date",IF(AND(E299&lt;&gt;"",NOT(ISNUMBER(E299))),"Fix: terms must be a number",IF(AND(G299&lt;&gt;"",NOT(ISNUMBER(G299))),"Fix: received must be a number",IF(AND(H299&lt;&gt;"",NOT(ISNUMBER(H299))),"Fix: promised date isn't a date","Fix: received is more than the amount"))))))),IF(AND(C299&lt;&gt;"",ISNUMBER(MATCH(C299,InCats,0))),"OK","Category not on Settings (counted as Other)")))</f>
        <v/>
      </c>
      <c r="R299">
        <f>IF(COUNTA(A299:I299)=0,"",IF(AND(ISNUMBER(F299),F299&gt;0,OR(ISNUMBER(D299),ISNUMBER(H299)),OR(D299="",ISNUMBER(D299)),OR(E299="",ISNUMBER(E299)),OR(G299="",ISNUMBER(G299)),OR(H299="",ISNUMBER(H299))),IF(N(G299)&gt;F299,0,1),0))</f>
        <v/>
      </c>
    </row>
    <row r="300">
      <c r="A300" s="29" t="n"/>
      <c r="B300" s="29" t="n"/>
      <c r="C300" s="29" t="n"/>
      <c r="D300" s="24" t="n"/>
      <c r="E300" s="26" t="n"/>
      <c r="F300" s="34" t="n"/>
      <c r="G300" s="34" t="n"/>
      <c r="H300" s="24" t="n"/>
      <c r="I300" s="29" t="n"/>
      <c r="J300" s="32">
        <f>IF(R300&lt;&gt;1,"",IF(ISNUMBER(D300),INT(D300)+IF(ISNUMBER(E300),INT(E300),DefTerms),""))</f>
        <v/>
      </c>
      <c r="K300" s="35">
        <f>IF(R300&lt;&gt;1,"",IF(ISNUMBER(H300),0,IF(AND(A300&lt;&gt;"",ISNUMBER(MATCH(A300,CustName,0))),IF(ISNUMBER(INDEX(CustLate,MATCH(A300,CustName,0))),INT(INDEX(CustLate,MATCH(A300,CustName,0))),DefLate),DefLate)))</f>
        <v/>
      </c>
      <c r="L300" s="32">
        <f>IF(R300&lt;&gt;1,"",IF(ISNUMBER(H300),INT(H300),J300+K300)+StressDays)</f>
        <v/>
      </c>
      <c r="M300" s="21">
        <f>IF(R300&lt;&gt;1,0,F300-N(G300))</f>
        <v/>
      </c>
      <c r="N300" s="35">
        <f>IF(OR(R300&lt;&gt;1,M300&lt;=0),"",IF(I300="Yes","",IF(L300&lt;W1,IF(OverdueW1="No","",1),IF(L300&lt;=W1+90,INT((L300-W1)/7)+1,""))))</f>
        <v/>
      </c>
      <c r="O300" s="36">
        <f>IF(ISNUMBER(N300),M300*CollectPct,0)</f>
        <v/>
      </c>
      <c r="P300" s="10">
        <f>IF(R300="","",IF(R300=0,"Not counted",IF(M300&lt;=0,"Paid",IF(I300="Yes","Doubtful (left out)",IF(L300&lt;W1,IF(OverdueW1="No","Overdue (left out)","Overdue → Week 1"),IF(L300&lt;=W1+90,"Week "&amp;N300,"After Week 13"))))))</f>
        <v/>
      </c>
      <c r="Q300" s="10">
        <f>IF(R300="","",IF(R300=0,IF(NOT(ISNUMBER(F300)),"Fix: amount missing",IF(F300&lt;=0,"Fix: amount must be above 0",IF(AND(NOT(ISNUMBER(D300)),NOT(ISNUMBER(H300))),"Fix: add an invoice date or a promised date",IF(AND(D300&lt;&gt;"",NOT(ISNUMBER(D300))),"Fix: invoice date isn't a date",IF(AND(E300&lt;&gt;"",NOT(ISNUMBER(E300))),"Fix: terms must be a number",IF(AND(G300&lt;&gt;"",NOT(ISNUMBER(G300))),"Fix: received must be a number",IF(AND(H300&lt;&gt;"",NOT(ISNUMBER(H300))),"Fix: promised date isn't a date","Fix: received is more than the amount"))))))),IF(AND(C300&lt;&gt;"",ISNUMBER(MATCH(C300,InCats,0))),"OK","Category not on Settings (counted as Other)")))</f>
        <v/>
      </c>
      <c r="R300">
        <f>IF(COUNTA(A300:I300)=0,"",IF(AND(ISNUMBER(F300),F300&gt;0,OR(ISNUMBER(D300),ISNUMBER(H300)),OR(D300="",ISNUMBER(D300)),OR(E300="",ISNUMBER(E300)),OR(G300="",ISNUMBER(G300)),OR(H300="",ISNUMBER(H300))),IF(N(G300)&gt;F300,0,1),0))</f>
        <v/>
      </c>
    </row>
    <row r="301">
      <c r="A301" s="29" t="n"/>
      <c r="B301" s="29" t="n"/>
      <c r="C301" s="29" t="n"/>
      <c r="D301" s="24" t="n"/>
      <c r="E301" s="26" t="n"/>
      <c r="F301" s="34" t="n"/>
      <c r="G301" s="34" t="n"/>
      <c r="H301" s="24" t="n"/>
      <c r="I301" s="29" t="n"/>
      <c r="J301" s="32">
        <f>IF(R301&lt;&gt;1,"",IF(ISNUMBER(D301),INT(D301)+IF(ISNUMBER(E301),INT(E301),DefTerms),""))</f>
        <v/>
      </c>
      <c r="K301" s="35">
        <f>IF(R301&lt;&gt;1,"",IF(ISNUMBER(H301),0,IF(AND(A301&lt;&gt;"",ISNUMBER(MATCH(A301,CustName,0))),IF(ISNUMBER(INDEX(CustLate,MATCH(A301,CustName,0))),INT(INDEX(CustLate,MATCH(A301,CustName,0))),DefLate),DefLate)))</f>
        <v/>
      </c>
      <c r="L301" s="32">
        <f>IF(R301&lt;&gt;1,"",IF(ISNUMBER(H301),INT(H301),J301+K301)+StressDays)</f>
        <v/>
      </c>
      <c r="M301" s="21">
        <f>IF(R301&lt;&gt;1,0,F301-N(G301))</f>
        <v/>
      </c>
      <c r="N301" s="35">
        <f>IF(OR(R301&lt;&gt;1,M301&lt;=0),"",IF(I301="Yes","",IF(L301&lt;W1,IF(OverdueW1="No","",1),IF(L301&lt;=W1+90,INT((L301-W1)/7)+1,""))))</f>
        <v/>
      </c>
      <c r="O301" s="36">
        <f>IF(ISNUMBER(N301),M301*CollectPct,0)</f>
        <v/>
      </c>
      <c r="P301" s="10">
        <f>IF(R301="","",IF(R301=0,"Not counted",IF(M301&lt;=0,"Paid",IF(I301="Yes","Doubtful (left out)",IF(L301&lt;W1,IF(OverdueW1="No","Overdue (left out)","Overdue → Week 1"),IF(L301&lt;=W1+90,"Week "&amp;N301,"After Week 13"))))))</f>
        <v/>
      </c>
      <c r="Q301" s="10">
        <f>IF(R301="","",IF(R301=0,IF(NOT(ISNUMBER(F301)),"Fix: amount missing",IF(F301&lt;=0,"Fix: amount must be above 0",IF(AND(NOT(ISNUMBER(D301)),NOT(ISNUMBER(H301))),"Fix: add an invoice date or a promised date",IF(AND(D301&lt;&gt;"",NOT(ISNUMBER(D301))),"Fix: invoice date isn't a date",IF(AND(E301&lt;&gt;"",NOT(ISNUMBER(E301))),"Fix: terms must be a number",IF(AND(G301&lt;&gt;"",NOT(ISNUMBER(G301))),"Fix: received must be a number",IF(AND(H301&lt;&gt;"",NOT(ISNUMBER(H301))),"Fix: promised date isn't a date","Fix: received is more than the amount"))))))),IF(AND(C301&lt;&gt;"",ISNUMBER(MATCH(C301,InCats,0))),"OK","Category not on Settings (counted as Other)")))</f>
        <v/>
      </c>
      <c r="R301">
        <f>IF(COUNTA(A301:I301)=0,"",IF(AND(ISNUMBER(F301),F301&gt;0,OR(ISNUMBER(D301),ISNUMBER(H301)),OR(D301="",ISNUMBER(D301)),OR(E301="",ISNUMBER(E301)),OR(G301="",ISNUMBER(G301)),OR(H301="",ISNUMBER(H301))),IF(N(G301)&gt;F301,0,1),0))</f>
        <v/>
      </c>
    </row>
    <row r="302">
      <c r="A302" s="29" t="n"/>
      <c r="B302" s="29" t="n"/>
      <c r="C302" s="29" t="n"/>
      <c r="D302" s="24" t="n"/>
      <c r="E302" s="26" t="n"/>
      <c r="F302" s="34" t="n"/>
      <c r="G302" s="34" t="n"/>
      <c r="H302" s="24" t="n"/>
      <c r="I302" s="29" t="n"/>
      <c r="J302" s="32">
        <f>IF(R302&lt;&gt;1,"",IF(ISNUMBER(D302),INT(D302)+IF(ISNUMBER(E302),INT(E302),DefTerms),""))</f>
        <v/>
      </c>
      <c r="K302" s="35">
        <f>IF(R302&lt;&gt;1,"",IF(ISNUMBER(H302),0,IF(AND(A302&lt;&gt;"",ISNUMBER(MATCH(A302,CustName,0))),IF(ISNUMBER(INDEX(CustLate,MATCH(A302,CustName,0))),INT(INDEX(CustLate,MATCH(A302,CustName,0))),DefLate),DefLate)))</f>
        <v/>
      </c>
      <c r="L302" s="32">
        <f>IF(R302&lt;&gt;1,"",IF(ISNUMBER(H302),INT(H302),J302+K302)+StressDays)</f>
        <v/>
      </c>
      <c r="M302" s="21">
        <f>IF(R302&lt;&gt;1,0,F302-N(G302))</f>
        <v/>
      </c>
      <c r="N302" s="35">
        <f>IF(OR(R302&lt;&gt;1,M302&lt;=0),"",IF(I302="Yes","",IF(L302&lt;W1,IF(OverdueW1="No","",1),IF(L302&lt;=W1+90,INT((L302-W1)/7)+1,""))))</f>
        <v/>
      </c>
      <c r="O302" s="36">
        <f>IF(ISNUMBER(N302),M302*CollectPct,0)</f>
        <v/>
      </c>
      <c r="P302" s="10">
        <f>IF(R302="","",IF(R302=0,"Not counted",IF(M302&lt;=0,"Paid",IF(I302="Yes","Doubtful (left out)",IF(L302&lt;W1,IF(OverdueW1="No","Overdue (left out)","Overdue → Week 1"),IF(L302&lt;=W1+90,"Week "&amp;N302,"After Week 13"))))))</f>
        <v/>
      </c>
      <c r="Q302" s="10">
        <f>IF(R302="","",IF(R302=0,IF(NOT(ISNUMBER(F302)),"Fix: amount missing",IF(F302&lt;=0,"Fix: amount must be above 0",IF(AND(NOT(ISNUMBER(D302)),NOT(ISNUMBER(H302))),"Fix: add an invoice date or a promised date",IF(AND(D302&lt;&gt;"",NOT(ISNUMBER(D302))),"Fix: invoice date isn't a date",IF(AND(E302&lt;&gt;"",NOT(ISNUMBER(E302))),"Fix: terms must be a number",IF(AND(G302&lt;&gt;"",NOT(ISNUMBER(G302))),"Fix: received must be a number",IF(AND(H302&lt;&gt;"",NOT(ISNUMBER(H302))),"Fix: promised date isn't a date","Fix: received is more than the amount"))))))),IF(AND(C302&lt;&gt;"",ISNUMBER(MATCH(C302,InCats,0))),"OK","Category not on Settings (counted as Other)")))</f>
        <v/>
      </c>
      <c r="R302">
        <f>IF(COUNTA(A302:I302)=0,"",IF(AND(ISNUMBER(F302),F302&gt;0,OR(ISNUMBER(D302),ISNUMBER(H302)),OR(D302="",ISNUMBER(D302)),OR(E302="",ISNUMBER(E302)),OR(G302="",ISNUMBER(G302)),OR(H302="",ISNUMBER(H302))),IF(N(G302)&gt;F302,0,1),0))</f>
        <v/>
      </c>
    </row>
    <row r="303">
      <c r="A303" s="29" t="n"/>
      <c r="B303" s="29" t="n"/>
      <c r="C303" s="29" t="n"/>
      <c r="D303" s="24" t="n"/>
      <c r="E303" s="26" t="n"/>
      <c r="F303" s="34" t="n"/>
      <c r="G303" s="34" t="n"/>
      <c r="H303" s="24" t="n"/>
      <c r="I303" s="29" t="n"/>
      <c r="J303" s="32">
        <f>IF(R303&lt;&gt;1,"",IF(ISNUMBER(D303),INT(D303)+IF(ISNUMBER(E303),INT(E303),DefTerms),""))</f>
        <v/>
      </c>
      <c r="K303" s="35">
        <f>IF(R303&lt;&gt;1,"",IF(ISNUMBER(H303),0,IF(AND(A303&lt;&gt;"",ISNUMBER(MATCH(A303,CustName,0))),IF(ISNUMBER(INDEX(CustLate,MATCH(A303,CustName,0))),INT(INDEX(CustLate,MATCH(A303,CustName,0))),DefLate),DefLate)))</f>
        <v/>
      </c>
      <c r="L303" s="32">
        <f>IF(R303&lt;&gt;1,"",IF(ISNUMBER(H303),INT(H303),J303+K303)+StressDays)</f>
        <v/>
      </c>
      <c r="M303" s="21">
        <f>IF(R303&lt;&gt;1,0,F303-N(G303))</f>
        <v/>
      </c>
      <c r="N303" s="35">
        <f>IF(OR(R303&lt;&gt;1,M303&lt;=0),"",IF(I303="Yes","",IF(L303&lt;W1,IF(OverdueW1="No","",1),IF(L303&lt;=W1+90,INT((L303-W1)/7)+1,""))))</f>
        <v/>
      </c>
      <c r="O303" s="36">
        <f>IF(ISNUMBER(N303),M303*CollectPct,0)</f>
        <v/>
      </c>
      <c r="P303" s="10">
        <f>IF(R303="","",IF(R303=0,"Not counted",IF(M303&lt;=0,"Paid",IF(I303="Yes","Doubtful (left out)",IF(L303&lt;W1,IF(OverdueW1="No","Overdue (left out)","Overdue → Week 1"),IF(L303&lt;=W1+90,"Week "&amp;N303,"After Week 13"))))))</f>
        <v/>
      </c>
      <c r="Q303" s="10">
        <f>IF(R303="","",IF(R303=0,IF(NOT(ISNUMBER(F303)),"Fix: amount missing",IF(F303&lt;=0,"Fix: amount must be above 0",IF(AND(NOT(ISNUMBER(D303)),NOT(ISNUMBER(H303))),"Fix: add an invoice date or a promised date",IF(AND(D303&lt;&gt;"",NOT(ISNUMBER(D303))),"Fix: invoice date isn't a date",IF(AND(E303&lt;&gt;"",NOT(ISNUMBER(E303))),"Fix: terms must be a number",IF(AND(G303&lt;&gt;"",NOT(ISNUMBER(G303))),"Fix: received must be a number",IF(AND(H303&lt;&gt;"",NOT(ISNUMBER(H303))),"Fix: promised date isn't a date","Fix: received is more than the amount"))))))),IF(AND(C303&lt;&gt;"",ISNUMBER(MATCH(C303,InCats,0))),"OK","Category not on Settings (counted as Other)")))</f>
        <v/>
      </c>
      <c r="R303">
        <f>IF(COUNTA(A303:I303)=0,"",IF(AND(ISNUMBER(F303),F303&gt;0,OR(ISNUMBER(D303),ISNUMBER(H303)),OR(D303="",ISNUMBER(D303)),OR(E303="",ISNUMBER(E303)),OR(G303="",ISNUMBER(G303)),OR(H303="",ISNUMBER(H303))),IF(N(G303)&gt;F303,0,1),0))</f>
        <v/>
      </c>
    </row>
    <row r="304">
      <c r="A304" s="29" t="n"/>
      <c r="B304" s="29" t="n"/>
      <c r="C304" s="29" t="n"/>
      <c r="D304" s="24" t="n"/>
      <c r="E304" s="26" t="n"/>
      <c r="F304" s="34" t="n"/>
      <c r="G304" s="34" t="n"/>
      <c r="H304" s="24" t="n"/>
      <c r="I304" s="29" t="n"/>
      <c r="J304" s="32">
        <f>IF(R304&lt;&gt;1,"",IF(ISNUMBER(D304),INT(D304)+IF(ISNUMBER(E304),INT(E304),DefTerms),""))</f>
        <v/>
      </c>
      <c r="K304" s="35">
        <f>IF(R304&lt;&gt;1,"",IF(ISNUMBER(H304),0,IF(AND(A304&lt;&gt;"",ISNUMBER(MATCH(A304,CustName,0))),IF(ISNUMBER(INDEX(CustLate,MATCH(A304,CustName,0))),INT(INDEX(CustLate,MATCH(A304,CustName,0))),DefLate),DefLate)))</f>
        <v/>
      </c>
      <c r="L304" s="32">
        <f>IF(R304&lt;&gt;1,"",IF(ISNUMBER(H304),INT(H304),J304+K304)+StressDays)</f>
        <v/>
      </c>
      <c r="M304" s="21">
        <f>IF(R304&lt;&gt;1,0,F304-N(G304))</f>
        <v/>
      </c>
      <c r="N304" s="35">
        <f>IF(OR(R304&lt;&gt;1,M304&lt;=0),"",IF(I304="Yes","",IF(L304&lt;W1,IF(OverdueW1="No","",1),IF(L304&lt;=W1+90,INT((L304-W1)/7)+1,""))))</f>
        <v/>
      </c>
      <c r="O304" s="36">
        <f>IF(ISNUMBER(N304),M304*CollectPct,0)</f>
        <v/>
      </c>
      <c r="P304" s="10">
        <f>IF(R304="","",IF(R304=0,"Not counted",IF(M304&lt;=0,"Paid",IF(I304="Yes","Doubtful (left out)",IF(L304&lt;W1,IF(OverdueW1="No","Overdue (left out)","Overdue → Week 1"),IF(L304&lt;=W1+90,"Week "&amp;N304,"After Week 13"))))))</f>
        <v/>
      </c>
      <c r="Q304" s="10">
        <f>IF(R304="","",IF(R304=0,IF(NOT(ISNUMBER(F304)),"Fix: amount missing",IF(F304&lt;=0,"Fix: amount must be above 0",IF(AND(NOT(ISNUMBER(D304)),NOT(ISNUMBER(H304))),"Fix: add an invoice date or a promised date",IF(AND(D304&lt;&gt;"",NOT(ISNUMBER(D304))),"Fix: invoice date isn't a date",IF(AND(E304&lt;&gt;"",NOT(ISNUMBER(E304))),"Fix: terms must be a number",IF(AND(G304&lt;&gt;"",NOT(ISNUMBER(G304))),"Fix: received must be a number",IF(AND(H304&lt;&gt;"",NOT(ISNUMBER(H304))),"Fix: promised date isn't a date","Fix: received is more than the amount"))))))),IF(AND(C304&lt;&gt;"",ISNUMBER(MATCH(C304,InCats,0))),"OK","Category not on Settings (counted as Other)")))</f>
        <v/>
      </c>
      <c r="R304">
        <f>IF(COUNTA(A304:I304)=0,"",IF(AND(ISNUMBER(F304),F304&gt;0,OR(ISNUMBER(D304),ISNUMBER(H304)),OR(D304="",ISNUMBER(D304)),OR(E304="",ISNUMBER(E304)),OR(G304="",ISNUMBER(G304)),OR(H304="",ISNUMBER(H304))),IF(N(G304)&gt;F304,0,1),0))</f>
        <v/>
      </c>
    </row>
    <row r="305">
      <c r="A305" s="29" t="n"/>
      <c r="B305" s="29" t="n"/>
      <c r="C305" s="29" t="n"/>
      <c r="D305" s="24" t="n"/>
      <c r="E305" s="26" t="n"/>
      <c r="F305" s="34" t="n"/>
      <c r="G305" s="34" t="n"/>
      <c r="H305" s="24" t="n"/>
      <c r="I305" s="29" t="n"/>
      <c r="J305" s="32">
        <f>IF(R305&lt;&gt;1,"",IF(ISNUMBER(D305),INT(D305)+IF(ISNUMBER(E305),INT(E305),DefTerms),""))</f>
        <v/>
      </c>
      <c r="K305" s="35">
        <f>IF(R305&lt;&gt;1,"",IF(ISNUMBER(H305),0,IF(AND(A305&lt;&gt;"",ISNUMBER(MATCH(A305,CustName,0))),IF(ISNUMBER(INDEX(CustLate,MATCH(A305,CustName,0))),INT(INDEX(CustLate,MATCH(A305,CustName,0))),DefLate),DefLate)))</f>
        <v/>
      </c>
      <c r="L305" s="32">
        <f>IF(R305&lt;&gt;1,"",IF(ISNUMBER(H305),INT(H305),J305+K305)+StressDays)</f>
        <v/>
      </c>
      <c r="M305" s="21">
        <f>IF(R305&lt;&gt;1,0,F305-N(G305))</f>
        <v/>
      </c>
      <c r="N305" s="35">
        <f>IF(OR(R305&lt;&gt;1,M305&lt;=0),"",IF(I305="Yes","",IF(L305&lt;W1,IF(OverdueW1="No","",1),IF(L305&lt;=W1+90,INT((L305-W1)/7)+1,""))))</f>
        <v/>
      </c>
      <c r="O305" s="36">
        <f>IF(ISNUMBER(N305),M305*CollectPct,0)</f>
        <v/>
      </c>
      <c r="P305" s="10">
        <f>IF(R305="","",IF(R305=0,"Not counted",IF(M305&lt;=0,"Paid",IF(I305="Yes","Doubtful (left out)",IF(L305&lt;W1,IF(OverdueW1="No","Overdue (left out)","Overdue → Week 1"),IF(L305&lt;=W1+90,"Week "&amp;N305,"After Week 13"))))))</f>
        <v/>
      </c>
      <c r="Q305" s="10">
        <f>IF(R305="","",IF(R305=0,IF(NOT(ISNUMBER(F305)),"Fix: amount missing",IF(F305&lt;=0,"Fix: amount must be above 0",IF(AND(NOT(ISNUMBER(D305)),NOT(ISNUMBER(H305))),"Fix: add an invoice date or a promised date",IF(AND(D305&lt;&gt;"",NOT(ISNUMBER(D305))),"Fix: invoice date isn't a date",IF(AND(E305&lt;&gt;"",NOT(ISNUMBER(E305))),"Fix: terms must be a number",IF(AND(G305&lt;&gt;"",NOT(ISNUMBER(G305))),"Fix: received must be a number",IF(AND(H305&lt;&gt;"",NOT(ISNUMBER(H305))),"Fix: promised date isn't a date","Fix: received is more than the amount"))))))),IF(AND(C305&lt;&gt;"",ISNUMBER(MATCH(C305,InCats,0))),"OK","Category not on Settings (counted as Other)")))</f>
        <v/>
      </c>
      <c r="R305">
        <f>IF(COUNTA(A305:I305)=0,"",IF(AND(ISNUMBER(F305),F305&gt;0,OR(ISNUMBER(D305),ISNUMBER(H305)),OR(D305="",ISNUMBER(D305)),OR(E305="",ISNUMBER(E305)),OR(G305="",ISNUMBER(G305)),OR(H305="",ISNUMBER(H305))),IF(N(G305)&gt;F305,0,1),0))</f>
        <v/>
      </c>
    </row>
    <row r="306">
      <c r="A306" s="29" t="n"/>
      <c r="B306" s="29" t="n"/>
      <c r="C306" s="29" t="n"/>
      <c r="D306" s="24" t="n"/>
      <c r="E306" s="26" t="n"/>
      <c r="F306" s="34" t="n"/>
      <c r="G306" s="34" t="n"/>
      <c r="H306" s="24" t="n"/>
      <c r="I306" s="29" t="n"/>
      <c r="J306" s="32">
        <f>IF(R306&lt;&gt;1,"",IF(ISNUMBER(D306),INT(D306)+IF(ISNUMBER(E306),INT(E306),DefTerms),""))</f>
        <v/>
      </c>
      <c r="K306" s="35">
        <f>IF(R306&lt;&gt;1,"",IF(ISNUMBER(H306),0,IF(AND(A306&lt;&gt;"",ISNUMBER(MATCH(A306,CustName,0))),IF(ISNUMBER(INDEX(CustLate,MATCH(A306,CustName,0))),INT(INDEX(CustLate,MATCH(A306,CustName,0))),DefLate),DefLate)))</f>
        <v/>
      </c>
      <c r="L306" s="32">
        <f>IF(R306&lt;&gt;1,"",IF(ISNUMBER(H306),INT(H306),J306+K306)+StressDays)</f>
        <v/>
      </c>
      <c r="M306" s="21">
        <f>IF(R306&lt;&gt;1,0,F306-N(G306))</f>
        <v/>
      </c>
      <c r="N306" s="35">
        <f>IF(OR(R306&lt;&gt;1,M306&lt;=0),"",IF(I306="Yes","",IF(L306&lt;W1,IF(OverdueW1="No","",1),IF(L306&lt;=W1+90,INT((L306-W1)/7)+1,""))))</f>
        <v/>
      </c>
      <c r="O306" s="36">
        <f>IF(ISNUMBER(N306),M306*CollectPct,0)</f>
        <v/>
      </c>
      <c r="P306" s="10">
        <f>IF(R306="","",IF(R306=0,"Not counted",IF(M306&lt;=0,"Paid",IF(I306="Yes","Doubtful (left out)",IF(L306&lt;W1,IF(OverdueW1="No","Overdue (left out)","Overdue → Week 1"),IF(L306&lt;=W1+90,"Week "&amp;N306,"After Week 13"))))))</f>
        <v/>
      </c>
      <c r="Q306" s="10">
        <f>IF(R306="","",IF(R306=0,IF(NOT(ISNUMBER(F306)),"Fix: amount missing",IF(F306&lt;=0,"Fix: amount must be above 0",IF(AND(NOT(ISNUMBER(D306)),NOT(ISNUMBER(H306))),"Fix: add an invoice date or a promised date",IF(AND(D306&lt;&gt;"",NOT(ISNUMBER(D306))),"Fix: invoice date isn't a date",IF(AND(E306&lt;&gt;"",NOT(ISNUMBER(E306))),"Fix: terms must be a number",IF(AND(G306&lt;&gt;"",NOT(ISNUMBER(G306))),"Fix: received must be a number",IF(AND(H306&lt;&gt;"",NOT(ISNUMBER(H306))),"Fix: promised date isn't a date","Fix: received is more than the amount"))))))),IF(AND(C306&lt;&gt;"",ISNUMBER(MATCH(C306,InCats,0))),"OK","Category not on Settings (counted as Other)")))</f>
        <v/>
      </c>
      <c r="R306">
        <f>IF(COUNTA(A306:I306)=0,"",IF(AND(ISNUMBER(F306),F306&gt;0,OR(ISNUMBER(D306),ISNUMBER(H306)),OR(D306="",ISNUMBER(D306)),OR(E306="",ISNUMBER(E306)),OR(G306="",ISNUMBER(G306)),OR(H306="",ISNUMBER(H306))),IF(N(G306)&gt;F306,0,1),0))</f>
        <v/>
      </c>
    </row>
  </sheetData>
  <sheetProtection selectLockedCells="0" selectUnlockedCells="0" sheet="1" objects="0" insertRows="1" insertHyperlinks="1" autoFilter="1" scenarios="0" formatColumns="0" deleteColumns="1" insertColumns="1" pivotTables="1" deleteRows="1" formatCells="1" formatRows="0" sort="1"/>
  <conditionalFormatting sqref="P7:Q306">
    <cfRule type="expression" priority="1" dxfId="2">
      <formula>$R7=0</formula>
    </cfRule>
  </conditionalFormatting>
  <conditionalFormatting sqref="P7:P306">
    <cfRule type="expression" priority="2" dxfId="3">
      <formula>LEFT($P7,7)="Overdue"</formula>
    </cfRule>
  </conditionalFormatting>
  <conditionalFormatting sqref="Q7:Q306">
    <cfRule type="expression" priority="3" dxfId="3">
      <formula>LEFT($Q7,8)="Category"</formula>
    </cfRule>
  </conditionalFormatting>
  <dataValidations count="4">
    <dataValidation sqref="C7:C306" showDropDown="0" showInputMessage="0" showErrorMessage="1" allowBlank="1" error="Not on the Settings list; it will count as Other / unlisted." type="list" errorStyle="warning">
      <formula1>InCats</formula1>
    </dataValidation>
    <dataValidation sqref="I7:I306" showDropDown="0" showInputMessage="0" showErrorMessage="0" allowBlank="1" type="list">
      <formula1>"Yes,No"</formula1>
    </dataValidation>
    <dataValidation sqref="D7:D306 H7:H306" showDropDown="0" showInputMessage="0" showErrorMessage="1" allowBlank="1" error="Type a date" type="date" operator="between">
      <formula1>36526</formula1>
      <formula2>73050</formula2>
    </dataValidation>
    <dataValidation sqref="E7:G306" showDropDown="0" showInputMessage="0" showErrorMessage="1" allowBlank="1" error="A number, 0 or more" type="decimal" operator="greaterThanOrEqual">
      <formula1>0</formula1>
    </dataValidation>
  </dataValidations>
  <printOptions horizontalCentered="1"/>
  <pageMargins left="0.4" right="0.4"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O30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6" customWidth="1" min="3" max="3"/>
    <col width="13" customWidth="1" min="4" max="4"/>
    <col width="12" customWidth="1" min="5" max="5"/>
    <col width="12" customWidth="1" min="6" max="6"/>
    <col width="13" customWidth="1" min="7" max="7"/>
    <col width="9" customWidth="1" min="8" max="8"/>
    <col width="13" customWidth="1" min="9" max="9"/>
    <col width="12" customWidth="1" min="10" max="10"/>
    <col width="7" customWidth="1" min="11" max="11"/>
    <col width="12" customWidth="1" min="12" max="12"/>
    <col width="19" customWidth="1" min="13" max="13"/>
    <col width="30" customWidth="1" min="14" max="14"/>
    <col hidden="1" width="13" customWidth="1" min="15" max="15"/>
  </cols>
  <sheetData>
    <row r="1" ht="24" customHeight="1">
      <c r="A1" s="1" t="inlineStr">
        <is>
          <t>Payables: bills you need to pay</t>
        </is>
      </c>
    </row>
    <row r="2">
      <c r="A2" s="2" t="inlineStr">
        <is>
          <t>Pay date = the date you plan to pay if you type one, otherwise the due date. Put a bill on hold to leave it out.</t>
        </is>
      </c>
    </row>
    <row r="6" ht="30" customHeight="1">
      <c r="A6" s="15" t="inlineStr">
        <is>
          <t>Payee</t>
        </is>
      </c>
      <c r="B6" s="15" t="inlineStr">
        <is>
          <t>Bill / ref</t>
        </is>
      </c>
      <c r="C6" s="15" t="inlineStr">
        <is>
          <t>Category</t>
        </is>
      </c>
      <c r="D6" s="15" t="inlineStr">
        <is>
          <t>Due date</t>
        </is>
      </c>
      <c r="E6" s="15" t="inlineStr">
        <is>
          <t>Amount</t>
        </is>
      </c>
      <c r="F6" s="15" t="inlineStr">
        <is>
          <t>Paid so far</t>
        </is>
      </c>
      <c r="G6" s="15" t="inlineStr">
        <is>
          <t>Planned pay date (optional)</t>
        </is>
      </c>
      <c r="H6" s="15" t="inlineStr">
        <is>
          <t>On hold?</t>
        </is>
      </c>
      <c r="I6" s="15" t="inlineStr">
        <is>
          <t>Pay date used</t>
        </is>
      </c>
      <c r="J6" s="15" t="inlineStr">
        <is>
          <t>Open amount</t>
        </is>
      </c>
      <c r="K6" s="15" t="inlineStr">
        <is>
          <t>Week</t>
        </is>
      </c>
      <c r="L6" s="15" t="inlineStr">
        <is>
          <t>In forecast</t>
        </is>
      </c>
      <c r="M6" s="15" t="inlineStr">
        <is>
          <t>Status</t>
        </is>
      </c>
      <c r="N6" s="15" t="inlineStr">
        <is>
          <t>Check</t>
        </is>
      </c>
    </row>
    <row r="7">
      <c r="A7" s="29" t="n"/>
      <c r="B7" s="29" t="n"/>
      <c r="C7" s="29" t="n"/>
      <c r="D7" s="24" t="n"/>
      <c r="E7" s="34" t="n"/>
      <c r="F7" s="34" t="n"/>
      <c r="G7" s="24" t="n"/>
      <c r="H7" s="29" t="n"/>
      <c r="I7" s="32">
        <f>IF(O7&lt;&gt;1,"",IF(ISNUMBER(G7),INT(G7),INT(D7)))</f>
        <v/>
      </c>
      <c r="J7" s="21">
        <f>IF(O7&lt;&gt;1,0,E7-N(F7))</f>
        <v/>
      </c>
      <c r="K7" s="35">
        <f>IF(OR(O7&lt;&gt;1,J7&lt;=0),"",IF(H7="Yes","",IF(I7&lt;W1,IF(OverdueW1="No","",1),IF(I7&lt;=W1+90,INT((I7-W1)/7)+1,""))))</f>
        <v/>
      </c>
      <c r="L7" s="36">
        <f>IF(ISNUMBER(K7),J7,0)</f>
        <v/>
      </c>
      <c r="M7" s="10">
        <f>IF(O7="","",IF(O7=0,"Not counted",IF(J7&lt;=0,"Paid",IF(H7="Yes","On hold (left out)",IF(I7&lt;W1,IF(OverdueW1="No","Overdue (left out)","Overdue → Week 1"),IF(I7&lt;=W1+90,"Week "&amp;K7,"After Week 13"))))))</f>
        <v/>
      </c>
      <c r="N7" s="10">
        <f>IF(O7="","",IF(O7=0,IF(NOT(ISNUMBER(E7)),"Fix: amount missing",IF(E7&lt;=0,"Fix: amount must be above 0",IF(AND(NOT(ISNUMBER(D7)),NOT(ISNUMBER(G7))),"Fix: add a due date or a planned pay date",IF(AND(D7&lt;&gt;"",NOT(ISNUMBER(D7))),"Fix: due date isn't a date",IF(AND(F7&lt;&gt;"",NOT(ISNUMBER(F7))),"Fix: paid must be a number",IF(AND(G7&lt;&gt;"",NOT(ISNUMBER(G7))),"Fix: planned date isn't a date","Fix: paid is more than the amount")))))),IF(AND(C7&lt;&gt;"",ISNUMBER(MATCH(C7,OutCats,0))),"OK","Category not on Settings (counted as Other)")))</f>
        <v/>
      </c>
      <c r="O7">
        <f>IF(COUNTA(A7:H7)=0,"",IF(AND(ISNUMBER(E7),E7&gt;0,OR(ISNUMBER(D7),ISNUMBER(G7)),OR(D7="",ISNUMBER(D7)),OR(F7="",ISNUMBER(F7)),OR(G7="",ISNUMBER(G7))),IF(N(F7)&gt;E7,0,1),0))</f>
        <v/>
      </c>
    </row>
    <row r="8">
      <c r="A8" s="29" t="n"/>
      <c r="B8" s="29" t="n"/>
      <c r="C8" s="29" t="n"/>
      <c r="D8" s="24" t="n"/>
      <c r="E8" s="34" t="n"/>
      <c r="F8" s="34" t="n"/>
      <c r="G8" s="24" t="n"/>
      <c r="H8" s="29" t="n"/>
      <c r="I8" s="32">
        <f>IF(O8&lt;&gt;1,"",IF(ISNUMBER(G8),INT(G8),INT(D8)))</f>
        <v/>
      </c>
      <c r="J8" s="21">
        <f>IF(O8&lt;&gt;1,0,E8-N(F8))</f>
        <v/>
      </c>
      <c r="K8" s="35">
        <f>IF(OR(O8&lt;&gt;1,J8&lt;=0),"",IF(H8="Yes","",IF(I8&lt;W1,IF(OverdueW1="No","",1),IF(I8&lt;=W1+90,INT((I8-W1)/7)+1,""))))</f>
        <v/>
      </c>
      <c r="L8" s="36">
        <f>IF(ISNUMBER(K8),J8,0)</f>
        <v/>
      </c>
      <c r="M8" s="10">
        <f>IF(O8="","",IF(O8=0,"Not counted",IF(J8&lt;=0,"Paid",IF(H8="Yes","On hold (left out)",IF(I8&lt;W1,IF(OverdueW1="No","Overdue (left out)","Overdue → Week 1"),IF(I8&lt;=W1+90,"Week "&amp;K8,"After Week 13"))))))</f>
        <v/>
      </c>
      <c r="N8" s="10">
        <f>IF(O8="","",IF(O8=0,IF(NOT(ISNUMBER(E8)),"Fix: amount missing",IF(E8&lt;=0,"Fix: amount must be above 0",IF(AND(NOT(ISNUMBER(D8)),NOT(ISNUMBER(G8))),"Fix: add a due date or a planned pay date",IF(AND(D8&lt;&gt;"",NOT(ISNUMBER(D8))),"Fix: due date isn't a date",IF(AND(F8&lt;&gt;"",NOT(ISNUMBER(F8))),"Fix: paid must be a number",IF(AND(G8&lt;&gt;"",NOT(ISNUMBER(G8))),"Fix: planned date isn't a date","Fix: paid is more than the amount")))))),IF(AND(C8&lt;&gt;"",ISNUMBER(MATCH(C8,OutCats,0))),"OK","Category not on Settings (counted as Other)")))</f>
        <v/>
      </c>
      <c r="O8">
        <f>IF(COUNTA(A8:H8)=0,"",IF(AND(ISNUMBER(E8),E8&gt;0,OR(ISNUMBER(D8),ISNUMBER(G8)),OR(D8="",ISNUMBER(D8)),OR(F8="",ISNUMBER(F8)),OR(G8="",ISNUMBER(G8))),IF(N(F8)&gt;E8,0,1),0))</f>
        <v/>
      </c>
    </row>
    <row r="9">
      <c r="A9" s="29" t="n"/>
      <c r="B9" s="29" t="n"/>
      <c r="C9" s="29" t="n"/>
      <c r="D9" s="24" t="n"/>
      <c r="E9" s="34" t="n"/>
      <c r="F9" s="34" t="n"/>
      <c r="G9" s="24" t="n"/>
      <c r="H9" s="29" t="n"/>
      <c r="I9" s="32">
        <f>IF(O9&lt;&gt;1,"",IF(ISNUMBER(G9),INT(G9),INT(D9)))</f>
        <v/>
      </c>
      <c r="J9" s="21">
        <f>IF(O9&lt;&gt;1,0,E9-N(F9))</f>
        <v/>
      </c>
      <c r="K9" s="35">
        <f>IF(OR(O9&lt;&gt;1,J9&lt;=0),"",IF(H9="Yes","",IF(I9&lt;W1,IF(OverdueW1="No","",1),IF(I9&lt;=W1+90,INT((I9-W1)/7)+1,""))))</f>
        <v/>
      </c>
      <c r="L9" s="36">
        <f>IF(ISNUMBER(K9),J9,0)</f>
        <v/>
      </c>
      <c r="M9" s="10">
        <f>IF(O9="","",IF(O9=0,"Not counted",IF(J9&lt;=0,"Paid",IF(H9="Yes","On hold (left out)",IF(I9&lt;W1,IF(OverdueW1="No","Overdue (left out)","Overdue → Week 1"),IF(I9&lt;=W1+90,"Week "&amp;K9,"After Week 13"))))))</f>
        <v/>
      </c>
      <c r="N9" s="10">
        <f>IF(O9="","",IF(O9=0,IF(NOT(ISNUMBER(E9)),"Fix: amount missing",IF(E9&lt;=0,"Fix: amount must be above 0",IF(AND(NOT(ISNUMBER(D9)),NOT(ISNUMBER(G9))),"Fix: add a due date or a planned pay date",IF(AND(D9&lt;&gt;"",NOT(ISNUMBER(D9))),"Fix: due date isn't a date",IF(AND(F9&lt;&gt;"",NOT(ISNUMBER(F9))),"Fix: paid must be a number",IF(AND(G9&lt;&gt;"",NOT(ISNUMBER(G9))),"Fix: planned date isn't a date","Fix: paid is more than the amount")))))),IF(AND(C9&lt;&gt;"",ISNUMBER(MATCH(C9,OutCats,0))),"OK","Category not on Settings (counted as Other)")))</f>
        <v/>
      </c>
      <c r="O9">
        <f>IF(COUNTA(A9:H9)=0,"",IF(AND(ISNUMBER(E9),E9&gt;0,OR(ISNUMBER(D9),ISNUMBER(G9)),OR(D9="",ISNUMBER(D9)),OR(F9="",ISNUMBER(F9)),OR(G9="",ISNUMBER(G9))),IF(N(F9)&gt;E9,0,1),0))</f>
        <v/>
      </c>
    </row>
    <row r="10">
      <c r="A10" s="29" t="n"/>
      <c r="B10" s="29" t="n"/>
      <c r="C10" s="29" t="n"/>
      <c r="D10" s="24" t="n"/>
      <c r="E10" s="34" t="n"/>
      <c r="F10" s="34" t="n"/>
      <c r="G10" s="24" t="n"/>
      <c r="H10" s="29" t="n"/>
      <c r="I10" s="32">
        <f>IF(O10&lt;&gt;1,"",IF(ISNUMBER(G10),INT(G10),INT(D10)))</f>
        <v/>
      </c>
      <c r="J10" s="21">
        <f>IF(O10&lt;&gt;1,0,E10-N(F10))</f>
        <v/>
      </c>
      <c r="K10" s="35">
        <f>IF(OR(O10&lt;&gt;1,J10&lt;=0),"",IF(H10="Yes","",IF(I10&lt;W1,IF(OverdueW1="No","",1),IF(I10&lt;=W1+90,INT((I10-W1)/7)+1,""))))</f>
        <v/>
      </c>
      <c r="L10" s="36">
        <f>IF(ISNUMBER(K10),J10,0)</f>
        <v/>
      </c>
      <c r="M10" s="10">
        <f>IF(O10="","",IF(O10=0,"Not counted",IF(J10&lt;=0,"Paid",IF(H10="Yes","On hold (left out)",IF(I10&lt;W1,IF(OverdueW1="No","Overdue (left out)","Overdue → Week 1"),IF(I10&lt;=W1+90,"Week "&amp;K10,"After Week 13"))))))</f>
        <v/>
      </c>
      <c r="N10" s="10">
        <f>IF(O10="","",IF(O10=0,IF(NOT(ISNUMBER(E10)),"Fix: amount missing",IF(E10&lt;=0,"Fix: amount must be above 0",IF(AND(NOT(ISNUMBER(D10)),NOT(ISNUMBER(G10))),"Fix: add a due date or a planned pay date",IF(AND(D10&lt;&gt;"",NOT(ISNUMBER(D10))),"Fix: due date isn't a date",IF(AND(F10&lt;&gt;"",NOT(ISNUMBER(F10))),"Fix: paid must be a number",IF(AND(G10&lt;&gt;"",NOT(ISNUMBER(G10))),"Fix: planned date isn't a date","Fix: paid is more than the amount")))))),IF(AND(C10&lt;&gt;"",ISNUMBER(MATCH(C10,OutCats,0))),"OK","Category not on Settings (counted as Other)")))</f>
        <v/>
      </c>
      <c r="O10">
        <f>IF(COUNTA(A10:H10)=0,"",IF(AND(ISNUMBER(E10),E10&gt;0,OR(ISNUMBER(D10),ISNUMBER(G10)),OR(D10="",ISNUMBER(D10)),OR(F10="",ISNUMBER(F10)),OR(G10="",ISNUMBER(G10))),IF(N(F10)&gt;E10,0,1),0))</f>
        <v/>
      </c>
    </row>
    <row r="11">
      <c r="A11" s="29" t="n"/>
      <c r="B11" s="29" t="n"/>
      <c r="C11" s="29" t="n"/>
      <c r="D11" s="24" t="n"/>
      <c r="E11" s="34" t="n"/>
      <c r="F11" s="34" t="n"/>
      <c r="G11" s="24" t="n"/>
      <c r="H11" s="29" t="n"/>
      <c r="I11" s="32">
        <f>IF(O11&lt;&gt;1,"",IF(ISNUMBER(G11),INT(G11),INT(D11)))</f>
        <v/>
      </c>
      <c r="J11" s="21">
        <f>IF(O11&lt;&gt;1,0,E11-N(F11))</f>
        <v/>
      </c>
      <c r="K11" s="35">
        <f>IF(OR(O11&lt;&gt;1,J11&lt;=0),"",IF(H11="Yes","",IF(I11&lt;W1,IF(OverdueW1="No","",1),IF(I11&lt;=W1+90,INT((I11-W1)/7)+1,""))))</f>
        <v/>
      </c>
      <c r="L11" s="36">
        <f>IF(ISNUMBER(K11),J11,0)</f>
        <v/>
      </c>
      <c r="M11" s="10">
        <f>IF(O11="","",IF(O11=0,"Not counted",IF(J11&lt;=0,"Paid",IF(H11="Yes","On hold (left out)",IF(I11&lt;W1,IF(OverdueW1="No","Overdue (left out)","Overdue → Week 1"),IF(I11&lt;=W1+90,"Week "&amp;K11,"After Week 13"))))))</f>
        <v/>
      </c>
      <c r="N11" s="10">
        <f>IF(O11="","",IF(O11=0,IF(NOT(ISNUMBER(E11)),"Fix: amount missing",IF(E11&lt;=0,"Fix: amount must be above 0",IF(AND(NOT(ISNUMBER(D11)),NOT(ISNUMBER(G11))),"Fix: add a due date or a planned pay date",IF(AND(D11&lt;&gt;"",NOT(ISNUMBER(D11))),"Fix: due date isn't a date",IF(AND(F11&lt;&gt;"",NOT(ISNUMBER(F11))),"Fix: paid must be a number",IF(AND(G11&lt;&gt;"",NOT(ISNUMBER(G11))),"Fix: planned date isn't a date","Fix: paid is more than the amount")))))),IF(AND(C11&lt;&gt;"",ISNUMBER(MATCH(C11,OutCats,0))),"OK","Category not on Settings (counted as Other)")))</f>
        <v/>
      </c>
      <c r="O11">
        <f>IF(COUNTA(A11:H11)=0,"",IF(AND(ISNUMBER(E11),E11&gt;0,OR(ISNUMBER(D11),ISNUMBER(G11)),OR(D11="",ISNUMBER(D11)),OR(F11="",ISNUMBER(F11)),OR(G11="",ISNUMBER(G11))),IF(N(F11)&gt;E11,0,1),0))</f>
        <v/>
      </c>
    </row>
    <row r="12">
      <c r="A12" s="29" t="n"/>
      <c r="B12" s="29" t="n"/>
      <c r="C12" s="29" t="n"/>
      <c r="D12" s="24" t="n"/>
      <c r="E12" s="34" t="n"/>
      <c r="F12" s="34" t="n"/>
      <c r="G12" s="24" t="n"/>
      <c r="H12" s="29" t="n"/>
      <c r="I12" s="32">
        <f>IF(O12&lt;&gt;1,"",IF(ISNUMBER(G12),INT(G12),INT(D12)))</f>
        <v/>
      </c>
      <c r="J12" s="21">
        <f>IF(O12&lt;&gt;1,0,E12-N(F12))</f>
        <v/>
      </c>
      <c r="K12" s="35">
        <f>IF(OR(O12&lt;&gt;1,J12&lt;=0),"",IF(H12="Yes","",IF(I12&lt;W1,IF(OverdueW1="No","",1),IF(I12&lt;=W1+90,INT((I12-W1)/7)+1,""))))</f>
        <v/>
      </c>
      <c r="L12" s="36">
        <f>IF(ISNUMBER(K12),J12,0)</f>
        <v/>
      </c>
      <c r="M12" s="10">
        <f>IF(O12="","",IF(O12=0,"Not counted",IF(J12&lt;=0,"Paid",IF(H12="Yes","On hold (left out)",IF(I12&lt;W1,IF(OverdueW1="No","Overdue (left out)","Overdue → Week 1"),IF(I12&lt;=W1+90,"Week "&amp;K12,"After Week 13"))))))</f>
        <v/>
      </c>
      <c r="N12" s="10">
        <f>IF(O12="","",IF(O12=0,IF(NOT(ISNUMBER(E12)),"Fix: amount missing",IF(E12&lt;=0,"Fix: amount must be above 0",IF(AND(NOT(ISNUMBER(D12)),NOT(ISNUMBER(G12))),"Fix: add a due date or a planned pay date",IF(AND(D12&lt;&gt;"",NOT(ISNUMBER(D12))),"Fix: due date isn't a date",IF(AND(F12&lt;&gt;"",NOT(ISNUMBER(F12))),"Fix: paid must be a number",IF(AND(G12&lt;&gt;"",NOT(ISNUMBER(G12))),"Fix: planned date isn't a date","Fix: paid is more than the amount")))))),IF(AND(C12&lt;&gt;"",ISNUMBER(MATCH(C12,OutCats,0))),"OK","Category not on Settings (counted as Other)")))</f>
        <v/>
      </c>
      <c r="O12">
        <f>IF(COUNTA(A12:H12)=0,"",IF(AND(ISNUMBER(E12),E12&gt;0,OR(ISNUMBER(D12),ISNUMBER(G12)),OR(D12="",ISNUMBER(D12)),OR(F12="",ISNUMBER(F12)),OR(G12="",ISNUMBER(G12))),IF(N(F12)&gt;E12,0,1),0))</f>
        <v/>
      </c>
    </row>
    <row r="13">
      <c r="A13" s="29" t="n"/>
      <c r="B13" s="29" t="n"/>
      <c r="C13" s="29" t="n"/>
      <c r="D13" s="24" t="n"/>
      <c r="E13" s="34" t="n"/>
      <c r="F13" s="34" t="n"/>
      <c r="G13" s="24" t="n"/>
      <c r="H13" s="29" t="n"/>
      <c r="I13" s="32">
        <f>IF(O13&lt;&gt;1,"",IF(ISNUMBER(G13),INT(G13),INT(D13)))</f>
        <v/>
      </c>
      <c r="J13" s="21">
        <f>IF(O13&lt;&gt;1,0,E13-N(F13))</f>
        <v/>
      </c>
      <c r="K13" s="35">
        <f>IF(OR(O13&lt;&gt;1,J13&lt;=0),"",IF(H13="Yes","",IF(I13&lt;W1,IF(OverdueW1="No","",1),IF(I13&lt;=W1+90,INT((I13-W1)/7)+1,""))))</f>
        <v/>
      </c>
      <c r="L13" s="36">
        <f>IF(ISNUMBER(K13),J13,0)</f>
        <v/>
      </c>
      <c r="M13" s="10">
        <f>IF(O13="","",IF(O13=0,"Not counted",IF(J13&lt;=0,"Paid",IF(H13="Yes","On hold (left out)",IF(I13&lt;W1,IF(OverdueW1="No","Overdue (left out)","Overdue → Week 1"),IF(I13&lt;=W1+90,"Week "&amp;K13,"After Week 13"))))))</f>
        <v/>
      </c>
      <c r="N13" s="10">
        <f>IF(O13="","",IF(O13=0,IF(NOT(ISNUMBER(E13)),"Fix: amount missing",IF(E13&lt;=0,"Fix: amount must be above 0",IF(AND(NOT(ISNUMBER(D13)),NOT(ISNUMBER(G13))),"Fix: add a due date or a planned pay date",IF(AND(D13&lt;&gt;"",NOT(ISNUMBER(D13))),"Fix: due date isn't a date",IF(AND(F13&lt;&gt;"",NOT(ISNUMBER(F13))),"Fix: paid must be a number",IF(AND(G13&lt;&gt;"",NOT(ISNUMBER(G13))),"Fix: planned date isn't a date","Fix: paid is more than the amount")))))),IF(AND(C13&lt;&gt;"",ISNUMBER(MATCH(C13,OutCats,0))),"OK","Category not on Settings (counted as Other)")))</f>
        <v/>
      </c>
      <c r="O13">
        <f>IF(COUNTA(A13:H13)=0,"",IF(AND(ISNUMBER(E13),E13&gt;0,OR(ISNUMBER(D13),ISNUMBER(G13)),OR(D13="",ISNUMBER(D13)),OR(F13="",ISNUMBER(F13)),OR(G13="",ISNUMBER(G13))),IF(N(F13)&gt;E13,0,1),0))</f>
        <v/>
      </c>
    </row>
    <row r="14">
      <c r="A14" s="29" t="n"/>
      <c r="B14" s="29" t="n"/>
      <c r="C14" s="29" t="n"/>
      <c r="D14" s="24" t="n"/>
      <c r="E14" s="34" t="n"/>
      <c r="F14" s="34" t="n"/>
      <c r="G14" s="24" t="n"/>
      <c r="H14" s="29" t="n"/>
      <c r="I14" s="32">
        <f>IF(O14&lt;&gt;1,"",IF(ISNUMBER(G14),INT(G14),INT(D14)))</f>
        <v/>
      </c>
      <c r="J14" s="21">
        <f>IF(O14&lt;&gt;1,0,E14-N(F14))</f>
        <v/>
      </c>
      <c r="K14" s="35">
        <f>IF(OR(O14&lt;&gt;1,J14&lt;=0),"",IF(H14="Yes","",IF(I14&lt;W1,IF(OverdueW1="No","",1),IF(I14&lt;=W1+90,INT((I14-W1)/7)+1,""))))</f>
        <v/>
      </c>
      <c r="L14" s="36">
        <f>IF(ISNUMBER(K14),J14,0)</f>
        <v/>
      </c>
      <c r="M14" s="10">
        <f>IF(O14="","",IF(O14=0,"Not counted",IF(J14&lt;=0,"Paid",IF(H14="Yes","On hold (left out)",IF(I14&lt;W1,IF(OverdueW1="No","Overdue (left out)","Overdue → Week 1"),IF(I14&lt;=W1+90,"Week "&amp;K14,"After Week 13"))))))</f>
        <v/>
      </c>
      <c r="N14" s="10">
        <f>IF(O14="","",IF(O14=0,IF(NOT(ISNUMBER(E14)),"Fix: amount missing",IF(E14&lt;=0,"Fix: amount must be above 0",IF(AND(NOT(ISNUMBER(D14)),NOT(ISNUMBER(G14))),"Fix: add a due date or a planned pay date",IF(AND(D14&lt;&gt;"",NOT(ISNUMBER(D14))),"Fix: due date isn't a date",IF(AND(F14&lt;&gt;"",NOT(ISNUMBER(F14))),"Fix: paid must be a number",IF(AND(G14&lt;&gt;"",NOT(ISNUMBER(G14))),"Fix: planned date isn't a date","Fix: paid is more than the amount")))))),IF(AND(C14&lt;&gt;"",ISNUMBER(MATCH(C14,OutCats,0))),"OK","Category not on Settings (counted as Other)")))</f>
        <v/>
      </c>
      <c r="O14">
        <f>IF(COUNTA(A14:H14)=0,"",IF(AND(ISNUMBER(E14),E14&gt;0,OR(ISNUMBER(D14),ISNUMBER(G14)),OR(D14="",ISNUMBER(D14)),OR(F14="",ISNUMBER(F14)),OR(G14="",ISNUMBER(G14))),IF(N(F14)&gt;E14,0,1),0))</f>
        <v/>
      </c>
    </row>
    <row r="15">
      <c r="A15" s="29" t="n"/>
      <c r="B15" s="29" t="n"/>
      <c r="C15" s="29" t="n"/>
      <c r="D15" s="24" t="n"/>
      <c r="E15" s="34" t="n"/>
      <c r="F15" s="34" t="n"/>
      <c r="G15" s="24" t="n"/>
      <c r="H15" s="29" t="n"/>
      <c r="I15" s="32">
        <f>IF(O15&lt;&gt;1,"",IF(ISNUMBER(G15),INT(G15),INT(D15)))</f>
        <v/>
      </c>
      <c r="J15" s="21">
        <f>IF(O15&lt;&gt;1,0,E15-N(F15))</f>
        <v/>
      </c>
      <c r="K15" s="35">
        <f>IF(OR(O15&lt;&gt;1,J15&lt;=0),"",IF(H15="Yes","",IF(I15&lt;W1,IF(OverdueW1="No","",1),IF(I15&lt;=W1+90,INT((I15-W1)/7)+1,""))))</f>
        <v/>
      </c>
      <c r="L15" s="36">
        <f>IF(ISNUMBER(K15),J15,0)</f>
        <v/>
      </c>
      <c r="M15" s="10">
        <f>IF(O15="","",IF(O15=0,"Not counted",IF(J15&lt;=0,"Paid",IF(H15="Yes","On hold (left out)",IF(I15&lt;W1,IF(OverdueW1="No","Overdue (left out)","Overdue → Week 1"),IF(I15&lt;=W1+90,"Week "&amp;K15,"After Week 13"))))))</f>
        <v/>
      </c>
      <c r="N15" s="10">
        <f>IF(O15="","",IF(O15=0,IF(NOT(ISNUMBER(E15)),"Fix: amount missing",IF(E15&lt;=0,"Fix: amount must be above 0",IF(AND(NOT(ISNUMBER(D15)),NOT(ISNUMBER(G15))),"Fix: add a due date or a planned pay date",IF(AND(D15&lt;&gt;"",NOT(ISNUMBER(D15))),"Fix: due date isn't a date",IF(AND(F15&lt;&gt;"",NOT(ISNUMBER(F15))),"Fix: paid must be a number",IF(AND(G15&lt;&gt;"",NOT(ISNUMBER(G15))),"Fix: planned date isn't a date","Fix: paid is more than the amount")))))),IF(AND(C15&lt;&gt;"",ISNUMBER(MATCH(C15,OutCats,0))),"OK","Category not on Settings (counted as Other)")))</f>
        <v/>
      </c>
      <c r="O15">
        <f>IF(COUNTA(A15:H15)=0,"",IF(AND(ISNUMBER(E15),E15&gt;0,OR(ISNUMBER(D15),ISNUMBER(G15)),OR(D15="",ISNUMBER(D15)),OR(F15="",ISNUMBER(F15)),OR(G15="",ISNUMBER(G15))),IF(N(F15)&gt;E15,0,1),0))</f>
        <v/>
      </c>
    </row>
    <row r="16">
      <c r="A16" s="29" t="n"/>
      <c r="B16" s="29" t="n"/>
      <c r="C16" s="29" t="n"/>
      <c r="D16" s="24" t="n"/>
      <c r="E16" s="34" t="n"/>
      <c r="F16" s="34" t="n"/>
      <c r="G16" s="24" t="n"/>
      <c r="H16" s="29" t="n"/>
      <c r="I16" s="32">
        <f>IF(O16&lt;&gt;1,"",IF(ISNUMBER(G16),INT(G16),INT(D16)))</f>
        <v/>
      </c>
      <c r="J16" s="21">
        <f>IF(O16&lt;&gt;1,0,E16-N(F16))</f>
        <v/>
      </c>
      <c r="K16" s="35">
        <f>IF(OR(O16&lt;&gt;1,J16&lt;=0),"",IF(H16="Yes","",IF(I16&lt;W1,IF(OverdueW1="No","",1),IF(I16&lt;=W1+90,INT((I16-W1)/7)+1,""))))</f>
        <v/>
      </c>
      <c r="L16" s="36">
        <f>IF(ISNUMBER(K16),J16,0)</f>
        <v/>
      </c>
      <c r="M16" s="10">
        <f>IF(O16="","",IF(O16=0,"Not counted",IF(J16&lt;=0,"Paid",IF(H16="Yes","On hold (left out)",IF(I16&lt;W1,IF(OverdueW1="No","Overdue (left out)","Overdue → Week 1"),IF(I16&lt;=W1+90,"Week "&amp;K16,"After Week 13"))))))</f>
        <v/>
      </c>
      <c r="N16" s="10">
        <f>IF(O16="","",IF(O16=0,IF(NOT(ISNUMBER(E16)),"Fix: amount missing",IF(E16&lt;=0,"Fix: amount must be above 0",IF(AND(NOT(ISNUMBER(D16)),NOT(ISNUMBER(G16))),"Fix: add a due date or a planned pay date",IF(AND(D16&lt;&gt;"",NOT(ISNUMBER(D16))),"Fix: due date isn't a date",IF(AND(F16&lt;&gt;"",NOT(ISNUMBER(F16))),"Fix: paid must be a number",IF(AND(G16&lt;&gt;"",NOT(ISNUMBER(G16))),"Fix: planned date isn't a date","Fix: paid is more than the amount")))))),IF(AND(C16&lt;&gt;"",ISNUMBER(MATCH(C16,OutCats,0))),"OK","Category not on Settings (counted as Other)")))</f>
        <v/>
      </c>
      <c r="O16">
        <f>IF(COUNTA(A16:H16)=0,"",IF(AND(ISNUMBER(E16),E16&gt;0,OR(ISNUMBER(D16),ISNUMBER(G16)),OR(D16="",ISNUMBER(D16)),OR(F16="",ISNUMBER(F16)),OR(G16="",ISNUMBER(G16))),IF(N(F16)&gt;E16,0,1),0))</f>
        <v/>
      </c>
    </row>
    <row r="17">
      <c r="A17" s="29" t="n"/>
      <c r="B17" s="29" t="n"/>
      <c r="C17" s="29" t="n"/>
      <c r="D17" s="24" t="n"/>
      <c r="E17" s="34" t="n"/>
      <c r="F17" s="34" t="n"/>
      <c r="G17" s="24" t="n"/>
      <c r="H17" s="29" t="n"/>
      <c r="I17" s="32">
        <f>IF(O17&lt;&gt;1,"",IF(ISNUMBER(G17),INT(G17),INT(D17)))</f>
        <v/>
      </c>
      <c r="J17" s="21">
        <f>IF(O17&lt;&gt;1,0,E17-N(F17))</f>
        <v/>
      </c>
      <c r="K17" s="35">
        <f>IF(OR(O17&lt;&gt;1,J17&lt;=0),"",IF(H17="Yes","",IF(I17&lt;W1,IF(OverdueW1="No","",1),IF(I17&lt;=W1+90,INT((I17-W1)/7)+1,""))))</f>
        <v/>
      </c>
      <c r="L17" s="36">
        <f>IF(ISNUMBER(K17),J17,0)</f>
        <v/>
      </c>
      <c r="M17" s="10">
        <f>IF(O17="","",IF(O17=0,"Not counted",IF(J17&lt;=0,"Paid",IF(H17="Yes","On hold (left out)",IF(I17&lt;W1,IF(OverdueW1="No","Overdue (left out)","Overdue → Week 1"),IF(I17&lt;=W1+90,"Week "&amp;K17,"After Week 13"))))))</f>
        <v/>
      </c>
      <c r="N17" s="10">
        <f>IF(O17="","",IF(O17=0,IF(NOT(ISNUMBER(E17)),"Fix: amount missing",IF(E17&lt;=0,"Fix: amount must be above 0",IF(AND(NOT(ISNUMBER(D17)),NOT(ISNUMBER(G17))),"Fix: add a due date or a planned pay date",IF(AND(D17&lt;&gt;"",NOT(ISNUMBER(D17))),"Fix: due date isn't a date",IF(AND(F17&lt;&gt;"",NOT(ISNUMBER(F17))),"Fix: paid must be a number",IF(AND(G17&lt;&gt;"",NOT(ISNUMBER(G17))),"Fix: planned date isn't a date","Fix: paid is more than the amount")))))),IF(AND(C17&lt;&gt;"",ISNUMBER(MATCH(C17,OutCats,0))),"OK","Category not on Settings (counted as Other)")))</f>
        <v/>
      </c>
      <c r="O17">
        <f>IF(COUNTA(A17:H17)=0,"",IF(AND(ISNUMBER(E17),E17&gt;0,OR(ISNUMBER(D17),ISNUMBER(G17)),OR(D17="",ISNUMBER(D17)),OR(F17="",ISNUMBER(F17)),OR(G17="",ISNUMBER(G17))),IF(N(F17)&gt;E17,0,1),0))</f>
        <v/>
      </c>
    </row>
    <row r="18">
      <c r="A18" s="29" t="n"/>
      <c r="B18" s="29" t="n"/>
      <c r="C18" s="29" t="n"/>
      <c r="D18" s="24" t="n"/>
      <c r="E18" s="34" t="n"/>
      <c r="F18" s="34" t="n"/>
      <c r="G18" s="24" t="n"/>
      <c r="H18" s="29" t="n"/>
      <c r="I18" s="32">
        <f>IF(O18&lt;&gt;1,"",IF(ISNUMBER(G18),INT(G18),INT(D18)))</f>
        <v/>
      </c>
      <c r="J18" s="21">
        <f>IF(O18&lt;&gt;1,0,E18-N(F18))</f>
        <v/>
      </c>
      <c r="K18" s="35">
        <f>IF(OR(O18&lt;&gt;1,J18&lt;=0),"",IF(H18="Yes","",IF(I18&lt;W1,IF(OverdueW1="No","",1),IF(I18&lt;=W1+90,INT((I18-W1)/7)+1,""))))</f>
        <v/>
      </c>
      <c r="L18" s="36">
        <f>IF(ISNUMBER(K18),J18,0)</f>
        <v/>
      </c>
      <c r="M18" s="10">
        <f>IF(O18="","",IF(O18=0,"Not counted",IF(J18&lt;=0,"Paid",IF(H18="Yes","On hold (left out)",IF(I18&lt;W1,IF(OverdueW1="No","Overdue (left out)","Overdue → Week 1"),IF(I18&lt;=W1+90,"Week "&amp;K18,"After Week 13"))))))</f>
        <v/>
      </c>
      <c r="N18" s="10">
        <f>IF(O18="","",IF(O18=0,IF(NOT(ISNUMBER(E18)),"Fix: amount missing",IF(E18&lt;=0,"Fix: amount must be above 0",IF(AND(NOT(ISNUMBER(D18)),NOT(ISNUMBER(G18))),"Fix: add a due date or a planned pay date",IF(AND(D18&lt;&gt;"",NOT(ISNUMBER(D18))),"Fix: due date isn't a date",IF(AND(F18&lt;&gt;"",NOT(ISNUMBER(F18))),"Fix: paid must be a number",IF(AND(G18&lt;&gt;"",NOT(ISNUMBER(G18))),"Fix: planned date isn't a date","Fix: paid is more than the amount")))))),IF(AND(C18&lt;&gt;"",ISNUMBER(MATCH(C18,OutCats,0))),"OK","Category not on Settings (counted as Other)")))</f>
        <v/>
      </c>
      <c r="O18">
        <f>IF(COUNTA(A18:H18)=0,"",IF(AND(ISNUMBER(E18),E18&gt;0,OR(ISNUMBER(D18),ISNUMBER(G18)),OR(D18="",ISNUMBER(D18)),OR(F18="",ISNUMBER(F18)),OR(G18="",ISNUMBER(G18))),IF(N(F18)&gt;E18,0,1),0))</f>
        <v/>
      </c>
    </row>
    <row r="19">
      <c r="A19" s="29" t="n"/>
      <c r="B19" s="29" t="n"/>
      <c r="C19" s="29" t="n"/>
      <c r="D19" s="24" t="n"/>
      <c r="E19" s="34" t="n"/>
      <c r="F19" s="34" t="n"/>
      <c r="G19" s="24" t="n"/>
      <c r="H19" s="29" t="n"/>
      <c r="I19" s="32">
        <f>IF(O19&lt;&gt;1,"",IF(ISNUMBER(G19),INT(G19),INT(D19)))</f>
        <v/>
      </c>
      <c r="J19" s="21">
        <f>IF(O19&lt;&gt;1,0,E19-N(F19))</f>
        <v/>
      </c>
      <c r="K19" s="35">
        <f>IF(OR(O19&lt;&gt;1,J19&lt;=0),"",IF(H19="Yes","",IF(I19&lt;W1,IF(OverdueW1="No","",1),IF(I19&lt;=W1+90,INT((I19-W1)/7)+1,""))))</f>
        <v/>
      </c>
      <c r="L19" s="36">
        <f>IF(ISNUMBER(K19),J19,0)</f>
        <v/>
      </c>
      <c r="M19" s="10">
        <f>IF(O19="","",IF(O19=0,"Not counted",IF(J19&lt;=0,"Paid",IF(H19="Yes","On hold (left out)",IF(I19&lt;W1,IF(OverdueW1="No","Overdue (left out)","Overdue → Week 1"),IF(I19&lt;=W1+90,"Week "&amp;K19,"After Week 13"))))))</f>
        <v/>
      </c>
      <c r="N19" s="10">
        <f>IF(O19="","",IF(O19=0,IF(NOT(ISNUMBER(E19)),"Fix: amount missing",IF(E19&lt;=0,"Fix: amount must be above 0",IF(AND(NOT(ISNUMBER(D19)),NOT(ISNUMBER(G19))),"Fix: add a due date or a planned pay date",IF(AND(D19&lt;&gt;"",NOT(ISNUMBER(D19))),"Fix: due date isn't a date",IF(AND(F19&lt;&gt;"",NOT(ISNUMBER(F19))),"Fix: paid must be a number",IF(AND(G19&lt;&gt;"",NOT(ISNUMBER(G19))),"Fix: planned date isn't a date","Fix: paid is more than the amount")))))),IF(AND(C19&lt;&gt;"",ISNUMBER(MATCH(C19,OutCats,0))),"OK","Category not on Settings (counted as Other)")))</f>
        <v/>
      </c>
      <c r="O19">
        <f>IF(COUNTA(A19:H19)=0,"",IF(AND(ISNUMBER(E19),E19&gt;0,OR(ISNUMBER(D19),ISNUMBER(G19)),OR(D19="",ISNUMBER(D19)),OR(F19="",ISNUMBER(F19)),OR(G19="",ISNUMBER(G19))),IF(N(F19)&gt;E19,0,1),0))</f>
        <v/>
      </c>
    </row>
    <row r="20">
      <c r="A20" s="29" t="n"/>
      <c r="B20" s="29" t="n"/>
      <c r="C20" s="29" t="n"/>
      <c r="D20" s="24" t="n"/>
      <c r="E20" s="34" t="n"/>
      <c r="F20" s="34" t="n"/>
      <c r="G20" s="24" t="n"/>
      <c r="H20" s="29" t="n"/>
      <c r="I20" s="32">
        <f>IF(O20&lt;&gt;1,"",IF(ISNUMBER(G20),INT(G20),INT(D20)))</f>
        <v/>
      </c>
      <c r="J20" s="21">
        <f>IF(O20&lt;&gt;1,0,E20-N(F20))</f>
        <v/>
      </c>
      <c r="K20" s="35">
        <f>IF(OR(O20&lt;&gt;1,J20&lt;=0),"",IF(H20="Yes","",IF(I20&lt;W1,IF(OverdueW1="No","",1),IF(I20&lt;=W1+90,INT((I20-W1)/7)+1,""))))</f>
        <v/>
      </c>
      <c r="L20" s="36">
        <f>IF(ISNUMBER(K20),J20,0)</f>
        <v/>
      </c>
      <c r="M20" s="10">
        <f>IF(O20="","",IF(O20=0,"Not counted",IF(J20&lt;=0,"Paid",IF(H20="Yes","On hold (left out)",IF(I20&lt;W1,IF(OverdueW1="No","Overdue (left out)","Overdue → Week 1"),IF(I20&lt;=W1+90,"Week "&amp;K20,"After Week 13"))))))</f>
        <v/>
      </c>
      <c r="N20" s="10">
        <f>IF(O20="","",IF(O20=0,IF(NOT(ISNUMBER(E20)),"Fix: amount missing",IF(E20&lt;=0,"Fix: amount must be above 0",IF(AND(NOT(ISNUMBER(D20)),NOT(ISNUMBER(G20))),"Fix: add a due date or a planned pay date",IF(AND(D20&lt;&gt;"",NOT(ISNUMBER(D20))),"Fix: due date isn't a date",IF(AND(F20&lt;&gt;"",NOT(ISNUMBER(F20))),"Fix: paid must be a number",IF(AND(G20&lt;&gt;"",NOT(ISNUMBER(G20))),"Fix: planned date isn't a date","Fix: paid is more than the amount")))))),IF(AND(C20&lt;&gt;"",ISNUMBER(MATCH(C20,OutCats,0))),"OK","Category not on Settings (counted as Other)")))</f>
        <v/>
      </c>
      <c r="O20">
        <f>IF(COUNTA(A20:H20)=0,"",IF(AND(ISNUMBER(E20),E20&gt;0,OR(ISNUMBER(D20),ISNUMBER(G20)),OR(D20="",ISNUMBER(D20)),OR(F20="",ISNUMBER(F20)),OR(G20="",ISNUMBER(G20))),IF(N(F20)&gt;E20,0,1),0))</f>
        <v/>
      </c>
    </row>
    <row r="21">
      <c r="A21" s="29" t="n"/>
      <c r="B21" s="29" t="n"/>
      <c r="C21" s="29" t="n"/>
      <c r="D21" s="24" t="n"/>
      <c r="E21" s="34" t="n"/>
      <c r="F21" s="34" t="n"/>
      <c r="G21" s="24" t="n"/>
      <c r="H21" s="29" t="n"/>
      <c r="I21" s="32">
        <f>IF(O21&lt;&gt;1,"",IF(ISNUMBER(G21),INT(G21),INT(D21)))</f>
        <v/>
      </c>
      <c r="J21" s="21">
        <f>IF(O21&lt;&gt;1,0,E21-N(F21))</f>
        <v/>
      </c>
      <c r="K21" s="35">
        <f>IF(OR(O21&lt;&gt;1,J21&lt;=0),"",IF(H21="Yes","",IF(I21&lt;W1,IF(OverdueW1="No","",1),IF(I21&lt;=W1+90,INT((I21-W1)/7)+1,""))))</f>
        <v/>
      </c>
      <c r="L21" s="36">
        <f>IF(ISNUMBER(K21),J21,0)</f>
        <v/>
      </c>
      <c r="M21" s="10">
        <f>IF(O21="","",IF(O21=0,"Not counted",IF(J21&lt;=0,"Paid",IF(H21="Yes","On hold (left out)",IF(I21&lt;W1,IF(OverdueW1="No","Overdue (left out)","Overdue → Week 1"),IF(I21&lt;=W1+90,"Week "&amp;K21,"After Week 13"))))))</f>
        <v/>
      </c>
      <c r="N21" s="10">
        <f>IF(O21="","",IF(O21=0,IF(NOT(ISNUMBER(E21)),"Fix: amount missing",IF(E21&lt;=0,"Fix: amount must be above 0",IF(AND(NOT(ISNUMBER(D21)),NOT(ISNUMBER(G21))),"Fix: add a due date or a planned pay date",IF(AND(D21&lt;&gt;"",NOT(ISNUMBER(D21))),"Fix: due date isn't a date",IF(AND(F21&lt;&gt;"",NOT(ISNUMBER(F21))),"Fix: paid must be a number",IF(AND(G21&lt;&gt;"",NOT(ISNUMBER(G21))),"Fix: planned date isn't a date","Fix: paid is more than the amount")))))),IF(AND(C21&lt;&gt;"",ISNUMBER(MATCH(C21,OutCats,0))),"OK","Category not on Settings (counted as Other)")))</f>
        <v/>
      </c>
      <c r="O21">
        <f>IF(COUNTA(A21:H21)=0,"",IF(AND(ISNUMBER(E21),E21&gt;0,OR(ISNUMBER(D21),ISNUMBER(G21)),OR(D21="",ISNUMBER(D21)),OR(F21="",ISNUMBER(F21)),OR(G21="",ISNUMBER(G21))),IF(N(F21)&gt;E21,0,1),0))</f>
        <v/>
      </c>
    </row>
    <row r="22">
      <c r="A22" s="29" t="n"/>
      <c r="B22" s="29" t="n"/>
      <c r="C22" s="29" t="n"/>
      <c r="D22" s="24" t="n"/>
      <c r="E22" s="34" t="n"/>
      <c r="F22" s="34" t="n"/>
      <c r="G22" s="24" t="n"/>
      <c r="H22" s="29" t="n"/>
      <c r="I22" s="32">
        <f>IF(O22&lt;&gt;1,"",IF(ISNUMBER(G22),INT(G22),INT(D22)))</f>
        <v/>
      </c>
      <c r="J22" s="21">
        <f>IF(O22&lt;&gt;1,0,E22-N(F22))</f>
        <v/>
      </c>
      <c r="K22" s="35">
        <f>IF(OR(O22&lt;&gt;1,J22&lt;=0),"",IF(H22="Yes","",IF(I22&lt;W1,IF(OverdueW1="No","",1),IF(I22&lt;=W1+90,INT((I22-W1)/7)+1,""))))</f>
        <v/>
      </c>
      <c r="L22" s="36">
        <f>IF(ISNUMBER(K22),J22,0)</f>
        <v/>
      </c>
      <c r="M22" s="10">
        <f>IF(O22="","",IF(O22=0,"Not counted",IF(J22&lt;=0,"Paid",IF(H22="Yes","On hold (left out)",IF(I22&lt;W1,IF(OverdueW1="No","Overdue (left out)","Overdue → Week 1"),IF(I22&lt;=W1+90,"Week "&amp;K22,"After Week 13"))))))</f>
        <v/>
      </c>
      <c r="N22" s="10">
        <f>IF(O22="","",IF(O22=0,IF(NOT(ISNUMBER(E22)),"Fix: amount missing",IF(E22&lt;=0,"Fix: amount must be above 0",IF(AND(NOT(ISNUMBER(D22)),NOT(ISNUMBER(G22))),"Fix: add a due date or a planned pay date",IF(AND(D22&lt;&gt;"",NOT(ISNUMBER(D22))),"Fix: due date isn't a date",IF(AND(F22&lt;&gt;"",NOT(ISNUMBER(F22))),"Fix: paid must be a number",IF(AND(G22&lt;&gt;"",NOT(ISNUMBER(G22))),"Fix: planned date isn't a date","Fix: paid is more than the amount")))))),IF(AND(C22&lt;&gt;"",ISNUMBER(MATCH(C22,OutCats,0))),"OK","Category not on Settings (counted as Other)")))</f>
        <v/>
      </c>
      <c r="O22">
        <f>IF(COUNTA(A22:H22)=0,"",IF(AND(ISNUMBER(E22),E22&gt;0,OR(ISNUMBER(D22),ISNUMBER(G22)),OR(D22="",ISNUMBER(D22)),OR(F22="",ISNUMBER(F22)),OR(G22="",ISNUMBER(G22))),IF(N(F22)&gt;E22,0,1),0))</f>
        <v/>
      </c>
    </row>
    <row r="23">
      <c r="A23" s="29" t="n"/>
      <c r="B23" s="29" t="n"/>
      <c r="C23" s="29" t="n"/>
      <c r="D23" s="24" t="n"/>
      <c r="E23" s="34" t="n"/>
      <c r="F23" s="34" t="n"/>
      <c r="G23" s="24" t="n"/>
      <c r="H23" s="29" t="n"/>
      <c r="I23" s="32">
        <f>IF(O23&lt;&gt;1,"",IF(ISNUMBER(G23),INT(G23),INT(D23)))</f>
        <v/>
      </c>
      <c r="J23" s="21">
        <f>IF(O23&lt;&gt;1,0,E23-N(F23))</f>
        <v/>
      </c>
      <c r="K23" s="35">
        <f>IF(OR(O23&lt;&gt;1,J23&lt;=0),"",IF(H23="Yes","",IF(I23&lt;W1,IF(OverdueW1="No","",1),IF(I23&lt;=W1+90,INT((I23-W1)/7)+1,""))))</f>
        <v/>
      </c>
      <c r="L23" s="36">
        <f>IF(ISNUMBER(K23),J23,0)</f>
        <v/>
      </c>
      <c r="M23" s="10">
        <f>IF(O23="","",IF(O23=0,"Not counted",IF(J23&lt;=0,"Paid",IF(H23="Yes","On hold (left out)",IF(I23&lt;W1,IF(OverdueW1="No","Overdue (left out)","Overdue → Week 1"),IF(I23&lt;=W1+90,"Week "&amp;K23,"After Week 13"))))))</f>
        <v/>
      </c>
      <c r="N23" s="10">
        <f>IF(O23="","",IF(O23=0,IF(NOT(ISNUMBER(E23)),"Fix: amount missing",IF(E23&lt;=0,"Fix: amount must be above 0",IF(AND(NOT(ISNUMBER(D23)),NOT(ISNUMBER(G23))),"Fix: add a due date or a planned pay date",IF(AND(D23&lt;&gt;"",NOT(ISNUMBER(D23))),"Fix: due date isn't a date",IF(AND(F23&lt;&gt;"",NOT(ISNUMBER(F23))),"Fix: paid must be a number",IF(AND(G23&lt;&gt;"",NOT(ISNUMBER(G23))),"Fix: planned date isn't a date","Fix: paid is more than the amount")))))),IF(AND(C23&lt;&gt;"",ISNUMBER(MATCH(C23,OutCats,0))),"OK","Category not on Settings (counted as Other)")))</f>
        <v/>
      </c>
      <c r="O23">
        <f>IF(COUNTA(A23:H23)=0,"",IF(AND(ISNUMBER(E23),E23&gt;0,OR(ISNUMBER(D23),ISNUMBER(G23)),OR(D23="",ISNUMBER(D23)),OR(F23="",ISNUMBER(F23)),OR(G23="",ISNUMBER(G23))),IF(N(F23)&gt;E23,0,1),0))</f>
        <v/>
      </c>
    </row>
    <row r="24">
      <c r="A24" s="29" t="n"/>
      <c r="B24" s="29" t="n"/>
      <c r="C24" s="29" t="n"/>
      <c r="D24" s="24" t="n"/>
      <c r="E24" s="34" t="n"/>
      <c r="F24" s="34" t="n"/>
      <c r="G24" s="24" t="n"/>
      <c r="H24" s="29" t="n"/>
      <c r="I24" s="32">
        <f>IF(O24&lt;&gt;1,"",IF(ISNUMBER(G24),INT(G24),INT(D24)))</f>
        <v/>
      </c>
      <c r="J24" s="21">
        <f>IF(O24&lt;&gt;1,0,E24-N(F24))</f>
        <v/>
      </c>
      <c r="K24" s="35">
        <f>IF(OR(O24&lt;&gt;1,J24&lt;=0),"",IF(H24="Yes","",IF(I24&lt;W1,IF(OverdueW1="No","",1),IF(I24&lt;=W1+90,INT((I24-W1)/7)+1,""))))</f>
        <v/>
      </c>
      <c r="L24" s="36">
        <f>IF(ISNUMBER(K24),J24,0)</f>
        <v/>
      </c>
      <c r="M24" s="10">
        <f>IF(O24="","",IF(O24=0,"Not counted",IF(J24&lt;=0,"Paid",IF(H24="Yes","On hold (left out)",IF(I24&lt;W1,IF(OverdueW1="No","Overdue (left out)","Overdue → Week 1"),IF(I24&lt;=W1+90,"Week "&amp;K24,"After Week 13"))))))</f>
        <v/>
      </c>
      <c r="N24" s="10">
        <f>IF(O24="","",IF(O24=0,IF(NOT(ISNUMBER(E24)),"Fix: amount missing",IF(E24&lt;=0,"Fix: amount must be above 0",IF(AND(NOT(ISNUMBER(D24)),NOT(ISNUMBER(G24))),"Fix: add a due date or a planned pay date",IF(AND(D24&lt;&gt;"",NOT(ISNUMBER(D24))),"Fix: due date isn't a date",IF(AND(F24&lt;&gt;"",NOT(ISNUMBER(F24))),"Fix: paid must be a number",IF(AND(G24&lt;&gt;"",NOT(ISNUMBER(G24))),"Fix: planned date isn't a date","Fix: paid is more than the amount")))))),IF(AND(C24&lt;&gt;"",ISNUMBER(MATCH(C24,OutCats,0))),"OK","Category not on Settings (counted as Other)")))</f>
        <v/>
      </c>
      <c r="O24">
        <f>IF(COUNTA(A24:H24)=0,"",IF(AND(ISNUMBER(E24),E24&gt;0,OR(ISNUMBER(D24),ISNUMBER(G24)),OR(D24="",ISNUMBER(D24)),OR(F24="",ISNUMBER(F24)),OR(G24="",ISNUMBER(G24))),IF(N(F24)&gt;E24,0,1),0))</f>
        <v/>
      </c>
    </row>
    <row r="25">
      <c r="A25" s="29" t="n"/>
      <c r="B25" s="29" t="n"/>
      <c r="C25" s="29" t="n"/>
      <c r="D25" s="24" t="n"/>
      <c r="E25" s="34" t="n"/>
      <c r="F25" s="34" t="n"/>
      <c r="G25" s="24" t="n"/>
      <c r="H25" s="29" t="n"/>
      <c r="I25" s="32">
        <f>IF(O25&lt;&gt;1,"",IF(ISNUMBER(G25),INT(G25),INT(D25)))</f>
        <v/>
      </c>
      <c r="J25" s="21">
        <f>IF(O25&lt;&gt;1,0,E25-N(F25))</f>
        <v/>
      </c>
      <c r="K25" s="35">
        <f>IF(OR(O25&lt;&gt;1,J25&lt;=0),"",IF(H25="Yes","",IF(I25&lt;W1,IF(OverdueW1="No","",1),IF(I25&lt;=W1+90,INT((I25-W1)/7)+1,""))))</f>
        <v/>
      </c>
      <c r="L25" s="36">
        <f>IF(ISNUMBER(K25),J25,0)</f>
        <v/>
      </c>
      <c r="M25" s="10">
        <f>IF(O25="","",IF(O25=0,"Not counted",IF(J25&lt;=0,"Paid",IF(H25="Yes","On hold (left out)",IF(I25&lt;W1,IF(OverdueW1="No","Overdue (left out)","Overdue → Week 1"),IF(I25&lt;=W1+90,"Week "&amp;K25,"After Week 13"))))))</f>
        <v/>
      </c>
      <c r="N25" s="10">
        <f>IF(O25="","",IF(O25=0,IF(NOT(ISNUMBER(E25)),"Fix: amount missing",IF(E25&lt;=0,"Fix: amount must be above 0",IF(AND(NOT(ISNUMBER(D25)),NOT(ISNUMBER(G25))),"Fix: add a due date or a planned pay date",IF(AND(D25&lt;&gt;"",NOT(ISNUMBER(D25))),"Fix: due date isn't a date",IF(AND(F25&lt;&gt;"",NOT(ISNUMBER(F25))),"Fix: paid must be a number",IF(AND(G25&lt;&gt;"",NOT(ISNUMBER(G25))),"Fix: planned date isn't a date","Fix: paid is more than the amount")))))),IF(AND(C25&lt;&gt;"",ISNUMBER(MATCH(C25,OutCats,0))),"OK","Category not on Settings (counted as Other)")))</f>
        <v/>
      </c>
      <c r="O25">
        <f>IF(COUNTA(A25:H25)=0,"",IF(AND(ISNUMBER(E25),E25&gt;0,OR(ISNUMBER(D25),ISNUMBER(G25)),OR(D25="",ISNUMBER(D25)),OR(F25="",ISNUMBER(F25)),OR(G25="",ISNUMBER(G25))),IF(N(F25)&gt;E25,0,1),0))</f>
        <v/>
      </c>
    </row>
    <row r="26">
      <c r="A26" s="29" t="n"/>
      <c r="B26" s="29" t="n"/>
      <c r="C26" s="29" t="n"/>
      <c r="D26" s="24" t="n"/>
      <c r="E26" s="34" t="n"/>
      <c r="F26" s="34" t="n"/>
      <c r="G26" s="24" t="n"/>
      <c r="H26" s="29" t="n"/>
      <c r="I26" s="32">
        <f>IF(O26&lt;&gt;1,"",IF(ISNUMBER(G26),INT(G26),INT(D26)))</f>
        <v/>
      </c>
      <c r="J26" s="21">
        <f>IF(O26&lt;&gt;1,0,E26-N(F26))</f>
        <v/>
      </c>
      <c r="K26" s="35">
        <f>IF(OR(O26&lt;&gt;1,J26&lt;=0),"",IF(H26="Yes","",IF(I26&lt;W1,IF(OverdueW1="No","",1),IF(I26&lt;=W1+90,INT((I26-W1)/7)+1,""))))</f>
        <v/>
      </c>
      <c r="L26" s="36">
        <f>IF(ISNUMBER(K26),J26,0)</f>
        <v/>
      </c>
      <c r="M26" s="10">
        <f>IF(O26="","",IF(O26=0,"Not counted",IF(J26&lt;=0,"Paid",IF(H26="Yes","On hold (left out)",IF(I26&lt;W1,IF(OverdueW1="No","Overdue (left out)","Overdue → Week 1"),IF(I26&lt;=W1+90,"Week "&amp;K26,"After Week 13"))))))</f>
        <v/>
      </c>
      <c r="N26" s="10">
        <f>IF(O26="","",IF(O26=0,IF(NOT(ISNUMBER(E26)),"Fix: amount missing",IF(E26&lt;=0,"Fix: amount must be above 0",IF(AND(NOT(ISNUMBER(D26)),NOT(ISNUMBER(G26))),"Fix: add a due date or a planned pay date",IF(AND(D26&lt;&gt;"",NOT(ISNUMBER(D26))),"Fix: due date isn't a date",IF(AND(F26&lt;&gt;"",NOT(ISNUMBER(F26))),"Fix: paid must be a number",IF(AND(G26&lt;&gt;"",NOT(ISNUMBER(G26))),"Fix: planned date isn't a date","Fix: paid is more than the amount")))))),IF(AND(C26&lt;&gt;"",ISNUMBER(MATCH(C26,OutCats,0))),"OK","Category not on Settings (counted as Other)")))</f>
        <v/>
      </c>
      <c r="O26">
        <f>IF(COUNTA(A26:H26)=0,"",IF(AND(ISNUMBER(E26),E26&gt;0,OR(ISNUMBER(D26),ISNUMBER(G26)),OR(D26="",ISNUMBER(D26)),OR(F26="",ISNUMBER(F26)),OR(G26="",ISNUMBER(G26))),IF(N(F26)&gt;E26,0,1),0))</f>
        <v/>
      </c>
    </row>
    <row r="27">
      <c r="A27" s="29" t="n"/>
      <c r="B27" s="29" t="n"/>
      <c r="C27" s="29" t="n"/>
      <c r="D27" s="24" t="n"/>
      <c r="E27" s="34" t="n"/>
      <c r="F27" s="34" t="n"/>
      <c r="G27" s="24" t="n"/>
      <c r="H27" s="29" t="n"/>
      <c r="I27" s="32">
        <f>IF(O27&lt;&gt;1,"",IF(ISNUMBER(G27),INT(G27),INT(D27)))</f>
        <v/>
      </c>
      <c r="J27" s="21">
        <f>IF(O27&lt;&gt;1,0,E27-N(F27))</f>
        <v/>
      </c>
      <c r="K27" s="35">
        <f>IF(OR(O27&lt;&gt;1,J27&lt;=0),"",IF(H27="Yes","",IF(I27&lt;W1,IF(OverdueW1="No","",1),IF(I27&lt;=W1+90,INT((I27-W1)/7)+1,""))))</f>
        <v/>
      </c>
      <c r="L27" s="36">
        <f>IF(ISNUMBER(K27),J27,0)</f>
        <v/>
      </c>
      <c r="M27" s="10">
        <f>IF(O27="","",IF(O27=0,"Not counted",IF(J27&lt;=0,"Paid",IF(H27="Yes","On hold (left out)",IF(I27&lt;W1,IF(OverdueW1="No","Overdue (left out)","Overdue → Week 1"),IF(I27&lt;=W1+90,"Week "&amp;K27,"After Week 13"))))))</f>
        <v/>
      </c>
      <c r="N27" s="10">
        <f>IF(O27="","",IF(O27=0,IF(NOT(ISNUMBER(E27)),"Fix: amount missing",IF(E27&lt;=0,"Fix: amount must be above 0",IF(AND(NOT(ISNUMBER(D27)),NOT(ISNUMBER(G27))),"Fix: add a due date or a planned pay date",IF(AND(D27&lt;&gt;"",NOT(ISNUMBER(D27))),"Fix: due date isn't a date",IF(AND(F27&lt;&gt;"",NOT(ISNUMBER(F27))),"Fix: paid must be a number",IF(AND(G27&lt;&gt;"",NOT(ISNUMBER(G27))),"Fix: planned date isn't a date","Fix: paid is more than the amount")))))),IF(AND(C27&lt;&gt;"",ISNUMBER(MATCH(C27,OutCats,0))),"OK","Category not on Settings (counted as Other)")))</f>
        <v/>
      </c>
      <c r="O27">
        <f>IF(COUNTA(A27:H27)=0,"",IF(AND(ISNUMBER(E27),E27&gt;0,OR(ISNUMBER(D27),ISNUMBER(G27)),OR(D27="",ISNUMBER(D27)),OR(F27="",ISNUMBER(F27)),OR(G27="",ISNUMBER(G27))),IF(N(F27)&gt;E27,0,1),0))</f>
        <v/>
      </c>
    </row>
    <row r="28">
      <c r="A28" s="29" t="n"/>
      <c r="B28" s="29" t="n"/>
      <c r="C28" s="29" t="n"/>
      <c r="D28" s="24" t="n"/>
      <c r="E28" s="34" t="n"/>
      <c r="F28" s="34" t="n"/>
      <c r="G28" s="24" t="n"/>
      <c r="H28" s="29" t="n"/>
      <c r="I28" s="32">
        <f>IF(O28&lt;&gt;1,"",IF(ISNUMBER(G28),INT(G28),INT(D28)))</f>
        <v/>
      </c>
      <c r="J28" s="21">
        <f>IF(O28&lt;&gt;1,0,E28-N(F28))</f>
        <v/>
      </c>
      <c r="K28" s="35">
        <f>IF(OR(O28&lt;&gt;1,J28&lt;=0),"",IF(H28="Yes","",IF(I28&lt;W1,IF(OverdueW1="No","",1),IF(I28&lt;=W1+90,INT((I28-W1)/7)+1,""))))</f>
        <v/>
      </c>
      <c r="L28" s="36">
        <f>IF(ISNUMBER(K28),J28,0)</f>
        <v/>
      </c>
      <c r="M28" s="10">
        <f>IF(O28="","",IF(O28=0,"Not counted",IF(J28&lt;=0,"Paid",IF(H28="Yes","On hold (left out)",IF(I28&lt;W1,IF(OverdueW1="No","Overdue (left out)","Overdue → Week 1"),IF(I28&lt;=W1+90,"Week "&amp;K28,"After Week 13"))))))</f>
        <v/>
      </c>
      <c r="N28" s="10">
        <f>IF(O28="","",IF(O28=0,IF(NOT(ISNUMBER(E28)),"Fix: amount missing",IF(E28&lt;=0,"Fix: amount must be above 0",IF(AND(NOT(ISNUMBER(D28)),NOT(ISNUMBER(G28))),"Fix: add a due date or a planned pay date",IF(AND(D28&lt;&gt;"",NOT(ISNUMBER(D28))),"Fix: due date isn't a date",IF(AND(F28&lt;&gt;"",NOT(ISNUMBER(F28))),"Fix: paid must be a number",IF(AND(G28&lt;&gt;"",NOT(ISNUMBER(G28))),"Fix: planned date isn't a date","Fix: paid is more than the amount")))))),IF(AND(C28&lt;&gt;"",ISNUMBER(MATCH(C28,OutCats,0))),"OK","Category not on Settings (counted as Other)")))</f>
        <v/>
      </c>
      <c r="O28">
        <f>IF(COUNTA(A28:H28)=0,"",IF(AND(ISNUMBER(E28),E28&gt;0,OR(ISNUMBER(D28),ISNUMBER(G28)),OR(D28="",ISNUMBER(D28)),OR(F28="",ISNUMBER(F28)),OR(G28="",ISNUMBER(G28))),IF(N(F28)&gt;E28,0,1),0))</f>
        <v/>
      </c>
    </row>
    <row r="29">
      <c r="A29" s="29" t="n"/>
      <c r="B29" s="29" t="n"/>
      <c r="C29" s="29" t="n"/>
      <c r="D29" s="24" t="n"/>
      <c r="E29" s="34" t="n"/>
      <c r="F29" s="34" t="n"/>
      <c r="G29" s="24" t="n"/>
      <c r="H29" s="29" t="n"/>
      <c r="I29" s="32">
        <f>IF(O29&lt;&gt;1,"",IF(ISNUMBER(G29),INT(G29),INT(D29)))</f>
        <v/>
      </c>
      <c r="J29" s="21">
        <f>IF(O29&lt;&gt;1,0,E29-N(F29))</f>
        <v/>
      </c>
      <c r="K29" s="35">
        <f>IF(OR(O29&lt;&gt;1,J29&lt;=0),"",IF(H29="Yes","",IF(I29&lt;W1,IF(OverdueW1="No","",1),IF(I29&lt;=W1+90,INT((I29-W1)/7)+1,""))))</f>
        <v/>
      </c>
      <c r="L29" s="36">
        <f>IF(ISNUMBER(K29),J29,0)</f>
        <v/>
      </c>
      <c r="M29" s="10">
        <f>IF(O29="","",IF(O29=0,"Not counted",IF(J29&lt;=0,"Paid",IF(H29="Yes","On hold (left out)",IF(I29&lt;W1,IF(OverdueW1="No","Overdue (left out)","Overdue → Week 1"),IF(I29&lt;=W1+90,"Week "&amp;K29,"After Week 13"))))))</f>
        <v/>
      </c>
      <c r="N29" s="10">
        <f>IF(O29="","",IF(O29=0,IF(NOT(ISNUMBER(E29)),"Fix: amount missing",IF(E29&lt;=0,"Fix: amount must be above 0",IF(AND(NOT(ISNUMBER(D29)),NOT(ISNUMBER(G29))),"Fix: add a due date or a planned pay date",IF(AND(D29&lt;&gt;"",NOT(ISNUMBER(D29))),"Fix: due date isn't a date",IF(AND(F29&lt;&gt;"",NOT(ISNUMBER(F29))),"Fix: paid must be a number",IF(AND(G29&lt;&gt;"",NOT(ISNUMBER(G29))),"Fix: planned date isn't a date","Fix: paid is more than the amount")))))),IF(AND(C29&lt;&gt;"",ISNUMBER(MATCH(C29,OutCats,0))),"OK","Category not on Settings (counted as Other)")))</f>
        <v/>
      </c>
      <c r="O29">
        <f>IF(COUNTA(A29:H29)=0,"",IF(AND(ISNUMBER(E29),E29&gt;0,OR(ISNUMBER(D29),ISNUMBER(G29)),OR(D29="",ISNUMBER(D29)),OR(F29="",ISNUMBER(F29)),OR(G29="",ISNUMBER(G29))),IF(N(F29)&gt;E29,0,1),0))</f>
        <v/>
      </c>
    </row>
    <row r="30">
      <c r="A30" s="29" t="n"/>
      <c r="B30" s="29" t="n"/>
      <c r="C30" s="29" t="n"/>
      <c r="D30" s="24" t="n"/>
      <c r="E30" s="34" t="n"/>
      <c r="F30" s="34" t="n"/>
      <c r="G30" s="24" t="n"/>
      <c r="H30" s="29" t="n"/>
      <c r="I30" s="32">
        <f>IF(O30&lt;&gt;1,"",IF(ISNUMBER(G30),INT(G30),INT(D30)))</f>
        <v/>
      </c>
      <c r="J30" s="21">
        <f>IF(O30&lt;&gt;1,0,E30-N(F30))</f>
        <v/>
      </c>
      <c r="K30" s="35">
        <f>IF(OR(O30&lt;&gt;1,J30&lt;=0),"",IF(H30="Yes","",IF(I30&lt;W1,IF(OverdueW1="No","",1),IF(I30&lt;=W1+90,INT((I30-W1)/7)+1,""))))</f>
        <v/>
      </c>
      <c r="L30" s="36">
        <f>IF(ISNUMBER(K30),J30,0)</f>
        <v/>
      </c>
      <c r="M30" s="10">
        <f>IF(O30="","",IF(O30=0,"Not counted",IF(J30&lt;=0,"Paid",IF(H30="Yes","On hold (left out)",IF(I30&lt;W1,IF(OverdueW1="No","Overdue (left out)","Overdue → Week 1"),IF(I30&lt;=W1+90,"Week "&amp;K30,"After Week 13"))))))</f>
        <v/>
      </c>
      <c r="N30" s="10">
        <f>IF(O30="","",IF(O30=0,IF(NOT(ISNUMBER(E30)),"Fix: amount missing",IF(E30&lt;=0,"Fix: amount must be above 0",IF(AND(NOT(ISNUMBER(D30)),NOT(ISNUMBER(G30))),"Fix: add a due date or a planned pay date",IF(AND(D30&lt;&gt;"",NOT(ISNUMBER(D30))),"Fix: due date isn't a date",IF(AND(F30&lt;&gt;"",NOT(ISNUMBER(F30))),"Fix: paid must be a number",IF(AND(G30&lt;&gt;"",NOT(ISNUMBER(G30))),"Fix: planned date isn't a date","Fix: paid is more than the amount")))))),IF(AND(C30&lt;&gt;"",ISNUMBER(MATCH(C30,OutCats,0))),"OK","Category not on Settings (counted as Other)")))</f>
        <v/>
      </c>
      <c r="O30">
        <f>IF(COUNTA(A30:H30)=0,"",IF(AND(ISNUMBER(E30),E30&gt;0,OR(ISNUMBER(D30),ISNUMBER(G30)),OR(D30="",ISNUMBER(D30)),OR(F30="",ISNUMBER(F30)),OR(G30="",ISNUMBER(G30))),IF(N(F30)&gt;E30,0,1),0))</f>
        <v/>
      </c>
    </row>
    <row r="31">
      <c r="A31" s="29" t="n"/>
      <c r="B31" s="29" t="n"/>
      <c r="C31" s="29" t="n"/>
      <c r="D31" s="24" t="n"/>
      <c r="E31" s="34" t="n"/>
      <c r="F31" s="34" t="n"/>
      <c r="G31" s="24" t="n"/>
      <c r="H31" s="29" t="n"/>
      <c r="I31" s="32">
        <f>IF(O31&lt;&gt;1,"",IF(ISNUMBER(G31),INT(G31),INT(D31)))</f>
        <v/>
      </c>
      <c r="J31" s="21">
        <f>IF(O31&lt;&gt;1,0,E31-N(F31))</f>
        <v/>
      </c>
      <c r="K31" s="35">
        <f>IF(OR(O31&lt;&gt;1,J31&lt;=0),"",IF(H31="Yes","",IF(I31&lt;W1,IF(OverdueW1="No","",1),IF(I31&lt;=W1+90,INT((I31-W1)/7)+1,""))))</f>
        <v/>
      </c>
      <c r="L31" s="36">
        <f>IF(ISNUMBER(K31),J31,0)</f>
        <v/>
      </c>
      <c r="M31" s="10">
        <f>IF(O31="","",IF(O31=0,"Not counted",IF(J31&lt;=0,"Paid",IF(H31="Yes","On hold (left out)",IF(I31&lt;W1,IF(OverdueW1="No","Overdue (left out)","Overdue → Week 1"),IF(I31&lt;=W1+90,"Week "&amp;K31,"After Week 13"))))))</f>
        <v/>
      </c>
      <c r="N31" s="10">
        <f>IF(O31="","",IF(O31=0,IF(NOT(ISNUMBER(E31)),"Fix: amount missing",IF(E31&lt;=0,"Fix: amount must be above 0",IF(AND(NOT(ISNUMBER(D31)),NOT(ISNUMBER(G31))),"Fix: add a due date or a planned pay date",IF(AND(D31&lt;&gt;"",NOT(ISNUMBER(D31))),"Fix: due date isn't a date",IF(AND(F31&lt;&gt;"",NOT(ISNUMBER(F31))),"Fix: paid must be a number",IF(AND(G31&lt;&gt;"",NOT(ISNUMBER(G31))),"Fix: planned date isn't a date","Fix: paid is more than the amount")))))),IF(AND(C31&lt;&gt;"",ISNUMBER(MATCH(C31,OutCats,0))),"OK","Category not on Settings (counted as Other)")))</f>
        <v/>
      </c>
      <c r="O31">
        <f>IF(COUNTA(A31:H31)=0,"",IF(AND(ISNUMBER(E31),E31&gt;0,OR(ISNUMBER(D31),ISNUMBER(G31)),OR(D31="",ISNUMBER(D31)),OR(F31="",ISNUMBER(F31)),OR(G31="",ISNUMBER(G31))),IF(N(F31)&gt;E31,0,1),0))</f>
        <v/>
      </c>
    </row>
    <row r="32">
      <c r="A32" s="29" t="n"/>
      <c r="B32" s="29" t="n"/>
      <c r="C32" s="29" t="n"/>
      <c r="D32" s="24" t="n"/>
      <c r="E32" s="34" t="n"/>
      <c r="F32" s="34" t="n"/>
      <c r="G32" s="24" t="n"/>
      <c r="H32" s="29" t="n"/>
      <c r="I32" s="32">
        <f>IF(O32&lt;&gt;1,"",IF(ISNUMBER(G32),INT(G32),INT(D32)))</f>
        <v/>
      </c>
      <c r="J32" s="21">
        <f>IF(O32&lt;&gt;1,0,E32-N(F32))</f>
        <v/>
      </c>
      <c r="K32" s="35">
        <f>IF(OR(O32&lt;&gt;1,J32&lt;=0),"",IF(H32="Yes","",IF(I32&lt;W1,IF(OverdueW1="No","",1),IF(I32&lt;=W1+90,INT((I32-W1)/7)+1,""))))</f>
        <v/>
      </c>
      <c r="L32" s="36">
        <f>IF(ISNUMBER(K32),J32,0)</f>
        <v/>
      </c>
      <c r="M32" s="10">
        <f>IF(O32="","",IF(O32=0,"Not counted",IF(J32&lt;=0,"Paid",IF(H32="Yes","On hold (left out)",IF(I32&lt;W1,IF(OverdueW1="No","Overdue (left out)","Overdue → Week 1"),IF(I32&lt;=W1+90,"Week "&amp;K32,"After Week 13"))))))</f>
        <v/>
      </c>
      <c r="N32" s="10">
        <f>IF(O32="","",IF(O32=0,IF(NOT(ISNUMBER(E32)),"Fix: amount missing",IF(E32&lt;=0,"Fix: amount must be above 0",IF(AND(NOT(ISNUMBER(D32)),NOT(ISNUMBER(G32))),"Fix: add a due date or a planned pay date",IF(AND(D32&lt;&gt;"",NOT(ISNUMBER(D32))),"Fix: due date isn't a date",IF(AND(F32&lt;&gt;"",NOT(ISNUMBER(F32))),"Fix: paid must be a number",IF(AND(G32&lt;&gt;"",NOT(ISNUMBER(G32))),"Fix: planned date isn't a date","Fix: paid is more than the amount")))))),IF(AND(C32&lt;&gt;"",ISNUMBER(MATCH(C32,OutCats,0))),"OK","Category not on Settings (counted as Other)")))</f>
        <v/>
      </c>
      <c r="O32">
        <f>IF(COUNTA(A32:H32)=0,"",IF(AND(ISNUMBER(E32),E32&gt;0,OR(ISNUMBER(D32),ISNUMBER(G32)),OR(D32="",ISNUMBER(D32)),OR(F32="",ISNUMBER(F32)),OR(G32="",ISNUMBER(G32))),IF(N(F32)&gt;E32,0,1),0))</f>
        <v/>
      </c>
    </row>
    <row r="33">
      <c r="A33" s="29" t="n"/>
      <c r="B33" s="29" t="n"/>
      <c r="C33" s="29" t="n"/>
      <c r="D33" s="24" t="n"/>
      <c r="E33" s="34" t="n"/>
      <c r="F33" s="34" t="n"/>
      <c r="G33" s="24" t="n"/>
      <c r="H33" s="29" t="n"/>
      <c r="I33" s="32">
        <f>IF(O33&lt;&gt;1,"",IF(ISNUMBER(G33),INT(G33),INT(D33)))</f>
        <v/>
      </c>
      <c r="J33" s="21">
        <f>IF(O33&lt;&gt;1,0,E33-N(F33))</f>
        <v/>
      </c>
      <c r="K33" s="35">
        <f>IF(OR(O33&lt;&gt;1,J33&lt;=0),"",IF(H33="Yes","",IF(I33&lt;W1,IF(OverdueW1="No","",1),IF(I33&lt;=W1+90,INT((I33-W1)/7)+1,""))))</f>
        <v/>
      </c>
      <c r="L33" s="36">
        <f>IF(ISNUMBER(K33),J33,0)</f>
        <v/>
      </c>
      <c r="M33" s="10">
        <f>IF(O33="","",IF(O33=0,"Not counted",IF(J33&lt;=0,"Paid",IF(H33="Yes","On hold (left out)",IF(I33&lt;W1,IF(OverdueW1="No","Overdue (left out)","Overdue → Week 1"),IF(I33&lt;=W1+90,"Week "&amp;K33,"After Week 13"))))))</f>
        <v/>
      </c>
      <c r="N33" s="10">
        <f>IF(O33="","",IF(O33=0,IF(NOT(ISNUMBER(E33)),"Fix: amount missing",IF(E33&lt;=0,"Fix: amount must be above 0",IF(AND(NOT(ISNUMBER(D33)),NOT(ISNUMBER(G33))),"Fix: add a due date or a planned pay date",IF(AND(D33&lt;&gt;"",NOT(ISNUMBER(D33))),"Fix: due date isn't a date",IF(AND(F33&lt;&gt;"",NOT(ISNUMBER(F33))),"Fix: paid must be a number",IF(AND(G33&lt;&gt;"",NOT(ISNUMBER(G33))),"Fix: planned date isn't a date","Fix: paid is more than the amount")))))),IF(AND(C33&lt;&gt;"",ISNUMBER(MATCH(C33,OutCats,0))),"OK","Category not on Settings (counted as Other)")))</f>
        <v/>
      </c>
      <c r="O33">
        <f>IF(COUNTA(A33:H33)=0,"",IF(AND(ISNUMBER(E33),E33&gt;0,OR(ISNUMBER(D33),ISNUMBER(G33)),OR(D33="",ISNUMBER(D33)),OR(F33="",ISNUMBER(F33)),OR(G33="",ISNUMBER(G33))),IF(N(F33)&gt;E33,0,1),0))</f>
        <v/>
      </c>
    </row>
    <row r="34">
      <c r="A34" s="29" t="n"/>
      <c r="B34" s="29" t="n"/>
      <c r="C34" s="29" t="n"/>
      <c r="D34" s="24" t="n"/>
      <c r="E34" s="34" t="n"/>
      <c r="F34" s="34" t="n"/>
      <c r="G34" s="24" t="n"/>
      <c r="H34" s="29" t="n"/>
      <c r="I34" s="32">
        <f>IF(O34&lt;&gt;1,"",IF(ISNUMBER(G34),INT(G34),INT(D34)))</f>
        <v/>
      </c>
      <c r="J34" s="21">
        <f>IF(O34&lt;&gt;1,0,E34-N(F34))</f>
        <v/>
      </c>
      <c r="K34" s="35">
        <f>IF(OR(O34&lt;&gt;1,J34&lt;=0),"",IF(H34="Yes","",IF(I34&lt;W1,IF(OverdueW1="No","",1),IF(I34&lt;=W1+90,INT((I34-W1)/7)+1,""))))</f>
        <v/>
      </c>
      <c r="L34" s="36">
        <f>IF(ISNUMBER(K34),J34,0)</f>
        <v/>
      </c>
      <c r="M34" s="10">
        <f>IF(O34="","",IF(O34=0,"Not counted",IF(J34&lt;=0,"Paid",IF(H34="Yes","On hold (left out)",IF(I34&lt;W1,IF(OverdueW1="No","Overdue (left out)","Overdue → Week 1"),IF(I34&lt;=W1+90,"Week "&amp;K34,"After Week 13"))))))</f>
        <v/>
      </c>
      <c r="N34" s="10">
        <f>IF(O34="","",IF(O34=0,IF(NOT(ISNUMBER(E34)),"Fix: amount missing",IF(E34&lt;=0,"Fix: amount must be above 0",IF(AND(NOT(ISNUMBER(D34)),NOT(ISNUMBER(G34))),"Fix: add a due date or a planned pay date",IF(AND(D34&lt;&gt;"",NOT(ISNUMBER(D34))),"Fix: due date isn't a date",IF(AND(F34&lt;&gt;"",NOT(ISNUMBER(F34))),"Fix: paid must be a number",IF(AND(G34&lt;&gt;"",NOT(ISNUMBER(G34))),"Fix: planned date isn't a date","Fix: paid is more than the amount")))))),IF(AND(C34&lt;&gt;"",ISNUMBER(MATCH(C34,OutCats,0))),"OK","Category not on Settings (counted as Other)")))</f>
        <v/>
      </c>
      <c r="O34">
        <f>IF(COUNTA(A34:H34)=0,"",IF(AND(ISNUMBER(E34),E34&gt;0,OR(ISNUMBER(D34),ISNUMBER(G34)),OR(D34="",ISNUMBER(D34)),OR(F34="",ISNUMBER(F34)),OR(G34="",ISNUMBER(G34))),IF(N(F34)&gt;E34,0,1),0))</f>
        <v/>
      </c>
    </row>
    <row r="35">
      <c r="A35" s="29" t="n"/>
      <c r="B35" s="29" t="n"/>
      <c r="C35" s="29" t="n"/>
      <c r="D35" s="24" t="n"/>
      <c r="E35" s="34" t="n"/>
      <c r="F35" s="34" t="n"/>
      <c r="G35" s="24" t="n"/>
      <c r="H35" s="29" t="n"/>
      <c r="I35" s="32">
        <f>IF(O35&lt;&gt;1,"",IF(ISNUMBER(G35),INT(G35),INT(D35)))</f>
        <v/>
      </c>
      <c r="J35" s="21">
        <f>IF(O35&lt;&gt;1,0,E35-N(F35))</f>
        <v/>
      </c>
      <c r="K35" s="35">
        <f>IF(OR(O35&lt;&gt;1,J35&lt;=0),"",IF(H35="Yes","",IF(I35&lt;W1,IF(OverdueW1="No","",1),IF(I35&lt;=W1+90,INT((I35-W1)/7)+1,""))))</f>
        <v/>
      </c>
      <c r="L35" s="36">
        <f>IF(ISNUMBER(K35),J35,0)</f>
        <v/>
      </c>
      <c r="M35" s="10">
        <f>IF(O35="","",IF(O35=0,"Not counted",IF(J35&lt;=0,"Paid",IF(H35="Yes","On hold (left out)",IF(I35&lt;W1,IF(OverdueW1="No","Overdue (left out)","Overdue → Week 1"),IF(I35&lt;=W1+90,"Week "&amp;K35,"After Week 13"))))))</f>
        <v/>
      </c>
      <c r="N35" s="10">
        <f>IF(O35="","",IF(O35=0,IF(NOT(ISNUMBER(E35)),"Fix: amount missing",IF(E35&lt;=0,"Fix: amount must be above 0",IF(AND(NOT(ISNUMBER(D35)),NOT(ISNUMBER(G35))),"Fix: add a due date or a planned pay date",IF(AND(D35&lt;&gt;"",NOT(ISNUMBER(D35))),"Fix: due date isn't a date",IF(AND(F35&lt;&gt;"",NOT(ISNUMBER(F35))),"Fix: paid must be a number",IF(AND(G35&lt;&gt;"",NOT(ISNUMBER(G35))),"Fix: planned date isn't a date","Fix: paid is more than the amount")))))),IF(AND(C35&lt;&gt;"",ISNUMBER(MATCH(C35,OutCats,0))),"OK","Category not on Settings (counted as Other)")))</f>
        <v/>
      </c>
      <c r="O35">
        <f>IF(COUNTA(A35:H35)=0,"",IF(AND(ISNUMBER(E35),E35&gt;0,OR(ISNUMBER(D35),ISNUMBER(G35)),OR(D35="",ISNUMBER(D35)),OR(F35="",ISNUMBER(F35)),OR(G35="",ISNUMBER(G35))),IF(N(F35)&gt;E35,0,1),0))</f>
        <v/>
      </c>
    </row>
    <row r="36">
      <c r="A36" s="29" t="n"/>
      <c r="B36" s="29" t="n"/>
      <c r="C36" s="29" t="n"/>
      <c r="D36" s="24" t="n"/>
      <c r="E36" s="34" t="n"/>
      <c r="F36" s="34" t="n"/>
      <c r="G36" s="24" t="n"/>
      <c r="H36" s="29" t="n"/>
      <c r="I36" s="32">
        <f>IF(O36&lt;&gt;1,"",IF(ISNUMBER(G36),INT(G36),INT(D36)))</f>
        <v/>
      </c>
      <c r="J36" s="21">
        <f>IF(O36&lt;&gt;1,0,E36-N(F36))</f>
        <v/>
      </c>
      <c r="K36" s="35">
        <f>IF(OR(O36&lt;&gt;1,J36&lt;=0),"",IF(H36="Yes","",IF(I36&lt;W1,IF(OverdueW1="No","",1),IF(I36&lt;=W1+90,INT((I36-W1)/7)+1,""))))</f>
        <v/>
      </c>
      <c r="L36" s="36">
        <f>IF(ISNUMBER(K36),J36,0)</f>
        <v/>
      </c>
      <c r="M36" s="10">
        <f>IF(O36="","",IF(O36=0,"Not counted",IF(J36&lt;=0,"Paid",IF(H36="Yes","On hold (left out)",IF(I36&lt;W1,IF(OverdueW1="No","Overdue (left out)","Overdue → Week 1"),IF(I36&lt;=W1+90,"Week "&amp;K36,"After Week 13"))))))</f>
        <v/>
      </c>
      <c r="N36" s="10">
        <f>IF(O36="","",IF(O36=0,IF(NOT(ISNUMBER(E36)),"Fix: amount missing",IF(E36&lt;=0,"Fix: amount must be above 0",IF(AND(NOT(ISNUMBER(D36)),NOT(ISNUMBER(G36))),"Fix: add a due date or a planned pay date",IF(AND(D36&lt;&gt;"",NOT(ISNUMBER(D36))),"Fix: due date isn't a date",IF(AND(F36&lt;&gt;"",NOT(ISNUMBER(F36))),"Fix: paid must be a number",IF(AND(G36&lt;&gt;"",NOT(ISNUMBER(G36))),"Fix: planned date isn't a date","Fix: paid is more than the amount")))))),IF(AND(C36&lt;&gt;"",ISNUMBER(MATCH(C36,OutCats,0))),"OK","Category not on Settings (counted as Other)")))</f>
        <v/>
      </c>
      <c r="O36">
        <f>IF(COUNTA(A36:H36)=0,"",IF(AND(ISNUMBER(E36),E36&gt;0,OR(ISNUMBER(D36),ISNUMBER(G36)),OR(D36="",ISNUMBER(D36)),OR(F36="",ISNUMBER(F36)),OR(G36="",ISNUMBER(G36))),IF(N(F36)&gt;E36,0,1),0))</f>
        <v/>
      </c>
    </row>
    <row r="37">
      <c r="A37" s="29" t="n"/>
      <c r="B37" s="29" t="n"/>
      <c r="C37" s="29" t="n"/>
      <c r="D37" s="24" t="n"/>
      <c r="E37" s="34" t="n"/>
      <c r="F37" s="34" t="n"/>
      <c r="G37" s="24" t="n"/>
      <c r="H37" s="29" t="n"/>
      <c r="I37" s="32">
        <f>IF(O37&lt;&gt;1,"",IF(ISNUMBER(G37),INT(G37),INT(D37)))</f>
        <v/>
      </c>
      <c r="J37" s="21">
        <f>IF(O37&lt;&gt;1,0,E37-N(F37))</f>
        <v/>
      </c>
      <c r="K37" s="35">
        <f>IF(OR(O37&lt;&gt;1,J37&lt;=0),"",IF(H37="Yes","",IF(I37&lt;W1,IF(OverdueW1="No","",1),IF(I37&lt;=W1+90,INT((I37-W1)/7)+1,""))))</f>
        <v/>
      </c>
      <c r="L37" s="36">
        <f>IF(ISNUMBER(K37),J37,0)</f>
        <v/>
      </c>
      <c r="M37" s="10">
        <f>IF(O37="","",IF(O37=0,"Not counted",IF(J37&lt;=0,"Paid",IF(H37="Yes","On hold (left out)",IF(I37&lt;W1,IF(OverdueW1="No","Overdue (left out)","Overdue → Week 1"),IF(I37&lt;=W1+90,"Week "&amp;K37,"After Week 13"))))))</f>
        <v/>
      </c>
      <c r="N37" s="10">
        <f>IF(O37="","",IF(O37=0,IF(NOT(ISNUMBER(E37)),"Fix: amount missing",IF(E37&lt;=0,"Fix: amount must be above 0",IF(AND(NOT(ISNUMBER(D37)),NOT(ISNUMBER(G37))),"Fix: add a due date or a planned pay date",IF(AND(D37&lt;&gt;"",NOT(ISNUMBER(D37))),"Fix: due date isn't a date",IF(AND(F37&lt;&gt;"",NOT(ISNUMBER(F37))),"Fix: paid must be a number",IF(AND(G37&lt;&gt;"",NOT(ISNUMBER(G37))),"Fix: planned date isn't a date","Fix: paid is more than the amount")))))),IF(AND(C37&lt;&gt;"",ISNUMBER(MATCH(C37,OutCats,0))),"OK","Category not on Settings (counted as Other)")))</f>
        <v/>
      </c>
      <c r="O37">
        <f>IF(COUNTA(A37:H37)=0,"",IF(AND(ISNUMBER(E37),E37&gt;0,OR(ISNUMBER(D37),ISNUMBER(G37)),OR(D37="",ISNUMBER(D37)),OR(F37="",ISNUMBER(F37)),OR(G37="",ISNUMBER(G37))),IF(N(F37)&gt;E37,0,1),0))</f>
        <v/>
      </c>
    </row>
    <row r="38">
      <c r="A38" s="29" t="n"/>
      <c r="B38" s="29" t="n"/>
      <c r="C38" s="29" t="n"/>
      <c r="D38" s="24" t="n"/>
      <c r="E38" s="34" t="n"/>
      <c r="F38" s="34" t="n"/>
      <c r="G38" s="24" t="n"/>
      <c r="H38" s="29" t="n"/>
      <c r="I38" s="32">
        <f>IF(O38&lt;&gt;1,"",IF(ISNUMBER(G38),INT(G38),INT(D38)))</f>
        <v/>
      </c>
      <c r="J38" s="21">
        <f>IF(O38&lt;&gt;1,0,E38-N(F38))</f>
        <v/>
      </c>
      <c r="K38" s="35">
        <f>IF(OR(O38&lt;&gt;1,J38&lt;=0),"",IF(H38="Yes","",IF(I38&lt;W1,IF(OverdueW1="No","",1),IF(I38&lt;=W1+90,INT((I38-W1)/7)+1,""))))</f>
        <v/>
      </c>
      <c r="L38" s="36">
        <f>IF(ISNUMBER(K38),J38,0)</f>
        <v/>
      </c>
      <c r="M38" s="10">
        <f>IF(O38="","",IF(O38=0,"Not counted",IF(J38&lt;=0,"Paid",IF(H38="Yes","On hold (left out)",IF(I38&lt;W1,IF(OverdueW1="No","Overdue (left out)","Overdue → Week 1"),IF(I38&lt;=W1+90,"Week "&amp;K38,"After Week 13"))))))</f>
        <v/>
      </c>
      <c r="N38" s="10">
        <f>IF(O38="","",IF(O38=0,IF(NOT(ISNUMBER(E38)),"Fix: amount missing",IF(E38&lt;=0,"Fix: amount must be above 0",IF(AND(NOT(ISNUMBER(D38)),NOT(ISNUMBER(G38))),"Fix: add a due date or a planned pay date",IF(AND(D38&lt;&gt;"",NOT(ISNUMBER(D38))),"Fix: due date isn't a date",IF(AND(F38&lt;&gt;"",NOT(ISNUMBER(F38))),"Fix: paid must be a number",IF(AND(G38&lt;&gt;"",NOT(ISNUMBER(G38))),"Fix: planned date isn't a date","Fix: paid is more than the amount")))))),IF(AND(C38&lt;&gt;"",ISNUMBER(MATCH(C38,OutCats,0))),"OK","Category not on Settings (counted as Other)")))</f>
        <v/>
      </c>
      <c r="O38">
        <f>IF(COUNTA(A38:H38)=0,"",IF(AND(ISNUMBER(E38),E38&gt;0,OR(ISNUMBER(D38),ISNUMBER(G38)),OR(D38="",ISNUMBER(D38)),OR(F38="",ISNUMBER(F38)),OR(G38="",ISNUMBER(G38))),IF(N(F38)&gt;E38,0,1),0))</f>
        <v/>
      </c>
    </row>
    <row r="39">
      <c r="A39" s="29" t="n"/>
      <c r="B39" s="29" t="n"/>
      <c r="C39" s="29" t="n"/>
      <c r="D39" s="24" t="n"/>
      <c r="E39" s="34" t="n"/>
      <c r="F39" s="34" t="n"/>
      <c r="G39" s="24" t="n"/>
      <c r="H39" s="29" t="n"/>
      <c r="I39" s="32">
        <f>IF(O39&lt;&gt;1,"",IF(ISNUMBER(G39),INT(G39),INT(D39)))</f>
        <v/>
      </c>
      <c r="J39" s="21">
        <f>IF(O39&lt;&gt;1,0,E39-N(F39))</f>
        <v/>
      </c>
      <c r="K39" s="35">
        <f>IF(OR(O39&lt;&gt;1,J39&lt;=0),"",IF(H39="Yes","",IF(I39&lt;W1,IF(OverdueW1="No","",1),IF(I39&lt;=W1+90,INT((I39-W1)/7)+1,""))))</f>
        <v/>
      </c>
      <c r="L39" s="36">
        <f>IF(ISNUMBER(K39),J39,0)</f>
        <v/>
      </c>
      <c r="M39" s="10">
        <f>IF(O39="","",IF(O39=0,"Not counted",IF(J39&lt;=0,"Paid",IF(H39="Yes","On hold (left out)",IF(I39&lt;W1,IF(OverdueW1="No","Overdue (left out)","Overdue → Week 1"),IF(I39&lt;=W1+90,"Week "&amp;K39,"After Week 13"))))))</f>
        <v/>
      </c>
      <c r="N39" s="10">
        <f>IF(O39="","",IF(O39=0,IF(NOT(ISNUMBER(E39)),"Fix: amount missing",IF(E39&lt;=0,"Fix: amount must be above 0",IF(AND(NOT(ISNUMBER(D39)),NOT(ISNUMBER(G39))),"Fix: add a due date or a planned pay date",IF(AND(D39&lt;&gt;"",NOT(ISNUMBER(D39))),"Fix: due date isn't a date",IF(AND(F39&lt;&gt;"",NOT(ISNUMBER(F39))),"Fix: paid must be a number",IF(AND(G39&lt;&gt;"",NOT(ISNUMBER(G39))),"Fix: planned date isn't a date","Fix: paid is more than the amount")))))),IF(AND(C39&lt;&gt;"",ISNUMBER(MATCH(C39,OutCats,0))),"OK","Category not on Settings (counted as Other)")))</f>
        <v/>
      </c>
      <c r="O39">
        <f>IF(COUNTA(A39:H39)=0,"",IF(AND(ISNUMBER(E39),E39&gt;0,OR(ISNUMBER(D39),ISNUMBER(G39)),OR(D39="",ISNUMBER(D39)),OR(F39="",ISNUMBER(F39)),OR(G39="",ISNUMBER(G39))),IF(N(F39)&gt;E39,0,1),0))</f>
        <v/>
      </c>
    </row>
    <row r="40">
      <c r="A40" s="29" t="n"/>
      <c r="B40" s="29" t="n"/>
      <c r="C40" s="29" t="n"/>
      <c r="D40" s="24" t="n"/>
      <c r="E40" s="34" t="n"/>
      <c r="F40" s="34" t="n"/>
      <c r="G40" s="24" t="n"/>
      <c r="H40" s="29" t="n"/>
      <c r="I40" s="32">
        <f>IF(O40&lt;&gt;1,"",IF(ISNUMBER(G40),INT(G40),INT(D40)))</f>
        <v/>
      </c>
      <c r="J40" s="21">
        <f>IF(O40&lt;&gt;1,0,E40-N(F40))</f>
        <v/>
      </c>
      <c r="K40" s="35">
        <f>IF(OR(O40&lt;&gt;1,J40&lt;=0),"",IF(H40="Yes","",IF(I40&lt;W1,IF(OverdueW1="No","",1),IF(I40&lt;=W1+90,INT((I40-W1)/7)+1,""))))</f>
        <v/>
      </c>
      <c r="L40" s="36">
        <f>IF(ISNUMBER(K40),J40,0)</f>
        <v/>
      </c>
      <c r="M40" s="10">
        <f>IF(O40="","",IF(O40=0,"Not counted",IF(J40&lt;=0,"Paid",IF(H40="Yes","On hold (left out)",IF(I40&lt;W1,IF(OverdueW1="No","Overdue (left out)","Overdue → Week 1"),IF(I40&lt;=W1+90,"Week "&amp;K40,"After Week 13"))))))</f>
        <v/>
      </c>
      <c r="N40" s="10">
        <f>IF(O40="","",IF(O40=0,IF(NOT(ISNUMBER(E40)),"Fix: amount missing",IF(E40&lt;=0,"Fix: amount must be above 0",IF(AND(NOT(ISNUMBER(D40)),NOT(ISNUMBER(G40))),"Fix: add a due date or a planned pay date",IF(AND(D40&lt;&gt;"",NOT(ISNUMBER(D40))),"Fix: due date isn't a date",IF(AND(F40&lt;&gt;"",NOT(ISNUMBER(F40))),"Fix: paid must be a number",IF(AND(G40&lt;&gt;"",NOT(ISNUMBER(G40))),"Fix: planned date isn't a date","Fix: paid is more than the amount")))))),IF(AND(C40&lt;&gt;"",ISNUMBER(MATCH(C40,OutCats,0))),"OK","Category not on Settings (counted as Other)")))</f>
        <v/>
      </c>
      <c r="O40">
        <f>IF(COUNTA(A40:H40)=0,"",IF(AND(ISNUMBER(E40),E40&gt;0,OR(ISNUMBER(D40),ISNUMBER(G40)),OR(D40="",ISNUMBER(D40)),OR(F40="",ISNUMBER(F40)),OR(G40="",ISNUMBER(G40))),IF(N(F40)&gt;E40,0,1),0))</f>
        <v/>
      </c>
    </row>
    <row r="41">
      <c r="A41" s="29" t="n"/>
      <c r="B41" s="29" t="n"/>
      <c r="C41" s="29" t="n"/>
      <c r="D41" s="24" t="n"/>
      <c r="E41" s="34" t="n"/>
      <c r="F41" s="34" t="n"/>
      <c r="G41" s="24" t="n"/>
      <c r="H41" s="29" t="n"/>
      <c r="I41" s="32">
        <f>IF(O41&lt;&gt;1,"",IF(ISNUMBER(G41),INT(G41),INT(D41)))</f>
        <v/>
      </c>
      <c r="J41" s="21">
        <f>IF(O41&lt;&gt;1,0,E41-N(F41))</f>
        <v/>
      </c>
      <c r="K41" s="35">
        <f>IF(OR(O41&lt;&gt;1,J41&lt;=0),"",IF(H41="Yes","",IF(I41&lt;W1,IF(OverdueW1="No","",1),IF(I41&lt;=W1+90,INT((I41-W1)/7)+1,""))))</f>
        <v/>
      </c>
      <c r="L41" s="36">
        <f>IF(ISNUMBER(K41),J41,0)</f>
        <v/>
      </c>
      <c r="M41" s="10">
        <f>IF(O41="","",IF(O41=0,"Not counted",IF(J41&lt;=0,"Paid",IF(H41="Yes","On hold (left out)",IF(I41&lt;W1,IF(OverdueW1="No","Overdue (left out)","Overdue → Week 1"),IF(I41&lt;=W1+90,"Week "&amp;K41,"After Week 13"))))))</f>
        <v/>
      </c>
      <c r="N41" s="10">
        <f>IF(O41="","",IF(O41=0,IF(NOT(ISNUMBER(E41)),"Fix: amount missing",IF(E41&lt;=0,"Fix: amount must be above 0",IF(AND(NOT(ISNUMBER(D41)),NOT(ISNUMBER(G41))),"Fix: add a due date or a planned pay date",IF(AND(D41&lt;&gt;"",NOT(ISNUMBER(D41))),"Fix: due date isn't a date",IF(AND(F41&lt;&gt;"",NOT(ISNUMBER(F41))),"Fix: paid must be a number",IF(AND(G41&lt;&gt;"",NOT(ISNUMBER(G41))),"Fix: planned date isn't a date","Fix: paid is more than the amount")))))),IF(AND(C41&lt;&gt;"",ISNUMBER(MATCH(C41,OutCats,0))),"OK","Category not on Settings (counted as Other)")))</f>
        <v/>
      </c>
      <c r="O41">
        <f>IF(COUNTA(A41:H41)=0,"",IF(AND(ISNUMBER(E41),E41&gt;0,OR(ISNUMBER(D41),ISNUMBER(G41)),OR(D41="",ISNUMBER(D41)),OR(F41="",ISNUMBER(F41)),OR(G41="",ISNUMBER(G41))),IF(N(F41)&gt;E41,0,1),0))</f>
        <v/>
      </c>
    </row>
    <row r="42">
      <c r="A42" s="29" t="n"/>
      <c r="B42" s="29" t="n"/>
      <c r="C42" s="29" t="n"/>
      <c r="D42" s="24" t="n"/>
      <c r="E42" s="34" t="n"/>
      <c r="F42" s="34" t="n"/>
      <c r="G42" s="24" t="n"/>
      <c r="H42" s="29" t="n"/>
      <c r="I42" s="32">
        <f>IF(O42&lt;&gt;1,"",IF(ISNUMBER(G42),INT(G42),INT(D42)))</f>
        <v/>
      </c>
      <c r="J42" s="21">
        <f>IF(O42&lt;&gt;1,0,E42-N(F42))</f>
        <v/>
      </c>
      <c r="K42" s="35">
        <f>IF(OR(O42&lt;&gt;1,J42&lt;=0),"",IF(H42="Yes","",IF(I42&lt;W1,IF(OverdueW1="No","",1),IF(I42&lt;=W1+90,INT((I42-W1)/7)+1,""))))</f>
        <v/>
      </c>
      <c r="L42" s="36">
        <f>IF(ISNUMBER(K42),J42,0)</f>
        <v/>
      </c>
      <c r="M42" s="10">
        <f>IF(O42="","",IF(O42=0,"Not counted",IF(J42&lt;=0,"Paid",IF(H42="Yes","On hold (left out)",IF(I42&lt;W1,IF(OverdueW1="No","Overdue (left out)","Overdue → Week 1"),IF(I42&lt;=W1+90,"Week "&amp;K42,"After Week 13"))))))</f>
        <v/>
      </c>
      <c r="N42" s="10">
        <f>IF(O42="","",IF(O42=0,IF(NOT(ISNUMBER(E42)),"Fix: amount missing",IF(E42&lt;=0,"Fix: amount must be above 0",IF(AND(NOT(ISNUMBER(D42)),NOT(ISNUMBER(G42))),"Fix: add a due date or a planned pay date",IF(AND(D42&lt;&gt;"",NOT(ISNUMBER(D42))),"Fix: due date isn't a date",IF(AND(F42&lt;&gt;"",NOT(ISNUMBER(F42))),"Fix: paid must be a number",IF(AND(G42&lt;&gt;"",NOT(ISNUMBER(G42))),"Fix: planned date isn't a date","Fix: paid is more than the amount")))))),IF(AND(C42&lt;&gt;"",ISNUMBER(MATCH(C42,OutCats,0))),"OK","Category not on Settings (counted as Other)")))</f>
        <v/>
      </c>
      <c r="O42">
        <f>IF(COUNTA(A42:H42)=0,"",IF(AND(ISNUMBER(E42),E42&gt;0,OR(ISNUMBER(D42),ISNUMBER(G42)),OR(D42="",ISNUMBER(D42)),OR(F42="",ISNUMBER(F42)),OR(G42="",ISNUMBER(G42))),IF(N(F42)&gt;E42,0,1),0))</f>
        <v/>
      </c>
    </row>
    <row r="43">
      <c r="A43" s="29" t="n"/>
      <c r="B43" s="29" t="n"/>
      <c r="C43" s="29" t="n"/>
      <c r="D43" s="24" t="n"/>
      <c r="E43" s="34" t="n"/>
      <c r="F43" s="34" t="n"/>
      <c r="G43" s="24" t="n"/>
      <c r="H43" s="29" t="n"/>
      <c r="I43" s="32">
        <f>IF(O43&lt;&gt;1,"",IF(ISNUMBER(G43),INT(G43),INT(D43)))</f>
        <v/>
      </c>
      <c r="J43" s="21">
        <f>IF(O43&lt;&gt;1,0,E43-N(F43))</f>
        <v/>
      </c>
      <c r="K43" s="35">
        <f>IF(OR(O43&lt;&gt;1,J43&lt;=0),"",IF(H43="Yes","",IF(I43&lt;W1,IF(OverdueW1="No","",1),IF(I43&lt;=W1+90,INT((I43-W1)/7)+1,""))))</f>
        <v/>
      </c>
      <c r="L43" s="36">
        <f>IF(ISNUMBER(K43),J43,0)</f>
        <v/>
      </c>
      <c r="M43" s="10">
        <f>IF(O43="","",IF(O43=0,"Not counted",IF(J43&lt;=0,"Paid",IF(H43="Yes","On hold (left out)",IF(I43&lt;W1,IF(OverdueW1="No","Overdue (left out)","Overdue → Week 1"),IF(I43&lt;=W1+90,"Week "&amp;K43,"After Week 13"))))))</f>
        <v/>
      </c>
      <c r="N43" s="10">
        <f>IF(O43="","",IF(O43=0,IF(NOT(ISNUMBER(E43)),"Fix: amount missing",IF(E43&lt;=0,"Fix: amount must be above 0",IF(AND(NOT(ISNUMBER(D43)),NOT(ISNUMBER(G43))),"Fix: add a due date or a planned pay date",IF(AND(D43&lt;&gt;"",NOT(ISNUMBER(D43))),"Fix: due date isn't a date",IF(AND(F43&lt;&gt;"",NOT(ISNUMBER(F43))),"Fix: paid must be a number",IF(AND(G43&lt;&gt;"",NOT(ISNUMBER(G43))),"Fix: planned date isn't a date","Fix: paid is more than the amount")))))),IF(AND(C43&lt;&gt;"",ISNUMBER(MATCH(C43,OutCats,0))),"OK","Category not on Settings (counted as Other)")))</f>
        <v/>
      </c>
      <c r="O43">
        <f>IF(COUNTA(A43:H43)=0,"",IF(AND(ISNUMBER(E43),E43&gt;0,OR(ISNUMBER(D43),ISNUMBER(G43)),OR(D43="",ISNUMBER(D43)),OR(F43="",ISNUMBER(F43)),OR(G43="",ISNUMBER(G43))),IF(N(F43)&gt;E43,0,1),0))</f>
        <v/>
      </c>
    </row>
    <row r="44">
      <c r="A44" s="29" t="n"/>
      <c r="B44" s="29" t="n"/>
      <c r="C44" s="29" t="n"/>
      <c r="D44" s="24" t="n"/>
      <c r="E44" s="34" t="n"/>
      <c r="F44" s="34" t="n"/>
      <c r="G44" s="24" t="n"/>
      <c r="H44" s="29" t="n"/>
      <c r="I44" s="32">
        <f>IF(O44&lt;&gt;1,"",IF(ISNUMBER(G44),INT(G44),INT(D44)))</f>
        <v/>
      </c>
      <c r="J44" s="21">
        <f>IF(O44&lt;&gt;1,0,E44-N(F44))</f>
        <v/>
      </c>
      <c r="K44" s="35">
        <f>IF(OR(O44&lt;&gt;1,J44&lt;=0),"",IF(H44="Yes","",IF(I44&lt;W1,IF(OverdueW1="No","",1),IF(I44&lt;=W1+90,INT((I44-W1)/7)+1,""))))</f>
        <v/>
      </c>
      <c r="L44" s="36">
        <f>IF(ISNUMBER(K44),J44,0)</f>
        <v/>
      </c>
      <c r="M44" s="10">
        <f>IF(O44="","",IF(O44=0,"Not counted",IF(J44&lt;=0,"Paid",IF(H44="Yes","On hold (left out)",IF(I44&lt;W1,IF(OverdueW1="No","Overdue (left out)","Overdue → Week 1"),IF(I44&lt;=W1+90,"Week "&amp;K44,"After Week 13"))))))</f>
        <v/>
      </c>
      <c r="N44" s="10">
        <f>IF(O44="","",IF(O44=0,IF(NOT(ISNUMBER(E44)),"Fix: amount missing",IF(E44&lt;=0,"Fix: amount must be above 0",IF(AND(NOT(ISNUMBER(D44)),NOT(ISNUMBER(G44))),"Fix: add a due date or a planned pay date",IF(AND(D44&lt;&gt;"",NOT(ISNUMBER(D44))),"Fix: due date isn't a date",IF(AND(F44&lt;&gt;"",NOT(ISNUMBER(F44))),"Fix: paid must be a number",IF(AND(G44&lt;&gt;"",NOT(ISNUMBER(G44))),"Fix: planned date isn't a date","Fix: paid is more than the amount")))))),IF(AND(C44&lt;&gt;"",ISNUMBER(MATCH(C44,OutCats,0))),"OK","Category not on Settings (counted as Other)")))</f>
        <v/>
      </c>
      <c r="O44">
        <f>IF(COUNTA(A44:H44)=0,"",IF(AND(ISNUMBER(E44),E44&gt;0,OR(ISNUMBER(D44),ISNUMBER(G44)),OR(D44="",ISNUMBER(D44)),OR(F44="",ISNUMBER(F44)),OR(G44="",ISNUMBER(G44))),IF(N(F44)&gt;E44,0,1),0))</f>
        <v/>
      </c>
    </row>
    <row r="45">
      <c r="A45" s="29" t="n"/>
      <c r="B45" s="29" t="n"/>
      <c r="C45" s="29" t="n"/>
      <c r="D45" s="24" t="n"/>
      <c r="E45" s="34" t="n"/>
      <c r="F45" s="34" t="n"/>
      <c r="G45" s="24" t="n"/>
      <c r="H45" s="29" t="n"/>
      <c r="I45" s="32">
        <f>IF(O45&lt;&gt;1,"",IF(ISNUMBER(G45),INT(G45),INT(D45)))</f>
        <v/>
      </c>
      <c r="J45" s="21">
        <f>IF(O45&lt;&gt;1,0,E45-N(F45))</f>
        <v/>
      </c>
      <c r="K45" s="35">
        <f>IF(OR(O45&lt;&gt;1,J45&lt;=0),"",IF(H45="Yes","",IF(I45&lt;W1,IF(OverdueW1="No","",1),IF(I45&lt;=W1+90,INT((I45-W1)/7)+1,""))))</f>
        <v/>
      </c>
      <c r="L45" s="36">
        <f>IF(ISNUMBER(K45),J45,0)</f>
        <v/>
      </c>
      <c r="M45" s="10">
        <f>IF(O45="","",IF(O45=0,"Not counted",IF(J45&lt;=0,"Paid",IF(H45="Yes","On hold (left out)",IF(I45&lt;W1,IF(OverdueW1="No","Overdue (left out)","Overdue → Week 1"),IF(I45&lt;=W1+90,"Week "&amp;K45,"After Week 13"))))))</f>
        <v/>
      </c>
      <c r="N45" s="10">
        <f>IF(O45="","",IF(O45=0,IF(NOT(ISNUMBER(E45)),"Fix: amount missing",IF(E45&lt;=0,"Fix: amount must be above 0",IF(AND(NOT(ISNUMBER(D45)),NOT(ISNUMBER(G45))),"Fix: add a due date or a planned pay date",IF(AND(D45&lt;&gt;"",NOT(ISNUMBER(D45))),"Fix: due date isn't a date",IF(AND(F45&lt;&gt;"",NOT(ISNUMBER(F45))),"Fix: paid must be a number",IF(AND(G45&lt;&gt;"",NOT(ISNUMBER(G45))),"Fix: planned date isn't a date","Fix: paid is more than the amount")))))),IF(AND(C45&lt;&gt;"",ISNUMBER(MATCH(C45,OutCats,0))),"OK","Category not on Settings (counted as Other)")))</f>
        <v/>
      </c>
      <c r="O45">
        <f>IF(COUNTA(A45:H45)=0,"",IF(AND(ISNUMBER(E45),E45&gt;0,OR(ISNUMBER(D45),ISNUMBER(G45)),OR(D45="",ISNUMBER(D45)),OR(F45="",ISNUMBER(F45)),OR(G45="",ISNUMBER(G45))),IF(N(F45)&gt;E45,0,1),0))</f>
        <v/>
      </c>
    </row>
    <row r="46">
      <c r="A46" s="29" t="n"/>
      <c r="B46" s="29" t="n"/>
      <c r="C46" s="29" t="n"/>
      <c r="D46" s="24" t="n"/>
      <c r="E46" s="34" t="n"/>
      <c r="F46" s="34" t="n"/>
      <c r="G46" s="24" t="n"/>
      <c r="H46" s="29" t="n"/>
      <c r="I46" s="32">
        <f>IF(O46&lt;&gt;1,"",IF(ISNUMBER(G46),INT(G46),INT(D46)))</f>
        <v/>
      </c>
      <c r="J46" s="21">
        <f>IF(O46&lt;&gt;1,0,E46-N(F46))</f>
        <v/>
      </c>
      <c r="K46" s="35">
        <f>IF(OR(O46&lt;&gt;1,J46&lt;=0),"",IF(H46="Yes","",IF(I46&lt;W1,IF(OverdueW1="No","",1),IF(I46&lt;=W1+90,INT((I46-W1)/7)+1,""))))</f>
        <v/>
      </c>
      <c r="L46" s="36">
        <f>IF(ISNUMBER(K46),J46,0)</f>
        <v/>
      </c>
      <c r="M46" s="10">
        <f>IF(O46="","",IF(O46=0,"Not counted",IF(J46&lt;=0,"Paid",IF(H46="Yes","On hold (left out)",IF(I46&lt;W1,IF(OverdueW1="No","Overdue (left out)","Overdue → Week 1"),IF(I46&lt;=W1+90,"Week "&amp;K46,"After Week 13"))))))</f>
        <v/>
      </c>
      <c r="N46" s="10">
        <f>IF(O46="","",IF(O46=0,IF(NOT(ISNUMBER(E46)),"Fix: amount missing",IF(E46&lt;=0,"Fix: amount must be above 0",IF(AND(NOT(ISNUMBER(D46)),NOT(ISNUMBER(G46))),"Fix: add a due date or a planned pay date",IF(AND(D46&lt;&gt;"",NOT(ISNUMBER(D46))),"Fix: due date isn't a date",IF(AND(F46&lt;&gt;"",NOT(ISNUMBER(F46))),"Fix: paid must be a number",IF(AND(G46&lt;&gt;"",NOT(ISNUMBER(G46))),"Fix: planned date isn't a date","Fix: paid is more than the amount")))))),IF(AND(C46&lt;&gt;"",ISNUMBER(MATCH(C46,OutCats,0))),"OK","Category not on Settings (counted as Other)")))</f>
        <v/>
      </c>
      <c r="O46">
        <f>IF(COUNTA(A46:H46)=0,"",IF(AND(ISNUMBER(E46),E46&gt;0,OR(ISNUMBER(D46),ISNUMBER(G46)),OR(D46="",ISNUMBER(D46)),OR(F46="",ISNUMBER(F46)),OR(G46="",ISNUMBER(G46))),IF(N(F46)&gt;E46,0,1),0))</f>
        <v/>
      </c>
    </row>
    <row r="47">
      <c r="A47" s="29" t="n"/>
      <c r="B47" s="29" t="n"/>
      <c r="C47" s="29" t="n"/>
      <c r="D47" s="24" t="n"/>
      <c r="E47" s="34" t="n"/>
      <c r="F47" s="34" t="n"/>
      <c r="G47" s="24" t="n"/>
      <c r="H47" s="29" t="n"/>
      <c r="I47" s="32">
        <f>IF(O47&lt;&gt;1,"",IF(ISNUMBER(G47),INT(G47),INT(D47)))</f>
        <v/>
      </c>
      <c r="J47" s="21">
        <f>IF(O47&lt;&gt;1,0,E47-N(F47))</f>
        <v/>
      </c>
      <c r="K47" s="35">
        <f>IF(OR(O47&lt;&gt;1,J47&lt;=0),"",IF(H47="Yes","",IF(I47&lt;W1,IF(OverdueW1="No","",1),IF(I47&lt;=W1+90,INT((I47-W1)/7)+1,""))))</f>
        <v/>
      </c>
      <c r="L47" s="36">
        <f>IF(ISNUMBER(K47),J47,0)</f>
        <v/>
      </c>
      <c r="M47" s="10">
        <f>IF(O47="","",IF(O47=0,"Not counted",IF(J47&lt;=0,"Paid",IF(H47="Yes","On hold (left out)",IF(I47&lt;W1,IF(OverdueW1="No","Overdue (left out)","Overdue → Week 1"),IF(I47&lt;=W1+90,"Week "&amp;K47,"After Week 13"))))))</f>
        <v/>
      </c>
      <c r="N47" s="10">
        <f>IF(O47="","",IF(O47=0,IF(NOT(ISNUMBER(E47)),"Fix: amount missing",IF(E47&lt;=0,"Fix: amount must be above 0",IF(AND(NOT(ISNUMBER(D47)),NOT(ISNUMBER(G47))),"Fix: add a due date or a planned pay date",IF(AND(D47&lt;&gt;"",NOT(ISNUMBER(D47))),"Fix: due date isn't a date",IF(AND(F47&lt;&gt;"",NOT(ISNUMBER(F47))),"Fix: paid must be a number",IF(AND(G47&lt;&gt;"",NOT(ISNUMBER(G47))),"Fix: planned date isn't a date","Fix: paid is more than the amount")))))),IF(AND(C47&lt;&gt;"",ISNUMBER(MATCH(C47,OutCats,0))),"OK","Category not on Settings (counted as Other)")))</f>
        <v/>
      </c>
      <c r="O47">
        <f>IF(COUNTA(A47:H47)=0,"",IF(AND(ISNUMBER(E47),E47&gt;0,OR(ISNUMBER(D47),ISNUMBER(G47)),OR(D47="",ISNUMBER(D47)),OR(F47="",ISNUMBER(F47)),OR(G47="",ISNUMBER(G47))),IF(N(F47)&gt;E47,0,1),0))</f>
        <v/>
      </c>
    </row>
    <row r="48">
      <c r="A48" s="29" t="n"/>
      <c r="B48" s="29" t="n"/>
      <c r="C48" s="29" t="n"/>
      <c r="D48" s="24" t="n"/>
      <c r="E48" s="34" t="n"/>
      <c r="F48" s="34" t="n"/>
      <c r="G48" s="24" t="n"/>
      <c r="H48" s="29" t="n"/>
      <c r="I48" s="32">
        <f>IF(O48&lt;&gt;1,"",IF(ISNUMBER(G48),INT(G48),INT(D48)))</f>
        <v/>
      </c>
      <c r="J48" s="21">
        <f>IF(O48&lt;&gt;1,0,E48-N(F48))</f>
        <v/>
      </c>
      <c r="K48" s="35">
        <f>IF(OR(O48&lt;&gt;1,J48&lt;=0),"",IF(H48="Yes","",IF(I48&lt;W1,IF(OverdueW1="No","",1),IF(I48&lt;=W1+90,INT((I48-W1)/7)+1,""))))</f>
        <v/>
      </c>
      <c r="L48" s="36">
        <f>IF(ISNUMBER(K48),J48,0)</f>
        <v/>
      </c>
      <c r="M48" s="10">
        <f>IF(O48="","",IF(O48=0,"Not counted",IF(J48&lt;=0,"Paid",IF(H48="Yes","On hold (left out)",IF(I48&lt;W1,IF(OverdueW1="No","Overdue (left out)","Overdue → Week 1"),IF(I48&lt;=W1+90,"Week "&amp;K48,"After Week 13"))))))</f>
        <v/>
      </c>
      <c r="N48" s="10">
        <f>IF(O48="","",IF(O48=0,IF(NOT(ISNUMBER(E48)),"Fix: amount missing",IF(E48&lt;=0,"Fix: amount must be above 0",IF(AND(NOT(ISNUMBER(D48)),NOT(ISNUMBER(G48))),"Fix: add a due date or a planned pay date",IF(AND(D48&lt;&gt;"",NOT(ISNUMBER(D48))),"Fix: due date isn't a date",IF(AND(F48&lt;&gt;"",NOT(ISNUMBER(F48))),"Fix: paid must be a number",IF(AND(G48&lt;&gt;"",NOT(ISNUMBER(G48))),"Fix: planned date isn't a date","Fix: paid is more than the amount")))))),IF(AND(C48&lt;&gt;"",ISNUMBER(MATCH(C48,OutCats,0))),"OK","Category not on Settings (counted as Other)")))</f>
        <v/>
      </c>
      <c r="O48">
        <f>IF(COUNTA(A48:H48)=0,"",IF(AND(ISNUMBER(E48),E48&gt;0,OR(ISNUMBER(D48),ISNUMBER(G48)),OR(D48="",ISNUMBER(D48)),OR(F48="",ISNUMBER(F48)),OR(G48="",ISNUMBER(G48))),IF(N(F48)&gt;E48,0,1),0))</f>
        <v/>
      </c>
    </row>
    <row r="49">
      <c r="A49" s="29" t="n"/>
      <c r="B49" s="29" t="n"/>
      <c r="C49" s="29" t="n"/>
      <c r="D49" s="24" t="n"/>
      <c r="E49" s="34" t="n"/>
      <c r="F49" s="34" t="n"/>
      <c r="G49" s="24" t="n"/>
      <c r="H49" s="29" t="n"/>
      <c r="I49" s="32">
        <f>IF(O49&lt;&gt;1,"",IF(ISNUMBER(G49),INT(G49),INT(D49)))</f>
        <v/>
      </c>
      <c r="J49" s="21">
        <f>IF(O49&lt;&gt;1,0,E49-N(F49))</f>
        <v/>
      </c>
      <c r="K49" s="35">
        <f>IF(OR(O49&lt;&gt;1,J49&lt;=0),"",IF(H49="Yes","",IF(I49&lt;W1,IF(OverdueW1="No","",1),IF(I49&lt;=W1+90,INT((I49-W1)/7)+1,""))))</f>
        <v/>
      </c>
      <c r="L49" s="36">
        <f>IF(ISNUMBER(K49),J49,0)</f>
        <v/>
      </c>
      <c r="M49" s="10">
        <f>IF(O49="","",IF(O49=0,"Not counted",IF(J49&lt;=0,"Paid",IF(H49="Yes","On hold (left out)",IF(I49&lt;W1,IF(OverdueW1="No","Overdue (left out)","Overdue → Week 1"),IF(I49&lt;=W1+90,"Week "&amp;K49,"After Week 13"))))))</f>
        <v/>
      </c>
      <c r="N49" s="10">
        <f>IF(O49="","",IF(O49=0,IF(NOT(ISNUMBER(E49)),"Fix: amount missing",IF(E49&lt;=0,"Fix: amount must be above 0",IF(AND(NOT(ISNUMBER(D49)),NOT(ISNUMBER(G49))),"Fix: add a due date or a planned pay date",IF(AND(D49&lt;&gt;"",NOT(ISNUMBER(D49))),"Fix: due date isn't a date",IF(AND(F49&lt;&gt;"",NOT(ISNUMBER(F49))),"Fix: paid must be a number",IF(AND(G49&lt;&gt;"",NOT(ISNUMBER(G49))),"Fix: planned date isn't a date","Fix: paid is more than the amount")))))),IF(AND(C49&lt;&gt;"",ISNUMBER(MATCH(C49,OutCats,0))),"OK","Category not on Settings (counted as Other)")))</f>
        <v/>
      </c>
      <c r="O49">
        <f>IF(COUNTA(A49:H49)=0,"",IF(AND(ISNUMBER(E49),E49&gt;0,OR(ISNUMBER(D49),ISNUMBER(G49)),OR(D49="",ISNUMBER(D49)),OR(F49="",ISNUMBER(F49)),OR(G49="",ISNUMBER(G49))),IF(N(F49)&gt;E49,0,1),0))</f>
        <v/>
      </c>
    </row>
    <row r="50">
      <c r="A50" s="29" t="n"/>
      <c r="B50" s="29" t="n"/>
      <c r="C50" s="29" t="n"/>
      <c r="D50" s="24" t="n"/>
      <c r="E50" s="34" t="n"/>
      <c r="F50" s="34" t="n"/>
      <c r="G50" s="24" t="n"/>
      <c r="H50" s="29" t="n"/>
      <c r="I50" s="32">
        <f>IF(O50&lt;&gt;1,"",IF(ISNUMBER(G50),INT(G50),INT(D50)))</f>
        <v/>
      </c>
      <c r="J50" s="21">
        <f>IF(O50&lt;&gt;1,0,E50-N(F50))</f>
        <v/>
      </c>
      <c r="K50" s="35">
        <f>IF(OR(O50&lt;&gt;1,J50&lt;=0),"",IF(H50="Yes","",IF(I50&lt;W1,IF(OverdueW1="No","",1),IF(I50&lt;=W1+90,INT((I50-W1)/7)+1,""))))</f>
        <v/>
      </c>
      <c r="L50" s="36">
        <f>IF(ISNUMBER(K50),J50,0)</f>
        <v/>
      </c>
      <c r="M50" s="10">
        <f>IF(O50="","",IF(O50=0,"Not counted",IF(J50&lt;=0,"Paid",IF(H50="Yes","On hold (left out)",IF(I50&lt;W1,IF(OverdueW1="No","Overdue (left out)","Overdue → Week 1"),IF(I50&lt;=W1+90,"Week "&amp;K50,"After Week 13"))))))</f>
        <v/>
      </c>
      <c r="N50" s="10">
        <f>IF(O50="","",IF(O50=0,IF(NOT(ISNUMBER(E50)),"Fix: amount missing",IF(E50&lt;=0,"Fix: amount must be above 0",IF(AND(NOT(ISNUMBER(D50)),NOT(ISNUMBER(G50))),"Fix: add a due date or a planned pay date",IF(AND(D50&lt;&gt;"",NOT(ISNUMBER(D50))),"Fix: due date isn't a date",IF(AND(F50&lt;&gt;"",NOT(ISNUMBER(F50))),"Fix: paid must be a number",IF(AND(G50&lt;&gt;"",NOT(ISNUMBER(G50))),"Fix: planned date isn't a date","Fix: paid is more than the amount")))))),IF(AND(C50&lt;&gt;"",ISNUMBER(MATCH(C50,OutCats,0))),"OK","Category not on Settings (counted as Other)")))</f>
        <v/>
      </c>
      <c r="O50">
        <f>IF(COUNTA(A50:H50)=0,"",IF(AND(ISNUMBER(E50),E50&gt;0,OR(ISNUMBER(D50),ISNUMBER(G50)),OR(D50="",ISNUMBER(D50)),OR(F50="",ISNUMBER(F50)),OR(G50="",ISNUMBER(G50))),IF(N(F50)&gt;E50,0,1),0))</f>
        <v/>
      </c>
    </row>
    <row r="51">
      <c r="A51" s="29" t="n"/>
      <c r="B51" s="29" t="n"/>
      <c r="C51" s="29" t="n"/>
      <c r="D51" s="24" t="n"/>
      <c r="E51" s="34" t="n"/>
      <c r="F51" s="34" t="n"/>
      <c r="G51" s="24" t="n"/>
      <c r="H51" s="29" t="n"/>
      <c r="I51" s="32">
        <f>IF(O51&lt;&gt;1,"",IF(ISNUMBER(G51),INT(G51),INT(D51)))</f>
        <v/>
      </c>
      <c r="J51" s="21">
        <f>IF(O51&lt;&gt;1,0,E51-N(F51))</f>
        <v/>
      </c>
      <c r="K51" s="35">
        <f>IF(OR(O51&lt;&gt;1,J51&lt;=0),"",IF(H51="Yes","",IF(I51&lt;W1,IF(OverdueW1="No","",1),IF(I51&lt;=W1+90,INT((I51-W1)/7)+1,""))))</f>
        <v/>
      </c>
      <c r="L51" s="36">
        <f>IF(ISNUMBER(K51),J51,0)</f>
        <v/>
      </c>
      <c r="M51" s="10">
        <f>IF(O51="","",IF(O51=0,"Not counted",IF(J51&lt;=0,"Paid",IF(H51="Yes","On hold (left out)",IF(I51&lt;W1,IF(OverdueW1="No","Overdue (left out)","Overdue → Week 1"),IF(I51&lt;=W1+90,"Week "&amp;K51,"After Week 13"))))))</f>
        <v/>
      </c>
      <c r="N51" s="10">
        <f>IF(O51="","",IF(O51=0,IF(NOT(ISNUMBER(E51)),"Fix: amount missing",IF(E51&lt;=0,"Fix: amount must be above 0",IF(AND(NOT(ISNUMBER(D51)),NOT(ISNUMBER(G51))),"Fix: add a due date or a planned pay date",IF(AND(D51&lt;&gt;"",NOT(ISNUMBER(D51))),"Fix: due date isn't a date",IF(AND(F51&lt;&gt;"",NOT(ISNUMBER(F51))),"Fix: paid must be a number",IF(AND(G51&lt;&gt;"",NOT(ISNUMBER(G51))),"Fix: planned date isn't a date","Fix: paid is more than the amount")))))),IF(AND(C51&lt;&gt;"",ISNUMBER(MATCH(C51,OutCats,0))),"OK","Category not on Settings (counted as Other)")))</f>
        <v/>
      </c>
      <c r="O51">
        <f>IF(COUNTA(A51:H51)=0,"",IF(AND(ISNUMBER(E51),E51&gt;0,OR(ISNUMBER(D51),ISNUMBER(G51)),OR(D51="",ISNUMBER(D51)),OR(F51="",ISNUMBER(F51)),OR(G51="",ISNUMBER(G51))),IF(N(F51)&gt;E51,0,1),0))</f>
        <v/>
      </c>
    </row>
    <row r="52">
      <c r="A52" s="29" t="n"/>
      <c r="B52" s="29" t="n"/>
      <c r="C52" s="29" t="n"/>
      <c r="D52" s="24" t="n"/>
      <c r="E52" s="34" t="n"/>
      <c r="F52" s="34" t="n"/>
      <c r="G52" s="24" t="n"/>
      <c r="H52" s="29" t="n"/>
      <c r="I52" s="32">
        <f>IF(O52&lt;&gt;1,"",IF(ISNUMBER(G52),INT(G52),INT(D52)))</f>
        <v/>
      </c>
      <c r="J52" s="21">
        <f>IF(O52&lt;&gt;1,0,E52-N(F52))</f>
        <v/>
      </c>
      <c r="K52" s="35">
        <f>IF(OR(O52&lt;&gt;1,J52&lt;=0),"",IF(H52="Yes","",IF(I52&lt;W1,IF(OverdueW1="No","",1),IF(I52&lt;=W1+90,INT((I52-W1)/7)+1,""))))</f>
        <v/>
      </c>
      <c r="L52" s="36">
        <f>IF(ISNUMBER(K52),J52,0)</f>
        <v/>
      </c>
      <c r="M52" s="10">
        <f>IF(O52="","",IF(O52=0,"Not counted",IF(J52&lt;=0,"Paid",IF(H52="Yes","On hold (left out)",IF(I52&lt;W1,IF(OverdueW1="No","Overdue (left out)","Overdue → Week 1"),IF(I52&lt;=W1+90,"Week "&amp;K52,"After Week 13"))))))</f>
        <v/>
      </c>
      <c r="N52" s="10">
        <f>IF(O52="","",IF(O52=0,IF(NOT(ISNUMBER(E52)),"Fix: amount missing",IF(E52&lt;=0,"Fix: amount must be above 0",IF(AND(NOT(ISNUMBER(D52)),NOT(ISNUMBER(G52))),"Fix: add a due date or a planned pay date",IF(AND(D52&lt;&gt;"",NOT(ISNUMBER(D52))),"Fix: due date isn't a date",IF(AND(F52&lt;&gt;"",NOT(ISNUMBER(F52))),"Fix: paid must be a number",IF(AND(G52&lt;&gt;"",NOT(ISNUMBER(G52))),"Fix: planned date isn't a date","Fix: paid is more than the amount")))))),IF(AND(C52&lt;&gt;"",ISNUMBER(MATCH(C52,OutCats,0))),"OK","Category not on Settings (counted as Other)")))</f>
        <v/>
      </c>
      <c r="O52">
        <f>IF(COUNTA(A52:H52)=0,"",IF(AND(ISNUMBER(E52),E52&gt;0,OR(ISNUMBER(D52),ISNUMBER(G52)),OR(D52="",ISNUMBER(D52)),OR(F52="",ISNUMBER(F52)),OR(G52="",ISNUMBER(G52))),IF(N(F52)&gt;E52,0,1),0))</f>
        <v/>
      </c>
    </row>
    <row r="53">
      <c r="A53" s="29" t="n"/>
      <c r="B53" s="29" t="n"/>
      <c r="C53" s="29" t="n"/>
      <c r="D53" s="24" t="n"/>
      <c r="E53" s="34" t="n"/>
      <c r="F53" s="34" t="n"/>
      <c r="G53" s="24" t="n"/>
      <c r="H53" s="29" t="n"/>
      <c r="I53" s="32">
        <f>IF(O53&lt;&gt;1,"",IF(ISNUMBER(G53),INT(G53),INT(D53)))</f>
        <v/>
      </c>
      <c r="J53" s="21">
        <f>IF(O53&lt;&gt;1,0,E53-N(F53))</f>
        <v/>
      </c>
      <c r="K53" s="35">
        <f>IF(OR(O53&lt;&gt;1,J53&lt;=0),"",IF(H53="Yes","",IF(I53&lt;W1,IF(OverdueW1="No","",1),IF(I53&lt;=W1+90,INT((I53-W1)/7)+1,""))))</f>
        <v/>
      </c>
      <c r="L53" s="36">
        <f>IF(ISNUMBER(K53),J53,0)</f>
        <v/>
      </c>
      <c r="M53" s="10">
        <f>IF(O53="","",IF(O53=0,"Not counted",IF(J53&lt;=0,"Paid",IF(H53="Yes","On hold (left out)",IF(I53&lt;W1,IF(OverdueW1="No","Overdue (left out)","Overdue → Week 1"),IF(I53&lt;=W1+90,"Week "&amp;K53,"After Week 13"))))))</f>
        <v/>
      </c>
      <c r="N53" s="10">
        <f>IF(O53="","",IF(O53=0,IF(NOT(ISNUMBER(E53)),"Fix: amount missing",IF(E53&lt;=0,"Fix: amount must be above 0",IF(AND(NOT(ISNUMBER(D53)),NOT(ISNUMBER(G53))),"Fix: add a due date or a planned pay date",IF(AND(D53&lt;&gt;"",NOT(ISNUMBER(D53))),"Fix: due date isn't a date",IF(AND(F53&lt;&gt;"",NOT(ISNUMBER(F53))),"Fix: paid must be a number",IF(AND(G53&lt;&gt;"",NOT(ISNUMBER(G53))),"Fix: planned date isn't a date","Fix: paid is more than the amount")))))),IF(AND(C53&lt;&gt;"",ISNUMBER(MATCH(C53,OutCats,0))),"OK","Category not on Settings (counted as Other)")))</f>
        <v/>
      </c>
      <c r="O53">
        <f>IF(COUNTA(A53:H53)=0,"",IF(AND(ISNUMBER(E53),E53&gt;0,OR(ISNUMBER(D53),ISNUMBER(G53)),OR(D53="",ISNUMBER(D53)),OR(F53="",ISNUMBER(F53)),OR(G53="",ISNUMBER(G53))),IF(N(F53)&gt;E53,0,1),0))</f>
        <v/>
      </c>
    </row>
    <row r="54">
      <c r="A54" s="29" t="n"/>
      <c r="B54" s="29" t="n"/>
      <c r="C54" s="29" t="n"/>
      <c r="D54" s="24" t="n"/>
      <c r="E54" s="34" t="n"/>
      <c r="F54" s="34" t="n"/>
      <c r="G54" s="24" t="n"/>
      <c r="H54" s="29" t="n"/>
      <c r="I54" s="32">
        <f>IF(O54&lt;&gt;1,"",IF(ISNUMBER(G54),INT(G54),INT(D54)))</f>
        <v/>
      </c>
      <c r="J54" s="21">
        <f>IF(O54&lt;&gt;1,0,E54-N(F54))</f>
        <v/>
      </c>
      <c r="K54" s="35">
        <f>IF(OR(O54&lt;&gt;1,J54&lt;=0),"",IF(H54="Yes","",IF(I54&lt;W1,IF(OverdueW1="No","",1),IF(I54&lt;=W1+90,INT((I54-W1)/7)+1,""))))</f>
        <v/>
      </c>
      <c r="L54" s="36">
        <f>IF(ISNUMBER(K54),J54,0)</f>
        <v/>
      </c>
      <c r="M54" s="10">
        <f>IF(O54="","",IF(O54=0,"Not counted",IF(J54&lt;=0,"Paid",IF(H54="Yes","On hold (left out)",IF(I54&lt;W1,IF(OverdueW1="No","Overdue (left out)","Overdue → Week 1"),IF(I54&lt;=W1+90,"Week "&amp;K54,"After Week 13"))))))</f>
        <v/>
      </c>
      <c r="N54" s="10">
        <f>IF(O54="","",IF(O54=0,IF(NOT(ISNUMBER(E54)),"Fix: amount missing",IF(E54&lt;=0,"Fix: amount must be above 0",IF(AND(NOT(ISNUMBER(D54)),NOT(ISNUMBER(G54))),"Fix: add a due date or a planned pay date",IF(AND(D54&lt;&gt;"",NOT(ISNUMBER(D54))),"Fix: due date isn't a date",IF(AND(F54&lt;&gt;"",NOT(ISNUMBER(F54))),"Fix: paid must be a number",IF(AND(G54&lt;&gt;"",NOT(ISNUMBER(G54))),"Fix: planned date isn't a date","Fix: paid is more than the amount")))))),IF(AND(C54&lt;&gt;"",ISNUMBER(MATCH(C54,OutCats,0))),"OK","Category not on Settings (counted as Other)")))</f>
        <v/>
      </c>
      <c r="O54">
        <f>IF(COUNTA(A54:H54)=0,"",IF(AND(ISNUMBER(E54),E54&gt;0,OR(ISNUMBER(D54),ISNUMBER(G54)),OR(D54="",ISNUMBER(D54)),OR(F54="",ISNUMBER(F54)),OR(G54="",ISNUMBER(G54))),IF(N(F54)&gt;E54,0,1),0))</f>
        <v/>
      </c>
    </row>
    <row r="55">
      <c r="A55" s="29" t="n"/>
      <c r="B55" s="29" t="n"/>
      <c r="C55" s="29" t="n"/>
      <c r="D55" s="24" t="n"/>
      <c r="E55" s="34" t="n"/>
      <c r="F55" s="34" t="n"/>
      <c r="G55" s="24" t="n"/>
      <c r="H55" s="29" t="n"/>
      <c r="I55" s="32">
        <f>IF(O55&lt;&gt;1,"",IF(ISNUMBER(G55),INT(G55),INT(D55)))</f>
        <v/>
      </c>
      <c r="J55" s="21">
        <f>IF(O55&lt;&gt;1,0,E55-N(F55))</f>
        <v/>
      </c>
      <c r="K55" s="35">
        <f>IF(OR(O55&lt;&gt;1,J55&lt;=0),"",IF(H55="Yes","",IF(I55&lt;W1,IF(OverdueW1="No","",1),IF(I55&lt;=W1+90,INT((I55-W1)/7)+1,""))))</f>
        <v/>
      </c>
      <c r="L55" s="36">
        <f>IF(ISNUMBER(K55),J55,0)</f>
        <v/>
      </c>
      <c r="M55" s="10">
        <f>IF(O55="","",IF(O55=0,"Not counted",IF(J55&lt;=0,"Paid",IF(H55="Yes","On hold (left out)",IF(I55&lt;W1,IF(OverdueW1="No","Overdue (left out)","Overdue → Week 1"),IF(I55&lt;=W1+90,"Week "&amp;K55,"After Week 13"))))))</f>
        <v/>
      </c>
      <c r="N55" s="10">
        <f>IF(O55="","",IF(O55=0,IF(NOT(ISNUMBER(E55)),"Fix: amount missing",IF(E55&lt;=0,"Fix: amount must be above 0",IF(AND(NOT(ISNUMBER(D55)),NOT(ISNUMBER(G55))),"Fix: add a due date or a planned pay date",IF(AND(D55&lt;&gt;"",NOT(ISNUMBER(D55))),"Fix: due date isn't a date",IF(AND(F55&lt;&gt;"",NOT(ISNUMBER(F55))),"Fix: paid must be a number",IF(AND(G55&lt;&gt;"",NOT(ISNUMBER(G55))),"Fix: planned date isn't a date","Fix: paid is more than the amount")))))),IF(AND(C55&lt;&gt;"",ISNUMBER(MATCH(C55,OutCats,0))),"OK","Category not on Settings (counted as Other)")))</f>
        <v/>
      </c>
      <c r="O55">
        <f>IF(COUNTA(A55:H55)=0,"",IF(AND(ISNUMBER(E55),E55&gt;0,OR(ISNUMBER(D55),ISNUMBER(G55)),OR(D55="",ISNUMBER(D55)),OR(F55="",ISNUMBER(F55)),OR(G55="",ISNUMBER(G55))),IF(N(F55)&gt;E55,0,1),0))</f>
        <v/>
      </c>
    </row>
    <row r="56">
      <c r="A56" s="29" t="n"/>
      <c r="B56" s="29" t="n"/>
      <c r="C56" s="29" t="n"/>
      <c r="D56" s="24" t="n"/>
      <c r="E56" s="34" t="n"/>
      <c r="F56" s="34" t="n"/>
      <c r="G56" s="24" t="n"/>
      <c r="H56" s="29" t="n"/>
      <c r="I56" s="32">
        <f>IF(O56&lt;&gt;1,"",IF(ISNUMBER(G56),INT(G56),INT(D56)))</f>
        <v/>
      </c>
      <c r="J56" s="21">
        <f>IF(O56&lt;&gt;1,0,E56-N(F56))</f>
        <v/>
      </c>
      <c r="K56" s="35">
        <f>IF(OR(O56&lt;&gt;1,J56&lt;=0),"",IF(H56="Yes","",IF(I56&lt;W1,IF(OverdueW1="No","",1),IF(I56&lt;=W1+90,INT((I56-W1)/7)+1,""))))</f>
        <v/>
      </c>
      <c r="L56" s="36">
        <f>IF(ISNUMBER(K56),J56,0)</f>
        <v/>
      </c>
      <c r="M56" s="10">
        <f>IF(O56="","",IF(O56=0,"Not counted",IF(J56&lt;=0,"Paid",IF(H56="Yes","On hold (left out)",IF(I56&lt;W1,IF(OverdueW1="No","Overdue (left out)","Overdue → Week 1"),IF(I56&lt;=W1+90,"Week "&amp;K56,"After Week 13"))))))</f>
        <v/>
      </c>
      <c r="N56" s="10">
        <f>IF(O56="","",IF(O56=0,IF(NOT(ISNUMBER(E56)),"Fix: amount missing",IF(E56&lt;=0,"Fix: amount must be above 0",IF(AND(NOT(ISNUMBER(D56)),NOT(ISNUMBER(G56))),"Fix: add a due date or a planned pay date",IF(AND(D56&lt;&gt;"",NOT(ISNUMBER(D56))),"Fix: due date isn't a date",IF(AND(F56&lt;&gt;"",NOT(ISNUMBER(F56))),"Fix: paid must be a number",IF(AND(G56&lt;&gt;"",NOT(ISNUMBER(G56))),"Fix: planned date isn't a date","Fix: paid is more than the amount")))))),IF(AND(C56&lt;&gt;"",ISNUMBER(MATCH(C56,OutCats,0))),"OK","Category not on Settings (counted as Other)")))</f>
        <v/>
      </c>
      <c r="O56">
        <f>IF(COUNTA(A56:H56)=0,"",IF(AND(ISNUMBER(E56),E56&gt;0,OR(ISNUMBER(D56),ISNUMBER(G56)),OR(D56="",ISNUMBER(D56)),OR(F56="",ISNUMBER(F56)),OR(G56="",ISNUMBER(G56))),IF(N(F56)&gt;E56,0,1),0))</f>
        <v/>
      </c>
    </row>
    <row r="57">
      <c r="A57" s="29" t="n"/>
      <c r="B57" s="29" t="n"/>
      <c r="C57" s="29" t="n"/>
      <c r="D57" s="24" t="n"/>
      <c r="E57" s="34" t="n"/>
      <c r="F57" s="34" t="n"/>
      <c r="G57" s="24" t="n"/>
      <c r="H57" s="29" t="n"/>
      <c r="I57" s="32">
        <f>IF(O57&lt;&gt;1,"",IF(ISNUMBER(G57),INT(G57),INT(D57)))</f>
        <v/>
      </c>
      <c r="J57" s="21">
        <f>IF(O57&lt;&gt;1,0,E57-N(F57))</f>
        <v/>
      </c>
      <c r="K57" s="35">
        <f>IF(OR(O57&lt;&gt;1,J57&lt;=0),"",IF(H57="Yes","",IF(I57&lt;W1,IF(OverdueW1="No","",1),IF(I57&lt;=W1+90,INT((I57-W1)/7)+1,""))))</f>
        <v/>
      </c>
      <c r="L57" s="36">
        <f>IF(ISNUMBER(K57),J57,0)</f>
        <v/>
      </c>
      <c r="M57" s="10">
        <f>IF(O57="","",IF(O57=0,"Not counted",IF(J57&lt;=0,"Paid",IF(H57="Yes","On hold (left out)",IF(I57&lt;W1,IF(OverdueW1="No","Overdue (left out)","Overdue → Week 1"),IF(I57&lt;=W1+90,"Week "&amp;K57,"After Week 13"))))))</f>
        <v/>
      </c>
      <c r="N57" s="10">
        <f>IF(O57="","",IF(O57=0,IF(NOT(ISNUMBER(E57)),"Fix: amount missing",IF(E57&lt;=0,"Fix: amount must be above 0",IF(AND(NOT(ISNUMBER(D57)),NOT(ISNUMBER(G57))),"Fix: add a due date or a planned pay date",IF(AND(D57&lt;&gt;"",NOT(ISNUMBER(D57))),"Fix: due date isn't a date",IF(AND(F57&lt;&gt;"",NOT(ISNUMBER(F57))),"Fix: paid must be a number",IF(AND(G57&lt;&gt;"",NOT(ISNUMBER(G57))),"Fix: planned date isn't a date","Fix: paid is more than the amount")))))),IF(AND(C57&lt;&gt;"",ISNUMBER(MATCH(C57,OutCats,0))),"OK","Category not on Settings (counted as Other)")))</f>
        <v/>
      </c>
      <c r="O57">
        <f>IF(COUNTA(A57:H57)=0,"",IF(AND(ISNUMBER(E57),E57&gt;0,OR(ISNUMBER(D57),ISNUMBER(G57)),OR(D57="",ISNUMBER(D57)),OR(F57="",ISNUMBER(F57)),OR(G57="",ISNUMBER(G57))),IF(N(F57)&gt;E57,0,1),0))</f>
        <v/>
      </c>
    </row>
    <row r="58">
      <c r="A58" s="29" t="n"/>
      <c r="B58" s="29" t="n"/>
      <c r="C58" s="29" t="n"/>
      <c r="D58" s="24" t="n"/>
      <c r="E58" s="34" t="n"/>
      <c r="F58" s="34" t="n"/>
      <c r="G58" s="24" t="n"/>
      <c r="H58" s="29" t="n"/>
      <c r="I58" s="32">
        <f>IF(O58&lt;&gt;1,"",IF(ISNUMBER(G58),INT(G58),INT(D58)))</f>
        <v/>
      </c>
      <c r="J58" s="21">
        <f>IF(O58&lt;&gt;1,0,E58-N(F58))</f>
        <v/>
      </c>
      <c r="K58" s="35">
        <f>IF(OR(O58&lt;&gt;1,J58&lt;=0),"",IF(H58="Yes","",IF(I58&lt;W1,IF(OverdueW1="No","",1),IF(I58&lt;=W1+90,INT((I58-W1)/7)+1,""))))</f>
        <v/>
      </c>
      <c r="L58" s="36">
        <f>IF(ISNUMBER(K58),J58,0)</f>
        <v/>
      </c>
      <c r="M58" s="10">
        <f>IF(O58="","",IF(O58=0,"Not counted",IF(J58&lt;=0,"Paid",IF(H58="Yes","On hold (left out)",IF(I58&lt;W1,IF(OverdueW1="No","Overdue (left out)","Overdue → Week 1"),IF(I58&lt;=W1+90,"Week "&amp;K58,"After Week 13"))))))</f>
        <v/>
      </c>
      <c r="N58" s="10">
        <f>IF(O58="","",IF(O58=0,IF(NOT(ISNUMBER(E58)),"Fix: amount missing",IF(E58&lt;=0,"Fix: amount must be above 0",IF(AND(NOT(ISNUMBER(D58)),NOT(ISNUMBER(G58))),"Fix: add a due date or a planned pay date",IF(AND(D58&lt;&gt;"",NOT(ISNUMBER(D58))),"Fix: due date isn't a date",IF(AND(F58&lt;&gt;"",NOT(ISNUMBER(F58))),"Fix: paid must be a number",IF(AND(G58&lt;&gt;"",NOT(ISNUMBER(G58))),"Fix: planned date isn't a date","Fix: paid is more than the amount")))))),IF(AND(C58&lt;&gt;"",ISNUMBER(MATCH(C58,OutCats,0))),"OK","Category not on Settings (counted as Other)")))</f>
        <v/>
      </c>
      <c r="O58">
        <f>IF(COUNTA(A58:H58)=0,"",IF(AND(ISNUMBER(E58),E58&gt;0,OR(ISNUMBER(D58),ISNUMBER(G58)),OR(D58="",ISNUMBER(D58)),OR(F58="",ISNUMBER(F58)),OR(G58="",ISNUMBER(G58))),IF(N(F58)&gt;E58,0,1),0))</f>
        <v/>
      </c>
    </row>
    <row r="59">
      <c r="A59" s="29" t="n"/>
      <c r="B59" s="29" t="n"/>
      <c r="C59" s="29" t="n"/>
      <c r="D59" s="24" t="n"/>
      <c r="E59" s="34" t="n"/>
      <c r="F59" s="34" t="n"/>
      <c r="G59" s="24" t="n"/>
      <c r="H59" s="29" t="n"/>
      <c r="I59" s="32">
        <f>IF(O59&lt;&gt;1,"",IF(ISNUMBER(G59),INT(G59),INT(D59)))</f>
        <v/>
      </c>
      <c r="J59" s="21">
        <f>IF(O59&lt;&gt;1,0,E59-N(F59))</f>
        <v/>
      </c>
      <c r="K59" s="35">
        <f>IF(OR(O59&lt;&gt;1,J59&lt;=0),"",IF(H59="Yes","",IF(I59&lt;W1,IF(OverdueW1="No","",1),IF(I59&lt;=W1+90,INT((I59-W1)/7)+1,""))))</f>
        <v/>
      </c>
      <c r="L59" s="36">
        <f>IF(ISNUMBER(K59),J59,0)</f>
        <v/>
      </c>
      <c r="M59" s="10">
        <f>IF(O59="","",IF(O59=0,"Not counted",IF(J59&lt;=0,"Paid",IF(H59="Yes","On hold (left out)",IF(I59&lt;W1,IF(OverdueW1="No","Overdue (left out)","Overdue → Week 1"),IF(I59&lt;=W1+90,"Week "&amp;K59,"After Week 13"))))))</f>
        <v/>
      </c>
      <c r="N59" s="10">
        <f>IF(O59="","",IF(O59=0,IF(NOT(ISNUMBER(E59)),"Fix: amount missing",IF(E59&lt;=0,"Fix: amount must be above 0",IF(AND(NOT(ISNUMBER(D59)),NOT(ISNUMBER(G59))),"Fix: add a due date or a planned pay date",IF(AND(D59&lt;&gt;"",NOT(ISNUMBER(D59))),"Fix: due date isn't a date",IF(AND(F59&lt;&gt;"",NOT(ISNUMBER(F59))),"Fix: paid must be a number",IF(AND(G59&lt;&gt;"",NOT(ISNUMBER(G59))),"Fix: planned date isn't a date","Fix: paid is more than the amount")))))),IF(AND(C59&lt;&gt;"",ISNUMBER(MATCH(C59,OutCats,0))),"OK","Category not on Settings (counted as Other)")))</f>
        <v/>
      </c>
      <c r="O59">
        <f>IF(COUNTA(A59:H59)=0,"",IF(AND(ISNUMBER(E59),E59&gt;0,OR(ISNUMBER(D59),ISNUMBER(G59)),OR(D59="",ISNUMBER(D59)),OR(F59="",ISNUMBER(F59)),OR(G59="",ISNUMBER(G59))),IF(N(F59)&gt;E59,0,1),0))</f>
        <v/>
      </c>
    </row>
    <row r="60">
      <c r="A60" s="29" t="n"/>
      <c r="B60" s="29" t="n"/>
      <c r="C60" s="29" t="n"/>
      <c r="D60" s="24" t="n"/>
      <c r="E60" s="34" t="n"/>
      <c r="F60" s="34" t="n"/>
      <c r="G60" s="24" t="n"/>
      <c r="H60" s="29" t="n"/>
      <c r="I60" s="32">
        <f>IF(O60&lt;&gt;1,"",IF(ISNUMBER(G60),INT(G60),INT(D60)))</f>
        <v/>
      </c>
      <c r="J60" s="21">
        <f>IF(O60&lt;&gt;1,0,E60-N(F60))</f>
        <v/>
      </c>
      <c r="K60" s="35">
        <f>IF(OR(O60&lt;&gt;1,J60&lt;=0),"",IF(H60="Yes","",IF(I60&lt;W1,IF(OverdueW1="No","",1),IF(I60&lt;=W1+90,INT((I60-W1)/7)+1,""))))</f>
        <v/>
      </c>
      <c r="L60" s="36">
        <f>IF(ISNUMBER(K60),J60,0)</f>
        <v/>
      </c>
      <c r="M60" s="10">
        <f>IF(O60="","",IF(O60=0,"Not counted",IF(J60&lt;=0,"Paid",IF(H60="Yes","On hold (left out)",IF(I60&lt;W1,IF(OverdueW1="No","Overdue (left out)","Overdue → Week 1"),IF(I60&lt;=W1+90,"Week "&amp;K60,"After Week 13"))))))</f>
        <v/>
      </c>
      <c r="N60" s="10">
        <f>IF(O60="","",IF(O60=0,IF(NOT(ISNUMBER(E60)),"Fix: amount missing",IF(E60&lt;=0,"Fix: amount must be above 0",IF(AND(NOT(ISNUMBER(D60)),NOT(ISNUMBER(G60))),"Fix: add a due date or a planned pay date",IF(AND(D60&lt;&gt;"",NOT(ISNUMBER(D60))),"Fix: due date isn't a date",IF(AND(F60&lt;&gt;"",NOT(ISNUMBER(F60))),"Fix: paid must be a number",IF(AND(G60&lt;&gt;"",NOT(ISNUMBER(G60))),"Fix: planned date isn't a date","Fix: paid is more than the amount")))))),IF(AND(C60&lt;&gt;"",ISNUMBER(MATCH(C60,OutCats,0))),"OK","Category not on Settings (counted as Other)")))</f>
        <v/>
      </c>
      <c r="O60">
        <f>IF(COUNTA(A60:H60)=0,"",IF(AND(ISNUMBER(E60),E60&gt;0,OR(ISNUMBER(D60),ISNUMBER(G60)),OR(D60="",ISNUMBER(D60)),OR(F60="",ISNUMBER(F60)),OR(G60="",ISNUMBER(G60))),IF(N(F60)&gt;E60,0,1),0))</f>
        <v/>
      </c>
    </row>
    <row r="61">
      <c r="A61" s="29" t="n"/>
      <c r="B61" s="29" t="n"/>
      <c r="C61" s="29" t="n"/>
      <c r="D61" s="24" t="n"/>
      <c r="E61" s="34" t="n"/>
      <c r="F61" s="34" t="n"/>
      <c r="G61" s="24" t="n"/>
      <c r="H61" s="29" t="n"/>
      <c r="I61" s="32">
        <f>IF(O61&lt;&gt;1,"",IF(ISNUMBER(G61),INT(G61),INT(D61)))</f>
        <v/>
      </c>
      <c r="J61" s="21">
        <f>IF(O61&lt;&gt;1,0,E61-N(F61))</f>
        <v/>
      </c>
      <c r="K61" s="35">
        <f>IF(OR(O61&lt;&gt;1,J61&lt;=0),"",IF(H61="Yes","",IF(I61&lt;W1,IF(OverdueW1="No","",1),IF(I61&lt;=W1+90,INT((I61-W1)/7)+1,""))))</f>
        <v/>
      </c>
      <c r="L61" s="36">
        <f>IF(ISNUMBER(K61),J61,0)</f>
        <v/>
      </c>
      <c r="M61" s="10">
        <f>IF(O61="","",IF(O61=0,"Not counted",IF(J61&lt;=0,"Paid",IF(H61="Yes","On hold (left out)",IF(I61&lt;W1,IF(OverdueW1="No","Overdue (left out)","Overdue → Week 1"),IF(I61&lt;=W1+90,"Week "&amp;K61,"After Week 13"))))))</f>
        <v/>
      </c>
      <c r="N61" s="10">
        <f>IF(O61="","",IF(O61=0,IF(NOT(ISNUMBER(E61)),"Fix: amount missing",IF(E61&lt;=0,"Fix: amount must be above 0",IF(AND(NOT(ISNUMBER(D61)),NOT(ISNUMBER(G61))),"Fix: add a due date or a planned pay date",IF(AND(D61&lt;&gt;"",NOT(ISNUMBER(D61))),"Fix: due date isn't a date",IF(AND(F61&lt;&gt;"",NOT(ISNUMBER(F61))),"Fix: paid must be a number",IF(AND(G61&lt;&gt;"",NOT(ISNUMBER(G61))),"Fix: planned date isn't a date","Fix: paid is more than the amount")))))),IF(AND(C61&lt;&gt;"",ISNUMBER(MATCH(C61,OutCats,0))),"OK","Category not on Settings (counted as Other)")))</f>
        <v/>
      </c>
      <c r="O61">
        <f>IF(COUNTA(A61:H61)=0,"",IF(AND(ISNUMBER(E61),E61&gt;0,OR(ISNUMBER(D61),ISNUMBER(G61)),OR(D61="",ISNUMBER(D61)),OR(F61="",ISNUMBER(F61)),OR(G61="",ISNUMBER(G61))),IF(N(F61)&gt;E61,0,1),0))</f>
        <v/>
      </c>
    </row>
    <row r="62">
      <c r="A62" s="29" t="n"/>
      <c r="B62" s="29" t="n"/>
      <c r="C62" s="29" t="n"/>
      <c r="D62" s="24" t="n"/>
      <c r="E62" s="34" t="n"/>
      <c r="F62" s="34" t="n"/>
      <c r="G62" s="24" t="n"/>
      <c r="H62" s="29" t="n"/>
      <c r="I62" s="32">
        <f>IF(O62&lt;&gt;1,"",IF(ISNUMBER(G62),INT(G62),INT(D62)))</f>
        <v/>
      </c>
      <c r="J62" s="21">
        <f>IF(O62&lt;&gt;1,0,E62-N(F62))</f>
        <v/>
      </c>
      <c r="K62" s="35">
        <f>IF(OR(O62&lt;&gt;1,J62&lt;=0),"",IF(H62="Yes","",IF(I62&lt;W1,IF(OverdueW1="No","",1),IF(I62&lt;=W1+90,INT((I62-W1)/7)+1,""))))</f>
        <v/>
      </c>
      <c r="L62" s="36">
        <f>IF(ISNUMBER(K62),J62,0)</f>
        <v/>
      </c>
      <c r="M62" s="10">
        <f>IF(O62="","",IF(O62=0,"Not counted",IF(J62&lt;=0,"Paid",IF(H62="Yes","On hold (left out)",IF(I62&lt;W1,IF(OverdueW1="No","Overdue (left out)","Overdue → Week 1"),IF(I62&lt;=W1+90,"Week "&amp;K62,"After Week 13"))))))</f>
        <v/>
      </c>
      <c r="N62" s="10">
        <f>IF(O62="","",IF(O62=0,IF(NOT(ISNUMBER(E62)),"Fix: amount missing",IF(E62&lt;=0,"Fix: amount must be above 0",IF(AND(NOT(ISNUMBER(D62)),NOT(ISNUMBER(G62))),"Fix: add a due date or a planned pay date",IF(AND(D62&lt;&gt;"",NOT(ISNUMBER(D62))),"Fix: due date isn't a date",IF(AND(F62&lt;&gt;"",NOT(ISNUMBER(F62))),"Fix: paid must be a number",IF(AND(G62&lt;&gt;"",NOT(ISNUMBER(G62))),"Fix: planned date isn't a date","Fix: paid is more than the amount")))))),IF(AND(C62&lt;&gt;"",ISNUMBER(MATCH(C62,OutCats,0))),"OK","Category not on Settings (counted as Other)")))</f>
        <v/>
      </c>
      <c r="O62">
        <f>IF(COUNTA(A62:H62)=0,"",IF(AND(ISNUMBER(E62),E62&gt;0,OR(ISNUMBER(D62),ISNUMBER(G62)),OR(D62="",ISNUMBER(D62)),OR(F62="",ISNUMBER(F62)),OR(G62="",ISNUMBER(G62))),IF(N(F62)&gt;E62,0,1),0))</f>
        <v/>
      </c>
    </row>
    <row r="63">
      <c r="A63" s="29" t="n"/>
      <c r="B63" s="29" t="n"/>
      <c r="C63" s="29" t="n"/>
      <c r="D63" s="24" t="n"/>
      <c r="E63" s="34" t="n"/>
      <c r="F63" s="34" t="n"/>
      <c r="G63" s="24" t="n"/>
      <c r="H63" s="29" t="n"/>
      <c r="I63" s="32">
        <f>IF(O63&lt;&gt;1,"",IF(ISNUMBER(G63),INT(G63),INT(D63)))</f>
        <v/>
      </c>
      <c r="J63" s="21">
        <f>IF(O63&lt;&gt;1,0,E63-N(F63))</f>
        <v/>
      </c>
      <c r="K63" s="35">
        <f>IF(OR(O63&lt;&gt;1,J63&lt;=0),"",IF(H63="Yes","",IF(I63&lt;W1,IF(OverdueW1="No","",1),IF(I63&lt;=W1+90,INT((I63-W1)/7)+1,""))))</f>
        <v/>
      </c>
      <c r="L63" s="36">
        <f>IF(ISNUMBER(K63),J63,0)</f>
        <v/>
      </c>
      <c r="M63" s="10">
        <f>IF(O63="","",IF(O63=0,"Not counted",IF(J63&lt;=0,"Paid",IF(H63="Yes","On hold (left out)",IF(I63&lt;W1,IF(OverdueW1="No","Overdue (left out)","Overdue → Week 1"),IF(I63&lt;=W1+90,"Week "&amp;K63,"After Week 13"))))))</f>
        <v/>
      </c>
      <c r="N63" s="10">
        <f>IF(O63="","",IF(O63=0,IF(NOT(ISNUMBER(E63)),"Fix: amount missing",IF(E63&lt;=0,"Fix: amount must be above 0",IF(AND(NOT(ISNUMBER(D63)),NOT(ISNUMBER(G63))),"Fix: add a due date or a planned pay date",IF(AND(D63&lt;&gt;"",NOT(ISNUMBER(D63))),"Fix: due date isn't a date",IF(AND(F63&lt;&gt;"",NOT(ISNUMBER(F63))),"Fix: paid must be a number",IF(AND(G63&lt;&gt;"",NOT(ISNUMBER(G63))),"Fix: planned date isn't a date","Fix: paid is more than the amount")))))),IF(AND(C63&lt;&gt;"",ISNUMBER(MATCH(C63,OutCats,0))),"OK","Category not on Settings (counted as Other)")))</f>
        <v/>
      </c>
      <c r="O63">
        <f>IF(COUNTA(A63:H63)=0,"",IF(AND(ISNUMBER(E63),E63&gt;0,OR(ISNUMBER(D63),ISNUMBER(G63)),OR(D63="",ISNUMBER(D63)),OR(F63="",ISNUMBER(F63)),OR(G63="",ISNUMBER(G63))),IF(N(F63)&gt;E63,0,1),0))</f>
        <v/>
      </c>
    </row>
    <row r="64">
      <c r="A64" s="29" t="n"/>
      <c r="B64" s="29" t="n"/>
      <c r="C64" s="29" t="n"/>
      <c r="D64" s="24" t="n"/>
      <c r="E64" s="34" t="n"/>
      <c r="F64" s="34" t="n"/>
      <c r="G64" s="24" t="n"/>
      <c r="H64" s="29" t="n"/>
      <c r="I64" s="32">
        <f>IF(O64&lt;&gt;1,"",IF(ISNUMBER(G64),INT(G64),INT(D64)))</f>
        <v/>
      </c>
      <c r="J64" s="21">
        <f>IF(O64&lt;&gt;1,0,E64-N(F64))</f>
        <v/>
      </c>
      <c r="K64" s="35">
        <f>IF(OR(O64&lt;&gt;1,J64&lt;=0),"",IF(H64="Yes","",IF(I64&lt;W1,IF(OverdueW1="No","",1),IF(I64&lt;=W1+90,INT((I64-W1)/7)+1,""))))</f>
        <v/>
      </c>
      <c r="L64" s="36">
        <f>IF(ISNUMBER(K64),J64,0)</f>
        <v/>
      </c>
      <c r="M64" s="10">
        <f>IF(O64="","",IF(O64=0,"Not counted",IF(J64&lt;=0,"Paid",IF(H64="Yes","On hold (left out)",IF(I64&lt;W1,IF(OverdueW1="No","Overdue (left out)","Overdue → Week 1"),IF(I64&lt;=W1+90,"Week "&amp;K64,"After Week 13"))))))</f>
        <v/>
      </c>
      <c r="N64" s="10">
        <f>IF(O64="","",IF(O64=0,IF(NOT(ISNUMBER(E64)),"Fix: amount missing",IF(E64&lt;=0,"Fix: amount must be above 0",IF(AND(NOT(ISNUMBER(D64)),NOT(ISNUMBER(G64))),"Fix: add a due date or a planned pay date",IF(AND(D64&lt;&gt;"",NOT(ISNUMBER(D64))),"Fix: due date isn't a date",IF(AND(F64&lt;&gt;"",NOT(ISNUMBER(F64))),"Fix: paid must be a number",IF(AND(G64&lt;&gt;"",NOT(ISNUMBER(G64))),"Fix: planned date isn't a date","Fix: paid is more than the amount")))))),IF(AND(C64&lt;&gt;"",ISNUMBER(MATCH(C64,OutCats,0))),"OK","Category not on Settings (counted as Other)")))</f>
        <v/>
      </c>
      <c r="O64">
        <f>IF(COUNTA(A64:H64)=0,"",IF(AND(ISNUMBER(E64),E64&gt;0,OR(ISNUMBER(D64),ISNUMBER(G64)),OR(D64="",ISNUMBER(D64)),OR(F64="",ISNUMBER(F64)),OR(G64="",ISNUMBER(G64))),IF(N(F64)&gt;E64,0,1),0))</f>
        <v/>
      </c>
    </row>
    <row r="65">
      <c r="A65" s="29" t="n"/>
      <c r="B65" s="29" t="n"/>
      <c r="C65" s="29" t="n"/>
      <c r="D65" s="24" t="n"/>
      <c r="E65" s="34" t="n"/>
      <c r="F65" s="34" t="n"/>
      <c r="G65" s="24" t="n"/>
      <c r="H65" s="29" t="n"/>
      <c r="I65" s="32">
        <f>IF(O65&lt;&gt;1,"",IF(ISNUMBER(G65),INT(G65),INT(D65)))</f>
        <v/>
      </c>
      <c r="J65" s="21">
        <f>IF(O65&lt;&gt;1,0,E65-N(F65))</f>
        <v/>
      </c>
      <c r="K65" s="35">
        <f>IF(OR(O65&lt;&gt;1,J65&lt;=0),"",IF(H65="Yes","",IF(I65&lt;W1,IF(OverdueW1="No","",1),IF(I65&lt;=W1+90,INT((I65-W1)/7)+1,""))))</f>
        <v/>
      </c>
      <c r="L65" s="36">
        <f>IF(ISNUMBER(K65),J65,0)</f>
        <v/>
      </c>
      <c r="M65" s="10">
        <f>IF(O65="","",IF(O65=0,"Not counted",IF(J65&lt;=0,"Paid",IF(H65="Yes","On hold (left out)",IF(I65&lt;W1,IF(OverdueW1="No","Overdue (left out)","Overdue → Week 1"),IF(I65&lt;=W1+90,"Week "&amp;K65,"After Week 13"))))))</f>
        <v/>
      </c>
      <c r="N65" s="10">
        <f>IF(O65="","",IF(O65=0,IF(NOT(ISNUMBER(E65)),"Fix: amount missing",IF(E65&lt;=0,"Fix: amount must be above 0",IF(AND(NOT(ISNUMBER(D65)),NOT(ISNUMBER(G65))),"Fix: add a due date or a planned pay date",IF(AND(D65&lt;&gt;"",NOT(ISNUMBER(D65))),"Fix: due date isn't a date",IF(AND(F65&lt;&gt;"",NOT(ISNUMBER(F65))),"Fix: paid must be a number",IF(AND(G65&lt;&gt;"",NOT(ISNUMBER(G65))),"Fix: planned date isn't a date","Fix: paid is more than the amount")))))),IF(AND(C65&lt;&gt;"",ISNUMBER(MATCH(C65,OutCats,0))),"OK","Category not on Settings (counted as Other)")))</f>
        <v/>
      </c>
      <c r="O65">
        <f>IF(COUNTA(A65:H65)=0,"",IF(AND(ISNUMBER(E65),E65&gt;0,OR(ISNUMBER(D65),ISNUMBER(G65)),OR(D65="",ISNUMBER(D65)),OR(F65="",ISNUMBER(F65)),OR(G65="",ISNUMBER(G65))),IF(N(F65)&gt;E65,0,1),0))</f>
        <v/>
      </c>
    </row>
    <row r="66">
      <c r="A66" s="29" t="n"/>
      <c r="B66" s="29" t="n"/>
      <c r="C66" s="29" t="n"/>
      <c r="D66" s="24" t="n"/>
      <c r="E66" s="34" t="n"/>
      <c r="F66" s="34" t="n"/>
      <c r="G66" s="24" t="n"/>
      <c r="H66" s="29" t="n"/>
      <c r="I66" s="32">
        <f>IF(O66&lt;&gt;1,"",IF(ISNUMBER(G66),INT(G66),INT(D66)))</f>
        <v/>
      </c>
      <c r="J66" s="21">
        <f>IF(O66&lt;&gt;1,0,E66-N(F66))</f>
        <v/>
      </c>
      <c r="K66" s="35">
        <f>IF(OR(O66&lt;&gt;1,J66&lt;=0),"",IF(H66="Yes","",IF(I66&lt;W1,IF(OverdueW1="No","",1),IF(I66&lt;=W1+90,INT((I66-W1)/7)+1,""))))</f>
        <v/>
      </c>
      <c r="L66" s="36">
        <f>IF(ISNUMBER(K66),J66,0)</f>
        <v/>
      </c>
      <c r="M66" s="10">
        <f>IF(O66="","",IF(O66=0,"Not counted",IF(J66&lt;=0,"Paid",IF(H66="Yes","On hold (left out)",IF(I66&lt;W1,IF(OverdueW1="No","Overdue (left out)","Overdue → Week 1"),IF(I66&lt;=W1+90,"Week "&amp;K66,"After Week 13"))))))</f>
        <v/>
      </c>
      <c r="N66" s="10">
        <f>IF(O66="","",IF(O66=0,IF(NOT(ISNUMBER(E66)),"Fix: amount missing",IF(E66&lt;=0,"Fix: amount must be above 0",IF(AND(NOT(ISNUMBER(D66)),NOT(ISNUMBER(G66))),"Fix: add a due date or a planned pay date",IF(AND(D66&lt;&gt;"",NOT(ISNUMBER(D66))),"Fix: due date isn't a date",IF(AND(F66&lt;&gt;"",NOT(ISNUMBER(F66))),"Fix: paid must be a number",IF(AND(G66&lt;&gt;"",NOT(ISNUMBER(G66))),"Fix: planned date isn't a date","Fix: paid is more than the amount")))))),IF(AND(C66&lt;&gt;"",ISNUMBER(MATCH(C66,OutCats,0))),"OK","Category not on Settings (counted as Other)")))</f>
        <v/>
      </c>
      <c r="O66">
        <f>IF(COUNTA(A66:H66)=0,"",IF(AND(ISNUMBER(E66),E66&gt;0,OR(ISNUMBER(D66),ISNUMBER(G66)),OR(D66="",ISNUMBER(D66)),OR(F66="",ISNUMBER(F66)),OR(G66="",ISNUMBER(G66))),IF(N(F66)&gt;E66,0,1),0))</f>
        <v/>
      </c>
    </row>
    <row r="67">
      <c r="A67" s="29" t="n"/>
      <c r="B67" s="29" t="n"/>
      <c r="C67" s="29" t="n"/>
      <c r="D67" s="24" t="n"/>
      <c r="E67" s="34" t="n"/>
      <c r="F67" s="34" t="n"/>
      <c r="G67" s="24" t="n"/>
      <c r="H67" s="29" t="n"/>
      <c r="I67" s="32">
        <f>IF(O67&lt;&gt;1,"",IF(ISNUMBER(G67),INT(G67),INT(D67)))</f>
        <v/>
      </c>
      <c r="J67" s="21">
        <f>IF(O67&lt;&gt;1,0,E67-N(F67))</f>
        <v/>
      </c>
      <c r="K67" s="35">
        <f>IF(OR(O67&lt;&gt;1,J67&lt;=0),"",IF(H67="Yes","",IF(I67&lt;W1,IF(OverdueW1="No","",1),IF(I67&lt;=W1+90,INT((I67-W1)/7)+1,""))))</f>
        <v/>
      </c>
      <c r="L67" s="36">
        <f>IF(ISNUMBER(K67),J67,0)</f>
        <v/>
      </c>
      <c r="M67" s="10">
        <f>IF(O67="","",IF(O67=0,"Not counted",IF(J67&lt;=0,"Paid",IF(H67="Yes","On hold (left out)",IF(I67&lt;W1,IF(OverdueW1="No","Overdue (left out)","Overdue → Week 1"),IF(I67&lt;=W1+90,"Week "&amp;K67,"After Week 13"))))))</f>
        <v/>
      </c>
      <c r="N67" s="10">
        <f>IF(O67="","",IF(O67=0,IF(NOT(ISNUMBER(E67)),"Fix: amount missing",IF(E67&lt;=0,"Fix: amount must be above 0",IF(AND(NOT(ISNUMBER(D67)),NOT(ISNUMBER(G67))),"Fix: add a due date or a planned pay date",IF(AND(D67&lt;&gt;"",NOT(ISNUMBER(D67))),"Fix: due date isn't a date",IF(AND(F67&lt;&gt;"",NOT(ISNUMBER(F67))),"Fix: paid must be a number",IF(AND(G67&lt;&gt;"",NOT(ISNUMBER(G67))),"Fix: planned date isn't a date","Fix: paid is more than the amount")))))),IF(AND(C67&lt;&gt;"",ISNUMBER(MATCH(C67,OutCats,0))),"OK","Category not on Settings (counted as Other)")))</f>
        <v/>
      </c>
      <c r="O67">
        <f>IF(COUNTA(A67:H67)=0,"",IF(AND(ISNUMBER(E67),E67&gt;0,OR(ISNUMBER(D67),ISNUMBER(G67)),OR(D67="",ISNUMBER(D67)),OR(F67="",ISNUMBER(F67)),OR(G67="",ISNUMBER(G67))),IF(N(F67)&gt;E67,0,1),0))</f>
        <v/>
      </c>
    </row>
    <row r="68">
      <c r="A68" s="29" t="n"/>
      <c r="B68" s="29" t="n"/>
      <c r="C68" s="29" t="n"/>
      <c r="D68" s="24" t="n"/>
      <c r="E68" s="34" t="n"/>
      <c r="F68" s="34" t="n"/>
      <c r="G68" s="24" t="n"/>
      <c r="H68" s="29" t="n"/>
      <c r="I68" s="32">
        <f>IF(O68&lt;&gt;1,"",IF(ISNUMBER(G68),INT(G68),INT(D68)))</f>
        <v/>
      </c>
      <c r="J68" s="21">
        <f>IF(O68&lt;&gt;1,0,E68-N(F68))</f>
        <v/>
      </c>
      <c r="K68" s="35">
        <f>IF(OR(O68&lt;&gt;1,J68&lt;=0),"",IF(H68="Yes","",IF(I68&lt;W1,IF(OverdueW1="No","",1),IF(I68&lt;=W1+90,INT((I68-W1)/7)+1,""))))</f>
        <v/>
      </c>
      <c r="L68" s="36">
        <f>IF(ISNUMBER(K68),J68,0)</f>
        <v/>
      </c>
      <c r="M68" s="10">
        <f>IF(O68="","",IF(O68=0,"Not counted",IF(J68&lt;=0,"Paid",IF(H68="Yes","On hold (left out)",IF(I68&lt;W1,IF(OverdueW1="No","Overdue (left out)","Overdue → Week 1"),IF(I68&lt;=W1+90,"Week "&amp;K68,"After Week 13"))))))</f>
        <v/>
      </c>
      <c r="N68" s="10">
        <f>IF(O68="","",IF(O68=0,IF(NOT(ISNUMBER(E68)),"Fix: amount missing",IF(E68&lt;=0,"Fix: amount must be above 0",IF(AND(NOT(ISNUMBER(D68)),NOT(ISNUMBER(G68))),"Fix: add a due date or a planned pay date",IF(AND(D68&lt;&gt;"",NOT(ISNUMBER(D68))),"Fix: due date isn't a date",IF(AND(F68&lt;&gt;"",NOT(ISNUMBER(F68))),"Fix: paid must be a number",IF(AND(G68&lt;&gt;"",NOT(ISNUMBER(G68))),"Fix: planned date isn't a date","Fix: paid is more than the amount")))))),IF(AND(C68&lt;&gt;"",ISNUMBER(MATCH(C68,OutCats,0))),"OK","Category not on Settings (counted as Other)")))</f>
        <v/>
      </c>
      <c r="O68">
        <f>IF(COUNTA(A68:H68)=0,"",IF(AND(ISNUMBER(E68),E68&gt;0,OR(ISNUMBER(D68),ISNUMBER(G68)),OR(D68="",ISNUMBER(D68)),OR(F68="",ISNUMBER(F68)),OR(G68="",ISNUMBER(G68))),IF(N(F68)&gt;E68,0,1),0))</f>
        <v/>
      </c>
    </row>
    <row r="69">
      <c r="A69" s="29" t="n"/>
      <c r="B69" s="29" t="n"/>
      <c r="C69" s="29" t="n"/>
      <c r="D69" s="24" t="n"/>
      <c r="E69" s="34" t="n"/>
      <c r="F69" s="34" t="n"/>
      <c r="G69" s="24" t="n"/>
      <c r="H69" s="29" t="n"/>
      <c r="I69" s="32">
        <f>IF(O69&lt;&gt;1,"",IF(ISNUMBER(G69),INT(G69),INT(D69)))</f>
        <v/>
      </c>
      <c r="J69" s="21">
        <f>IF(O69&lt;&gt;1,0,E69-N(F69))</f>
        <v/>
      </c>
      <c r="K69" s="35">
        <f>IF(OR(O69&lt;&gt;1,J69&lt;=0),"",IF(H69="Yes","",IF(I69&lt;W1,IF(OverdueW1="No","",1),IF(I69&lt;=W1+90,INT((I69-W1)/7)+1,""))))</f>
        <v/>
      </c>
      <c r="L69" s="36">
        <f>IF(ISNUMBER(K69),J69,0)</f>
        <v/>
      </c>
      <c r="M69" s="10">
        <f>IF(O69="","",IF(O69=0,"Not counted",IF(J69&lt;=0,"Paid",IF(H69="Yes","On hold (left out)",IF(I69&lt;W1,IF(OverdueW1="No","Overdue (left out)","Overdue → Week 1"),IF(I69&lt;=W1+90,"Week "&amp;K69,"After Week 13"))))))</f>
        <v/>
      </c>
      <c r="N69" s="10">
        <f>IF(O69="","",IF(O69=0,IF(NOT(ISNUMBER(E69)),"Fix: amount missing",IF(E69&lt;=0,"Fix: amount must be above 0",IF(AND(NOT(ISNUMBER(D69)),NOT(ISNUMBER(G69))),"Fix: add a due date or a planned pay date",IF(AND(D69&lt;&gt;"",NOT(ISNUMBER(D69))),"Fix: due date isn't a date",IF(AND(F69&lt;&gt;"",NOT(ISNUMBER(F69))),"Fix: paid must be a number",IF(AND(G69&lt;&gt;"",NOT(ISNUMBER(G69))),"Fix: planned date isn't a date","Fix: paid is more than the amount")))))),IF(AND(C69&lt;&gt;"",ISNUMBER(MATCH(C69,OutCats,0))),"OK","Category not on Settings (counted as Other)")))</f>
        <v/>
      </c>
      <c r="O69">
        <f>IF(COUNTA(A69:H69)=0,"",IF(AND(ISNUMBER(E69),E69&gt;0,OR(ISNUMBER(D69),ISNUMBER(G69)),OR(D69="",ISNUMBER(D69)),OR(F69="",ISNUMBER(F69)),OR(G69="",ISNUMBER(G69))),IF(N(F69)&gt;E69,0,1),0))</f>
        <v/>
      </c>
    </row>
    <row r="70">
      <c r="A70" s="29" t="n"/>
      <c r="B70" s="29" t="n"/>
      <c r="C70" s="29" t="n"/>
      <c r="D70" s="24" t="n"/>
      <c r="E70" s="34" t="n"/>
      <c r="F70" s="34" t="n"/>
      <c r="G70" s="24" t="n"/>
      <c r="H70" s="29" t="n"/>
      <c r="I70" s="32">
        <f>IF(O70&lt;&gt;1,"",IF(ISNUMBER(G70),INT(G70),INT(D70)))</f>
        <v/>
      </c>
      <c r="J70" s="21">
        <f>IF(O70&lt;&gt;1,0,E70-N(F70))</f>
        <v/>
      </c>
      <c r="K70" s="35">
        <f>IF(OR(O70&lt;&gt;1,J70&lt;=0),"",IF(H70="Yes","",IF(I70&lt;W1,IF(OverdueW1="No","",1),IF(I70&lt;=W1+90,INT((I70-W1)/7)+1,""))))</f>
        <v/>
      </c>
      <c r="L70" s="36">
        <f>IF(ISNUMBER(K70),J70,0)</f>
        <v/>
      </c>
      <c r="M70" s="10">
        <f>IF(O70="","",IF(O70=0,"Not counted",IF(J70&lt;=0,"Paid",IF(H70="Yes","On hold (left out)",IF(I70&lt;W1,IF(OverdueW1="No","Overdue (left out)","Overdue → Week 1"),IF(I70&lt;=W1+90,"Week "&amp;K70,"After Week 13"))))))</f>
        <v/>
      </c>
      <c r="N70" s="10">
        <f>IF(O70="","",IF(O70=0,IF(NOT(ISNUMBER(E70)),"Fix: amount missing",IF(E70&lt;=0,"Fix: amount must be above 0",IF(AND(NOT(ISNUMBER(D70)),NOT(ISNUMBER(G70))),"Fix: add a due date or a planned pay date",IF(AND(D70&lt;&gt;"",NOT(ISNUMBER(D70))),"Fix: due date isn't a date",IF(AND(F70&lt;&gt;"",NOT(ISNUMBER(F70))),"Fix: paid must be a number",IF(AND(G70&lt;&gt;"",NOT(ISNUMBER(G70))),"Fix: planned date isn't a date","Fix: paid is more than the amount")))))),IF(AND(C70&lt;&gt;"",ISNUMBER(MATCH(C70,OutCats,0))),"OK","Category not on Settings (counted as Other)")))</f>
        <v/>
      </c>
      <c r="O70">
        <f>IF(COUNTA(A70:H70)=0,"",IF(AND(ISNUMBER(E70),E70&gt;0,OR(ISNUMBER(D70),ISNUMBER(G70)),OR(D70="",ISNUMBER(D70)),OR(F70="",ISNUMBER(F70)),OR(G70="",ISNUMBER(G70))),IF(N(F70)&gt;E70,0,1),0))</f>
        <v/>
      </c>
    </row>
    <row r="71">
      <c r="A71" s="29" t="n"/>
      <c r="B71" s="29" t="n"/>
      <c r="C71" s="29" t="n"/>
      <c r="D71" s="24" t="n"/>
      <c r="E71" s="34" t="n"/>
      <c r="F71" s="34" t="n"/>
      <c r="G71" s="24" t="n"/>
      <c r="H71" s="29" t="n"/>
      <c r="I71" s="32">
        <f>IF(O71&lt;&gt;1,"",IF(ISNUMBER(G71),INT(G71),INT(D71)))</f>
        <v/>
      </c>
      <c r="J71" s="21">
        <f>IF(O71&lt;&gt;1,0,E71-N(F71))</f>
        <v/>
      </c>
      <c r="K71" s="35">
        <f>IF(OR(O71&lt;&gt;1,J71&lt;=0),"",IF(H71="Yes","",IF(I71&lt;W1,IF(OverdueW1="No","",1),IF(I71&lt;=W1+90,INT((I71-W1)/7)+1,""))))</f>
        <v/>
      </c>
      <c r="L71" s="36">
        <f>IF(ISNUMBER(K71),J71,0)</f>
        <v/>
      </c>
      <c r="M71" s="10">
        <f>IF(O71="","",IF(O71=0,"Not counted",IF(J71&lt;=0,"Paid",IF(H71="Yes","On hold (left out)",IF(I71&lt;W1,IF(OverdueW1="No","Overdue (left out)","Overdue → Week 1"),IF(I71&lt;=W1+90,"Week "&amp;K71,"After Week 13"))))))</f>
        <v/>
      </c>
      <c r="N71" s="10">
        <f>IF(O71="","",IF(O71=0,IF(NOT(ISNUMBER(E71)),"Fix: amount missing",IF(E71&lt;=0,"Fix: amount must be above 0",IF(AND(NOT(ISNUMBER(D71)),NOT(ISNUMBER(G71))),"Fix: add a due date or a planned pay date",IF(AND(D71&lt;&gt;"",NOT(ISNUMBER(D71))),"Fix: due date isn't a date",IF(AND(F71&lt;&gt;"",NOT(ISNUMBER(F71))),"Fix: paid must be a number",IF(AND(G71&lt;&gt;"",NOT(ISNUMBER(G71))),"Fix: planned date isn't a date","Fix: paid is more than the amount")))))),IF(AND(C71&lt;&gt;"",ISNUMBER(MATCH(C71,OutCats,0))),"OK","Category not on Settings (counted as Other)")))</f>
        <v/>
      </c>
      <c r="O71">
        <f>IF(COUNTA(A71:H71)=0,"",IF(AND(ISNUMBER(E71),E71&gt;0,OR(ISNUMBER(D71),ISNUMBER(G71)),OR(D71="",ISNUMBER(D71)),OR(F71="",ISNUMBER(F71)),OR(G71="",ISNUMBER(G71))),IF(N(F71)&gt;E71,0,1),0))</f>
        <v/>
      </c>
    </row>
    <row r="72">
      <c r="A72" s="29" t="n"/>
      <c r="B72" s="29" t="n"/>
      <c r="C72" s="29" t="n"/>
      <c r="D72" s="24" t="n"/>
      <c r="E72" s="34" t="n"/>
      <c r="F72" s="34" t="n"/>
      <c r="G72" s="24" t="n"/>
      <c r="H72" s="29" t="n"/>
      <c r="I72" s="32">
        <f>IF(O72&lt;&gt;1,"",IF(ISNUMBER(G72),INT(G72),INT(D72)))</f>
        <v/>
      </c>
      <c r="J72" s="21">
        <f>IF(O72&lt;&gt;1,0,E72-N(F72))</f>
        <v/>
      </c>
      <c r="K72" s="35">
        <f>IF(OR(O72&lt;&gt;1,J72&lt;=0),"",IF(H72="Yes","",IF(I72&lt;W1,IF(OverdueW1="No","",1),IF(I72&lt;=W1+90,INT((I72-W1)/7)+1,""))))</f>
        <v/>
      </c>
      <c r="L72" s="36">
        <f>IF(ISNUMBER(K72),J72,0)</f>
        <v/>
      </c>
      <c r="M72" s="10">
        <f>IF(O72="","",IF(O72=0,"Not counted",IF(J72&lt;=0,"Paid",IF(H72="Yes","On hold (left out)",IF(I72&lt;W1,IF(OverdueW1="No","Overdue (left out)","Overdue → Week 1"),IF(I72&lt;=W1+90,"Week "&amp;K72,"After Week 13"))))))</f>
        <v/>
      </c>
      <c r="N72" s="10">
        <f>IF(O72="","",IF(O72=0,IF(NOT(ISNUMBER(E72)),"Fix: amount missing",IF(E72&lt;=0,"Fix: amount must be above 0",IF(AND(NOT(ISNUMBER(D72)),NOT(ISNUMBER(G72))),"Fix: add a due date or a planned pay date",IF(AND(D72&lt;&gt;"",NOT(ISNUMBER(D72))),"Fix: due date isn't a date",IF(AND(F72&lt;&gt;"",NOT(ISNUMBER(F72))),"Fix: paid must be a number",IF(AND(G72&lt;&gt;"",NOT(ISNUMBER(G72))),"Fix: planned date isn't a date","Fix: paid is more than the amount")))))),IF(AND(C72&lt;&gt;"",ISNUMBER(MATCH(C72,OutCats,0))),"OK","Category not on Settings (counted as Other)")))</f>
        <v/>
      </c>
      <c r="O72">
        <f>IF(COUNTA(A72:H72)=0,"",IF(AND(ISNUMBER(E72),E72&gt;0,OR(ISNUMBER(D72),ISNUMBER(G72)),OR(D72="",ISNUMBER(D72)),OR(F72="",ISNUMBER(F72)),OR(G72="",ISNUMBER(G72))),IF(N(F72)&gt;E72,0,1),0))</f>
        <v/>
      </c>
    </row>
    <row r="73">
      <c r="A73" s="29" t="n"/>
      <c r="B73" s="29" t="n"/>
      <c r="C73" s="29" t="n"/>
      <c r="D73" s="24" t="n"/>
      <c r="E73" s="34" t="n"/>
      <c r="F73" s="34" t="n"/>
      <c r="G73" s="24" t="n"/>
      <c r="H73" s="29" t="n"/>
      <c r="I73" s="32">
        <f>IF(O73&lt;&gt;1,"",IF(ISNUMBER(G73),INT(G73),INT(D73)))</f>
        <v/>
      </c>
      <c r="J73" s="21">
        <f>IF(O73&lt;&gt;1,0,E73-N(F73))</f>
        <v/>
      </c>
      <c r="K73" s="35">
        <f>IF(OR(O73&lt;&gt;1,J73&lt;=0),"",IF(H73="Yes","",IF(I73&lt;W1,IF(OverdueW1="No","",1),IF(I73&lt;=W1+90,INT((I73-W1)/7)+1,""))))</f>
        <v/>
      </c>
      <c r="L73" s="36">
        <f>IF(ISNUMBER(K73),J73,0)</f>
        <v/>
      </c>
      <c r="M73" s="10">
        <f>IF(O73="","",IF(O73=0,"Not counted",IF(J73&lt;=0,"Paid",IF(H73="Yes","On hold (left out)",IF(I73&lt;W1,IF(OverdueW1="No","Overdue (left out)","Overdue → Week 1"),IF(I73&lt;=W1+90,"Week "&amp;K73,"After Week 13"))))))</f>
        <v/>
      </c>
      <c r="N73" s="10">
        <f>IF(O73="","",IF(O73=0,IF(NOT(ISNUMBER(E73)),"Fix: amount missing",IF(E73&lt;=0,"Fix: amount must be above 0",IF(AND(NOT(ISNUMBER(D73)),NOT(ISNUMBER(G73))),"Fix: add a due date or a planned pay date",IF(AND(D73&lt;&gt;"",NOT(ISNUMBER(D73))),"Fix: due date isn't a date",IF(AND(F73&lt;&gt;"",NOT(ISNUMBER(F73))),"Fix: paid must be a number",IF(AND(G73&lt;&gt;"",NOT(ISNUMBER(G73))),"Fix: planned date isn't a date","Fix: paid is more than the amount")))))),IF(AND(C73&lt;&gt;"",ISNUMBER(MATCH(C73,OutCats,0))),"OK","Category not on Settings (counted as Other)")))</f>
        <v/>
      </c>
      <c r="O73">
        <f>IF(COUNTA(A73:H73)=0,"",IF(AND(ISNUMBER(E73),E73&gt;0,OR(ISNUMBER(D73),ISNUMBER(G73)),OR(D73="",ISNUMBER(D73)),OR(F73="",ISNUMBER(F73)),OR(G73="",ISNUMBER(G73))),IF(N(F73)&gt;E73,0,1),0))</f>
        <v/>
      </c>
    </row>
    <row r="74">
      <c r="A74" s="29" t="n"/>
      <c r="B74" s="29" t="n"/>
      <c r="C74" s="29" t="n"/>
      <c r="D74" s="24" t="n"/>
      <c r="E74" s="34" t="n"/>
      <c r="F74" s="34" t="n"/>
      <c r="G74" s="24" t="n"/>
      <c r="H74" s="29" t="n"/>
      <c r="I74" s="32">
        <f>IF(O74&lt;&gt;1,"",IF(ISNUMBER(G74),INT(G74),INT(D74)))</f>
        <v/>
      </c>
      <c r="J74" s="21">
        <f>IF(O74&lt;&gt;1,0,E74-N(F74))</f>
        <v/>
      </c>
      <c r="K74" s="35">
        <f>IF(OR(O74&lt;&gt;1,J74&lt;=0),"",IF(H74="Yes","",IF(I74&lt;W1,IF(OverdueW1="No","",1),IF(I74&lt;=W1+90,INT((I74-W1)/7)+1,""))))</f>
        <v/>
      </c>
      <c r="L74" s="36">
        <f>IF(ISNUMBER(K74),J74,0)</f>
        <v/>
      </c>
      <c r="M74" s="10">
        <f>IF(O74="","",IF(O74=0,"Not counted",IF(J74&lt;=0,"Paid",IF(H74="Yes","On hold (left out)",IF(I74&lt;W1,IF(OverdueW1="No","Overdue (left out)","Overdue → Week 1"),IF(I74&lt;=W1+90,"Week "&amp;K74,"After Week 13"))))))</f>
        <v/>
      </c>
      <c r="N74" s="10">
        <f>IF(O74="","",IF(O74=0,IF(NOT(ISNUMBER(E74)),"Fix: amount missing",IF(E74&lt;=0,"Fix: amount must be above 0",IF(AND(NOT(ISNUMBER(D74)),NOT(ISNUMBER(G74))),"Fix: add a due date or a planned pay date",IF(AND(D74&lt;&gt;"",NOT(ISNUMBER(D74))),"Fix: due date isn't a date",IF(AND(F74&lt;&gt;"",NOT(ISNUMBER(F74))),"Fix: paid must be a number",IF(AND(G74&lt;&gt;"",NOT(ISNUMBER(G74))),"Fix: planned date isn't a date","Fix: paid is more than the amount")))))),IF(AND(C74&lt;&gt;"",ISNUMBER(MATCH(C74,OutCats,0))),"OK","Category not on Settings (counted as Other)")))</f>
        <v/>
      </c>
      <c r="O74">
        <f>IF(COUNTA(A74:H74)=0,"",IF(AND(ISNUMBER(E74),E74&gt;0,OR(ISNUMBER(D74),ISNUMBER(G74)),OR(D74="",ISNUMBER(D74)),OR(F74="",ISNUMBER(F74)),OR(G74="",ISNUMBER(G74))),IF(N(F74)&gt;E74,0,1),0))</f>
        <v/>
      </c>
    </row>
    <row r="75">
      <c r="A75" s="29" t="n"/>
      <c r="B75" s="29" t="n"/>
      <c r="C75" s="29" t="n"/>
      <c r="D75" s="24" t="n"/>
      <c r="E75" s="34" t="n"/>
      <c r="F75" s="34" t="n"/>
      <c r="G75" s="24" t="n"/>
      <c r="H75" s="29" t="n"/>
      <c r="I75" s="32">
        <f>IF(O75&lt;&gt;1,"",IF(ISNUMBER(G75),INT(G75),INT(D75)))</f>
        <v/>
      </c>
      <c r="J75" s="21">
        <f>IF(O75&lt;&gt;1,0,E75-N(F75))</f>
        <v/>
      </c>
      <c r="K75" s="35">
        <f>IF(OR(O75&lt;&gt;1,J75&lt;=0),"",IF(H75="Yes","",IF(I75&lt;W1,IF(OverdueW1="No","",1),IF(I75&lt;=W1+90,INT((I75-W1)/7)+1,""))))</f>
        <v/>
      </c>
      <c r="L75" s="36">
        <f>IF(ISNUMBER(K75),J75,0)</f>
        <v/>
      </c>
      <c r="M75" s="10">
        <f>IF(O75="","",IF(O75=0,"Not counted",IF(J75&lt;=0,"Paid",IF(H75="Yes","On hold (left out)",IF(I75&lt;W1,IF(OverdueW1="No","Overdue (left out)","Overdue → Week 1"),IF(I75&lt;=W1+90,"Week "&amp;K75,"After Week 13"))))))</f>
        <v/>
      </c>
      <c r="N75" s="10">
        <f>IF(O75="","",IF(O75=0,IF(NOT(ISNUMBER(E75)),"Fix: amount missing",IF(E75&lt;=0,"Fix: amount must be above 0",IF(AND(NOT(ISNUMBER(D75)),NOT(ISNUMBER(G75))),"Fix: add a due date or a planned pay date",IF(AND(D75&lt;&gt;"",NOT(ISNUMBER(D75))),"Fix: due date isn't a date",IF(AND(F75&lt;&gt;"",NOT(ISNUMBER(F75))),"Fix: paid must be a number",IF(AND(G75&lt;&gt;"",NOT(ISNUMBER(G75))),"Fix: planned date isn't a date","Fix: paid is more than the amount")))))),IF(AND(C75&lt;&gt;"",ISNUMBER(MATCH(C75,OutCats,0))),"OK","Category not on Settings (counted as Other)")))</f>
        <v/>
      </c>
      <c r="O75">
        <f>IF(COUNTA(A75:H75)=0,"",IF(AND(ISNUMBER(E75),E75&gt;0,OR(ISNUMBER(D75),ISNUMBER(G75)),OR(D75="",ISNUMBER(D75)),OR(F75="",ISNUMBER(F75)),OR(G75="",ISNUMBER(G75))),IF(N(F75)&gt;E75,0,1),0))</f>
        <v/>
      </c>
    </row>
    <row r="76">
      <c r="A76" s="29" t="n"/>
      <c r="B76" s="29" t="n"/>
      <c r="C76" s="29" t="n"/>
      <c r="D76" s="24" t="n"/>
      <c r="E76" s="34" t="n"/>
      <c r="F76" s="34" t="n"/>
      <c r="G76" s="24" t="n"/>
      <c r="H76" s="29" t="n"/>
      <c r="I76" s="32">
        <f>IF(O76&lt;&gt;1,"",IF(ISNUMBER(G76),INT(G76),INT(D76)))</f>
        <v/>
      </c>
      <c r="J76" s="21">
        <f>IF(O76&lt;&gt;1,0,E76-N(F76))</f>
        <v/>
      </c>
      <c r="K76" s="35">
        <f>IF(OR(O76&lt;&gt;1,J76&lt;=0),"",IF(H76="Yes","",IF(I76&lt;W1,IF(OverdueW1="No","",1),IF(I76&lt;=W1+90,INT((I76-W1)/7)+1,""))))</f>
        <v/>
      </c>
      <c r="L76" s="36">
        <f>IF(ISNUMBER(K76),J76,0)</f>
        <v/>
      </c>
      <c r="M76" s="10">
        <f>IF(O76="","",IF(O76=0,"Not counted",IF(J76&lt;=0,"Paid",IF(H76="Yes","On hold (left out)",IF(I76&lt;W1,IF(OverdueW1="No","Overdue (left out)","Overdue → Week 1"),IF(I76&lt;=W1+90,"Week "&amp;K76,"After Week 13"))))))</f>
        <v/>
      </c>
      <c r="N76" s="10">
        <f>IF(O76="","",IF(O76=0,IF(NOT(ISNUMBER(E76)),"Fix: amount missing",IF(E76&lt;=0,"Fix: amount must be above 0",IF(AND(NOT(ISNUMBER(D76)),NOT(ISNUMBER(G76))),"Fix: add a due date or a planned pay date",IF(AND(D76&lt;&gt;"",NOT(ISNUMBER(D76))),"Fix: due date isn't a date",IF(AND(F76&lt;&gt;"",NOT(ISNUMBER(F76))),"Fix: paid must be a number",IF(AND(G76&lt;&gt;"",NOT(ISNUMBER(G76))),"Fix: planned date isn't a date","Fix: paid is more than the amount")))))),IF(AND(C76&lt;&gt;"",ISNUMBER(MATCH(C76,OutCats,0))),"OK","Category not on Settings (counted as Other)")))</f>
        <v/>
      </c>
      <c r="O76">
        <f>IF(COUNTA(A76:H76)=0,"",IF(AND(ISNUMBER(E76),E76&gt;0,OR(ISNUMBER(D76),ISNUMBER(G76)),OR(D76="",ISNUMBER(D76)),OR(F76="",ISNUMBER(F76)),OR(G76="",ISNUMBER(G76))),IF(N(F76)&gt;E76,0,1),0))</f>
        <v/>
      </c>
    </row>
    <row r="77">
      <c r="A77" s="29" t="n"/>
      <c r="B77" s="29" t="n"/>
      <c r="C77" s="29" t="n"/>
      <c r="D77" s="24" t="n"/>
      <c r="E77" s="34" t="n"/>
      <c r="F77" s="34" t="n"/>
      <c r="G77" s="24" t="n"/>
      <c r="H77" s="29" t="n"/>
      <c r="I77" s="32">
        <f>IF(O77&lt;&gt;1,"",IF(ISNUMBER(G77),INT(G77),INT(D77)))</f>
        <v/>
      </c>
      <c r="J77" s="21">
        <f>IF(O77&lt;&gt;1,0,E77-N(F77))</f>
        <v/>
      </c>
      <c r="K77" s="35">
        <f>IF(OR(O77&lt;&gt;1,J77&lt;=0),"",IF(H77="Yes","",IF(I77&lt;W1,IF(OverdueW1="No","",1),IF(I77&lt;=W1+90,INT((I77-W1)/7)+1,""))))</f>
        <v/>
      </c>
      <c r="L77" s="36">
        <f>IF(ISNUMBER(K77),J77,0)</f>
        <v/>
      </c>
      <c r="M77" s="10">
        <f>IF(O77="","",IF(O77=0,"Not counted",IF(J77&lt;=0,"Paid",IF(H77="Yes","On hold (left out)",IF(I77&lt;W1,IF(OverdueW1="No","Overdue (left out)","Overdue → Week 1"),IF(I77&lt;=W1+90,"Week "&amp;K77,"After Week 13"))))))</f>
        <v/>
      </c>
      <c r="N77" s="10">
        <f>IF(O77="","",IF(O77=0,IF(NOT(ISNUMBER(E77)),"Fix: amount missing",IF(E77&lt;=0,"Fix: amount must be above 0",IF(AND(NOT(ISNUMBER(D77)),NOT(ISNUMBER(G77))),"Fix: add a due date or a planned pay date",IF(AND(D77&lt;&gt;"",NOT(ISNUMBER(D77))),"Fix: due date isn't a date",IF(AND(F77&lt;&gt;"",NOT(ISNUMBER(F77))),"Fix: paid must be a number",IF(AND(G77&lt;&gt;"",NOT(ISNUMBER(G77))),"Fix: planned date isn't a date","Fix: paid is more than the amount")))))),IF(AND(C77&lt;&gt;"",ISNUMBER(MATCH(C77,OutCats,0))),"OK","Category not on Settings (counted as Other)")))</f>
        <v/>
      </c>
      <c r="O77">
        <f>IF(COUNTA(A77:H77)=0,"",IF(AND(ISNUMBER(E77),E77&gt;0,OR(ISNUMBER(D77),ISNUMBER(G77)),OR(D77="",ISNUMBER(D77)),OR(F77="",ISNUMBER(F77)),OR(G77="",ISNUMBER(G77))),IF(N(F77)&gt;E77,0,1),0))</f>
        <v/>
      </c>
    </row>
    <row r="78">
      <c r="A78" s="29" t="n"/>
      <c r="B78" s="29" t="n"/>
      <c r="C78" s="29" t="n"/>
      <c r="D78" s="24" t="n"/>
      <c r="E78" s="34" t="n"/>
      <c r="F78" s="34" t="n"/>
      <c r="G78" s="24" t="n"/>
      <c r="H78" s="29" t="n"/>
      <c r="I78" s="32">
        <f>IF(O78&lt;&gt;1,"",IF(ISNUMBER(G78),INT(G78),INT(D78)))</f>
        <v/>
      </c>
      <c r="J78" s="21">
        <f>IF(O78&lt;&gt;1,0,E78-N(F78))</f>
        <v/>
      </c>
      <c r="K78" s="35">
        <f>IF(OR(O78&lt;&gt;1,J78&lt;=0),"",IF(H78="Yes","",IF(I78&lt;W1,IF(OverdueW1="No","",1),IF(I78&lt;=W1+90,INT((I78-W1)/7)+1,""))))</f>
        <v/>
      </c>
      <c r="L78" s="36">
        <f>IF(ISNUMBER(K78),J78,0)</f>
        <v/>
      </c>
      <c r="M78" s="10">
        <f>IF(O78="","",IF(O78=0,"Not counted",IF(J78&lt;=0,"Paid",IF(H78="Yes","On hold (left out)",IF(I78&lt;W1,IF(OverdueW1="No","Overdue (left out)","Overdue → Week 1"),IF(I78&lt;=W1+90,"Week "&amp;K78,"After Week 13"))))))</f>
        <v/>
      </c>
      <c r="N78" s="10">
        <f>IF(O78="","",IF(O78=0,IF(NOT(ISNUMBER(E78)),"Fix: amount missing",IF(E78&lt;=0,"Fix: amount must be above 0",IF(AND(NOT(ISNUMBER(D78)),NOT(ISNUMBER(G78))),"Fix: add a due date or a planned pay date",IF(AND(D78&lt;&gt;"",NOT(ISNUMBER(D78))),"Fix: due date isn't a date",IF(AND(F78&lt;&gt;"",NOT(ISNUMBER(F78))),"Fix: paid must be a number",IF(AND(G78&lt;&gt;"",NOT(ISNUMBER(G78))),"Fix: planned date isn't a date","Fix: paid is more than the amount")))))),IF(AND(C78&lt;&gt;"",ISNUMBER(MATCH(C78,OutCats,0))),"OK","Category not on Settings (counted as Other)")))</f>
        <v/>
      </c>
      <c r="O78">
        <f>IF(COUNTA(A78:H78)=0,"",IF(AND(ISNUMBER(E78),E78&gt;0,OR(ISNUMBER(D78),ISNUMBER(G78)),OR(D78="",ISNUMBER(D78)),OR(F78="",ISNUMBER(F78)),OR(G78="",ISNUMBER(G78))),IF(N(F78)&gt;E78,0,1),0))</f>
        <v/>
      </c>
    </row>
    <row r="79">
      <c r="A79" s="29" t="n"/>
      <c r="B79" s="29" t="n"/>
      <c r="C79" s="29" t="n"/>
      <c r="D79" s="24" t="n"/>
      <c r="E79" s="34" t="n"/>
      <c r="F79" s="34" t="n"/>
      <c r="G79" s="24" t="n"/>
      <c r="H79" s="29" t="n"/>
      <c r="I79" s="32">
        <f>IF(O79&lt;&gt;1,"",IF(ISNUMBER(G79),INT(G79),INT(D79)))</f>
        <v/>
      </c>
      <c r="J79" s="21">
        <f>IF(O79&lt;&gt;1,0,E79-N(F79))</f>
        <v/>
      </c>
      <c r="K79" s="35">
        <f>IF(OR(O79&lt;&gt;1,J79&lt;=0),"",IF(H79="Yes","",IF(I79&lt;W1,IF(OverdueW1="No","",1),IF(I79&lt;=W1+90,INT((I79-W1)/7)+1,""))))</f>
        <v/>
      </c>
      <c r="L79" s="36">
        <f>IF(ISNUMBER(K79),J79,0)</f>
        <v/>
      </c>
      <c r="M79" s="10">
        <f>IF(O79="","",IF(O79=0,"Not counted",IF(J79&lt;=0,"Paid",IF(H79="Yes","On hold (left out)",IF(I79&lt;W1,IF(OverdueW1="No","Overdue (left out)","Overdue → Week 1"),IF(I79&lt;=W1+90,"Week "&amp;K79,"After Week 13"))))))</f>
        <v/>
      </c>
      <c r="N79" s="10">
        <f>IF(O79="","",IF(O79=0,IF(NOT(ISNUMBER(E79)),"Fix: amount missing",IF(E79&lt;=0,"Fix: amount must be above 0",IF(AND(NOT(ISNUMBER(D79)),NOT(ISNUMBER(G79))),"Fix: add a due date or a planned pay date",IF(AND(D79&lt;&gt;"",NOT(ISNUMBER(D79))),"Fix: due date isn't a date",IF(AND(F79&lt;&gt;"",NOT(ISNUMBER(F79))),"Fix: paid must be a number",IF(AND(G79&lt;&gt;"",NOT(ISNUMBER(G79))),"Fix: planned date isn't a date","Fix: paid is more than the amount")))))),IF(AND(C79&lt;&gt;"",ISNUMBER(MATCH(C79,OutCats,0))),"OK","Category not on Settings (counted as Other)")))</f>
        <v/>
      </c>
      <c r="O79">
        <f>IF(COUNTA(A79:H79)=0,"",IF(AND(ISNUMBER(E79),E79&gt;0,OR(ISNUMBER(D79),ISNUMBER(G79)),OR(D79="",ISNUMBER(D79)),OR(F79="",ISNUMBER(F79)),OR(G79="",ISNUMBER(G79))),IF(N(F79)&gt;E79,0,1),0))</f>
        <v/>
      </c>
    </row>
    <row r="80">
      <c r="A80" s="29" t="n"/>
      <c r="B80" s="29" t="n"/>
      <c r="C80" s="29" t="n"/>
      <c r="D80" s="24" t="n"/>
      <c r="E80" s="34" t="n"/>
      <c r="F80" s="34" t="n"/>
      <c r="G80" s="24" t="n"/>
      <c r="H80" s="29" t="n"/>
      <c r="I80" s="32">
        <f>IF(O80&lt;&gt;1,"",IF(ISNUMBER(G80),INT(G80),INT(D80)))</f>
        <v/>
      </c>
      <c r="J80" s="21">
        <f>IF(O80&lt;&gt;1,0,E80-N(F80))</f>
        <v/>
      </c>
      <c r="K80" s="35">
        <f>IF(OR(O80&lt;&gt;1,J80&lt;=0),"",IF(H80="Yes","",IF(I80&lt;W1,IF(OverdueW1="No","",1),IF(I80&lt;=W1+90,INT((I80-W1)/7)+1,""))))</f>
        <v/>
      </c>
      <c r="L80" s="36">
        <f>IF(ISNUMBER(K80),J80,0)</f>
        <v/>
      </c>
      <c r="M80" s="10">
        <f>IF(O80="","",IF(O80=0,"Not counted",IF(J80&lt;=0,"Paid",IF(H80="Yes","On hold (left out)",IF(I80&lt;W1,IF(OverdueW1="No","Overdue (left out)","Overdue → Week 1"),IF(I80&lt;=W1+90,"Week "&amp;K80,"After Week 13"))))))</f>
        <v/>
      </c>
      <c r="N80" s="10">
        <f>IF(O80="","",IF(O80=0,IF(NOT(ISNUMBER(E80)),"Fix: amount missing",IF(E80&lt;=0,"Fix: amount must be above 0",IF(AND(NOT(ISNUMBER(D80)),NOT(ISNUMBER(G80))),"Fix: add a due date or a planned pay date",IF(AND(D80&lt;&gt;"",NOT(ISNUMBER(D80))),"Fix: due date isn't a date",IF(AND(F80&lt;&gt;"",NOT(ISNUMBER(F80))),"Fix: paid must be a number",IF(AND(G80&lt;&gt;"",NOT(ISNUMBER(G80))),"Fix: planned date isn't a date","Fix: paid is more than the amount")))))),IF(AND(C80&lt;&gt;"",ISNUMBER(MATCH(C80,OutCats,0))),"OK","Category not on Settings (counted as Other)")))</f>
        <v/>
      </c>
      <c r="O80">
        <f>IF(COUNTA(A80:H80)=0,"",IF(AND(ISNUMBER(E80),E80&gt;0,OR(ISNUMBER(D80),ISNUMBER(G80)),OR(D80="",ISNUMBER(D80)),OR(F80="",ISNUMBER(F80)),OR(G80="",ISNUMBER(G80))),IF(N(F80)&gt;E80,0,1),0))</f>
        <v/>
      </c>
    </row>
    <row r="81">
      <c r="A81" s="29" t="n"/>
      <c r="B81" s="29" t="n"/>
      <c r="C81" s="29" t="n"/>
      <c r="D81" s="24" t="n"/>
      <c r="E81" s="34" t="n"/>
      <c r="F81" s="34" t="n"/>
      <c r="G81" s="24" t="n"/>
      <c r="H81" s="29" t="n"/>
      <c r="I81" s="32">
        <f>IF(O81&lt;&gt;1,"",IF(ISNUMBER(G81),INT(G81),INT(D81)))</f>
        <v/>
      </c>
      <c r="J81" s="21">
        <f>IF(O81&lt;&gt;1,0,E81-N(F81))</f>
        <v/>
      </c>
      <c r="K81" s="35">
        <f>IF(OR(O81&lt;&gt;1,J81&lt;=0),"",IF(H81="Yes","",IF(I81&lt;W1,IF(OverdueW1="No","",1),IF(I81&lt;=W1+90,INT((I81-W1)/7)+1,""))))</f>
        <v/>
      </c>
      <c r="L81" s="36">
        <f>IF(ISNUMBER(K81),J81,0)</f>
        <v/>
      </c>
      <c r="M81" s="10">
        <f>IF(O81="","",IF(O81=0,"Not counted",IF(J81&lt;=0,"Paid",IF(H81="Yes","On hold (left out)",IF(I81&lt;W1,IF(OverdueW1="No","Overdue (left out)","Overdue → Week 1"),IF(I81&lt;=W1+90,"Week "&amp;K81,"After Week 13"))))))</f>
        <v/>
      </c>
      <c r="N81" s="10">
        <f>IF(O81="","",IF(O81=0,IF(NOT(ISNUMBER(E81)),"Fix: amount missing",IF(E81&lt;=0,"Fix: amount must be above 0",IF(AND(NOT(ISNUMBER(D81)),NOT(ISNUMBER(G81))),"Fix: add a due date or a planned pay date",IF(AND(D81&lt;&gt;"",NOT(ISNUMBER(D81))),"Fix: due date isn't a date",IF(AND(F81&lt;&gt;"",NOT(ISNUMBER(F81))),"Fix: paid must be a number",IF(AND(G81&lt;&gt;"",NOT(ISNUMBER(G81))),"Fix: planned date isn't a date","Fix: paid is more than the amount")))))),IF(AND(C81&lt;&gt;"",ISNUMBER(MATCH(C81,OutCats,0))),"OK","Category not on Settings (counted as Other)")))</f>
        <v/>
      </c>
      <c r="O81">
        <f>IF(COUNTA(A81:H81)=0,"",IF(AND(ISNUMBER(E81),E81&gt;0,OR(ISNUMBER(D81),ISNUMBER(G81)),OR(D81="",ISNUMBER(D81)),OR(F81="",ISNUMBER(F81)),OR(G81="",ISNUMBER(G81))),IF(N(F81)&gt;E81,0,1),0))</f>
        <v/>
      </c>
    </row>
    <row r="82">
      <c r="A82" s="29" t="n"/>
      <c r="B82" s="29" t="n"/>
      <c r="C82" s="29" t="n"/>
      <c r="D82" s="24" t="n"/>
      <c r="E82" s="34" t="n"/>
      <c r="F82" s="34" t="n"/>
      <c r="G82" s="24" t="n"/>
      <c r="H82" s="29" t="n"/>
      <c r="I82" s="32">
        <f>IF(O82&lt;&gt;1,"",IF(ISNUMBER(G82),INT(G82),INT(D82)))</f>
        <v/>
      </c>
      <c r="J82" s="21">
        <f>IF(O82&lt;&gt;1,0,E82-N(F82))</f>
        <v/>
      </c>
      <c r="K82" s="35">
        <f>IF(OR(O82&lt;&gt;1,J82&lt;=0),"",IF(H82="Yes","",IF(I82&lt;W1,IF(OverdueW1="No","",1),IF(I82&lt;=W1+90,INT((I82-W1)/7)+1,""))))</f>
        <v/>
      </c>
      <c r="L82" s="36">
        <f>IF(ISNUMBER(K82),J82,0)</f>
        <v/>
      </c>
      <c r="M82" s="10">
        <f>IF(O82="","",IF(O82=0,"Not counted",IF(J82&lt;=0,"Paid",IF(H82="Yes","On hold (left out)",IF(I82&lt;W1,IF(OverdueW1="No","Overdue (left out)","Overdue → Week 1"),IF(I82&lt;=W1+90,"Week "&amp;K82,"After Week 13"))))))</f>
        <v/>
      </c>
      <c r="N82" s="10">
        <f>IF(O82="","",IF(O82=0,IF(NOT(ISNUMBER(E82)),"Fix: amount missing",IF(E82&lt;=0,"Fix: amount must be above 0",IF(AND(NOT(ISNUMBER(D82)),NOT(ISNUMBER(G82))),"Fix: add a due date or a planned pay date",IF(AND(D82&lt;&gt;"",NOT(ISNUMBER(D82))),"Fix: due date isn't a date",IF(AND(F82&lt;&gt;"",NOT(ISNUMBER(F82))),"Fix: paid must be a number",IF(AND(G82&lt;&gt;"",NOT(ISNUMBER(G82))),"Fix: planned date isn't a date","Fix: paid is more than the amount")))))),IF(AND(C82&lt;&gt;"",ISNUMBER(MATCH(C82,OutCats,0))),"OK","Category not on Settings (counted as Other)")))</f>
        <v/>
      </c>
      <c r="O82">
        <f>IF(COUNTA(A82:H82)=0,"",IF(AND(ISNUMBER(E82),E82&gt;0,OR(ISNUMBER(D82),ISNUMBER(G82)),OR(D82="",ISNUMBER(D82)),OR(F82="",ISNUMBER(F82)),OR(G82="",ISNUMBER(G82))),IF(N(F82)&gt;E82,0,1),0))</f>
        <v/>
      </c>
    </row>
    <row r="83">
      <c r="A83" s="29" t="n"/>
      <c r="B83" s="29" t="n"/>
      <c r="C83" s="29" t="n"/>
      <c r="D83" s="24" t="n"/>
      <c r="E83" s="34" t="n"/>
      <c r="F83" s="34" t="n"/>
      <c r="G83" s="24" t="n"/>
      <c r="H83" s="29" t="n"/>
      <c r="I83" s="32">
        <f>IF(O83&lt;&gt;1,"",IF(ISNUMBER(G83),INT(G83),INT(D83)))</f>
        <v/>
      </c>
      <c r="J83" s="21">
        <f>IF(O83&lt;&gt;1,0,E83-N(F83))</f>
        <v/>
      </c>
      <c r="K83" s="35">
        <f>IF(OR(O83&lt;&gt;1,J83&lt;=0),"",IF(H83="Yes","",IF(I83&lt;W1,IF(OverdueW1="No","",1),IF(I83&lt;=W1+90,INT((I83-W1)/7)+1,""))))</f>
        <v/>
      </c>
      <c r="L83" s="36">
        <f>IF(ISNUMBER(K83),J83,0)</f>
        <v/>
      </c>
      <c r="M83" s="10">
        <f>IF(O83="","",IF(O83=0,"Not counted",IF(J83&lt;=0,"Paid",IF(H83="Yes","On hold (left out)",IF(I83&lt;W1,IF(OverdueW1="No","Overdue (left out)","Overdue → Week 1"),IF(I83&lt;=W1+90,"Week "&amp;K83,"After Week 13"))))))</f>
        <v/>
      </c>
      <c r="N83" s="10">
        <f>IF(O83="","",IF(O83=0,IF(NOT(ISNUMBER(E83)),"Fix: amount missing",IF(E83&lt;=0,"Fix: amount must be above 0",IF(AND(NOT(ISNUMBER(D83)),NOT(ISNUMBER(G83))),"Fix: add a due date or a planned pay date",IF(AND(D83&lt;&gt;"",NOT(ISNUMBER(D83))),"Fix: due date isn't a date",IF(AND(F83&lt;&gt;"",NOT(ISNUMBER(F83))),"Fix: paid must be a number",IF(AND(G83&lt;&gt;"",NOT(ISNUMBER(G83))),"Fix: planned date isn't a date","Fix: paid is more than the amount")))))),IF(AND(C83&lt;&gt;"",ISNUMBER(MATCH(C83,OutCats,0))),"OK","Category not on Settings (counted as Other)")))</f>
        <v/>
      </c>
      <c r="O83">
        <f>IF(COUNTA(A83:H83)=0,"",IF(AND(ISNUMBER(E83),E83&gt;0,OR(ISNUMBER(D83),ISNUMBER(G83)),OR(D83="",ISNUMBER(D83)),OR(F83="",ISNUMBER(F83)),OR(G83="",ISNUMBER(G83))),IF(N(F83)&gt;E83,0,1),0))</f>
        <v/>
      </c>
    </row>
    <row r="84">
      <c r="A84" s="29" t="n"/>
      <c r="B84" s="29" t="n"/>
      <c r="C84" s="29" t="n"/>
      <c r="D84" s="24" t="n"/>
      <c r="E84" s="34" t="n"/>
      <c r="F84" s="34" t="n"/>
      <c r="G84" s="24" t="n"/>
      <c r="H84" s="29" t="n"/>
      <c r="I84" s="32">
        <f>IF(O84&lt;&gt;1,"",IF(ISNUMBER(G84),INT(G84),INT(D84)))</f>
        <v/>
      </c>
      <c r="J84" s="21">
        <f>IF(O84&lt;&gt;1,0,E84-N(F84))</f>
        <v/>
      </c>
      <c r="K84" s="35">
        <f>IF(OR(O84&lt;&gt;1,J84&lt;=0),"",IF(H84="Yes","",IF(I84&lt;W1,IF(OverdueW1="No","",1),IF(I84&lt;=W1+90,INT((I84-W1)/7)+1,""))))</f>
        <v/>
      </c>
      <c r="L84" s="36">
        <f>IF(ISNUMBER(K84),J84,0)</f>
        <v/>
      </c>
      <c r="M84" s="10">
        <f>IF(O84="","",IF(O84=0,"Not counted",IF(J84&lt;=0,"Paid",IF(H84="Yes","On hold (left out)",IF(I84&lt;W1,IF(OverdueW1="No","Overdue (left out)","Overdue → Week 1"),IF(I84&lt;=W1+90,"Week "&amp;K84,"After Week 13"))))))</f>
        <v/>
      </c>
      <c r="N84" s="10">
        <f>IF(O84="","",IF(O84=0,IF(NOT(ISNUMBER(E84)),"Fix: amount missing",IF(E84&lt;=0,"Fix: amount must be above 0",IF(AND(NOT(ISNUMBER(D84)),NOT(ISNUMBER(G84))),"Fix: add a due date or a planned pay date",IF(AND(D84&lt;&gt;"",NOT(ISNUMBER(D84))),"Fix: due date isn't a date",IF(AND(F84&lt;&gt;"",NOT(ISNUMBER(F84))),"Fix: paid must be a number",IF(AND(G84&lt;&gt;"",NOT(ISNUMBER(G84))),"Fix: planned date isn't a date","Fix: paid is more than the amount")))))),IF(AND(C84&lt;&gt;"",ISNUMBER(MATCH(C84,OutCats,0))),"OK","Category not on Settings (counted as Other)")))</f>
        <v/>
      </c>
      <c r="O84">
        <f>IF(COUNTA(A84:H84)=0,"",IF(AND(ISNUMBER(E84),E84&gt;0,OR(ISNUMBER(D84),ISNUMBER(G84)),OR(D84="",ISNUMBER(D84)),OR(F84="",ISNUMBER(F84)),OR(G84="",ISNUMBER(G84))),IF(N(F84)&gt;E84,0,1),0))</f>
        <v/>
      </c>
    </row>
    <row r="85">
      <c r="A85" s="29" t="n"/>
      <c r="B85" s="29" t="n"/>
      <c r="C85" s="29" t="n"/>
      <c r="D85" s="24" t="n"/>
      <c r="E85" s="34" t="n"/>
      <c r="F85" s="34" t="n"/>
      <c r="G85" s="24" t="n"/>
      <c r="H85" s="29" t="n"/>
      <c r="I85" s="32">
        <f>IF(O85&lt;&gt;1,"",IF(ISNUMBER(G85),INT(G85),INT(D85)))</f>
        <v/>
      </c>
      <c r="J85" s="21">
        <f>IF(O85&lt;&gt;1,0,E85-N(F85))</f>
        <v/>
      </c>
      <c r="K85" s="35">
        <f>IF(OR(O85&lt;&gt;1,J85&lt;=0),"",IF(H85="Yes","",IF(I85&lt;W1,IF(OverdueW1="No","",1),IF(I85&lt;=W1+90,INT((I85-W1)/7)+1,""))))</f>
        <v/>
      </c>
      <c r="L85" s="36">
        <f>IF(ISNUMBER(K85),J85,0)</f>
        <v/>
      </c>
      <c r="M85" s="10">
        <f>IF(O85="","",IF(O85=0,"Not counted",IF(J85&lt;=0,"Paid",IF(H85="Yes","On hold (left out)",IF(I85&lt;W1,IF(OverdueW1="No","Overdue (left out)","Overdue → Week 1"),IF(I85&lt;=W1+90,"Week "&amp;K85,"After Week 13"))))))</f>
        <v/>
      </c>
      <c r="N85" s="10">
        <f>IF(O85="","",IF(O85=0,IF(NOT(ISNUMBER(E85)),"Fix: amount missing",IF(E85&lt;=0,"Fix: amount must be above 0",IF(AND(NOT(ISNUMBER(D85)),NOT(ISNUMBER(G85))),"Fix: add a due date or a planned pay date",IF(AND(D85&lt;&gt;"",NOT(ISNUMBER(D85))),"Fix: due date isn't a date",IF(AND(F85&lt;&gt;"",NOT(ISNUMBER(F85))),"Fix: paid must be a number",IF(AND(G85&lt;&gt;"",NOT(ISNUMBER(G85))),"Fix: planned date isn't a date","Fix: paid is more than the amount")))))),IF(AND(C85&lt;&gt;"",ISNUMBER(MATCH(C85,OutCats,0))),"OK","Category not on Settings (counted as Other)")))</f>
        <v/>
      </c>
      <c r="O85">
        <f>IF(COUNTA(A85:H85)=0,"",IF(AND(ISNUMBER(E85),E85&gt;0,OR(ISNUMBER(D85),ISNUMBER(G85)),OR(D85="",ISNUMBER(D85)),OR(F85="",ISNUMBER(F85)),OR(G85="",ISNUMBER(G85))),IF(N(F85)&gt;E85,0,1),0))</f>
        <v/>
      </c>
    </row>
    <row r="86">
      <c r="A86" s="29" t="n"/>
      <c r="B86" s="29" t="n"/>
      <c r="C86" s="29" t="n"/>
      <c r="D86" s="24" t="n"/>
      <c r="E86" s="34" t="n"/>
      <c r="F86" s="34" t="n"/>
      <c r="G86" s="24" t="n"/>
      <c r="H86" s="29" t="n"/>
      <c r="I86" s="32">
        <f>IF(O86&lt;&gt;1,"",IF(ISNUMBER(G86),INT(G86),INT(D86)))</f>
        <v/>
      </c>
      <c r="J86" s="21">
        <f>IF(O86&lt;&gt;1,0,E86-N(F86))</f>
        <v/>
      </c>
      <c r="K86" s="35">
        <f>IF(OR(O86&lt;&gt;1,J86&lt;=0),"",IF(H86="Yes","",IF(I86&lt;W1,IF(OverdueW1="No","",1),IF(I86&lt;=W1+90,INT((I86-W1)/7)+1,""))))</f>
        <v/>
      </c>
      <c r="L86" s="36">
        <f>IF(ISNUMBER(K86),J86,0)</f>
        <v/>
      </c>
      <c r="M86" s="10">
        <f>IF(O86="","",IF(O86=0,"Not counted",IF(J86&lt;=0,"Paid",IF(H86="Yes","On hold (left out)",IF(I86&lt;W1,IF(OverdueW1="No","Overdue (left out)","Overdue → Week 1"),IF(I86&lt;=W1+90,"Week "&amp;K86,"After Week 13"))))))</f>
        <v/>
      </c>
      <c r="N86" s="10">
        <f>IF(O86="","",IF(O86=0,IF(NOT(ISNUMBER(E86)),"Fix: amount missing",IF(E86&lt;=0,"Fix: amount must be above 0",IF(AND(NOT(ISNUMBER(D86)),NOT(ISNUMBER(G86))),"Fix: add a due date or a planned pay date",IF(AND(D86&lt;&gt;"",NOT(ISNUMBER(D86))),"Fix: due date isn't a date",IF(AND(F86&lt;&gt;"",NOT(ISNUMBER(F86))),"Fix: paid must be a number",IF(AND(G86&lt;&gt;"",NOT(ISNUMBER(G86))),"Fix: planned date isn't a date","Fix: paid is more than the amount")))))),IF(AND(C86&lt;&gt;"",ISNUMBER(MATCH(C86,OutCats,0))),"OK","Category not on Settings (counted as Other)")))</f>
        <v/>
      </c>
      <c r="O86">
        <f>IF(COUNTA(A86:H86)=0,"",IF(AND(ISNUMBER(E86),E86&gt;0,OR(ISNUMBER(D86),ISNUMBER(G86)),OR(D86="",ISNUMBER(D86)),OR(F86="",ISNUMBER(F86)),OR(G86="",ISNUMBER(G86))),IF(N(F86)&gt;E86,0,1),0))</f>
        <v/>
      </c>
    </row>
    <row r="87">
      <c r="A87" s="29" t="n"/>
      <c r="B87" s="29" t="n"/>
      <c r="C87" s="29" t="n"/>
      <c r="D87" s="24" t="n"/>
      <c r="E87" s="34" t="n"/>
      <c r="F87" s="34" t="n"/>
      <c r="G87" s="24" t="n"/>
      <c r="H87" s="29" t="n"/>
      <c r="I87" s="32">
        <f>IF(O87&lt;&gt;1,"",IF(ISNUMBER(G87),INT(G87),INT(D87)))</f>
        <v/>
      </c>
      <c r="J87" s="21">
        <f>IF(O87&lt;&gt;1,0,E87-N(F87))</f>
        <v/>
      </c>
      <c r="K87" s="35">
        <f>IF(OR(O87&lt;&gt;1,J87&lt;=0),"",IF(H87="Yes","",IF(I87&lt;W1,IF(OverdueW1="No","",1),IF(I87&lt;=W1+90,INT((I87-W1)/7)+1,""))))</f>
        <v/>
      </c>
      <c r="L87" s="36">
        <f>IF(ISNUMBER(K87),J87,0)</f>
        <v/>
      </c>
      <c r="M87" s="10">
        <f>IF(O87="","",IF(O87=0,"Not counted",IF(J87&lt;=0,"Paid",IF(H87="Yes","On hold (left out)",IF(I87&lt;W1,IF(OverdueW1="No","Overdue (left out)","Overdue → Week 1"),IF(I87&lt;=W1+90,"Week "&amp;K87,"After Week 13"))))))</f>
        <v/>
      </c>
      <c r="N87" s="10">
        <f>IF(O87="","",IF(O87=0,IF(NOT(ISNUMBER(E87)),"Fix: amount missing",IF(E87&lt;=0,"Fix: amount must be above 0",IF(AND(NOT(ISNUMBER(D87)),NOT(ISNUMBER(G87))),"Fix: add a due date or a planned pay date",IF(AND(D87&lt;&gt;"",NOT(ISNUMBER(D87))),"Fix: due date isn't a date",IF(AND(F87&lt;&gt;"",NOT(ISNUMBER(F87))),"Fix: paid must be a number",IF(AND(G87&lt;&gt;"",NOT(ISNUMBER(G87))),"Fix: planned date isn't a date","Fix: paid is more than the amount")))))),IF(AND(C87&lt;&gt;"",ISNUMBER(MATCH(C87,OutCats,0))),"OK","Category not on Settings (counted as Other)")))</f>
        <v/>
      </c>
      <c r="O87">
        <f>IF(COUNTA(A87:H87)=0,"",IF(AND(ISNUMBER(E87),E87&gt;0,OR(ISNUMBER(D87),ISNUMBER(G87)),OR(D87="",ISNUMBER(D87)),OR(F87="",ISNUMBER(F87)),OR(G87="",ISNUMBER(G87))),IF(N(F87)&gt;E87,0,1),0))</f>
        <v/>
      </c>
    </row>
    <row r="88">
      <c r="A88" s="29" t="n"/>
      <c r="B88" s="29" t="n"/>
      <c r="C88" s="29" t="n"/>
      <c r="D88" s="24" t="n"/>
      <c r="E88" s="34" t="n"/>
      <c r="F88" s="34" t="n"/>
      <c r="G88" s="24" t="n"/>
      <c r="H88" s="29" t="n"/>
      <c r="I88" s="32">
        <f>IF(O88&lt;&gt;1,"",IF(ISNUMBER(G88),INT(G88),INT(D88)))</f>
        <v/>
      </c>
      <c r="J88" s="21">
        <f>IF(O88&lt;&gt;1,0,E88-N(F88))</f>
        <v/>
      </c>
      <c r="K88" s="35">
        <f>IF(OR(O88&lt;&gt;1,J88&lt;=0),"",IF(H88="Yes","",IF(I88&lt;W1,IF(OverdueW1="No","",1),IF(I88&lt;=W1+90,INT((I88-W1)/7)+1,""))))</f>
        <v/>
      </c>
      <c r="L88" s="36">
        <f>IF(ISNUMBER(K88),J88,0)</f>
        <v/>
      </c>
      <c r="M88" s="10">
        <f>IF(O88="","",IF(O88=0,"Not counted",IF(J88&lt;=0,"Paid",IF(H88="Yes","On hold (left out)",IF(I88&lt;W1,IF(OverdueW1="No","Overdue (left out)","Overdue → Week 1"),IF(I88&lt;=W1+90,"Week "&amp;K88,"After Week 13"))))))</f>
        <v/>
      </c>
      <c r="N88" s="10">
        <f>IF(O88="","",IF(O88=0,IF(NOT(ISNUMBER(E88)),"Fix: amount missing",IF(E88&lt;=0,"Fix: amount must be above 0",IF(AND(NOT(ISNUMBER(D88)),NOT(ISNUMBER(G88))),"Fix: add a due date or a planned pay date",IF(AND(D88&lt;&gt;"",NOT(ISNUMBER(D88))),"Fix: due date isn't a date",IF(AND(F88&lt;&gt;"",NOT(ISNUMBER(F88))),"Fix: paid must be a number",IF(AND(G88&lt;&gt;"",NOT(ISNUMBER(G88))),"Fix: planned date isn't a date","Fix: paid is more than the amount")))))),IF(AND(C88&lt;&gt;"",ISNUMBER(MATCH(C88,OutCats,0))),"OK","Category not on Settings (counted as Other)")))</f>
        <v/>
      </c>
      <c r="O88">
        <f>IF(COUNTA(A88:H88)=0,"",IF(AND(ISNUMBER(E88),E88&gt;0,OR(ISNUMBER(D88),ISNUMBER(G88)),OR(D88="",ISNUMBER(D88)),OR(F88="",ISNUMBER(F88)),OR(G88="",ISNUMBER(G88))),IF(N(F88)&gt;E88,0,1),0))</f>
        <v/>
      </c>
    </row>
    <row r="89">
      <c r="A89" s="29" t="n"/>
      <c r="B89" s="29" t="n"/>
      <c r="C89" s="29" t="n"/>
      <c r="D89" s="24" t="n"/>
      <c r="E89" s="34" t="n"/>
      <c r="F89" s="34" t="n"/>
      <c r="G89" s="24" t="n"/>
      <c r="H89" s="29" t="n"/>
      <c r="I89" s="32">
        <f>IF(O89&lt;&gt;1,"",IF(ISNUMBER(G89),INT(G89),INT(D89)))</f>
        <v/>
      </c>
      <c r="J89" s="21">
        <f>IF(O89&lt;&gt;1,0,E89-N(F89))</f>
        <v/>
      </c>
      <c r="K89" s="35">
        <f>IF(OR(O89&lt;&gt;1,J89&lt;=0),"",IF(H89="Yes","",IF(I89&lt;W1,IF(OverdueW1="No","",1),IF(I89&lt;=W1+90,INT((I89-W1)/7)+1,""))))</f>
        <v/>
      </c>
      <c r="L89" s="36">
        <f>IF(ISNUMBER(K89),J89,0)</f>
        <v/>
      </c>
      <c r="M89" s="10">
        <f>IF(O89="","",IF(O89=0,"Not counted",IF(J89&lt;=0,"Paid",IF(H89="Yes","On hold (left out)",IF(I89&lt;W1,IF(OverdueW1="No","Overdue (left out)","Overdue → Week 1"),IF(I89&lt;=W1+90,"Week "&amp;K89,"After Week 13"))))))</f>
        <v/>
      </c>
      <c r="N89" s="10">
        <f>IF(O89="","",IF(O89=0,IF(NOT(ISNUMBER(E89)),"Fix: amount missing",IF(E89&lt;=0,"Fix: amount must be above 0",IF(AND(NOT(ISNUMBER(D89)),NOT(ISNUMBER(G89))),"Fix: add a due date or a planned pay date",IF(AND(D89&lt;&gt;"",NOT(ISNUMBER(D89))),"Fix: due date isn't a date",IF(AND(F89&lt;&gt;"",NOT(ISNUMBER(F89))),"Fix: paid must be a number",IF(AND(G89&lt;&gt;"",NOT(ISNUMBER(G89))),"Fix: planned date isn't a date","Fix: paid is more than the amount")))))),IF(AND(C89&lt;&gt;"",ISNUMBER(MATCH(C89,OutCats,0))),"OK","Category not on Settings (counted as Other)")))</f>
        <v/>
      </c>
      <c r="O89">
        <f>IF(COUNTA(A89:H89)=0,"",IF(AND(ISNUMBER(E89),E89&gt;0,OR(ISNUMBER(D89),ISNUMBER(G89)),OR(D89="",ISNUMBER(D89)),OR(F89="",ISNUMBER(F89)),OR(G89="",ISNUMBER(G89))),IF(N(F89)&gt;E89,0,1),0))</f>
        <v/>
      </c>
    </row>
    <row r="90">
      <c r="A90" s="29" t="n"/>
      <c r="B90" s="29" t="n"/>
      <c r="C90" s="29" t="n"/>
      <c r="D90" s="24" t="n"/>
      <c r="E90" s="34" t="n"/>
      <c r="F90" s="34" t="n"/>
      <c r="G90" s="24" t="n"/>
      <c r="H90" s="29" t="n"/>
      <c r="I90" s="32">
        <f>IF(O90&lt;&gt;1,"",IF(ISNUMBER(G90),INT(G90),INT(D90)))</f>
        <v/>
      </c>
      <c r="J90" s="21">
        <f>IF(O90&lt;&gt;1,0,E90-N(F90))</f>
        <v/>
      </c>
      <c r="K90" s="35">
        <f>IF(OR(O90&lt;&gt;1,J90&lt;=0),"",IF(H90="Yes","",IF(I90&lt;W1,IF(OverdueW1="No","",1),IF(I90&lt;=W1+90,INT((I90-W1)/7)+1,""))))</f>
        <v/>
      </c>
      <c r="L90" s="36">
        <f>IF(ISNUMBER(K90),J90,0)</f>
        <v/>
      </c>
      <c r="M90" s="10">
        <f>IF(O90="","",IF(O90=0,"Not counted",IF(J90&lt;=0,"Paid",IF(H90="Yes","On hold (left out)",IF(I90&lt;W1,IF(OverdueW1="No","Overdue (left out)","Overdue → Week 1"),IF(I90&lt;=W1+90,"Week "&amp;K90,"After Week 13"))))))</f>
        <v/>
      </c>
      <c r="N90" s="10">
        <f>IF(O90="","",IF(O90=0,IF(NOT(ISNUMBER(E90)),"Fix: amount missing",IF(E90&lt;=0,"Fix: amount must be above 0",IF(AND(NOT(ISNUMBER(D90)),NOT(ISNUMBER(G90))),"Fix: add a due date or a planned pay date",IF(AND(D90&lt;&gt;"",NOT(ISNUMBER(D90))),"Fix: due date isn't a date",IF(AND(F90&lt;&gt;"",NOT(ISNUMBER(F90))),"Fix: paid must be a number",IF(AND(G90&lt;&gt;"",NOT(ISNUMBER(G90))),"Fix: planned date isn't a date","Fix: paid is more than the amount")))))),IF(AND(C90&lt;&gt;"",ISNUMBER(MATCH(C90,OutCats,0))),"OK","Category not on Settings (counted as Other)")))</f>
        <v/>
      </c>
      <c r="O90">
        <f>IF(COUNTA(A90:H90)=0,"",IF(AND(ISNUMBER(E90),E90&gt;0,OR(ISNUMBER(D90),ISNUMBER(G90)),OR(D90="",ISNUMBER(D90)),OR(F90="",ISNUMBER(F90)),OR(G90="",ISNUMBER(G90))),IF(N(F90)&gt;E90,0,1),0))</f>
        <v/>
      </c>
    </row>
    <row r="91">
      <c r="A91" s="29" t="n"/>
      <c r="B91" s="29" t="n"/>
      <c r="C91" s="29" t="n"/>
      <c r="D91" s="24" t="n"/>
      <c r="E91" s="34" t="n"/>
      <c r="F91" s="34" t="n"/>
      <c r="G91" s="24" t="n"/>
      <c r="H91" s="29" t="n"/>
      <c r="I91" s="32">
        <f>IF(O91&lt;&gt;1,"",IF(ISNUMBER(G91),INT(G91),INT(D91)))</f>
        <v/>
      </c>
      <c r="J91" s="21">
        <f>IF(O91&lt;&gt;1,0,E91-N(F91))</f>
        <v/>
      </c>
      <c r="K91" s="35">
        <f>IF(OR(O91&lt;&gt;1,J91&lt;=0),"",IF(H91="Yes","",IF(I91&lt;W1,IF(OverdueW1="No","",1),IF(I91&lt;=W1+90,INT((I91-W1)/7)+1,""))))</f>
        <v/>
      </c>
      <c r="L91" s="36">
        <f>IF(ISNUMBER(K91),J91,0)</f>
        <v/>
      </c>
      <c r="M91" s="10">
        <f>IF(O91="","",IF(O91=0,"Not counted",IF(J91&lt;=0,"Paid",IF(H91="Yes","On hold (left out)",IF(I91&lt;W1,IF(OverdueW1="No","Overdue (left out)","Overdue → Week 1"),IF(I91&lt;=W1+90,"Week "&amp;K91,"After Week 13"))))))</f>
        <v/>
      </c>
      <c r="N91" s="10">
        <f>IF(O91="","",IF(O91=0,IF(NOT(ISNUMBER(E91)),"Fix: amount missing",IF(E91&lt;=0,"Fix: amount must be above 0",IF(AND(NOT(ISNUMBER(D91)),NOT(ISNUMBER(G91))),"Fix: add a due date or a planned pay date",IF(AND(D91&lt;&gt;"",NOT(ISNUMBER(D91))),"Fix: due date isn't a date",IF(AND(F91&lt;&gt;"",NOT(ISNUMBER(F91))),"Fix: paid must be a number",IF(AND(G91&lt;&gt;"",NOT(ISNUMBER(G91))),"Fix: planned date isn't a date","Fix: paid is more than the amount")))))),IF(AND(C91&lt;&gt;"",ISNUMBER(MATCH(C91,OutCats,0))),"OK","Category not on Settings (counted as Other)")))</f>
        <v/>
      </c>
      <c r="O91">
        <f>IF(COUNTA(A91:H91)=0,"",IF(AND(ISNUMBER(E91),E91&gt;0,OR(ISNUMBER(D91),ISNUMBER(G91)),OR(D91="",ISNUMBER(D91)),OR(F91="",ISNUMBER(F91)),OR(G91="",ISNUMBER(G91))),IF(N(F91)&gt;E91,0,1),0))</f>
        <v/>
      </c>
    </row>
    <row r="92">
      <c r="A92" s="29" t="n"/>
      <c r="B92" s="29" t="n"/>
      <c r="C92" s="29" t="n"/>
      <c r="D92" s="24" t="n"/>
      <c r="E92" s="34" t="n"/>
      <c r="F92" s="34" t="n"/>
      <c r="G92" s="24" t="n"/>
      <c r="H92" s="29" t="n"/>
      <c r="I92" s="32">
        <f>IF(O92&lt;&gt;1,"",IF(ISNUMBER(G92),INT(G92),INT(D92)))</f>
        <v/>
      </c>
      <c r="J92" s="21">
        <f>IF(O92&lt;&gt;1,0,E92-N(F92))</f>
        <v/>
      </c>
      <c r="K92" s="35">
        <f>IF(OR(O92&lt;&gt;1,J92&lt;=0),"",IF(H92="Yes","",IF(I92&lt;W1,IF(OverdueW1="No","",1),IF(I92&lt;=W1+90,INT((I92-W1)/7)+1,""))))</f>
        <v/>
      </c>
      <c r="L92" s="36">
        <f>IF(ISNUMBER(K92),J92,0)</f>
        <v/>
      </c>
      <c r="M92" s="10">
        <f>IF(O92="","",IF(O92=0,"Not counted",IF(J92&lt;=0,"Paid",IF(H92="Yes","On hold (left out)",IF(I92&lt;W1,IF(OverdueW1="No","Overdue (left out)","Overdue → Week 1"),IF(I92&lt;=W1+90,"Week "&amp;K92,"After Week 13"))))))</f>
        <v/>
      </c>
      <c r="N92" s="10">
        <f>IF(O92="","",IF(O92=0,IF(NOT(ISNUMBER(E92)),"Fix: amount missing",IF(E92&lt;=0,"Fix: amount must be above 0",IF(AND(NOT(ISNUMBER(D92)),NOT(ISNUMBER(G92))),"Fix: add a due date or a planned pay date",IF(AND(D92&lt;&gt;"",NOT(ISNUMBER(D92))),"Fix: due date isn't a date",IF(AND(F92&lt;&gt;"",NOT(ISNUMBER(F92))),"Fix: paid must be a number",IF(AND(G92&lt;&gt;"",NOT(ISNUMBER(G92))),"Fix: planned date isn't a date","Fix: paid is more than the amount")))))),IF(AND(C92&lt;&gt;"",ISNUMBER(MATCH(C92,OutCats,0))),"OK","Category not on Settings (counted as Other)")))</f>
        <v/>
      </c>
      <c r="O92">
        <f>IF(COUNTA(A92:H92)=0,"",IF(AND(ISNUMBER(E92),E92&gt;0,OR(ISNUMBER(D92),ISNUMBER(G92)),OR(D92="",ISNUMBER(D92)),OR(F92="",ISNUMBER(F92)),OR(G92="",ISNUMBER(G92))),IF(N(F92)&gt;E92,0,1),0))</f>
        <v/>
      </c>
    </row>
    <row r="93">
      <c r="A93" s="29" t="n"/>
      <c r="B93" s="29" t="n"/>
      <c r="C93" s="29" t="n"/>
      <c r="D93" s="24" t="n"/>
      <c r="E93" s="34" t="n"/>
      <c r="F93" s="34" t="n"/>
      <c r="G93" s="24" t="n"/>
      <c r="H93" s="29" t="n"/>
      <c r="I93" s="32">
        <f>IF(O93&lt;&gt;1,"",IF(ISNUMBER(G93),INT(G93),INT(D93)))</f>
        <v/>
      </c>
      <c r="J93" s="21">
        <f>IF(O93&lt;&gt;1,0,E93-N(F93))</f>
        <v/>
      </c>
      <c r="K93" s="35">
        <f>IF(OR(O93&lt;&gt;1,J93&lt;=0),"",IF(H93="Yes","",IF(I93&lt;W1,IF(OverdueW1="No","",1),IF(I93&lt;=W1+90,INT((I93-W1)/7)+1,""))))</f>
        <v/>
      </c>
      <c r="L93" s="36">
        <f>IF(ISNUMBER(K93),J93,0)</f>
        <v/>
      </c>
      <c r="M93" s="10">
        <f>IF(O93="","",IF(O93=0,"Not counted",IF(J93&lt;=0,"Paid",IF(H93="Yes","On hold (left out)",IF(I93&lt;W1,IF(OverdueW1="No","Overdue (left out)","Overdue → Week 1"),IF(I93&lt;=W1+90,"Week "&amp;K93,"After Week 13"))))))</f>
        <v/>
      </c>
      <c r="N93" s="10">
        <f>IF(O93="","",IF(O93=0,IF(NOT(ISNUMBER(E93)),"Fix: amount missing",IF(E93&lt;=0,"Fix: amount must be above 0",IF(AND(NOT(ISNUMBER(D93)),NOT(ISNUMBER(G93))),"Fix: add a due date or a planned pay date",IF(AND(D93&lt;&gt;"",NOT(ISNUMBER(D93))),"Fix: due date isn't a date",IF(AND(F93&lt;&gt;"",NOT(ISNUMBER(F93))),"Fix: paid must be a number",IF(AND(G93&lt;&gt;"",NOT(ISNUMBER(G93))),"Fix: planned date isn't a date","Fix: paid is more than the amount")))))),IF(AND(C93&lt;&gt;"",ISNUMBER(MATCH(C93,OutCats,0))),"OK","Category not on Settings (counted as Other)")))</f>
        <v/>
      </c>
      <c r="O93">
        <f>IF(COUNTA(A93:H93)=0,"",IF(AND(ISNUMBER(E93),E93&gt;0,OR(ISNUMBER(D93),ISNUMBER(G93)),OR(D93="",ISNUMBER(D93)),OR(F93="",ISNUMBER(F93)),OR(G93="",ISNUMBER(G93))),IF(N(F93)&gt;E93,0,1),0))</f>
        <v/>
      </c>
    </row>
    <row r="94">
      <c r="A94" s="29" t="n"/>
      <c r="B94" s="29" t="n"/>
      <c r="C94" s="29" t="n"/>
      <c r="D94" s="24" t="n"/>
      <c r="E94" s="34" t="n"/>
      <c r="F94" s="34" t="n"/>
      <c r="G94" s="24" t="n"/>
      <c r="H94" s="29" t="n"/>
      <c r="I94" s="32">
        <f>IF(O94&lt;&gt;1,"",IF(ISNUMBER(G94),INT(G94),INT(D94)))</f>
        <v/>
      </c>
      <c r="J94" s="21">
        <f>IF(O94&lt;&gt;1,0,E94-N(F94))</f>
        <v/>
      </c>
      <c r="K94" s="35">
        <f>IF(OR(O94&lt;&gt;1,J94&lt;=0),"",IF(H94="Yes","",IF(I94&lt;W1,IF(OverdueW1="No","",1),IF(I94&lt;=W1+90,INT((I94-W1)/7)+1,""))))</f>
        <v/>
      </c>
      <c r="L94" s="36">
        <f>IF(ISNUMBER(K94),J94,0)</f>
        <v/>
      </c>
      <c r="M94" s="10">
        <f>IF(O94="","",IF(O94=0,"Not counted",IF(J94&lt;=0,"Paid",IF(H94="Yes","On hold (left out)",IF(I94&lt;W1,IF(OverdueW1="No","Overdue (left out)","Overdue → Week 1"),IF(I94&lt;=W1+90,"Week "&amp;K94,"After Week 13"))))))</f>
        <v/>
      </c>
      <c r="N94" s="10">
        <f>IF(O94="","",IF(O94=0,IF(NOT(ISNUMBER(E94)),"Fix: amount missing",IF(E94&lt;=0,"Fix: amount must be above 0",IF(AND(NOT(ISNUMBER(D94)),NOT(ISNUMBER(G94))),"Fix: add a due date or a planned pay date",IF(AND(D94&lt;&gt;"",NOT(ISNUMBER(D94))),"Fix: due date isn't a date",IF(AND(F94&lt;&gt;"",NOT(ISNUMBER(F94))),"Fix: paid must be a number",IF(AND(G94&lt;&gt;"",NOT(ISNUMBER(G94))),"Fix: planned date isn't a date","Fix: paid is more than the amount")))))),IF(AND(C94&lt;&gt;"",ISNUMBER(MATCH(C94,OutCats,0))),"OK","Category not on Settings (counted as Other)")))</f>
        <v/>
      </c>
      <c r="O94">
        <f>IF(COUNTA(A94:H94)=0,"",IF(AND(ISNUMBER(E94),E94&gt;0,OR(ISNUMBER(D94),ISNUMBER(G94)),OR(D94="",ISNUMBER(D94)),OR(F94="",ISNUMBER(F94)),OR(G94="",ISNUMBER(G94))),IF(N(F94)&gt;E94,0,1),0))</f>
        <v/>
      </c>
    </row>
    <row r="95">
      <c r="A95" s="29" t="n"/>
      <c r="B95" s="29" t="n"/>
      <c r="C95" s="29" t="n"/>
      <c r="D95" s="24" t="n"/>
      <c r="E95" s="34" t="n"/>
      <c r="F95" s="34" t="n"/>
      <c r="G95" s="24" t="n"/>
      <c r="H95" s="29" t="n"/>
      <c r="I95" s="32">
        <f>IF(O95&lt;&gt;1,"",IF(ISNUMBER(G95),INT(G95),INT(D95)))</f>
        <v/>
      </c>
      <c r="J95" s="21">
        <f>IF(O95&lt;&gt;1,0,E95-N(F95))</f>
        <v/>
      </c>
      <c r="K95" s="35">
        <f>IF(OR(O95&lt;&gt;1,J95&lt;=0),"",IF(H95="Yes","",IF(I95&lt;W1,IF(OverdueW1="No","",1),IF(I95&lt;=W1+90,INT((I95-W1)/7)+1,""))))</f>
        <v/>
      </c>
      <c r="L95" s="36">
        <f>IF(ISNUMBER(K95),J95,0)</f>
        <v/>
      </c>
      <c r="M95" s="10">
        <f>IF(O95="","",IF(O95=0,"Not counted",IF(J95&lt;=0,"Paid",IF(H95="Yes","On hold (left out)",IF(I95&lt;W1,IF(OverdueW1="No","Overdue (left out)","Overdue → Week 1"),IF(I95&lt;=W1+90,"Week "&amp;K95,"After Week 13"))))))</f>
        <v/>
      </c>
      <c r="N95" s="10">
        <f>IF(O95="","",IF(O95=0,IF(NOT(ISNUMBER(E95)),"Fix: amount missing",IF(E95&lt;=0,"Fix: amount must be above 0",IF(AND(NOT(ISNUMBER(D95)),NOT(ISNUMBER(G95))),"Fix: add a due date or a planned pay date",IF(AND(D95&lt;&gt;"",NOT(ISNUMBER(D95))),"Fix: due date isn't a date",IF(AND(F95&lt;&gt;"",NOT(ISNUMBER(F95))),"Fix: paid must be a number",IF(AND(G95&lt;&gt;"",NOT(ISNUMBER(G95))),"Fix: planned date isn't a date","Fix: paid is more than the amount")))))),IF(AND(C95&lt;&gt;"",ISNUMBER(MATCH(C95,OutCats,0))),"OK","Category not on Settings (counted as Other)")))</f>
        <v/>
      </c>
      <c r="O95">
        <f>IF(COUNTA(A95:H95)=0,"",IF(AND(ISNUMBER(E95),E95&gt;0,OR(ISNUMBER(D95),ISNUMBER(G95)),OR(D95="",ISNUMBER(D95)),OR(F95="",ISNUMBER(F95)),OR(G95="",ISNUMBER(G95))),IF(N(F95)&gt;E95,0,1),0))</f>
        <v/>
      </c>
    </row>
    <row r="96">
      <c r="A96" s="29" t="n"/>
      <c r="B96" s="29" t="n"/>
      <c r="C96" s="29" t="n"/>
      <c r="D96" s="24" t="n"/>
      <c r="E96" s="34" t="n"/>
      <c r="F96" s="34" t="n"/>
      <c r="G96" s="24" t="n"/>
      <c r="H96" s="29" t="n"/>
      <c r="I96" s="32">
        <f>IF(O96&lt;&gt;1,"",IF(ISNUMBER(G96),INT(G96),INT(D96)))</f>
        <v/>
      </c>
      <c r="J96" s="21">
        <f>IF(O96&lt;&gt;1,0,E96-N(F96))</f>
        <v/>
      </c>
      <c r="K96" s="35">
        <f>IF(OR(O96&lt;&gt;1,J96&lt;=0),"",IF(H96="Yes","",IF(I96&lt;W1,IF(OverdueW1="No","",1),IF(I96&lt;=W1+90,INT((I96-W1)/7)+1,""))))</f>
        <v/>
      </c>
      <c r="L96" s="36">
        <f>IF(ISNUMBER(K96),J96,0)</f>
        <v/>
      </c>
      <c r="M96" s="10">
        <f>IF(O96="","",IF(O96=0,"Not counted",IF(J96&lt;=0,"Paid",IF(H96="Yes","On hold (left out)",IF(I96&lt;W1,IF(OverdueW1="No","Overdue (left out)","Overdue → Week 1"),IF(I96&lt;=W1+90,"Week "&amp;K96,"After Week 13"))))))</f>
        <v/>
      </c>
      <c r="N96" s="10">
        <f>IF(O96="","",IF(O96=0,IF(NOT(ISNUMBER(E96)),"Fix: amount missing",IF(E96&lt;=0,"Fix: amount must be above 0",IF(AND(NOT(ISNUMBER(D96)),NOT(ISNUMBER(G96))),"Fix: add a due date or a planned pay date",IF(AND(D96&lt;&gt;"",NOT(ISNUMBER(D96))),"Fix: due date isn't a date",IF(AND(F96&lt;&gt;"",NOT(ISNUMBER(F96))),"Fix: paid must be a number",IF(AND(G96&lt;&gt;"",NOT(ISNUMBER(G96))),"Fix: planned date isn't a date","Fix: paid is more than the amount")))))),IF(AND(C96&lt;&gt;"",ISNUMBER(MATCH(C96,OutCats,0))),"OK","Category not on Settings (counted as Other)")))</f>
        <v/>
      </c>
      <c r="O96">
        <f>IF(COUNTA(A96:H96)=0,"",IF(AND(ISNUMBER(E96),E96&gt;0,OR(ISNUMBER(D96),ISNUMBER(G96)),OR(D96="",ISNUMBER(D96)),OR(F96="",ISNUMBER(F96)),OR(G96="",ISNUMBER(G96))),IF(N(F96)&gt;E96,0,1),0))</f>
        <v/>
      </c>
    </row>
    <row r="97">
      <c r="A97" s="29" t="n"/>
      <c r="B97" s="29" t="n"/>
      <c r="C97" s="29" t="n"/>
      <c r="D97" s="24" t="n"/>
      <c r="E97" s="34" t="n"/>
      <c r="F97" s="34" t="n"/>
      <c r="G97" s="24" t="n"/>
      <c r="H97" s="29" t="n"/>
      <c r="I97" s="32">
        <f>IF(O97&lt;&gt;1,"",IF(ISNUMBER(G97),INT(G97),INT(D97)))</f>
        <v/>
      </c>
      <c r="J97" s="21">
        <f>IF(O97&lt;&gt;1,0,E97-N(F97))</f>
        <v/>
      </c>
      <c r="K97" s="35">
        <f>IF(OR(O97&lt;&gt;1,J97&lt;=0),"",IF(H97="Yes","",IF(I97&lt;W1,IF(OverdueW1="No","",1),IF(I97&lt;=W1+90,INT((I97-W1)/7)+1,""))))</f>
        <v/>
      </c>
      <c r="L97" s="36">
        <f>IF(ISNUMBER(K97),J97,0)</f>
        <v/>
      </c>
      <c r="M97" s="10">
        <f>IF(O97="","",IF(O97=0,"Not counted",IF(J97&lt;=0,"Paid",IF(H97="Yes","On hold (left out)",IF(I97&lt;W1,IF(OverdueW1="No","Overdue (left out)","Overdue → Week 1"),IF(I97&lt;=W1+90,"Week "&amp;K97,"After Week 13"))))))</f>
        <v/>
      </c>
      <c r="N97" s="10">
        <f>IF(O97="","",IF(O97=0,IF(NOT(ISNUMBER(E97)),"Fix: amount missing",IF(E97&lt;=0,"Fix: amount must be above 0",IF(AND(NOT(ISNUMBER(D97)),NOT(ISNUMBER(G97))),"Fix: add a due date or a planned pay date",IF(AND(D97&lt;&gt;"",NOT(ISNUMBER(D97))),"Fix: due date isn't a date",IF(AND(F97&lt;&gt;"",NOT(ISNUMBER(F97))),"Fix: paid must be a number",IF(AND(G97&lt;&gt;"",NOT(ISNUMBER(G97))),"Fix: planned date isn't a date","Fix: paid is more than the amount")))))),IF(AND(C97&lt;&gt;"",ISNUMBER(MATCH(C97,OutCats,0))),"OK","Category not on Settings (counted as Other)")))</f>
        <v/>
      </c>
      <c r="O97">
        <f>IF(COUNTA(A97:H97)=0,"",IF(AND(ISNUMBER(E97),E97&gt;0,OR(ISNUMBER(D97),ISNUMBER(G97)),OR(D97="",ISNUMBER(D97)),OR(F97="",ISNUMBER(F97)),OR(G97="",ISNUMBER(G97))),IF(N(F97)&gt;E97,0,1),0))</f>
        <v/>
      </c>
    </row>
    <row r="98">
      <c r="A98" s="29" t="n"/>
      <c r="B98" s="29" t="n"/>
      <c r="C98" s="29" t="n"/>
      <c r="D98" s="24" t="n"/>
      <c r="E98" s="34" t="n"/>
      <c r="F98" s="34" t="n"/>
      <c r="G98" s="24" t="n"/>
      <c r="H98" s="29" t="n"/>
      <c r="I98" s="32">
        <f>IF(O98&lt;&gt;1,"",IF(ISNUMBER(G98),INT(G98),INT(D98)))</f>
        <v/>
      </c>
      <c r="J98" s="21">
        <f>IF(O98&lt;&gt;1,0,E98-N(F98))</f>
        <v/>
      </c>
      <c r="K98" s="35">
        <f>IF(OR(O98&lt;&gt;1,J98&lt;=0),"",IF(H98="Yes","",IF(I98&lt;W1,IF(OverdueW1="No","",1),IF(I98&lt;=W1+90,INT((I98-W1)/7)+1,""))))</f>
        <v/>
      </c>
      <c r="L98" s="36">
        <f>IF(ISNUMBER(K98),J98,0)</f>
        <v/>
      </c>
      <c r="M98" s="10">
        <f>IF(O98="","",IF(O98=0,"Not counted",IF(J98&lt;=0,"Paid",IF(H98="Yes","On hold (left out)",IF(I98&lt;W1,IF(OverdueW1="No","Overdue (left out)","Overdue → Week 1"),IF(I98&lt;=W1+90,"Week "&amp;K98,"After Week 13"))))))</f>
        <v/>
      </c>
      <c r="N98" s="10">
        <f>IF(O98="","",IF(O98=0,IF(NOT(ISNUMBER(E98)),"Fix: amount missing",IF(E98&lt;=0,"Fix: amount must be above 0",IF(AND(NOT(ISNUMBER(D98)),NOT(ISNUMBER(G98))),"Fix: add a due date or a planned pay date",IF(AND(D98&lt;&gt;"",NOT(ISNUMBER(D98))),"Fix: due date isn't a date",IF(AND(F98&lt;&gt;"",NOT(ISNUMBER(F98))),"Fix: paid must be a number",IF(AND(G98&lt;&gt;"",NOT(ISNUMBER(G98))),"Fix: planned date isn't a date","Fix: paid is more than the amount")))))),IF(AND(C98&lt;&gt;"",ISNUMBER(MATCH(C98,OutCats,0))),"OK","Category not on Settings (counted as Other)")))</f>
        <v/>
      </c>
      <c r="O98">
        <f>IF(COUNTA(A98:H98)=0,"",IF(AND(ISNUMBER(E98),E98&gt;0,OR(ISNUMBER(D98),ISNUMBER(G98)),OR(D98="",ISNUMBER(D98)),OR(F98="",ISNUMBER(F98)),OR(G98="",ISNUMBER(G98))),IF(N(F98)&gt;E98,0,1),0))</f>
        <v/>
      </c>
    </row>
    <row r="99">
      <c r="A99" s="29" t="n"/>
      <c r="B99" s="29" t="n"/>
      <c r="C99" s="29" t="n"/>
      <c r="D99" s="24" t="n"/>
      <c r="E99" s="34" t="n"/>
      <c r="F99" s="34" t="n"/>
      <c r="G99" s="24" t="n"/>
      <c r="H99" s="29" t="n"/>
      <c r="I99" s="32">
        <f>IF(O99&lt;&gt;1,"",IF(ISNUMBER(G99),INT(G99),INT(D99)))</f>
        <v/>
      </c>
      <c r="J99" s="21">
        <f>IF(O99&lt;&gt;1,0,E99-N(F99))</f>
        <v/>
      </c>
      <c r="K99" s="35">
        <f>IF(OR(O99&lt;&gt;1,J99&lt;=0),"",IF(H99="Yes","",IF(I99&lt;W1,IF(OverdueW1="No","",1),IF(I99&lt;=W1+90,INT((I99-W1)/7)+1,""))))</f>
        <v/>
      </c>
      <c r="L99" s="36">
        <f>IF(ISNUMBER(K99),J99,0)</f>
        <v/>
      </c>
      <c r="M99" s="10">
        <f>IF(O99="","",IF(O99=0,"Not counted",IF(J99&lt;=0,"Paid",IF(H99="Yes","On hold (left out)",IF(I99&lt;W1,IF(OverdueW1="No","Overdue (left out)","Overdue → Week 1"),IF(I99&lt;=W1+90,"Week "&amp;K99,"After Week 13"))))))</f>
        <v/>
      </c>
      <c r="N99" s="10">
        <f>IF(O99="","",IF(O99=0,IF(NOT(ISNUMBER(E99)),"Fix: amount missing",IF(E99&lt;=0,"Fix: amount must be above 0",IF(AND(NOT(ISNUMBER(D99)),NOT(ISNUMBER(G99))),"Fix: add a due date or a planned pay date",IF(AND(D99&lt;&gt;"",NOT(ISNUMBER(D99))),"Fix: due date isn't a date",IF(AND(F99&lt;&gt;"",NOT(ISNUMBER(F99))),"Fix: paid must be a number",IF(AND(G99&lt;&gt;"",NOT(ISNUMBER(G99))),"Fix: planned date isn't a date","Fix: paid is more than the amount")))))),IF(AND(C99&lt;&gt;"",ISNUMBER(MATCH(C99,OutCats,0))),"OK","Category not on Settings (counted as Other)")))</f>
        <v/>
      </c>
      <c r="O99">
        <f>IF(COUNTA(A99:H99)=0,"",IF(AND(ISNUMBER(E99),E99&gt;0,OR(ISNUMBER(D99),ISNUMBER(G99)),OR(D99="",ISNUMBER(D99)),OR(F99="",ISNUMBER(F99)),OR(G99="",ISNUMBER(G99))),IF(N(F99)&gt;E99,0,1),0))</f>
        <v/>
      </c>
    </row>
    <row r="100">
      <c r="A100" s="29" t="n"/>
      <c r="B100" s="29" t="n"/>
      <c r="C100" s="29" t="n"/>
      <c r="D100" s="24" t="n"/>
      <c r="E100" s="34" t="n"/>
      <c r="F100" s="34" t="n"/>
      <c r="G100" s="24" t="n"/>
      <c r="H100" s="29" t="n"/>
      <c r="I100" s="32">
        <f>IF(O100&lt;&gt;1,"",IF(ISNUMBER(G100),INT(G100),INT(D100)))</f>
        <v/>
      </c>
      <c r="J100" s="21">
        <f>IF(O100&lt;&gt;1,0,E100-N(F100))</f>
        <v/>
      </c>
      <c r="K100" s="35">
        <f>IF(OR(O100&lt;&gt;1,J100&lt;=0),"",IF(H100="Yes","",IF(I100&lt;W1,IF(OverdueW1="No","",1),IF(I100&lt;=W1+90,INT((I100-W1)/7)+1,""))))</f>
        <v/>
      </c>
      <c r="L100" s="36">
        <f>IF(ISNUMBER(K100),J100,0)</f>
        <v/>
      </c>
      <c r="M100" s="10">
        <f>IF(O100="","",IF(O100=0,"Not counted",IF(J100&lt;=0,"Paid",IF(H100="Yes","On hold (left out)",IF(I100&lt;W1,IF(OverdueW1="No","Overdue (left out)","Overdue → Week 1"),IF(I100&lt;=W1+90,"Week "&amp;K100,"After Week 13"))))))</f>
        <v/>
      </c>
      <c r="N100" s="10">
        <f>IF(O100="","",IF(O100=0,IF(NOT(ISNUMBER(E100)),"Fix: amount missing",IF(E100&lt;=0,"Fix: amount must be above 0",IF(AND(NOT(ISNUMBER(D100)),NOT(ISNUMBER(G100))),"Fix: add a due date or a planned pay date",IF(AND(D100&lt;&gt;"",NOT(ISNUMBER(D100))),"Fix: due date isn't a date",IF(AND(F100&lt;&gt;"",NOT(ISNUMBER(F100))),"Fix: paid must be a number",IF(AND(G100&lt;&gt;"",NOT(ISNUMBER(G100))),"Fix: planned date isn't a date","Fix: paid is more than the amount")))))),IF(AND(C100&lt;&gt;"",ISNUMBER(MATCH(C100,OutCats,0))),"OK","Category not on Settings (counted as Other)")))</f>
        <v/>
      </c>
      <c r="O100">
        <f>IF(COUNTA(A100:H100)=0,"",IF(AND(ISNUMBER(E100),E100&gt;0,OR(ISNUMBER(D100),ISNUMBER(G100)),OR(D100="",ISNUMBER(D100)),OR(F100="",ISNUMBER(F100)),OR(G100="",ISNUMBER(G100))),IF(N(F100)&gt;E100,0,1),0))</f>
        <v/>
      </c>
    </row>
    <row r="101">
      <c r="A101" s="29" t="n"/>
      <c r="B101" s="29" t="n"/>
      <c r="C101" s="29" t="n"/>
      <c r="D101" s="24" t="n"/>
      <c r="E101" s="34" t="n"/>
      <c r="F101" s="34" t="n"/>
      <c r="G101" s="24" t="n"/>
      <c r="H101" s="29" t="n"/>
      <c r="I101" s="32">
        <f>IF(O101&lt;&gt;1,"",IF(ISNUMBER(G101),INT(G101),INT(D101)))</f>
        <v/>
      </c>
      <c r="J101" s="21">
        <f>IF(O101&lt;&gt;1,0,E101-N(F101))</f>
        <v/>
      </c>
      <c r="K101" s="35">
        <f>IF(OR(O101&lt;&gt;1,J101&lt;=0),"",IF(H101="Yes","",IF(I101&lt;W1,IF(OverdueW1="No","",1),IF(I101&lt;=W1+90,INT((I101-W1)/7)+1,""))))</f>
        <v/>
      </c>
      <c r="L101" s="36">
        <f>IF(ISNUMBER(K101),J101,0)</f>
        <v/>
      </c>
      <c r="M101" s="10">
        <f>IF(O101="","",IF(O101=0,"Not counted",IF(J101&lt;=0,"Paid",IF(H101="Yes","On hold (left out)",IF(I101&lt;W1,IF(OverdueW1="No","Overdue (left out)","Overdue → Week 1"),IF(I101&lt;=W1+90,"Week "&amp;K101,"After Week 13"))))))</f>
        <v/>
      </c>
      <c r="N101" s="10">
        <f>IF(O101="","",IF(O101=0,IF(NOT(ISNUMBER(E101)),"Fix: amount missing",IF(E101&lt;=0,"Fix: amount must be above 0",IF(AND(NOT(ISNUMBER(D101)),NOT(ISNUMBER(G101))),"Fix: add a due date or a planned pay date",IF(AND(D101&lt;&gt;"",NOT(ISNUMBER(D101))),"Fix: due date isn't a date",IF(AND(F101&lt;&gt;"",NOT(ISNUMBER(F101))),"Fix: paid must be a number",IF(AND(G101&lt;&gt;"",NOT(ISNUMBER(G101))),"Fix: planned date isn't a date","Fix: paid is more than the amount")))))),IF(AND(C101&lt;&gt;"",ISNUMBER(MATCH(C101,OutCats,0))),"OK","Category not on Settings (counted as Other)")))</f>
        <v/>
      </c>
      <c r="O101">
        <f>IF(COUNTA(A101:H101)=0,"",IF(AND(ISNUMBER(E101),E101&gt;0,OR(ISNUMBER(D101),ISNUMBER(G101)),OR(D101="",ISNUMBER(D101)),OR(F101="",ISNUMBER(F101)),OR(G101="",ISNUMBER(G101))),IF(N(F101)&gt;E101,0,1),0))</f>
        <v/>
      </c>
    </row>
    <row r="102">
      <c r="A102" s="29" t="n"/>
      <c r="B102" s="29" t="n"/>
      <c r="C102" s="29" t="n"/>
      <c r="D102" s="24" t="n"/>
      <c r="E102" s="34" t="n"/>
      <c r="F102" s="34" t="n"/>
      <c r="G102" s="24" t="n"/>
      <c r="H102" s="29" t="n"/>
      <c r="I102" s="32">
        <f>IF(O102&lt;&gt;1,"",IF(ISNUMBER(G102),INT(G102),INT(D102)))</f>
        <v/>
      </c>
      <c r="J102" s="21">
        <f>IF(O102&lt;&gt;1,0,E102-N(F102))</f>
        <v/>
      </c>
      <c r="K102" s="35">
        <f>IF(OR(O102&lt;&gt;1,J102&lt;=0),"",IF(H102="Yes","",IF(I102&lt;W1,IF(OverdueW1="No","",1),IF(I102&lt;=W1+90,INT((I102-W1)/7)+1,""))))</f>
        <v/>
      </c>
      <c r="L102" s="36">
        <f>IF(ISNUMBER(K102),J102,0)</f>
        <v/>
      </c>
      <c r="M102" s="10">
        <f>IF(O102="","",IF(O102=0,"Not counted",IF(J102&lt;=0,"Paid",IF(H102="Yes","On hold (left out)",IF(I102&lt;W1,IF(OverdueW1="No","Overdue (left out)","Overdue → Week 1"),IF(I102&lt;=W1+90,"Week "&amp;K102,"After Week 13"))))))</f>
        <v/>
      </c>
      <c r="N102" s="10">
        <f>IF(O102="","",IF(O102=0,IF(NOT(ISNUMBER(E102)),"Fix: amount missing",IF(E102&lt;=0,"Fix: amount must be above 0",IF(AND(NOT(ISNUMBER(D102)),NOT(ISNUMBER(G102))),"Fix: add a due date or a planned pay date",IF(AND(D102&lt;&gt;"",NOT(ISNUMBER(D102))),"Fix: due date isn't a date",IF(AND(F102&lt;&gt;"",NOT(ISNUMBER(F102))),"Fix: paid must be a number",IF(AND(G102&lt;&gt;"",NOT(ISNUMBER(G102))),"Fix: planned date isn't a date","Fix: paid is more than the amount")))))),IF(AND(C102&lt;&gt;"",ISNUMBER(MATCH(C102,OutCats,0))),"OK","Category not on Settings (counted as Other)")))</f>
        <v/>
      </c>
      <c r="O102">
        <f>IF(COUNTA(A102:H102)=0,"",IF(AND(ISNUMBER(E102),E102&gt;0,OR(ISNUMBER(D102),ISNUMBER(G102)),OR(D102="",ISNUMBER(D102)),OR(F102="",ISNUMBER(F102)),OR(G102="",ISNUMBER(G102))),IF(N(F102)&gt;E102,0,1),0))</f>
        <v/>
      </c>
    </row>
    <row r="103">
      <c r="A103" s="29" t="n"/>
      <c r="B103" s="29" t="n"/>
      <c r="C103" s="29" t="n"/>
      <c r="D103" s="24" t="n"/>
      <c r="E103" s="34" t="n"/>
      <c r="F103" s="34" t="n"/>
      <c r="G103" s="24" t="n"/>
      <c r="H103" s="29" t="n"/>
      <c r="I103" s="32">
        <f>IF(O103&lt;&gt;1,"",IF(ISNUMBER(G103),INT(G103),INT(D103)))</f>
        <v/>
      </c>
      <c r="J103" s="21">
        <f>IF(O103&lt;&gt;1,0,E103-N(F103))</f>
        <v/>
      </c>
      <c r="K103" s="35">
        <f>IF(OR(O103&lt;&gt;1,J103&lt;=0),"",IF(H103="Yes","",IF(I103&lt;W1,IF(OverdueW1="No","",1),IF(I103&lt;=W1+90,INT((I103-W1)/7)+1,""))))</f>
        <v/>
      </c>
      <c r="L103" s="36">
        <f>IF(ISNUMBER(K103),J103,0)</f>
        <v/>
      </c>
      <c r="M103" s="10">
        <f>IF(O103="","",IF(O103=0,"Not counted",IF(J103&lt;=0,"Paid",IF(H103="Yes","On hold (left out)",IF(I103&lt;W1,IF(OverdueW1="No","Overdue (left out)","Overdue → Week 1"),IF(I103&lt;=W1+90,"Week "&amp;K103,"After Week 13"))))))</f>
        <v/>
      </c>
      <c r="N103" s="10">
        <f>IF(O103="","",IF(O103=0,IF(NOT(ISNUMBER(E103)),"Fix: amount missing",IF(E103&lt;=0,"Fix: amount must be above 0",IF(AND(NOT(ISNUMBER(D103)),NOT(ISNUMBER(G103))),"Fix: add a due date or a planned pay date",IF(AND(D103&lt;&gt;"",NOT(ISNUMBER(D103))),"Fix: due date isn't a date",IF(AND(F103&lt;&gt;"",NOT(ISNUMBER(F103))),"Fix: paid must be a number",IF(AND(G103&lt;&gt;"",NOT(ISNUMBER(G103))),"Fix: planned date isn't a date","Fix: paid is more than the amount")))))),IF(AND(C103&lt;&gt;"",ISNUMBER(MATCH(C103,OutCats,0))),"OK","Category not on Settings (counted as Other)")))</f>
        <v/>
      </c>
      <c r="O103">
        <f>IF(COUNTA(A103:H103)=0,"",IF(AND(ISNUMBER(E103),E103&gt;0,OR(ISNUMBER(D103),ISNUMBER(G103)),OR(D103="",ISNUMBER(D103)),OR(F103="",ISNUMBER(F103)),OR(G103="",ISNUMBER(G103))),IF(N(F103)&gt;E103,0,1),0))</f>
        <v/>
      </c>
    </row>
    <row r="104">
      <c r="A104" s="29" t="n"/>
      <c r="B104" s="29" t="n"/>
      <c r="C104" s="29" t="n"/>
      <c r="D104" s="24" t="n"/>
      <c r="E104" s="34" t="n"/>
      <c r="F104" s="34" t="n"/>
      <c r="G104" s="24" t="n"/>
      <c r="H104" s="29" t="n"/>
      <c r="I104" s="32">
        <f>IF(O104&lt;&gt;1,"",IF(ISNUMBER(G104),INT(G104),INT(D104)))</f>
        <v/>
      </c>
      <c r="J104" s="21">
        <f>IF(O104&lt;&gt;1,0,E104-N(F104))</f>
        <v/>
      </c>
      <c r="K104" s="35">
        <f>IF(OR(O104&lt;&gt;1,J104&lt;=0),"",IF(H104="Yes","",IF(I104&lt;W1,IF(OverdueW1="No","",1),IF(I104&lt;=W1+90,INT((I104-W1)/7)+1,""))))</f>
        <v/>
      </c>
      <c r="L104" s="36">
        <f>IF(ISNUMBER(K104),J104,0)</f>
        <v/>
      </c>
      <c r="M104" s="10">
        <f>IF(O104="","",IF(O104=0,"Not counted",IF(J104&lt;=0,"Paid",IF(H104="Yes","On hold (left out)",IF(I104&lt;W1,IF(OverdueW1="No","Overdue (left out)","Overdue → Week 1"),IF(I104&lt;=W1+90,"Week "&amp;K104,"After Week 13"))))))</f>
        <v/>
      </c>
      <c r="N104" s="10">
        <f>IF(O104="","",IF(O104=0,IF(NOT(ISNUMBER(E104)),"Fix: amount missing",IF(E104&lt;=0,"Fix: amount must be above 0",IF(AND(NOT(ISNUMBER(D104)),NOT(ISNUMBER(G104))),"Fix: add a due date or a planned pay date",IF(AND(D104&lt;&gt;"",NOT(ISNUMBER(D104))),"Fix: due date isn't a date",IF(AND(F104&lt;&gt;"",NOT(ISNUMBER(F104))),"Fix: paid must be a number",IF(AND(G104&lt;&gt;"",NOT(ISNUMBER(G104))),"Fix: planned date isn't a date","Fix: paid is more than the amount")))))),IF(AND(C104&lt;&gt;"",ISNUMBER(MATCH(C104,OutCats,0))),"OK","Category not on Settings (counted as Other)")))</f>
        <v/>
      </c>
      <c r="O104">
        <f>IF(COUNTA(A104:H104)=0,"",IF(AND(ISNUMBER(E104),E104&gt;0,OR(ISNUMBER(D104),ISNUMBER(G104)),OR(D104="",ISNUMBER(D104)),OR(F104="",ISNUMBER(F104)),OR(G104="",ISNUMBER(G104))),IF(N(F104)&gt;E104,0,1),0))</f>
        <v/>
      </c>
    </row>
    <row r="105">
      <c r="A105" s="29" t="n"/>
      <c r="B105" s="29" t="n"/>
      <c r="C105" s="29" t="n"/>
      <c r="D105" s="24" t="n"/>
      <c r="E105" s="34" t="n"/>
      <c r="F105" s="34" t="n"/>
      <c r="G105" s="24" t="n"/>
      <c r="H105" s="29" t="n"/>
      <c r="I105" s="32">
        <f>IF(O105&lt;&gt;1,"",IF(ISNUMBER(G105),INT(G105),INT(D105)))</f>
        <v/>
      </c>
      <c r="J105" s="21">
        <f>IF(O105&lt;&gt;1,0,E105-N(F105))</f>
        <v/>
      </c>
      <c r="K105" s="35">
        <f>IF(OR(O105&lt;&gt;1,J105&lt;=0),"",IF(H105="Yes","",IF(I105&lt;W1,IF(OverdueW1="No","",1),IF(I105&lt;=W1+90,INT((I105-W1)/7)+1,""))))</f>
        <v/>
      </c>
      <c r="L105" s="36">
        <f>IF(ISNUMBER(K105),J105,0)</f>
        <v/>
      </c>
      <c r="M105" s="10">
        <f>IF(O105="","",IF(O105=0,"Not counted",IF(J105&lt;=0,"Paid",IF(H105="Yes","On hold (left out)",IF(I105&lt;W1,IF(OverdueW1="No","Overdue (left out)","Overdue → Week 1"),IF(I105&lt;=W1+90,"Week "&amp;K105,"After Week 13"))))))</f>
        <v/>
      </c>
      <c r="N105" s="10">
        <f>IF(O105="","",IF(O105=0,IF(NOT(ISNUMBER(E105)),"Fix: amount missing",IF(E105&lt;=0,"Fix: amount must be above 0",IF(AND(NOT(ISNUMBER(D105)),NOT(ISNUMBER(G105))),"Fix: add a due date or a planned pay date",IF(AND(D105&lt;&gt;"",NOT(ISNUMBER(D105))),"Fix: due date isn't a date",IF(AND(F105&lt;&gt;"",NOT(ISNUMBER(F105))),"Fix: paid must be a number",IF(AND(G105&lt;&gt;"",NOT(ISNUMBER(G105))),"Fix: planned date isn't a date","Fix: paid is more than the amount")))))),IF(AND(C105&lt;&gt;"",ISNUMBER(MATCH(C105,OutCats,0))),"OK","Category not on Settings (counted as Other)")))</f>
        <v/>
      </c>
      <c r="O105">
        <f>IF(COUNTA(A105:H105)=0,"",IF(AND(ISNUMBER(E105),E105&gt;0,OR(ISNUMBER(D105),ISNUMBER(G105)),OR(D105="",ISNUMBER(D105)),OR(F105="",ISNUMBER(F105)),OR(G105="",ISNUMBER(G105))),IF(N(F105)&gt;E105,0,1),0))</f>
        <v/>
      </c>
    </row>
    <row r="106">
      <c r="A106" s="29" t="n"/>
      <c r="B106" s="29" t="n"/>
      <c r="C106" s="29" t="n"/>
      <c r="D106" s="24" t="n"/>
      <c r="E106" s="34" t="n"/>
      <c r="F106" s="34" t="n"/>
      <c r="G106" s="24" t="n"/>
      <c r="H106" s="29" t="n"/>
      <c r="I106" s="32">
        <f>IF(O106&lt;&gt;1,"",IF(ISNUMBER(G106),INT(G106),INT(D106)))</f>
        <v/>
      </c>
      <c r="J106" s="21">
        <f>IF(O106&lt;&gt;1,0,E106-N(F106))</f>
        <v/>
      </c>
      <c r="K106" s="35">
        <f>IF(OR(O106&lt;&gt;1,J106&lt;=0),"",IF(H106="Yes","",IF(I106&lt;W1,IF(OverdueW1="No","",1),IF(I106&lt;=W1+90,INT((I106-W1)/7)+1,""))))</f>
        <v/>
      </c>
      <c r="L106" s="36">
        <f>IF(ISNUMBER(K106),J106,0)</f>
        <v/>
      </c>
      <c r="M106" s="10">
        <f>IF(O106="","",IF(O106=0,"Not counted",IF(J106&lt;=0,"Paid",IF(H106="Yes","On hold (left out)",IF(I106&lt;W1,IF(OverdueW1="No","Overdue (left out)","Overdue → Week 1"),IF(I106&lt;=W1+90,"Week "&amp;K106,"After Week 13"))))))</f>
        <v/>
      </c>
      <c r="N106" s="10">
        <f>IF(O106="","",IF(O106=0,IF(NOT(ISNUMBER(E106)),"Fix: amount missing",IF(E106&lt;=0,"Fix: amount must be above 0",IF(AND(NOT(ISNUMBER(D106)),NOT(ISNUMBER(G106))),"Fix: add a due date or a planned pay date",IF(AND(D106&lt;&gt;"",NOT(ISNUMBER(D106))),"Fix: due date isn't a date",IF(AND(F106&lt;&gt;"",NOT(ISNUMBER(F106))),"Fix: paid must be a number",IF(AND(G106&lt;&gt;"",NOT(ISNUMBER(G106))),"Fix: planned date isn't a date","Fix: paid is more than the amount")))))),IF(AND(C106&lt;&gt;"",ISNUMBER(MATCH(C106,OutCats,0))),"OK","Category not on Settings (counted as Other)")))</f>
        <v/>
      </c>
      <c r="O106">
        <f>IF(COUNTA(A106:H106)=0,"",IF(AND(ISNUMBER(E106),E106&gt;0,OR(ISNUMBER(D106),ISNUMBER(G106)),OR(D106="",ISNUMBER(D106)),OR(F106="",ISNUMBER(F106)),OR(G106="",ISNUMBER(G106))),IF(N(F106)&gt;E106,0,1),0))</f>
        <v/>
      </c>
    </row>
    <row r="107">
      <c r="A107" s="29" t="n"/>
      <c r="B107" s="29" t="n"/>
      <c r="C107" s="29" t="n"/>
      <c r="D107" s="24" t="n"/>
      <c r="E107" s="34" t="n"/>
      <c r="F107" s="34" t="n"/>
      <c r="G107" s="24" t="n"/>
      <c r="H107" s="29" t="n"/>
      <c r="I107" s="32">
        <f>IF(O107&lt;&gt;1,"",IF(ISNUMBER(G107),INT(G107),INT(D107)))</f>
        <v/>
      </c>
      <c r="J107" s="21">
        <f>IF(O107&lt;&gt;1,0,E107-N(F107))</f>
        <v/>
      </c>
      <c r="K107" s="35">
        <f>IF(OR(O107&lt;&gt;1,J107&lt;=0),"",IF(H107="Yes","",IF(I107&lt;W1,IF(OverdueW1="No","",1),IF(I107&lt;=W1+90,INT((I107-W1)/7)+1,""))))</f>
        <v/>
      </c>
      <c r="L107" s="36">
        <f>IF(ISNUMBER(K107),J107,0)</f>
        <v/>
      </c>
      <c r="M107" s="10">
        <f>IF(O107="","",IF(O107=0,"Not counted",IF(J107&lt;=0,"Paid",IF(H107="Yes","On hold (left out)",IF(I107&lt;W1,IF(OverdueW1="No","Overdue (left out)","Overdue → Week 1"),IF(I107&lt;=W1+90,"Week "&amp;K107,"After Week 13"))))))</f>
        <v/>
      </c>
      <c r="N107" s="10">
        <f>IF(O107="","",IF(O107=0,IF(NOT(ISNUMBER(E107)),"Fix: amount missing",IF(E107&lt;=0,"Fix: amount must be above 0",IF(AND(NOT(ISNUMBER(D107)),NOT(ISNUMBER(G107))),"Fix: add a due date or a planned pay date",IF(AND(D107&lt;&gt;"",NOT(ISNUMBER(D107))),"Fix: due date isn't a date",IF(AND(F107&lt;&gt;"",NOT(ISNUMBER(F107))),"Fix: paid must be a number",IF(AND(G107&lt;&gt;"",NOT(ISNUMBER(G107))),"Fix: planned date isn't a date","Fix: paid is more than the amount")))))),IF(AND(C107&lt;&gt;"",ISNUMBER(MATCH(C107,OutCats,0))),"OK","Category not on Settings (counted as Other)")))</f>
        <v/>
      </c>
      <c r="O107">
        <f>IF(COUNTA(A107:H107)=0,"",IF(AND(ISNUMBER(E107),E107&gt;0,OR(ISNUMBER(D107),ISNUMBER(G107)),OR(D107="",ISNUMBER(D107)),OR(F107="",ISNUMBER(F107)),OR(G107="",ISNUMBER(G107))),IF(N(F107)&gt;E107,0,1),0))</f>
        <v/>
      </c>
    </row>
    <row r="108">
      <c r="A108" s="29" t="n"/>
      <c r="B108" s="29" t="n"/>
      <c r="C108" s="29" t="n"/>
      <c r="D108" s="24" t="n"/>
      <c r="E108" s="34" t="n"/>
      <c r="F108" s="34" t="n"/>
      <c r="G108" s="24" t="n"/>
      <c r="H108" s="29" t="n"/>
      <c r="I108" s="32">
        <f>IF(O108&lt;&gt;1,"",IF(ISNUMBER(G108),INT(G108),INT(D108)))</f>
        <v/>
      </c>
      <c r="J108" s="21">
        <f>IF(O108&lt;&gt;1,0,E108-N(F108))</f>
        <v/>
      </c>
      <c r="K108" s="35">
        <f>IF(OR(O108&lt;&gt;1,J108&lt;=0),"",IF(H108="Yes","",IF(I108&lt;W1,IF(OverdueW1="No","",1),IF(I108&lt;=W1+90,INT((I108-W1)/7)+1,""))))</f>
        <v/>
      </c>
      <c r="L108" s="36">
        <f>IF(ISNUMBER(K108),J108,0)</f>
        <v/>
      </c>
      <c r="M108" s="10">
        <f>IF(O108="","",IF(O108=0,"Not counted",IF(J108&lt;=0,"Paid",IF(H108="Yes","On hold (left out)",IF(I108&lt;W1,IF(OverdueW1="No","Overdue (left out)","Overdue → Week 1"),IF(I108&lt;=W1+90,"Week "&amp;K108,"After Week 13"))))))</f>
        <v/>
      </c>
      <c r="N108" s="10">
        <f>IF(O108="","",IF(O108=0,IF(NOT(ISNUMBER(E108)),"Fix: amount missing",IF(E108&lt;=0,"Fix: amount must be above 0",IF(AND(NOT(ISNUMBER(D108)),NOT(ISNUMBER(G108))),"Fix: add a due date or a planned pay date",IF(AND(D108&lt;&gt;"",NOT(ISNUMBER(D108))),"Fix: due date isn't a date",IF(AND(F108&lt;&gt;"",NOT(ISNUMBER(F108))),"Fix: paid must be a number",IF(AND(G108&lt;&gt;"",NOT(ISNUMBER(G108))),"Fix: planned date isn't a date","Fix: paid is more than the amount")))))),IF(AND(C108&lt;&gt;"",ISNUMBER(MATCH(C108,OutCats,0))),"OK","Category not on Settings (counted as Other)")))</f>
        <v/>
      </c>
      <c r="O108">
        <f>IF(COUNTA(A108:H108)=0,"",IF(AND(ISNUMBER(E108),E108&gt;0,OR(ISNUMBER(D108),ISNUMBER(G108)),OR(D108="",ISNUMBER(D108)),OR(F108="",ISNUMBER(F108)),OR(G108="",ISNUMBER(G108))),IF(N(F108)&gt;E108,0,1),0))</f>
        <v/>
      </c>
    </row>
    <row r="109">
      <c r="A109" s="29" t="n"/>
      <c r="B109" s="29" t="n"/>
      <c r="C109" s="29" t="n"/>
      <c r="D109" s="24" t="n"/>
      <c r="E109" s="34" t="n"/>
      <c r="F109" s="34" t="n"/>
      <c r="G109" s="24" t="n"/>
      <c r="H109" s="29" t="n"/>
      <c r="I109" s="32">
        <f>IF(O109&lt;&gt;1,"",IF(ISNUMBER(G109),INT(G109),INT(D109)))</f>
        <v/>
      </c>
      <c r="J109" s="21">
        <f>IF(O109&lt;&gt;1,0,E109-N(F109))</f>
        <v/>
      </c>
      <c r="K109" s="35">
        <f>IF(OR(O109&lt;&gt;1,J109&lt;=0),"",IF(H109="Yes","",IF(I109&lt;W1,IF(OverdueW1="No","",1),IF(I109&lt;=W1+90,INT((I109-W1)/7)+1,""))))</f>
        <v/>
      </c>
      <c r="L109" s="36">
        <f>IF(ISNUMBER(K109),J109,0)</f>
        <v/>
      </c>
      <c r="M109" s="10">
        <f>IF(O109="","",IF(O109=0,"Not counted",IF(J109&lt;=0,"Paid",IF(H109="Yes","On hold (left out)",IF(I109&lt;W1,IF(OverdueW1="No","Overdue (left out)","Overdue → Week 1"),IF(I109&lt;=W1+90,"Week "&amp;K109,"After Week 13"))))))</f>
        <v/>
      </c>
      <c r="N109" s="10">
        <f>IF(O109="","",IF(O109=0,IF(NOT(ISNUMBER(E109)),"Fix: amount missing",IF(E109&lt;=0,"Fix: amount must be above 0",IF(AND(NOT(ISNUMBER(D109)),NOT(ISNUMBER(G109))),"Fix: add a due date or a planned pay date",IF(AND(D109&lt;&gt;"",NOT(ISNUMBER(D109))),"Fix: due date isn't a date",IF(AND(F109&lt;&gt;"",NOT(ISNUMBER(F109))),"Fix: paid must be a number",IF(AND(G109&lt;&gt;"",NOT(ISNUMBER(G109))),"Fix: planned date isn't a date","Fix: paid is more than the amount")))))),IF(AND(C109&lt;&gt;"",ISNUMBER(MATCH(C109,OutCats,0))),"OK","Category not on Settings (counted as Other)")))</f>
        <v/>
      </c>
      <c r="O109">
        <f>IF(COUNTA(A109:H109)=0,"",IF(AND(ISNUMBER(E109),E109&gt;0,OR(ISNUMBER(D109),ISNUMBER(G109)),OR(D109="",ISNUMBER(D109)),OR(F109="",ISNUMBER(F109)),OR(G109="",ISNUMBER(G109))),IF(N(F109)&gt;E109,0,1),0))</f>
        <v/>
      </c>
    </row>
    <row r="110">
      <c r="A110" s="29" t="n"/>
      <c r="B110" s="29" t="n"/>
      <c r="C110" s="29" t="n"/>
      <c r="D110" s="24" t="n"/>
      <c r="E110" s="34" t="n"/>
      <c r="F110" s="34" t="n"/>
      <c r="G110" s="24" t="n"/>
      <c r="H110" s="29" t="n"/>
      <c r="I110" s="32">
        <f>IF(O110&lt;&gt;1,"",IF(ISNUMBER(G110),INT(G110),INT(D110)))</f>
        <v/>
      </c>
      <c r="J110" s="21">
        <f>IF(O110&lt;&gt;1,0,E110-N(F110))</f>
        <v/>
      </c>
      <c r="K110" s="35">
        <f>IF(OR(O110&lt;&gt;1,J110&lt;=0),"",IF(H110="Yes","",IF(I110&lt;W1,IF(OverdueW1="No","",1),IF(I110&lt;=W1+90,INT((I110-W1)/7)+1,""))))</f>
        <v/>
      </c>
      <c r="L110" s="36">
        <f>IF(ISNUMBER(K110),J110,0)</f>
        <v/>
      </c>
      <c r="M110" s="10">
        <f>IF(O110="","",IF(O110=0,"Not counted",IF(J110&lt;=0,"Paid",IF(H110="Yes","On hold (left out)",IF(I110&lt;W1,IF(OverdueW1="No","Overdue (left out)","Overdue → Week 1"),IF(I110&lt;=W1+90,"Week "&amp;K110,"After Week 13"))))))</f>
        <v/>
      </c>
      <c r="N110" s="10">
        <f>IF(O110="","",IF(O110=0,IF(NOT(ISNUMBER(E110)),"Fix: amount missing",IF(E110&lt;=0,"Fix: amount must be above 0",IF(AND(NOT(ISNUMBER(D110)),NOT(ISNUMBER(G110))),"Fix: add a due date or a planned pay date",IF(AND(D110&lt;&gt;"",NOT(ISNUMBER(D110))),"Fix: due date isn't a date",IF(AND(F110&lt;&gt;"",NOT(ISNUMBER(F110))),"Fix: paid must be a number",IF(AND(G110&lt;&gt;"",NOT(ISNUMBER(G110))),"Fix: planned date isn't a date","Fix: paid is more than the amount")))))),IF(AND(C110&lt;&gt;"",ISNUMBER(MATCH(C110,OutCats,0))),"OK","Category not on Settings (counted as Other)")))</f>
        <v/>
      </c>
      <c r="O110">
        <f>IF(COUNTA(A110:H110)=0,"",IF(AND(ISNUMBER(E110),E110&gt;0,OR(ISNUMBER(D110),ISNUMBER(G110)),OR(D110="",ISNUMBER(D110)),OR(F110="",ISNUMBER(F110)),OR(G110="",ISNUMBER(G110))),IF(N(F110)&gt;E110,0,1),0))</f>
        <v/>
      </c>
    </row>
    <row r="111">
      <c r="A111" s="29" t="n"/>
      <c r="B111" s="29" t="n"/>
      <c r="C111" s="29" t="n"/>
      <c r="D111" s="24" t="n"/>
      <c r="E111" s="34" t="n"/>
      <c r="F111" s="34" t="n"/>
      <c r="G111" s="24" t="n"/>
      <c r="H111" s="29" t="n"/>
      <c r="I111" s="32">
        <f>IF(O111&lt;&gt;1,"",IF(ISNUMBER(G111),INT(G111),INT(D111)))</f>
        <v/>
      </c>
      <c r="J111" s="21">
        <f>IF(O111&lt;&gt;1,0,E111-N(F111))</f>
        <v/>
      </c>
      <c r="K111" s="35">
        <f>IF(OR(O111&lt;&gt;1,J111&lt;=0),"",IF(H111="Yes","",IF(I111&lt;W1,IF(OverdueW1="No","",1),IF(I111&lt;=W1+90,INT((I111-W1)/7)+1,""))))</f>
        <v/>
      </c>
      <c r="L111" s="36">
        <f>IF(ISNUMBER(K111),J111,0)</f>
        <v/>
      </c>
      <c r="M111" s="10">
        <f>IF(O111="","",IF(O111=0,"Not counted",IF(J111&lt;=0,"Paid",IF(H111="Yes","On hold (left out)",IF(I111&lt;W1,IF(OverdueW1="No","Overdue (left out)","Overdue → Week 1"),IF(I111&lt;=W1+90,"Week "&amp;K111,"After Week 13"))))))</f>
        <v/>
      </c>
      <c r="N111" s="10">
        <f>IF(O111="","",IF(O111=0,IF(NOT(ISNUMBER(E111)),"Fix: amount missing",IF(E111&lt;=0,"Fix: amount must be above 0",IF(AND(NOT(ISNUMBER(D111)),NOT(ISNUMBER(G111))),"Fix: add a due date or a planned pay date",IF(AND(D111&lt;&gt;"",NOT(ISNUMBER(D111))),"Fix: due date isn't a date",IF(AND(F111&lt;&gt;"",NOT(ISNUMBER(F111))),"Fix: paid must be a number",IF(AND(G111&lt;&gt;"",NOT(ISNUMBER(G111))),"Fix: planned date isn't a date","Fix: paid is more than the amount")))))),IF(AND(C111&lt;&gt;"",ISNUMBER(MATCH(C111,OutCats,0))),"OK","Category not on Settings (counted as Other)")))</f>
        <v/>
      </c>
      <c r="O111">
        <f>IF(COUNTA(A111:H111)=0,"",IF(AND(ISNUMBER(E111),E111&gt;0,OR(ISNUMBER(D111),ISNUMBER(G111)),OR(D111="",ISNUMBER(D111)),OR(F111="",ISNUMBER(F111)),OR(G111="",ISNUMBER(G111))),IF(N(F111)&gt;E111,0,1),0))</f>
        <v/>
      </c>
    </row>
    <row r="112">
      <c r="A112" s="29" t="n"/>
      <c r="B112" s="29" t="n"/>
      <c r="C112" s="29" t="n"/>
      <c r="D112" s="24" t="n"/>
      <c r="E112" s="34" t="n"/>
      <c r="F112" s="34" t="n"/>
      <c r="G112" s="24" t="n"/>
      <c r="H112" s="29" t="n"/>
      <c r="I112" s="32">
        <f>IF(O112&lt;&gt;1,"",IF(ISNUMBER(G112),INT(G112),INT(D112)))</f>
        <v/>
      </c>
      <c r="J112" s="21">
        <f>IF(O112&lt;&gt;1,0,E112-N(F112))</f>
        <v/>
      </c>
      <c r="K112" s="35">
        <f>IF(OR(O112&lt;&gt;1,J112&lt;=0),"",IF(H112="Yes","",IF(I112&lt;W1,IF(OverdueW1="No","",1),IF(I112&lt;=W1+90,INT((I112-W1)/7)+1,""))))</f>
        <v/>
      </c>
      <c r="L112" s="36">
        <f>IF(ISNUMBER(K112),J112,0)</f>
        <v/>
      </c>
      <c r="M112" s="10">
        <f>IF(O112="","",IF(O112=0,"Not counted",IF(J112&lt;=0,"Paid",IF(H112="Yes","On hold (left out)",IF(I112&lt;W1,IF(OverdueW1="No","Overdue (left out)","Overdue → Week 1"),IF(I112&lt;=W1+90,"Week "&amp;K112,"After Week 13"))))))</f>
        <v/>
      </c>
      <c r="N112" s="10">
        <f>IF(O112="","",IF(O112=0,IF(NOT(ISNUMBER(E112)),"Fix: amount missing",IF(E112&lt;=0,"Fix: amount must be above 0",IF(AND(NOT(ISNUMBER(D112)),NOT(ISNUMBER(G112))),"Fix: add a due date or a planned pay date",IF(AND(D112&lt;&gt;"",NOT(ISNUMBER(D112))),"Fix: due date isn't a date",IF(AND(F112&lt;&gt;"",NOT(ISNUMBER(F112))),"Fix: paid must be a number",IF(AND(G112&lt;&gt;"",NOT(ISNUMBER(G112))),"Fix: planned date isn't a date","Fix: paid is more than the amount")))))),IF(AND(C112&lt;&gt;"",ISNUMBER(MATCH(C112,OutCats,0))),"OK","Category not on Settings (counted as Other)")))</f>
        <v/>
      </c>
      <c r="O112">
        <f>IF(COUNTA(A112:H112)=0,"",IF(AND(ISNUMBER(E112),E112&gt;0,OR(ISNUMBER(D112),ISNUMBER(G112)),OR(D112="",ISNUMBER(D112)),OR(F112="",ISNUMBER(F112)),OR(G112="",ISNUMBER(G112))),IF(N(F112)&gt;E112,0,1),0))</f>
        <v/>
      </c>
    </row>
    <row r="113">
      <c r="A113" s="29" t="n"/>
      <c r="B113" s="29" t="n"/>
      <c r="C113" s="29" t="n"/>
      <c r="D113" s="24" t="n"/>
      <c r="E113" s="34" t="n"/>
      <c r="F113" s="34" t="n"/>
      <c r="G113" s="24" t="n"/>
      <c r="H113" s="29" t="n"/>
      <c r="I113" s="32">
        <f>IF(O113&lt;&gt;1,"",IF(ISNUMBER(G113),INT(G113),INT(D113)))</f>
        <v/>
      </c>
      <c r="J113" s="21">
        <f>IF(O113&lt;&gt;1,0,E113-N(F113))</f>
        <v/>
      </c>
      <c r="K113" s="35">
        <f>IF(OR(O113&lt;&gt;1,J113&lt;=0),"",IF(H113="Yes","",IF(I113&lt;W1,IF(OverdueW1="No","",1),IF(I113&lt;=W1+90,INT((I113-W1)/7)+1,""))))</f>
        <v/>
      </c>
      <c r="L113" s="36">
        <f>IF(ISNUMBER(K113),J113,0)</f>
        <v/>
      </c>
      <c r="M113" s="10">
        <f>IF(O113="","",IF(O113=0,"Not counted",IF(J113&lt;=0,"Paid",IF(H113="Yes","On hold (left out)",IF(I113&lt;W1,IF(OverdueW1="No","Overdue (left out)","Overdue → Week 1"),IF(I113&lt;=W1+90,"Week "&amp;K113,"After Week 13"))))))</f>
        <v/>
      </c>
      <c r="N113" s="10">
        <f>IF(O113="","",IF(O113=0,IF(NOT(ISNUMBER(E113)),"Fix: amount missing",IF(E113&lt;=0,"Fix: amount must be above 0",IF(AND(NOT(ISNUMBER(D113)),NOT(ISNUMBER(G113))),"Fix: add a due date or a planned pay date",IF(AND(D113&lt;&gt;"",NOT(ISNUMBER(D113))),"Fix: due date isn't a date",IF(AND(F113&lt;&gt;"",NOT(ISNUMBER(F113))),"Fix: paid must be a number",IF(AND(G113&lt;&gt;"",NOT(ISNUMBER(G113))),"Fix: planned date isn't a date","Fix: paid is more than the amount")))))),IF(AND(C113&lt;&gt;"",ISNUMBER(MATCH(C113,OutCats,0))),"OK","Category not on Settings (counted as Other)")))</f>
        <v/>
      </c>
      <c r="O113">
        <f>IF(COUNTA(A113:H113)=0,"",IF(AND(ISNUMBER(E113),E113&gt;0,OR(ISNUMBER(D113),ISNUMBER(G113)),OR(D113="",ISNUMBER(D113)),OR(F113="",ISNUMBER(F113)),OR(G113="",ISNUMBER(G113))),IF(N(F113)&gt;E113,0,1),0))</f>
        <v/>
      </c>
    </row>
    <row r="114">
      <c r="A114" s="29" t="n"/>
      <c r="B114" s="29" t="n"/>
      <c r="C114" s="29" t="n"/>
      <c r="D114" s="24" t="n"/>
      <c r="E114" s="34" t="n"/>
      <c r="F114" s="34" t="n"/>
      <c r="G114" s="24" t="n"/>
      <c r="H114" s="29" t="n"/>
      <c r="I114" s="32">
        <f>IF(O114&lt;&gt;1,"",IF(ISNUMBER(G114),INT(G114),INT(D114)))</f>
        <v/>
      </c>
      <c r="J114" s="21">
        <f>IF(O114&lt;&gt;1,0,E114-N(F114))</f>
        <v/>
      </c>
      <c r="K114" s="35">
        <f>IF(OR(O114&lt;&gt;1,J114&lt;=0),"",IF(H114="Yes","",IF(I114&lt;W1,IF(OverdueW1="No","",1),IF(I114&lt;=W1+90,INT((I114-W1)/7)+1,""))))</f>
        <v/>
      </c>
      <c r="L114" s="36">
        <f>IF(ISNUMBER(K114),J114,0)</f>
        <v/>
      </c>
      <c r="M114" s="10">
        <f>IF(O114="","",IF(O114=0,"Not counted",IF(J114&lt;=0,"Paid",IF(H114="Yes","On hold (left out)",IF(I114&lt;W1,IF(OverdueW1="No","Overdue (left out)","Overdue → Week 1"),IF(I114&lt;=W1+90,"Week "&amp;K114,"After Week 13"))))))</f>
        <v/>
      </c>
      <c r="N114" s="10">
        <f>IF(O114="","",IF(O114=0,IF(NOT(ISNUMBER(E114)),"Fix: amount missing",IF(E114&lt;=0,"Fix: amount must be above 0",IF(AND(NOT(ISNUMBER(D114)),NOT(ISNUMBER(G114))),"Fix: add a due date or a planned pay date",IF(AND(D114&lt;&gt;"",NOT(ISNUMBER(D114))),"Fix: due date isn't a date",IF(AND(F114&lt;&gt;"",NOT(ISNUMBER(F114))),"Fix: paid must be a number",IF(AND(G114&lt;&gt;"",NOT(ISNUMBER(G114))),"Fix: planned date isn't a date","Fix: paid is more than the amount")))))),IF(AND(C114&lt;&gt;"",ISNUMBER(MATCH(C114,OutCats,0))),"OK","Category not on Settings (counted as Other)")))</f>
        <v/>
      </c>
      <c r="O114">
        <f>IF(COUNTA(A114:H114)=0,"",IF(AND(ISNUMBER(E114),E114&gt;0,OR(ISNUMBER(D114),ISNUMBER(G114)),OR(D114="",ISNUMBER(D114)),OR(F114="",ISNUMBER(F114)),OR(G114="",ISNUMBER(G114))),IF(N(F114)&gt;E114,0,1),0))</f>
        <v/>
      </c>
    </row>
    <row r="115">
      <c r="A115" s="29" t="n"/>
      <c r="B115" s="29" t="n"/>
      <c r="C115" s="29" t="n"/>
      <c r="D115" s="24" t="n"/>
      <c r="E115" s="34" t="n"/>
      <c r="F115" s="34" t="n"/>
      <c r="G115" s="24" t="n"/>
      <c r="H115" s="29" t="n"/>
      <c r="I115" s="32">
        <f>IF(O115&lt;&gt;1,"",IF(ISNUMBER(G115),INT(G115),INT(D115)))</f>
        <v/>
      </c>
      <c r="J115" s="21">
        <f>IF(O115&lt;&gt;1,0,E115-N(F115))</f>
        <v/>
      </c>
      <c r="K115" s="35">
        <f>IF(OR(O115&lt;&gt;1,J115&lt;=0),"",IF(H115="Yes","",IF(I115&lt;W1,IF(OverdueW1="No","",1),IF(I115&lt;=W1+90,INT((I115-W1)/7)+1,""))))</f>
        <v/>
      </c>
      <c r="L115" s="36">
        <f>IF(ISNUMBER(K115),J115,0)</f>
        <v/>
      </c>
      <c r="M115" s="10">
        <f>IF(O115="","",IF(O115=0,"Not counted",IF(J115&lt;=0,"Paid",IF(H115="Yes","On hold (left out)",IF(I115&lt;W1,IF(OverdueW1="No","Overdue (left out)","Overdue → Week 1"),IF(I115&lt;=W1+90,"Week "&amp;K115,"After Week 13"))))))</f>
        <v/>
      </c>
      <c r="N115" s="10">
        <f>IF(O115="","",IF(O115=0,IF(NOT(ISNUMBER(E115)),"Fix: amount missing",IF(E115&lt;=0,"Fix: amount must be above 0",IF(AND(NOT(ISNUMBER(D115)),NOT(ISNUMBER(G115))),"Fix: add a due date or a planned pay date",IF(AND(D115&lt;&gt;"",NOT(ISNUMBER(D115))),"Fix: due date isn't a date",IF(AND(F115&lt;&gt;"",NOT(ISNUMBER(F115))),"Fix: paid must be a number",IF(AND(G115&lt;&gt;"",NOT(ISNUMBER(G115))),"Fix: planned date isn't a date","Fix: paid is more than the amount")))))),IF(AND(C115&lt;&gt;"",ISNUMBER(MATCH(C115,OutCats,0))),"OK","Category not on Settings (counted as Other)")))</f>
        <v/>
      </c>
      <c r="O115">
        <f>IF(COUNTA(A115:H115)=0,"",IF(AND(ISNUMBER(E115),E115&gt;0,OR(ISNUMBER(D115),ISNUMBER(G115)),OR(D115="",ISNUMBER(D115)),OR(F115="",ISNUMBER(F115)),OR(G115="",ISNUMBER(G115))),IF(N(F115)&gt;E115,0,1),0))</f>
        <v/>
      </c>
    </row>
    <row r="116">
      <c r="A116" s="29" t="n"/>
      <c r="B116" s="29" t="n"/>
      <c r="C116" s="29" t="n"/>
      <c r="D116" s="24" t="n"/>
      <c r="E116" s="34" t="n"/>
      <c r="F116" s="34" t="n"/>
      <c r="G116" s="24" t="n"/>
      <c r="H116" s="29" t="n"/>
      <c r="I116" s="32">
        <f>IF(O116&lt;&gt;1,"",IF(ISNUMBER(G116),INT(G116),INT(D116)))</f>
        <v/>
      </c>
      <c r="J116" s="21">
        <f>IF(O116&lt;&gt;1,0,E116-N(F116))</f>
        <v/>
      </c>
      <c r="K116" s="35">
        <f>IF(OR(O116&lt;&gt;1,J116&lt;=0),"",IF(H116="Yes","",IF(I116&lt;W1,IF(OverdueW1="No","",1),IF(I116&lt;=W1+90,INT((I116-W1)/7)+1,""))))</f>
        <v/>
      </c>
      <c r="L116" s="36">
        <f>IF(ISNUMBER(K116),J116,0)</f>
        <v/>
      </c>
      <c r="M116" s="10">
        <f>IF(O116="","",IF(O116=0,"Not counted",IF(J116&lt;=0,"Paid",IF(H116="Yes","On hold (left out)",IF(I116&lt;W1,IF(OverdueW1="No","Overdue (left out)","Overdue → Week 1"),IF(I116&lt;=W1+90,"Week "&amp;K116,"After Week 13"))))))</f>
        <v/>
      </c>
      <c r="N116" s="10">
        <f>IF(O116="","",IF(O116=0,IF(NOT(ISNUMBER(E116)),"Fix: amount missing",IF(E116&lt;=0,"Fix: amount must be above 0",IF(AND(NOT(ISNUMBER(D116)),NOT(ISNUMBER(G116))),"Fix: add a due date or a planned pay date",IF(AND(D116&lt;&gt;"",NOT(ISNUMBER(D116))),"Fix: due date isn't a date",IF(AND(F116&lt;&gt;"",NOT(ISNUMBER(F116))),"Fix: paid must be a number",IF(AND(G116&lt;&gt;"",NOT(ISNUMBER(G116))),"Fix: planned date isn't a date","Fix: paid is more than the amount")))))),IF(AND(C116&lt;&gt;"",ISNUMBER(MATCH(C116,OutCats,0))),"OK","Category not on Settings (counted as Other)")))</f>
        <v/>
      </c>
      <c r="O116">
        <f>IF(COUNTA(A116:H116)=0,"",IF(AND(ISNUMBER(E116),E116&gt;0,OR(ISNUMBER(D116),ISNUMBER(G116)),OR(D116="",ISNUMBER(D116)),OR(F116="",ISNUMBER(F116)),OR(G116="",ISNUMBER(G116))),IF(N(F116)&gt;E116,0,1),0))</f>
        <v/>
      </c>
    </row>
    <row r="117">
      <c r="A117" s="29" t="n"/>
      <c r="B117" s="29" t="n"/>
      <c r="C117" s="29" t="n"/>
      <c r="D117" s="24" t="n"/>
      <c r="E117" s="34" t="n"/>
      <c r="F117" s="34" t="n"/>
      <c r="G117" s="24" t="n"/>
      <c r="H117" s="29" t="n"/>
      <c r="I117" s="32">
        <f>IF(O117&lt;&gt;1,"",IF(ISNUMBER(G117),INT(G117),INT(D117)))</f>
        <v/>
      </c>
      <c r="J117" s="21">
        <f>IF(O117&lt;&gt;1,0,E117-N(F117))</f>
        <v/>
      </c>
      <c r="K117" s="35">
        <f>IF(OR(O117&lt;&gt;1,J117&lt;=0),"",IF(H117="Yes","",IF(I117&lt;W1,IF(OverdueW1="No","",1),IF(I117&lt;=W1+90,INT((I117-W1)/7)+1,""))))</f>
        <v/>
      </c>
      <c r="L117" s="36">
        <f>IF(ISNUMBER(K117),J117,0)</f>
        <v/>
      </c>
      <c r="M117" s="10">
        <f>IF(O117="","",IF(O117=0,"Not counted",IF(J117&lt;=0,"Paid",IF(H117="Yes","On hold (left out)",IF(I117&lt;W1,IF(OverdueW1="No","Overdue (left out)","Overdue → Week 1"),IF(I117&lt;=W1+90,"Week "&amp;K117,"After Week 13"))))))</f>
        <v/>
      </c>
      <c r="N117" s="10">
        <f>IF(O117="","",IF(O117=0,IF(NOT(ISNUMBER(E117)),"Fix: amount missing",IF(E117&lt;=0,"Fix: amount must be above 0",IF(AND(NOT(ISNUMBER(D117)),NOT(ISNUMBER(G117))),"Fix: add a due date or a planned pay date",IF(AND(D117&lt;&gt;"",NOT(ISNUMBER(D117))),"Fix: due date isn't a date",IF(AND(F117&lt;&gt;"",NOT(ISNUMBER(F117))),"Fix: paid must be a number",IF(AND(G117&lt;&gt;"",NOT(ISNUMBER(G117))),"Fix: planned date isn't a date","Fix: paid is more than the amount")))))),IF(AND(C117&lt;&gt;"",ISNUMBER(MATCH(C117,OutCats,0))),"OK","Category not on Settings (counted as Other)")))</f>
        <v/>
      </c>
      <c r="O117">
        <f>IF(COUNTA(A117:H117)=0,"",IF(AND(ISNUMBER(E117),E117&gt;0,OR(ISNUMBER(D117),ISNUMBER(G117)),OR(D117="",ISNUMBER(D117)),OR(F117="",ISNUMBER(F117)),OR(G117="",ISNUMBER(G117))),IF(N(F117)&gt;E117,0,1),0))</f>
        <v/>
      </c>
    </row>
    <row r="118">
      <c r="A118" s="29" t="n"/>
      <c r="B118" s="29" t="n"/>
      <c r="C118" s="29" t="n"/>
      <c r="D118" s="24" t="n"/>
      <c r="E118" s="34" t="n"/>
      <c r="F118" s="34" t="n"/>
      <c r="G118" s="24" t="n"/>
      <c r="H118" s="29" t="n"/>
      <c r="I118" s="32">
        <f>IF(O118&lt;&gt;1,"",IF(ISNUMBER(G118),INT(G118),INT(D118)))</f>
        <v/>
      </c>
      <c r="J118" s="21">
        <f>IF(O118&lt;&gt;1,0,E118-N(F118))</f>
        <v/>
      </c>
      <c r="K118" s="35">
        <f>IF(OR(O118&lt;&gt;1,J118&lt;=0),"",IF(H118="Yes","",IF(I118&lt;W1,IF(OverdueW1="No","",1),IF(I118&lt;=W1+90,INT((I118-W1)/7)+1,""))))</f>
        <v/>
      </c>
      <c r="L118" s="36">
        <f>IF(ISNUMBER(K118),J118,0)</f>
        <v/>
      </c>
      <c r="M118" s="10">
        <f>IF(O118="","",IF(O118=0,"Not counted",IF(J118&lt;=0,"Paid",IF(H118="Yes","On hold (left out)",IF(I118&lt;W1,IF(OverdueW1="No","Overdue (left out)","Overdue → Week 1"),IF(I118&lt;=W1+90,"Week "&amp;K118,"After Week 13"))))))</f>
        <v/>
      </c>
      <c r="N118" s="10">
        <f>IF(O118="","",IF(O118=0,IF(NOT(ISNUMBER(E118)),"Fix: amount missing",IF(E118&lt;=0,"Fix: amount must be above 0",IF(AND(NOT(ISNUMBER(D118)),NOT(ISNUMBER(G118))),"Fix: add a due date or a planned pay date",IF(AND(D118&lt;&gt;"",NOT(ISNUMBER(D118))),"Fix: due date isn't a date",IF(AND(F118&lt;&gt;"",NOT(ISNUMBER(F118))),"Fix: paid must be a number",IF(AND(G118&lt;&gt;"",NOT(ISNUMBER(G118))),"Fix: planned date isn't a date","Fix: paid is more than the amount")))))),IF(AND(C118&lt;&gt;"",ISNUMBER(MATCH(C118,OutCats,0))),"OK","Category not on Settings (counted as Other)")))</f>
        <v/>
      </c>
      <c r="O118">
        <f>IF(COUNTA(A118:H118)=0,"",IF(AND(ISNUMBER(E118),E118&gt;0,OR(ISNUMBER(D118),ISNUMBER(G118)),OR(D118="",ISNUMBER(D118)),OR(F118="",ISNUMBER(F118)),OR(G118="",ISNUMBER(G118))),IF(N(F118)&gt;E118,0,1),0))</f>
        <v/>
      </c>
    </row>
    <row r="119">
      <c r="A119" s="29" t="n"/>
      <c r="B119" s="29" t="n"/>
      <c r="C119" s="29" t="n"/>
      <c r="D119" s="24" t="n"/>
      <c r="E119" s="34" t="n"/>
      <c r="F119" s="34" t="n"/>
      <c r="G119" s="24" t="n"/>
      <c r="H119" s="29" t="n"/>
      <c r="I119" s="32">
        <f>IF(O119&lt;&gt;1,"",IF(ISNUMBER(G119),INT(G119),INT(D119)))</f>
        <v/>
      </c>
      <c r="J119" s="21">
        <f>IF(O119&lt;&gt;1,0,E119-N(F119))</f>
        <v/>
      </c>
      <c r="K119" s="35">
        <f>IF(OR(O119&lt;&gt;1,J119&lt;=0),"",IF(H119="Yes","",IF(I119&lt;W1,IF(OverdueW1="No","",1),IF(I119&lt;=W1+90,INT((I119-W1)/7)+1,""))))</f>
        <v/>
      </c>
      <c r="L119" s="36">
        <f>IF(ISNUMBER(K119),J119,0)</f>
        <v/>
      </c>
      <c r="M119" s="10">
        <f>IF(O119="","",IF(O119=0,"Not counted",IF(J119&lt;=0,"Paid",IF(H119="Yes","On hold (left out)",IF(I119&lt;W1,IF(OverdueW1="No","Overdue (left out)","Overdue → Week 1"),IF(I119&lt;=W1+90,"Week "&amp;K119,"After Week 13"))))))</f>
        <v/>
      </c>
      <c r="N119" s="10">
        <f>IF(O119="","",IF(O119=0,IF(NOT(ISNUMBER(E119)),"Fix: amount missing",IF(E119&lt;=0,"Fix: amount must be above 0",IF(AND(NOT(ISNUMBER(D119)),NOT(ISNUMBER(G119))),"Fix: add a due date or a planned pay date",IF(AND(D119&lt;&gt;"",NOT(ISNUMBER(D119))),"Fix: due date isn't a date",IF(AND(F119&lt;&gt;"",NOT(ISNUMBER(F119))),"Fix: paid must be a number",IF(AND(G119&lt;&gt;"",NOT(ISNUMBER(G119))),"Fix: planned date isn't a date","Fix: paid is more than the amount")))))),IF(AND(C119&lt;&gt;"",ISNUMBER(MATCH(C119,OutCats,0))),"OK","Category not on Settings (counted as Other)")))</f>
        <v/>
      </c>
      <c r="O119">
        <f>IF(COUNTA(A119:H119)=0,"",IF(AND(ISNUMBER(E119),E119&gt;0,OR(ISNUMBER(D119),ISNUMBER(G119)),OR(D119="",ISNUMBER(D119)),OR(F119="",ISNUMBER(F119)),OR(G119="",ISNUMBER(G119))),IF(N(F119)&gt;E119,0,1),0))</f>
        <v/>
      </c>
    </row>
    <row r="120">
      <c r="A120" s="29" t="n"/>
      <c r="B120" s="29" t="n"/>
      <c r="C120" s="29" t="n"/>
      <c r="D120" s="24" t="n"/>
      <c r="E120" s="34" t="n"/>
      <c r="F120" s="34" t="n"/>
      <c r="G120" s="24" t="n"/>
      <c r="H120" s="29" t="n"/>
      <c r="I120" s="32">
        <f>IF(O120&lt;&gt;1,"",IF(ISNUMBER(G120),INT(G120),INT(D120)))</f>
        <v/>
      </c>
      <c r="J120" s="21">
        <f>IF(O120&lt;&gt;1,0,E120-N(F120))</f>
        <v/>
      </c>
      <c r="K120" s="35">
        <f>IF(OR(O120&lt;&gt;1,J120&lt;=0),"",IF(H120="Yes","",IF(I120&lt;W1,IF(OverdueW1="No","",1),IF(I120&lt;=W1+90,INT((I120-W1)/7)+1,""))))</f>
        <v/>
      </c>
      <c r="L120" s="36">
        <f>IF(ISNUMBER(K120),J120,0)</f>
        <v/>
      </c>
      <c r="M120" s="10">
        <f>IF(O120="","",IF(O120=0,"Not counted",IF(J120&lt;=0,"Paid",IF(H120="Yes","On hold (left out)",IF(I120&lt;W1,IF(OverdueW1="No","Overdue (left out)","Overdue → Week 1"),IF(I120&lt;=W1+90,"Week "&amp;K120,"After Week 13"))))))</f>
        <v/>
      </c>
      <c r="N120" s="10">
        <f>IF(O120="","",IF(O120=0,IF(NOT(ISNUMBER(E120)),"Fix: amount missing",IF(E120&lt;=0,"Fix: amount must be above 0",IF(AND(NOT(ISNUMBER(D120)),NOT(ISNUMBER(G120))),"Fix: add a due date or a planned pay date",IF(AND(D120&lt;&gt;"",NOT(ISNUMBER(D120))),"Fix: due date isn't a date",IF(AND(F120&lt;&gt;"",NOT(ISNUMBER(F120))),"Fix: paid must be a number",IF(AND(G120&lt;&gt;"",NOT(ISNUMBER(G120))),"Fix: planned date isn't a date","Fix: paid is more than the amount")))))),IF(AND(C120&lt;&gt;"",ISNUMBER(MATCH(C120,OutCats,0))),"OK","Category not on Settings (counted as Other)")))</f>
        <v/>
      </c>
      <c r="O120">
        <f>IF(COUNTA(A120:H120)=0,"",IF(AND(ISNUMBER(E120),E120&gt;0,OR(ISNUMBER(D120),ISNUMBER(G120)),OR(D120="",ISNUMBER(D120)),OR(F120="",ISNUMBER(F120)),OR(G120="",ISNUMBER(G120))),IF(N(F120)&gt;E120,0,1),0))</f>
        <v/>
      </c>
    </row>
    <row r="121">
      <c r="A121" s="29" t="n"/>
      <c r="B121" s="29" t="n"/>
      <c r="C121" s="29" t="n"/>
      <c r="D121" s="24" t="n"/>
      <c r="E121" s="34" t="n"/>
      <c r="F121" s="34" t="n"/>
      <c r="G121" s="24" t="n"/>
      <c r="H121" s="29" t="n"/>
      <c r="I121" s="32">
        <f>IF(O121&lt;&gt;1,"",IF(ISNUMBER(G121),INT(G121),INT(D121)))</f>
        <v/>
      </c>
      <c r="J121" s="21">
        <f>IF(O121&lt;&gt;1,0,E121-N(F121))</f>
        <v/>
      </c>
      <c r="K121" s="35">
        <f>IF(OR(O121&lt;&gt;1,J121&lt;=0),"",IF(H121="Yes","",IF(I121&lt;W1,IF(OverdueW1="No","",1),IF(I121&lt;=W1+90,INT((I121-W1)/7)+1,""))))</f>
        <v/>
      </c>
      <c r="L121" s="36">
        <f>IF(ISNUMBER(K121),J121,0)</f>
        <v/>
      </c>
      <c r="M121" s="10">
        <f>IF(O121="","",IF(O121=0,"Not counted",IF(J121&lt;=0,"Paid",IF(H121="Yes","On hold (left out)",IF(I121&lt;W1,IF(OverdueW1="No","Overdue (left out)","Overdue → Week 1"),IF(I121&lt;=W1+90,"Week "&amp;K121,"After Week 13"))))))</f>
        <v/>
      </c>
      <c r="N121" s="10">
        <f>IF(O121="","",IF(O121=0,IF(NOT(ISNUMBER(E121)),"Fix: amount missing",IF(E121&lt;=0,"Fix: amount must be above 0",IF(AND(NOT(ISNUMBER(D121)),NOT(ISNUMBER(G121))),"Fix: add a due date or a planned pay date",IF(AND(D121&lt;&gt;"",NOT(ISNUMBER(D121))),"Fix: due date isn't a date",IF(AND(F121&lt;&gt;"",NOT(ISNUMBER(F121))),"Fix: paid must be a number",IF(AND(G121&lt;&gt;"",NOT(ISNUMBER(G121))),"Fix: planned date isn't a date","Fix: paid is more than the amount")))))),IF(AND(C121&lt;&gt;"",ISNUMBER(MATCH(C121,OutCats,0))),"OK","Category not on Settings (counted as Other)")))</f>
        <v/>
      </c>
      <c r="O121">
        <f>IF(COUNTA(A121:H121)=0,"",IF(AND(ISNUMBER(E121),E121&gt;0,OR(ISNUMBER(D121),ISNUMBER(G121)),OR(D121="",ISNUMBER(D121)),OR(F121="",ISNUMBER(F121)),OR(G121="",ISNUMBER(G121))),IF(N(F121)&gt;E121,0,1),0))</f>
        <v/>
      </c>
    </row>
    <row r="122">
      <c r="A122" s="29" t="n"/>
      <c r="B122" s="29" t="n"/>
      <c r="C122" s="29" t="n"/>
      <c r="D122" s="24" t="n"/>
      <c r="E122" s="34" t="n"/>
      <c r="F122" s="34" t="n"/>
      <c r="G122" s="24" t="n"/>
      <c r="H122" s="29" t="n"/>
      <c r="I122" s="32">
        <f>IF(O122&lt;&gt;1,"",IF(ISNUMBER(G122),INT(G122),INT(D122)))</f>
        <v/>
      </c>
      <c r="J122" s="21">
        <f>IF(O122&lt;&gt;1,0,E122-N(F122))</f>
        <v/>
      </c>
      <c r="K122" s="35">
        <f>IF(OR(O122&lt;&gt;1,J122&lt;=0),"",IF(H122="Yes","",IF(I122&lt;W1,IF(OverdueW1="No","",1),IF(I122&lt;=W1+90,INT((I122-W1)/7)+1,""))))</f>
        <v/>
      </c>
      <c r="L122" s="36">
        <f>IF(ISNUMBER(K122),J122,0)</f>
        <v/>
      </c>
      <c r="M122" s="10">
        <f>IF(O122="","",IF(O122=0,"Not counted",IF(J122&lt;=0,"Paid",IF(H122="Yes","On hold (left out)",IF(I122&lt;W1,IF(OverdueW1="No","Overdue (left out)","Overdue → Week 1"),IF(I122&lt;=W1+90,"Week "&amp;K122,"After Week 13"))))))</f>
        <v/>
      </c>
      <c r="N122" s="10">
        <f>IF(O122="","",IF(O122=0,IF(NOT(ISNUMBER(E122)),"Fix: amount missing",IF(E122&lt;=0,"Fix: amount must be above 0",IF(AND(NOT(ISNUMBER(D122)),NOT(ISNUMBER(G122))),"Fix: add a due date or a planned pay date",IF(AND(D122&lt;&gt;"",NOT(ISNUMBER(D122))),"Fix: due date isn't a date",IF(AND(F122&lt;&gt;"",NOT(ISNUMBER(F122))),"Fix: paid must be a number",IF(AND(G122&lt;&gt;"",NOT(ISNUMBER(G122))),"Fix: planned date isn't a date","Fix: paid is more than the amount")))))),IF(AND(C122&lt;&gt;"",ISNUMBER(MATCH(C122,OutCats,0))),"OK","Category not on Settings (counted as Other)")))</f>
        <v/>
      </c>
      <c r="O122">
        <f>IF(COUNTA(A122:H122)=0,"",IF(AND(ISNUMBER(E122),E122&gt;0,OR(ISNUMBER(D122),ISNUMBER(G122)),OR(D122="",ISNUMBER(D122)),OR(F122="",ISNUMBER(F122)),OR(G122="",ISNUMBER(G122))),IF(N(F122)&gt;E122,0,1),0))</f>
        <v/>
      </c>
    </row>
    <row r="123">
      <c r="A123" s="29" t="n"/>
      <c r="B123" s="29" t="n"/>
      <c r="C123" s="29" t="n"/>
      <c r="D123" s="24" t="n"/>
      <c r="E123" s="34" t="n"/>
      <c r="F123" s="34" t="n"/>
      <c r="G123" s="24" t="n"/>
      <c r="H123" s="29" t="n"/>
      <c r="I123" s="32">
        <f>IF(O123&lt;&gt;1,"",IF(ISNUMBER(G123),INT(G123),INT(D123)))</f>
        <v/>
      </c>
      <c r="J123" s="21">
        <f>IF(O123&lt;&gt;1,0,E123-N(F123))</f>
        <v/>
      </c>
      <c r="K123" s="35">
        <f>IF(OR(O123&lt;&gt;1,J123&lt;=0),"",IF(H123="Yes","",IF(I123&lt;W1,IF(OverdueW1="No","",1),IF(I123&lt;=W1+90,INT((I123-W1)/7)+1,""))))</f>
        <v/>
      </c>
      <c r="L123" s="36">
        <f>IF(ISNUMBER(K123),J123,0)</f>
        <v/>
      </c>
      <c r="M123" s="10">
        <f>IF(O123="","",IF(O123=0,"Not counted",IF(J123&lt;=0,"Paid",IF(H123="Yes","On hold (left out)",IF(I123&lt;W1,IF(OverdueW1="No","Overdue (left out)","Overdue → Week 1"),IF(I123&lt;=W1+90,"Week "&amp;K123,"After Week 13"))))))</f>
        <v/>
      </c>
      <c r="N123" s="10">
        <f>IF(O123="","",IF(O123=0,IF(NOT(ISNUMBER(E123)),"Fix: amount missing",IF(E123&lt;=0,"Fix: amount must be above 0",IF(AND(NOT(ISNUMBER(D123)),NOT(ISNUMBER(G123))),"Fix: add a due date or a planned pay date",IF(AND(D123&lt;&gt;"",NOT(ISNUMBER(D123))),"Fix: due date isn't a date",IF(AND(F123&lt;&gt;"",NOT(ISNUMBER(F123))),"Fix: paid must be a number",IF(AND(G123&lt;&gt;"",NOT(ISNUMBER(G123))),"Fix: planned date isn't a date","Fix: paid is more than the amount")))))),IF(AND(C123&lt;&gt;"",ISNUMBER(MATCH(C123,OutCats,0))),"OK","Category not on Settings (counted as Other)")))</f>
        <v/>
      </c>
      <c r="O123">
        <f>IF(COUNTA(A123:H123)=0,"",IF(AND(ISNUMBER(E123),E123&gt;0,OR(ISNUMBER(D123),ISNUMBER(G123)),OR(D123="",ISNUMBER(D123)),OR(F123="",ISNUMBER(F123)),OR(G123="",ISNUMBER(G123))),IF(N(F123)&gt;E123,0,1),0))</f>
        <v/>
      </c>
    </row>
    <row r="124">
      <c r="A124" s="29" t="n"/>
      <c r="B124" s="29" t="n"/>
      <c r="C124" s="29" t="n"/>
      <c r="D124" s="24" t="n"/>
      <c r="E124" s="34" t="n"/>
      <c r="F124" s="34" t="n"/>
      <c r="G124" s="24" t="n"/>
      <c r="H124" s="29" t="n"/>
      <c r="I124" s="32">
        <f>IF(O124&lt;&gt;1,"",IF(ISNUMBER(G124),INT(G124),INT(D124)))</f>
        <v/>
      </c>
      <c r="J124" s="21">
        <f>IF(O124&lt;&gt;1,0,E124-N(F124))</f>
        <v/>
      </c>
      <c r="K124" s="35">
        <f>IF(OR(O124&lt;&gt;1,J124&lt;=0),"",IF(H124="Yes","",IF(I124&lt;W1,IF(OverdueW1="No","",1),IF(I124&lt;=W1+90,INT((I124-W1)/7)+1,""))))</f>
        <v/>
      </c>
      <c r="L124" s="36">
        <f>IF(ISNUMBER(K124),J124,0)</f>
        <v/>
      </c>
      <c r="M124" s="10">
        <f>IF(O124="","",IF(O124=0,"Not counted",IF(J124&lt;=0,"Paid",IF(H124="Yes","On hold (left out)",IF(I124&lt;W1,IF(OverdueW1="No","Overdue (left out)","Overdue → Week 1"),IF(I124&lt;=W1+90,"Week "&amp;K124,"After Week 13"))))))</f>
        <v/>
      </c>
      <c r="N124" s="10">
        <f>IF(O124="","",IF(O124=0,IF(NOT(ISNUMBER(E124)),"Fix: amount missing",IF(E124&lt;=0,"Fix: amount must be above 0",IF(AND(NOT(ISNUMBER(D124)),NOT(ISNUMBER(G124))),"Fix: add a due date or a planned pay date",IF(AND(D124&lt;&gt;"",NOT(ISNUMBER(D124))),"Fix: due date isn't a date",IF(AND(F124&lt;&gt;"",NOT(ISNUMBER(F124))),"Fix: paid must be a number",IF(AND(G124&lt;&gt;"",NOT(ISNUMBER(G124))),"Fix: planned date isn't a date","Fix: paid is more than the amount")))))),IF(AND(C124&lt;&gt;"",ISNUMBER(MATCH(C124,OutCats,0))),"OK","Category not on Settings (counted as Other)")))</f>
        <v/>
      </c>
      <c r="O124">
        <f>IF(COUNTA(A124:H124)=0,"",IF(AND(ISNUMBER(E124),E124&gt;0,OR(ISNUMBER(D124),ISNUMBER(G124)),OR(D124="",ISNUMBER(D124)),OR(F124="",ISNUMBER(F124)),OR(G124="",ISNUMBER(G124))),IF(N(F124)&gt;E124,0,1),0))</f>
        <v/>
      </c>
    </row>
    <row r="125">
      <c r="A125" s="29" t="n"/>
      <c r="B125" s="29" t="n"/>
      <c r="C125" s="29" t="n"/>
      <c r="D125" s="24" t="n"/>
      <c r="E125" s="34" t="n"/>
      <c r="F125" s="34" t="n"/>
      <c r="G125" s="24" t="n"/>
      <c r="H125" s="29" t="n"/>
      <c r="I125" s="32">
        <f>IF(O125&lt;&gt;1,"",IF(ISNUMBER(G125),INT(G125),INT(D125)))</f>
        <v/>
      </c>
      <c r="J125" s="21">
        <f>IF(O125&lt;&gt;1,0,E125-N(F125))</f>
        <v/>
      </c>
      <c r="K125" s="35">
        <f>IF(OR(O125&lt;&gt;1,J125&lt;=0),"",IF(H125="Yes","",IF(I125&lt;W1,IF(OverdueW1="No","",1),IF(I125&lt;=W1+90,INT((I125-W1)/7)+1,""))))</f>
        <v/>
      </c>
      <c r="L125" s="36">
        <f>IF(ISNUMBER(K125),J125,0)</f>
        <v/>
      </c>
      <c r="M125" s="10">
        <f>IF(O125="","",IF(O125=0,"Not counted",IF(J125&lt;=0,"Paid",IF(H125="Yes","On hold (left out)",IF(I125&lt;W1,IF(OverdueW1="No","Overdue (left out)","Overdue → Week 1"),IF(I125&lt;=W1+90,"Week "&amp;K125,"After Week 13"))))))</f>
        <v/>
      </c>
      <c r="N125" s="10">
        <f>IF(O125="","",IF(O125=0,IF(NOT(ISNUMBER(E125)),"Fix: amount missing",IF(E125&lt;=0,"Fix: amount must be above 0",IF(AND(NOT(ISNUMBER(D125)),NOT(ISNUMBER(G125))),"Fix: add a due date or a planned pay date",IF(AND(D125&lt;&gt;"",NOT(ISNUMBER(D125))),"Fix: due date isn't a date",IF(AND(F125&lt;&gt;"",NOT(ISNUMBER(F125))),"Fix: paid must be a number",IF(AND(G125&lt;&gt;"",NOT(ISNUMBER(G125))),"Fix: planned date isn't a date","Fix: paid is more than the amount")))))),IF(AND(C125&lt;&gt;"",ISNUMBER(MATCH(C125,OutCats,0))),"OK","Category not on Settings (counted as Other)")))</f>
        <v/>
      </c>
      <c r="O125">
        <f>IF(COUNTA(A125:H125)=0,"",IF(AND(ISNUMBER(E125),E125&gt;0,OR(ISNUMBER(D125),ISNUMBER(G125)),OR(D125="",ISNUMBER(D125)),OR(F125="",ISNUMBER(F125)),OR(G125="",ISNUMBER(G125))),IF(N(F125)&gt;E125,0,1),0))</f>
        <v/>
      </c>
    </row>
    <row r="126">
      <c r="A126" s="29" t="n"/>
      <c r="B126" s="29" t="n"/>
      <c r="C126" s="29" t="n"/>
      <c r="D126" s="24" t="n"/>
      <c r="E126" s="34" t="n"/>
      <c r="F126" s="34" t="n"/>
      <c r="G126" s="24" t="n"/>
      <c r="H126" s="29" t="n"/>
      <c r="I126" s="32">
        <f>IF(O126&lt;&gt;1,"",IF(ISNUMBER(G126),INT(G126),INT(D126)))</f>
        <v/>
      </c>
      <c r="J126" s="21">
        <f>IF(O126&lt;&gt;1,0,E126-N(F126))</f>
        <v/>
      </c>
      <c r="K126" s="35">
        <f>IF(OR(O126&lt;&gt;1,J126&lt;=0),"",IF(H126="Yes","",IF(I126&lt;W1,IF(OverdueW1="No","",1),IF(I126&lt;=W1+90,INT((I126-W1)/7)+1,""))))</f>
        <v/>
      </c>
      <c r="L126" s="36">
        <f>IF(ISNUMBER(K126),J126,0)</f>
        <v/>
      </c>
      <c r="M126" s="10">
        <f>IF(O126="","",IF(O126=0,"Not counted",IF(J126&lt;=0,"Paid",IF(H126="Yes","On hold (left out)",IF(I126&lt;W1,IF(OverdueW1="No","Overdue (left out)","Overdue → Week 1"),IF(I126&lt;=W1+90,"Week "&amp;K126,"After Week 13"))))))</f>
        <v/>
      </c>
      <c r="N126" s="10">
        <f>IF(O126="","",IF(O126=0,IF(NOT(ISNUMBER(E126)),"Fix: amount missing",IF(E126&lt;=0,"Fix: amount must be above 0",IF(AND(NOT(ISNUMBER(D126)),NOT(ISNUMBER(G126))),"Fix: add a due date or a planned pay date",IF(AND(D126&lt;&gt;"",NOT(ISNUMBER(D126))),"Fix: due date isn't a date",IF(AND(F126&lt;&gt;"",NOT(ISNUMBER(F126))),"Fix: paid must be a number",IF(AND(G126&lt;&gt;"",NOT(ISNUMBER(G126))),"Fix: planned date isn't a date","Fix: paid is more than the amount")))))),IF(AND(C126&lt;&gt;"",ISNUMBER(MATCH(C126,OutCats,0))),"OK","Category not on Settings (counted as Other)")))</f>
        <v/>
      </c>
      <c r="O126">
        <f>IF(COUNTA(A126:H126)=0,"",IF(AND(ISNUMBER(E126),E126&gt;0,OR(ISNUMBER(D126),ISNUMBER(G126)),OR(D126="",ISNUMBER(D126)),OR(F126="",ISNUMBER(F126)),OR(G126="",ISNUMBER(G126))),IF(N(F126)&gt;E126,0,1),0))</f>
        <v/>
      </c>
    </row>
    <row r="127">
      <c r="A127" s="29" t="n"/>
      <c r="B127" s="29" t="n"/>
      <c r="C127" s="29" t="n"/>
      <c r="D127" s="24" t="n"/>
      <c r="E127" s="34" t="n"/>
      <c r="F127" s="34" t="n"/>
      <c r="G127" s="24" t="n"/>
      <c r="H127" s="29" t="n"/>
      <c r="I127" s="32">
        <f>IF(O127&lt;&gt;1,"",IF(ISNUMBER(G127),INT(G127),INT(D127)))</f>
        <v/>
      </c>
      <c r="J127" s="21">
        <f>IF(O127&lt;&gt;1,0,E127-N(F127))</f>
        <v/>
      </c>
      <c r="K127" s="35">
        <f>IF(OR(O127&lt;&gt;1,J127&lt;=0),"",IF(H127="Yes","",IF(I127&lt;W1,IF(OverdueW1="No","",1),IF(I127&lt;=W1+90,INT((I127-W1)/7)+1,""))))</f>
        <v/>
      </c>
      <c r="L127" s="36">
        <f>IF(ISNUMBER(K127),J127,0)</f>
        <v/>
      </c>
      <c r="M127" s="10">
        <f>IF(O127="","",IF(O127=0,"Not counted",IF(J127&lt;=0,"Paid",IF(H127="Yes","On hold (left out)",IF(I127&lt;W1,IF(OverdueW1="No","Overdue (left out)","Overdue → Week 1"),IF(I127&lt;=W1+90,"Week "&amp;K127,"After Week 13"))))))</f>
        <v/>
      </c>
      <c r="N127" s="10">
        <f>IF(O127="","",IF(O127=0,IF(NOT(ISNUMBER(E127)),"Fix: amount missing",IF(E127&lt;=0,"Fix: amount must be above 0",IF(AND(NOT(ISNUMBER(D127)),NOT(ISNUMBER(G127))),"Fix: add a due date or a planned pay date",IF(AND(D127&lt;&gt;"",NOT(ISNUMBER(D127))),"Fix: due date isn't a date",IF(AND(F127&lt;&gt;"",NOT(ISNUMBER(F127))),"Fix: paid must be a number",IF(AND(G127&lt;&gt;"",NOT(ISNUMBER(G127))),"Fix: planned date isn't a date","Fix: paid is more than the amount")))))),IF(AND(C127&lt;&gt;"",ISNUMBER(MATCH(C127,OutCats,0))),"OK","Category not on Settings (counted as Other)")))</f>
        <v/>
      </c>
      <c r="O127">
        <f>IF(COUNTA(A127:H127)=0,"",IF(AND(ISNUMBER(E127),E127&gt;0,OR(ISNUMBER(D127),ISNUMBER(G127)),OR(D127="",ISNUMBER(D127)),OR(F127="",ISNUMBER(F127)),OR(G127="",ISNUMBER(G127))),IF(N(F127)&gt;E127,0,1),0))</f>
        <v/>
      </c>
    </row>
    <row r="128">
      <c r="A128" s="29" t="n"/>
      <c r="B128" s="29" t="n"/>
      <c r="C128" s="29" t="n"/>
      <c r="D128" s="24" t="n"/>
      <c r="E128" s="34" t="n"/>
      <c r="F128" s="34" t="n"/>
      <c r="G128" s="24" t="n"/>
      <c r="H128" s="29" t="n"/>
      <c r="I128" s="32">
        <f>IF(O128&lt;&gt;1,"",IF(ISNUMBER(G128),INT(G128),INT(D128)))</f>
        <v/>
      </c>
      <c r="J128" s="21">
        <f>IF(O128&lt;&gt;1,0,E128-N(F128))</f>
        <v/>
      </c>
      <c r="K128" s="35">
        <f>IF(OR(O128&lt;&gt;1,J128&lt;=0),"",IF(H128="Yes","",IF(I128&lt;W1,IF(OverdueW1="No","",1),IF(I128&lt;=W1+90,INT((I128-W1)/7)+1,""))))</f>
        <v/>
      </c>
      <c r="L128" s="36">
        <f>IF(ISNUMBER(K128),J128,0)</f>
        <v/>
      </c>
      <c r="M128" s="10">
        <f>IF(O128="","",IF(O128=0,"Not counted",IF(J128&lt;=0,"Paid",IF(H128="Yes","On hold (left out)",IF(I128&lt;W1,IF(OverdueW1="No","Overdue (left out)","Overdue → Week 1"),IF(I128&lt;=W1+90,"Week "&amp;K128,"After Week 13"))))))</f>
        <v/>
      </c>
      <c r="N128" s="10">
        <f>IF(O128="","",IF(O128=0,IF(NOT(ISNUMBER(E128)),"Fix: amount missing",IF(E128&lt;=0,"Fix: amount must be above 0",IF(AND(NOT(ISNUMBER(D128)),NOT(ISNUMBER(G128))),"Fix: add a due date or a planned pay date",IF(AND(D128&lt;&gt;"",NOT(ISNUMBER(D128))),"Fix: due date isn't a date",IF(AND(F128&lt;&gt;"",NOT(ISNUMBER(F128))),"Fix: paid must be a number",IF(AND(G128&lt;&gt;"",NOT(ISNUMBER(G128))),"Fix: planned date isn't a date","Fix: paid is more than the amount")))))),IF(AND(C128&lt;&gt;"",ISNUMBER(MATCH(C128,OutCats,0))),"OK","Category not on Settings (counted as Other)")))</f>
        <v/>
      </c>
      <c r="O128">
        <f>IF(COUNTA(A128:H128)=0,"",IF(AND(ISNUMBER(E128),E128&gt;0,OR(ISNUMBER(D128),ISNUMBER(G128)),OR(D128="",ISNUMBER(D128)),OR(F128="",ISNUMBER(F128)),OR(G128="",ISNUMBER(G128))),IF(N(F128)&gt;E128,0,1),0))</f>
        <v/>
      </c>
    </row>
    <row r="129">
      <c r="A129" s="29" t="n"/>
      <c r="B129" s="29" t="n"/>
      <c r="C129" s="29" t="n"/>
      <c r="D129" s="24" t="n"/>
      <c r="E129" s="34" t="n"/>
      <c r="F129" s="34" t="n"/>
      <c r="G129" s="24" t="n"/>
      <c r="H129" s="29" t="n"/>
      <c r="I129" s="32">
        <f>IF(O129&lt;&gt;1,"",IF(ISNUMBER(G129),INT(G129),INT(D129)))</f>
        <v/>
      </c>
      <c r="J129" s="21">
        <f>IF(O129&lt;&gt;1,0,E129-N(F129))</f>
        <v/>
      </c>
      <c r="K129" s="35">
        <f>IF(OR(O129&lt;&gt;1,J129&lt;=0),"",IF(H129="Yes","",IF(I129&lt;W1,IF(OverdueW1="No","",1),IF(I129&lt;=W1+90,INT((I129-W1)/7)+1,""))))</f>
        <v/>
      </c>
      <c r="L129" s="36">
        <f>IF(ISNUMBER(K129),J129,0)</f>
        <v/>
      </c>
      <c r="M129" s="10">
        <f>IF(O129="","",IF(O129=0,"Not counted",IF(J129&lt;=0,"Paid",IF(H129="Yes","On hold (left out)",IF(I129&lt;W1,IF(OverdueW1="No","Overdue (left out)","Overdue → Week 1"),IF(I129&lt;=W1+90,"Week "&amp;K129,"After Week 13"))))))</f>
        <v/>
      </c>
      <c r="N129" s="10">
        <f>IF(O129="","",IF(O129=0,IF(NOT(ISNUMBER(E129)),"Fix: amount missing",IF(E129&lt;=0,"Fix: amount must be above 0",IF(AND(NOT(ISNUMBER(D129)),NOT(ISNUMBER(G129))),"Fix: add a due date or a planned pay date",IF(AND(D129&lt;&gt;"",NOT(ISNUMBER(D129))),"Fix: due date isn't a date",IF(AND(F129&lt;&gt;"",NOT(ISNUMBER(F129))),"Fix: paid must be a number",IF(AND(G129&lt;&gt;"",NOT(ISNUMBER(G129))),"Fix: planned date isn't a date","Fix: paid is more than the amount")))))),IF(AND(C129&lt;&gt;"",ISNUMBER(MATCH(C129,OutCats,0))),"OK","Category not on Settings (counted as Other)")))</f>
        <v/>
      </c>
      <c r="O129">
        <f>IF(COUNTA(A129:H129)=0,"",IF(AND(ISNUMBER(E129),E129&gt;0,OR(ISNUMBER(D129),ISNUMBER(G129)),OR(D129="",ISNUMBER(D129)),OR(F129="",ISNUMBER(F129)),OR(G129="",ISNUMBER(G129))),IF(N(F129)&gt;E129,0,1),0))</f>
        <v/>
      </c>
    </row>
    <row r="130">
      <c r="A130" s="29" t="n"/>
      <c r="B130" s="29" t="n"/>
      <c r="C130" s="29" t="n"/>
      <c r="D130" s="24" t="n"/>
      <c r="E130" s="34" t="n"/>
      <c r="F130" s="34" t="n"/>
      <c r="G130" s="24" t="n"/>
      <c r="H130" s="29" t="n"/>
      <c r="I130" s="32">
        <f>IF(O130&lt;&gt;1,"",IF(ISNUMBER(G130),INT(G130),INT(D130)))</f>
        <v/>
      </c>
      <c r="J130" s="21">
        <f>IF(O130&lt;&gt;1,0,E130-N(F130))</f>
        <v/>
      </c>
      <c r="K130" s="35">
        <f>IF(OR(O130&lt;&gt;1,J130&lt;=0),"",IF(H130="Yes","",IF(I130&lt;W1,IF(OverdueW1="No","",1),IF(I130&lt;=W1+90,INT((I130-W1)/7)+1,""))))</f>
        <v/>
      </c>
      <c r="L130" s="36">
        <f>IF(ISNUMBER(K130),J130,0)</f>
        <v/>
      </c>
      <c r="M130" s="10">
        <f>IF(O130="","",IF(O130=0,"Not counted",IF(J130&lt;=0,"Paid",IF(H130="Yes","On hold (left out)",IF(I130&lt;W1,IF(OverdueW1="No","Overdue (left out)","Overdue → Week 1"),IF(I130&lt;=W1+90,"Week "&amp;K130,"After Week 13"))))))</f>
        <v/>
      </c>
      <c r="N130" s="10">
        <f>IF(O130="","",IF(O130=0,IF(NOT(ISNUMBER(E130)),"Fix: amount missing",IF(E130&lt;=0,"Fix: amount must be above 0",IF(AND(NOT(ISNUMBER(D130)),NOT(ISNUMBER(G130))),"Fix: add a due date or a planned pay date",IF(AND(D130&lt;&gt;"",NOT(ISNUMBER(D130))),"Fix: due date isn't a date",IF(AND(F130&lt;&gt;"",NOT(ISNUMBER(F130))),"Fix: paid must be a number",IF(AND(G130&lt;&gt;"",NOT(ISNUMBER(G130))),"Fix: planned date isn't a date","Fix: paid is more than the amount")))))),IF(AND(C130&lt;&gt;"",ISNUMBER(MATCH(C130,OutCats,0))),"OK","Category not on Settings (counted as Other)")))</f>
        <v/>
      </c>
      <c r="O130">
        <f>IF(COUNTA(A130:H130)=0,"",IF(AND(ISNUMBER(E130),E130&gt;0,OR(ISNUMBER(D130),ISNUMBER(G130)),OR(D130="",ISNUMBER(D130)),OR(F130="",ISNUMBER(F130)),OR(G130="",ISNUMBER(G130))),IF(N(F130)&gt;E130,0,1),0))</f>
        <v/>
      </c>
    </row>
    <row r="131">
      <c r="A131" s="29" t="n"/>
      <c r="B131" s="29" t="n"/>
      <c r="C131" s="29" t="n"/>
      <c r="D131" s="24" t="n"/>
      <c r="E131" s="34" t="n"/>
      <c r="F131" s="34" t="n"/>
      <c r="G131" s="24" t="n"/>
      <c r="H131" s="29" t="n"/>
      <c r="I131" s="32">
        <f>IF(O131&lt;&gt;1,"",IF(ISNUMBER(G131),INT(G131),INT(D131)))</f>
        <v/>
      </c>
      <c r="J131" s="21">
        <f>IF(O131&lt;&gt;1,0,E131-N(F131))</f>
        <v/>
      </c>
      <c r="K131" s="35">
        <f>IF(OR(O131&lt;&gt;1,J131&lt;=0),"",IF(H131="Yes","",IF(I131&lt;W1,IF(OverdueW1="No","",1),IF(I131&lt;=W1+90,INT((I131-W1)/7)+1,""))))</f>
        <v/>
      </c>
      <c r="L131" s="36">
        <f>IF(ISNUMBER(K131),J131,0)</f>
        <v/>
      </c>
      <c r="M131" s="10">
        <f>IF(O131="","",IF(O131=0,"Not counted",IF(J131&lt;=0,"Paid",IF(H131="Yes","On hold (left out)",IF(I131&lt;W1,IF(OverdueW1="No","Overdue (left out)","Overdue → Week 1"),IF(I131&lt;=W1+90,"Week "&amp;K131,"After Week 13"))))))</f>
        <v/>
      </c>
      <c r="N131" s="10">
        <f>IF(O131="","",IF(O131=0,IF(NOT(ISNUMBER(E131)),"Fix: amount missing",IF(E131&lt;=0,"Fix: amount must be above 0",IF(AND(NOT(ISNUMBER(D131)),NOT(ISNUMBER(G131))),"Fix: add a due date or a planned pay date",IF(AND(D131&lt;&gt;"",NOT(ISNUMBER(D131))),"Fix: due date isn't a date",IF(AND(F131&lt;&gt;"",NOT(ISNUMBER(F131))),"Fix: paid must be a number",IF(AND(G131&lt;&gt;"",NOT(ISNUMBER(G131))),"Fix: planned date isn't a date","Fix: paid is more than the amount")))))),IF(AND(C131&lt;&gt;"",ISNUMBER(MATCH(C131,OutCats,0))),"OK","Category not on Settings (counted as Other)")))</f>
        <v/>
      </c>
      <c r="O131">
        <f>IF(COUNTA(A131:H131)=0,"",IF(AND(ISNUMBER(E131),E131&gt;0,OR(ISNUMBER(D131),ISNUMBER(G131)),OR(D131="",ISNUMBER(D131)),OR(F131="",ISNUMBER(F131)),OR(G131="",ISNUMBER(G131))),IF(N(F131)&gt;E131,0,1),0))</f>
        <v/>
      </c>
    </row>
    <row r="132">
      <c r="A132" s="29" t="n"/>
      <c r="B132" s="29" t="n"/>
      <c r="C132" s="29" t="n"/>
      <c r="D132" s="24" t="n"/>
      <c r="E132" s="34" t="n"/>
      <c r="F132" s="34" t="n"/>
      <c r="G132" s="24" t="n"/>
      <c r="H132" s="29" t="n"/>
      <c r="I132" s="32">
        <f>IF(O132&lt;&gt;1,"",IF(ISNUMBER(G132),INT(G132),INT(D132)))</f>
        <v/>
      </c>
      <c r="J132" s="21">
        <f>IF(O132&lt;&gt;1,0,E132-N(F132))</f>
        <v/>
      </c>
      <c r="K132" s="35">
        <f>IF(OR(O132&lt;&gt;1,J132&lt;=0),"",IF(H132="Yes","",IF(I132&lt;W1,IF(OverdueW1="No","",1),IF(I132&lt;=W1+90,INT((I132-W1)/7)+1,""))))</f>
        <v/>
      </c>
      <c r="L132" s="36">
        <f>IF(ISNUMBER(K132),J132,0)</f>
        <v/>
      </c>
      <c r="M132" s="10">
        <f>IF(O132="","",IF(O132=0,"Not counted",IF(J132&lt;=0,"Paid",IF(H132="Yes","On hold (left out)",IF(I132&lt;W1,IF(OverdueW1="No","Overdue (left out)","Overdue → Week 1"),IF(I132&lt;=W1+90,"Week "&amp;K132,"After Week 13"))))))</f>
        <v/>
      </c>
      <c r="N132" s="10">
        <f>IF(O132="","",IF(O132=0,IF(NOT(ISNUMBER(E132)),"Fix: amount missing",IF(E132&lt;=0,"Fix: amount must be above 0",IF(AND(NOT(ISNUMBER(D132)),NOT(ISNUMBER(G132))),"Fix: add a due date or a planned pay date",IF(AND(D132&lt;&gt;"",NOT(ISNUMBER(D132))),"Fix: due date isn't a date",IF(AND(F132&lt;&gt;"",NOT(ISNUMBER(F132))),"Fix: paid must be a number",IF(AND(G132&lt;&gt;"",NOT(ISNUMBER(G132))),"Fix: planned date isn't a date","Fix: paid is more than the amount")))))),IF(AND(C132&lt;&gt;"",ISNUMBER(MATCH(C132,OutCats,0))),"OK","Category not on Settings (counted as Other)")))</f>
        <v/>
      </c>
      <c r="O132">
        <f>IF(COUNTA(A132:H132)=0,"",IF(AND(ISNUMBER(E132),E132&gt;0,OR(ISNUMBER(D132),ISNUMBER(G132)),OR(D132="",ISNUMBER(D132)),OR(F132="",ISNUMBER(F132)),OR(G132="",ISNUMBER(G132))),IF(N(F132)&gt;E132,0,1),0))</f>
        <v/>
      </c>
    </row>
    <row r="133">
      <c r="A133" s="29" t="n"/>
      <c r="B133" s="29" t="n"/>
      <c r="C133" s="29" t="n"/>
      <c r="D133" s="24" t="n"/>
      <c r="E133" s="34" t="n"/>
      <c r="F133" s="34" t="n"/>
      <c r="G133" s="24" t="n"/>
      <c r="H133" s="29" t="n"/>
      <c r="I133" s="32">
        <f>IF(O133&lt;&gt;1,"",IF(ISNUMBER(G133),INT(G133),INT(D133)))</f>
        <v/>
      </c>
      <c r="J133" s="21">
        <f>IF(O133&lt;&gt;1,0,E133-N(F133))</f>
        <v/>
      </c>
      <c r="K133" s="35">
        <f>IF(OR(O133&lt;&gt;1,J133&lt;=0),"",IF(H133="Yes","",IF(I133&lt;W1,IF(OverdueW1="No","",1),IF(I133&lt;=W1+90,INT((I133-W1)/7)+1,""))))</f>
        <v/>
      </c>
      <c r="L133" s="36">
        <f>IF(ISNUMBER(K133),J133,0)</f>
        <v/>
      </c>
      <c r="M133" s="10">
        <f>IF(O133="","",IF(O133=0,"Not counted",IF(J133&lt;=0,"Paid",IF(H133="Yes","On hold (left out)",IF(I133&lt;W1,IF(OverdueW1="No","Overdue (left out)","Overdue → Week 1"),IF(I133&lt;=W1+90,"Week "&amp;K133,"After Week 13"))))))</f>
        <v/>
      </c>
      <c r="N133" s="10">
        <f>IF(O133="","",IF(O133=0,IF(NOT(ISNUMBER(E133)),"Fix: amount missing",IF(E133&lt;=0,"Fix: amount must be above 0",IF(AND(NOT(ISNUMBER(D133)),NOT(ISNUMBER(G133))),"Fix: add a due date or a planned pay date",IF(AND(D133&lt;&gt;"",NOT(ISNUMBER(D133))),"Fix: due date isn't a date",IF(AND(F133&lt;&gt;"",NOT(ISNUMBER(F133))),"Fix: paid must be a number",IF(AND(G133&lt;&gt;"",NOT(ISNUMBER(G133))),"Fix: planned date isn't a date","Fix: paid is more than the amount")))))),IF(AND(C133&lt;&gt;"",ISNUMBER(MATCH(C133,OutCats,0))),"OK","Category not on Settings (counted as Other)")))</f>
        <v/>
      </c>
      <c r="O133">
        <f>IF(COUNTA(A133:H133)=0,"",IF(AND(ISNUMBER(E133),E133&gt;0,OR(ISNUMBER(D133),ISNUMBER(G133)),OR(D133="",ISNUMBER(D133)),OR(F133="",ISNUMBER(F133)),OR(G133="",ISNUMBER(G133))),IF(N(F133)&gt;E133,0,1),0))</f>
        <v/>
      </c>
    </row>
    <row r="134">
      <c r="A134" s="29" t="n"/>
      <c r="B134" s="29" t="n"/>
      <c r="C134" s="29" t="n"/>
      <c r="D134" s="24" t="n"/>
      <c r="E134" s="34" t="n"/>
      <c r="F134" s="34" t="n"/>
      <c r="G134" s="24" t="n"/>
      <c r="H134" s="29" t="n"/>
      <c r="I134" s="32">
        <f>IF(O134&lt;&gt;1,"",IF(ISNUMBER(G134),INT(G134),INT(D134)))</f>
        <v/>
      </c>
      <c r="J134" s="21">
        <f>IF(O134&lt;&gt;1,0,E134-N(F134))</f>
        <v/>
      </c>
      <c r="K134" s="35">
        <f>IF(OR(O134&lt;&gt;1,J134&lt;=0),"",IF(H134="Yes","",IF(I134&lt;W1,IF(OverdueW1="No","",1),IF(I134&lt;=W1+90,INT((I134-W1)/7)+1,""))))</f>
        <v/>
      </c>
      <c r="L134" s="36">
        <f>IF(ISNUMBER(K134),J134,0)</f>
        <v/>
      </c>
      <c r="M134" s="10">
        <f>IF(O134="","",IF(O134=0,"Not counted",IF(J134&lt;=0,"Paid",IF(H134="Yes","On hold (left out)",IF(I134&lt;W1,IF(OverdueW1="No","Overdue (left out)","Overdue → Week 1"),IF(I134&lt;=W1+90,"Week "&amp;K134,"After Week 13"))))))</f>
        <v/>
      </c>
      <c r="N134" s="10">
        <f>IF(O134="","",IF(O134=0,IF(NOT(ISNUMBER(E134)),"Fix: amount missing",IF(E134&lt;=0,"Fix: amount must be above 0",IF(AND(NOT(ISNUMBER(D134)),NOT(ISNUMBER(G134))),"Fix: add a due date or a planned pay date",IF(AND(D134&lt;&gt;"",NOT(ISNUMBER(D134))),"Fix: due date isn't a date",IF(AND(F134&lt;&gt;"",NOT(ISNUMBER(F134))),"Fix: paid must be a number",IF(AND(G134&lt;&gt;"",NOT(ISNUMBER(G134))),"Fix: planned date isn't a date","Fix: paid is more than the amount")))))),IF(AND(C134&lt;&gt;"",ISNUMBER(MATCH(C134,OutCats,0))),"OK","Category not on Settings (counted as Other)")))</f>
        <v/>
      </c>
      <c r="O134">
        <f>IF(COUNTA(A134:H134)=0,"",IF(AND(ISNUMBER(E134),E134&gt;0,OR(ISNUMBER(D134),ISNUMBER(G134)),OR(D134="",ISNUMBER(D134)),OR(F134="",ISNUMBER(F134)),OR(G134="",ISNUMBER(G134))),IF(N(F134)&gt;E134,0,1),0))</f>
        <v/>
      </c>
    </row>
    <row r="135">
      <c r="A135" s="29" t="n"/>
      <c r="B135" s="29" t="n"/>
      <c r="C135" s="29" t="n"/>
      <c r="D135" s="24" t="n"/>
      <c r="E135" s="34" t="n"/>
      <c r="F135" s="34" t="n"/>
      <c r="G135" s="24" t="n"/>
      <c r="H135" s="29" t="n"/>
      <c r="I135" s="32">
        <f>IF(O135&lt;&gt;1,"",IF(ISNUMBER(G135),INT(G135),INT(D135)))</f>
        <v/>
      </c>
      <c r="J135" s="21">
        <f>IF(O135&lt;&gt;1,0,E135-N(F135))</f>
        <v/>
      </c>
      <c r="K135" s="35">
        <f>IF(OR(O135&lt;&gt;1,J135&lt;=0),"",IF(H135="Yes","",IF(I135&lt;W1,IF(OverdueW1="No","",1),IF(I135&lt;=W1+90,INT((I135-W1)/7)+1,""))))</f>
        <v/>
      </c>
      <c r="L135" s="36">
        <f>IF(ISNUMBER(K135),J135,0)</f>
        <v/>
      </c>
      <c r="M135" s="10">
        <f>IF(O135="","",IF(O135=0,"Not counted",IF(J135&lt;=0,"Paid",IF(H135="Yes","On hold (left out)",IF(I135&lt;W1,IF(OverdueW1="No","Overdue (left out)","Overdue → Week 1"),IF(I135&lt;=W1+90,"Week "&amp;K135,"After Week 13"))))))</f>
        <v/>
      </c>
      <c r="N135" s="10">
        <f>IF(O135="","",IF(O135=0,IF(NOT(ISNUMBER(E135)),"Fix: amount missing",IF(E135&lt;=0,"Fix: amount must be above 0",IF(AND(NOT(ISNUMBER(D135)),NOT(ISNUMBER(G135))),"Fix: add a due date or a planned pay date",IF(AND(D135&lt;&gt;"",NOT(ISNUMBER(D135))),"Fix: due date isn't a date",IF(AND(F135&lt;&gt;"",NOT(ISNUMBER(F135))),"Fix: paid must be a number",IF(AND(G135&lt;&gt;"",NOT(ISNUMBER(G135))),"Fix: planned date isn't a date","Fix: paid is more than the amount")))))),IF(AND(C135&lt;&gt;"",ISNUMBER(MATCH(C135,OutCats,0))),"OK","Category not on Settings (counted as Other)")))</f>
        <v/>
      </c>
      <c r="O135">
        <f>IF(COUNTA(A135:H135)=0,"",IF(AND(ISNUMBER(E135),E135&gt;0,OR(ISNUMBER(D135),ISNUMBER(G135)),OR(D135="",ISNUMBER(D135)),OR(F135="",ISNUMBER(F135)),OR(G135="",ISNUMBER(G135))),IF(N(F135)&gt;E135,0,1),0))</f>
        <v/>
      </c>
    </row>
    <row r="136">
      <c r="A136" s="29" t="n"/>
      <c r="B136" s="29" t="n"/>
      <c r="C136" s="29" t="n"/>
      <c r="D136" s="24" t="n"/>
      <c r="E136" s="34" t="n"/>
      <c r="F136" s="34" t="n"/>
      <c r="G136" s="24" t="n"/>
      <c r="H136" s="29" t="n"/>
      <c r="I136" s="32">
        <f>IF(O136&lt;&gt;1,"",IF(ISNUMBER(G136),INT(G136),INT(D136)))</f>
        <v/>
      </c>
      <c r="J136" s="21">
        <f>IF(O136&lt;&gt;1,0,E136-N(F136))</f>
        <v/>
      </c>
      <c r="K136" s="35">
        <f>IF(OR(O136&lt;&gt;1,J136&lt;=0),"",IF(H136="Yes","",IF(I136&lt;W1,IF(OverdueW1="No","",1),IF(I136&lt;=W1+90,INT((I136-W1)/7)+1,""))))</f>
        <v/>
      </c>
      <c r="L136" s="36">
        <f>IF(ISNUMBER(K136),J136,0)</f>
        <v/>
      </c>
      <c r="M136" s="10">
        <f>IF(O136="","",IF(O136=0,"Not counted",IF(J136&lt;=0,"Paid",IF(H136="Yes","On hold (left out)",IF(I136&lt;W1,IF(OverdueW1="No","Overdue (left out)","Overdue → Week 1"),IF(I136&lt;=W1+90,"Week "&amp;K136,"After Week 13"))))))</f>
        <v/>
      </c>
      <c r="N136" s="10">
        <f>IF(O136="","",IF(O136=0,IF(NOT(ISNUMBER(E136)),"Fix: amount missing",IF(E136&lt;=0,"Fix: amount must be above 0",IF(AND(NOT(ISNUMBER(D136)),NOT(ISNUMBER(G136))),"Fix: add a due date or a planned pay date",IF(AND(D136&lt;&gt;"",NOT(ISNUMBER(D136))),"Fix: due date isn't a date",IF(AND(F136&lt;&gt;"",NOT(ISNUMBER(F136))),"Fix: paid must be a number",IF(AND(G136&lt;&gt;"",NOT(ISNUMBER(G136))),"Fix: planned date isn't a date","Fix: paid is more than the amount")))))),IF(AND(C136&lt;&gt;"",ISNUMBER(MATCH(C136,OutCats,0))),"OK","Category not on Settings (counted as Other)")))</f>
        <v/>
      </c>
      <c r="O136">
        <f>IF(COUNTA(A136:H136)=0,"",IF(AND(ISNUMBER(E136),E136&gt;0,OR(ISNUMBER(D136),ISNUMBER(G136)),OR(D136="",ISNUMBER(D136)),OR(F136="",ISNUMBER(F136)),OR(G136="",ISNUMBER(G136))),IF(N(F136)&gt;E136,0,1),0))</f>
        <v/>
      </c>
    </row>
    <row r="137">
      <c r="A137" s="29" t="n"/>
      <c r="B137" s="29" t="n"/>
      <c r="C137" s="29" t="n"/>
      <c r="D137" s="24" t="n"/>
      <c r="E137" s="34" t="n"/>
      <c r="F137" s="34" t="n"/>
      <c r="G137" s="24" t="n"/>
      <c r="H137" s="29" t="n"/>
      <c r="I137" s="32">
        <f>IF(O137&lt;&gt;1,"",IF(ISNUMBER(G137),INT(G137),INT(D137)))</f>
        <v/>
      </c>
      <c r="J137" s="21">
        <f>IF(O137&lt;&gt;1,0,E137-N(F137))</f>
        <v/>
      </c>
      <c r="K137" s="35">
        <f>IF(OR(O137&lt;&gt;1,J137&lt;=0),"",IF(H137="Yes","",IF(I137&lt;W1,IF(OverdueW1="No","",1),IF(I137&lt;=W1+90,INT((I137-W1)/7)+1,""))))</f>
        <v/>
      </c>
      <c r="L137" s="36">
        <f>IF(ISNUMBER(K137),J137,0)</f>
        <v/>
      </c>
      <c r="M137" s="10">
        <f>IF(O137="","",IF(O137=0,"Not counted",IF(J137&lt;=0,"Paid",IF(H137="Yes","On hold (left out)",IF(I137&lt;W1,IF(OverdueW1="No","Overdue (left out)","Overdue → Week 1"),IF(I137&lt;=W1+90,"Week "&amp;K137,"After Week 13"))))))</f>
        <v/>
      </c>
      <c r="N137" s="10">
        <f>IF(O137="","",IF(O137=0,IF(NOT(ISNUMBER(E137)),"Fix: amount missing",IF(E137&lt;=0,"Fix: amount must be above 0",IF(AND(NOT(ISNUMBER(D137)),NOT(ISNUMBER(G137))),"Fix: add a due date or a planned pay date",IF(AND(D137&lt;&gt;"",NOT(ISNUMBER(D137))),"Fix: due date isn't a date",IF(AND(F137&lt;&gt;"",NOT(ISNUMBER(F137))),"Fix: paid must be a number",IF(AND(G137&lt;&gt;"",NOT(ISNUMBER(G137))),"Fix: planned date isn't a date","Fix: paid is more than the amount")))))),IF(AND(C137&lt;&gt;"",ISNUMBER(MATCH(C137,OutCats,0))),"OK","Category not on Settings (counted as Other)")))</f>
        <v/>
      </c>
      <c r="O137">
        <f>IF(COUNTA(A137:H137)=0,"",IF(AND(ISNUMBER(E137),E137&gt;0,OR(ISNUMBER(D137),ISNUMBER(G137)),OR(D137="",ISNUMBER(D137)),OR(F137="",ISNUMBER(F137)),OR(G137="",ISNUMBER(G137))),IF(N(F137)&gt;E137,0,1),0))</f>
        <v/>
      </c>
    </row>
    <row r="138">
      <c r="A138" s="29" t="n"/>
      <c r="B138" s="29" t="n"/>
      <c r="C138" s="29" t="n"/>
      <c r="D138" s="24" t="n"/>
      <c r="E138" s="34" t="n"/>
      <c r="F138" s="34" t="n"/>
      <c r="G138" s="24" t="n"/>
      <c r="H138" s="29" t="n"/>
      <c r="I138" s="32">
        <f>IF(O138&lt;&gt;1,"",IF(ISNUMBER(G138),INT(G138),INT(D138)))</f>
        <v/>
      </c>
      <c r="J138" s="21">
        <f>IF(O138&lt;&gt;1,0,E138-N(F138))</f>
        <v/>
      </c>
      <c r="K138" s="35">
        <f>IF(OR(O138&lt;&gt;1,J138&lt;=0),"",IF(H138="Yes","",IF(I138&lt;W1,IF(OverdueW1="No","",1),IF(I138&lt;=W1+90,INT((I138-W1)/7)+1,""))))</f>
        <v/>
      </c>
      <c r="L138" s="36">
        <f>IF(ISNUMBER(K138),J138,0)</f>
        <v/>
      </c>
      <c r="M138" s="10">
        <f>IF(O138="","",IF(O138=0,"Not counted",IF(J138&lt;=0,"Paid",IF(H138="Yes","On hold (left out)",IF(I138&lt;W1,IF(OverdueW1="No","Overdue (left out)","Overdue → Week 1"),IF(I138&lt;=W1+90,"Week "&amp;K138,"After Week 13"))))))</f>
        <v/>
      </c>
      <c r="N138" s="10">
        <f>IF(O138="","",IF(O138=0,IF(NOT(ISNUMBER(E138)),"Fix: amount missing",IF(E138&lt;=0,"Fix: amount must be above 0",IF(AND(NOT(ISNUMBER(D138)),NOT(ISNUMBER(G138))),"Fix: add a due date or a planned pay date",IF(AND(D138&lt;&gt;"",NOT(ISNUMBER(D138))),"Fix: due date isn't a date",IF(AND(F138&lt;&gt;"",NOT(ISNUMBER(F138))),"Fix: paid must be a number",IF(AND(G138&lt;&gt;"",NOT(ISNUMBER(G138))),"Fix: planned date isn't a date","Fix: paid is more than the amount")))))),IF(AND(C138&lt;&gt;"",ISNUMBER(MATCH(C138,OutCats,0))),"OK","Category not on Settings (counted as Other)")))</f>
        <v/>
      </c>
      <c r="O138">
        <f>IF(COUNTA(A138:H138)=0,"",IF(AND(ISNUMBER(E138),E138&gt;0,OR(ISNUMBER(D138),ISNUMBER(G138)),OR(D138="",ISNUMBER(D138)),OR(F138="",ISNUMBER(F138)),OR(G138="",ISNUMBER(G138))),IF(N(F138)&gt;E138,0,1),0))</f>
        <v/>
      </c>
    </row>
    <row r="139">
      <c r="A139" s="29" t="n"/>
      <c r="B139" s="29" t="n"/>
      <c r="C139" s="29" t="n"/>
      <c r="D139" s="24" t="n"/>
      <c r="E139" s="34" t="n"/>
      <c r="F139" s="34" t="n"/>
      <c r="G139" s="24" t="n"/>
      <c r="H139" s="29" t="n"/>
      <c r="I139" s="32">
        <f>IF(O139&lt;&gt;1,"",IF(ISNUMBER(G139),INT(G139),INT(D139)))</f>
        <v/>
      </c>
      <c r="J139" s="21">
        <f>IF(O139&lt;&gt;1,0,E139-N(F139))</f>
        <v/>
      </c>
      <c r="K139" s="35">
        <f>IF(OR(O139&lt;&gt;1,J139&lt;=0),"",IF(H139="Yes","",IF(I139&lt;W1,IF(OverdueW1="No","",1),IF(I139&lt;=W1+90,INT((I139-W1)/7)+1,""))))</f>
        <v/>
      </c>
      <c r="L139" s="36">
        <f>IF(ISNUMBER(K139),J139,0)</f>
        <v/>
      </c>
      <c r="M139" s="10">
        <f>IF(O139="","",IF(O139=0,"Not counted",IF(J139&lt;=0,"Paid",IF(H139="Yes","On hold (left out)",IF(I139&lt;W1,IF(OverdueW1="No","Overdue (left out)","Overdue → Week 1"),IF(I139&lt;=W1+90,"Week "&amp;K139,"After Week 13"))))))</f>
        <v/>
      </c>
      <c r="N139" s="10">
        <f>IF(O139="","",IF(O139=0,IF(NOT(ISNUMBER(E139)),"Fix: amount missing",IF(E139&lt;=0,"Fix: amount must be above 0",IF(AND(NOT(ISNUMBER(D139)),NOT(ISNUMBER(G139))),"Fix: add a due date or a planned pay date",IF(AND(D139&lt;&gt;"",NOT(ISNUMBER(D139))),"Fix: due date isn't a date",IF(AND(F139&lt;&gt;"",NOT(ISNUMBER(F139))),"Fix: paid must be a number",IF(AND(G139&lt;&gt;"",NOT(ISNUMBER(G139))),"Fix: planned date isn't a date","Fix: paid is more than the amount")))))),IF(AND(C139&lt;&gt;"",ISNUMBER(MATCH(C139,OutCats,0))),"OK","Category not on Settings (counted as Other)")))</f>
        <v/>
      </c>
      <c r="O139">
        <f>IF(COUNTA(A139:H139)=0,"",IF(AND(ISNUMBER(E139),E139&gt;0,OR(ISNUMBER(D139),ISNUMBER(G139)),OR(D139="",ISNUMBER(D139)),OR(F139="",ISNUMBER(F139)),OR(G139="",ISNUMBER(G139))),IF(N(F139)&gt;E139,0,1),0))</f>
        <v/>
      </c>
    </row>
    <row r="140">
      <c r="A140" s="29" t="n"/>
      <c r="B140" s="29" t="n"/>
      <c r="C140" s="29" t="n"/>
      <c r="D140" s="24" t="n"/>
      <c r="E140" s="34" t="n"/>
      <c r="F140" s="34" t="n"/>
      <c r="G140" s="24" t="n"/>
      <c r="H140" s="29" t="n"/>
      <c r="I140" s="32">
        <f>IF(O140&lt;&gt;1,"",IF(ISNUMBER(G140),INT(G140),INT(D140)))</f>
        <v/>
      </c>
      <c r="J140" s="21">
        <f>IF(O140&lt;&gt;1,0,E140-N(F140))</f>
        <v/>
      </c>
      <c r="K140" s="35">
        <f>IF(OR(O140&lt;&gt;1,J140&lt;=0),"",IF(H140="Yes","",IF(I140&lt;W1,IF(OverdueW1="No","",1),IF(I140&lt;=W1+90,INT((I140-W1)/7)+1,""))))</f>
        <v/>
      </c>
      <c r="L140" s="36">
        <f>IF(ISNUMBER(K140),J140,0)</f>
        <v/>
      </c>
      <c r="M140" s="10">
        <f>IF(O140="","",IF(O140=0,"Not counted",IF(J140&lt;=0,"Paid",IF(H140="Yes","On hold (left out)",IF(I140&lt;W1,IF(OverdueW1="No","Overdue (left out)","Overdue → Week 1"),IF(I140&lt;=W1+90,"Week "&amp;K140,"After Week 13"))))))</f>
        <v/>
      </c>
      <c r="N140" s="10">
        <f>IF(O140="","",IF(O140=0,IF(NOT(ISNUMBER(E140)),"Fix: amount missing",IF(E140&lt;=0,"Fix: amount must be above 0",IF(AND(NOT(ISNUMBER(D140)),NOT(ISNUMBER(G140))),"Fix: add a due date or a planned pay date",IF(AND(D140&lt;&gt;"",NOT(ISNUMBER(D140))),"Fix: due date isn't a date",IF(AND(F140&lt;&gt;"",NOT(ISNUMBER(F140))),"Fix: paid must be a number",IF(AND(G140&lt;&gt;"",NOT(ISNUMBER(G140))),"Fix: planned date isn't a date","Fix: paid is more than the amount")))))),IF(AND(C140&lt;&gt;"",ISNUMBER(MATCH(C140,OutCats,0))),"OK","Category not on Settings (counted as Other)")))</f>
        <v/>
      </c>
      <c r="O140">
        <f>IF(COUNTA(A140:H140)=0,"",IF(AND(ISNUMBER(E140),E140&gt;0,OR(ISNUMBER(D140),ISNUMBER(G140)),OR(D140="",ISNUMBER(D140)),OR(F140="",ISNUMBER(F140)),OR(G140="",ISNUMBER(G140))),IF(N(F140)&gt;E140,0,1),0))</f>
        <v/>
      </c>
    </row>
    <row r="141">
      <c r="A141" s="29" t="n"/>
      <c r="B141" s="29" t="n"/>
      <c r="C141" s="29" t="n"/>
      <c r="D141" s="24" t="n"/>
      <c r="E141" s="34" t="n"/>
      <c r="F141" s="34" t="n"/>
      <c r="G141" s="24" t="n"/>
      <c r="H141" s="29" t="n"/>
      <c r="I141" s="32">
        <f>IF(O141&lt;&gt;1,"",IF(ISNUMBER(G141),INT(G141),INT(D141)))</f>
        <v/>
      </c>
      <c r="J141" s="21">
        <f>IF(O141&lt;&gt;1,0,E141-N(F141))</f>
        <v/>
      </c>
      <c r="K141" s="35">
        <f>IF(OR(O141&lt;&gt;1,J141&lt;=0),"",IF(H141="Yes","",IF(I141&lt;W1,IF(OverdueW1="No","",1),IF(I141&lt;=W1+90,INT((I141-W1)/7)+1,""))))</f>
        <v/>
      </c>
      <c r="L141" s="36">
        <f>IF(ISNUMBER(K141),J141,0)</f>
        <v/>
      </c>
      <c r="M141" s="10">
        <f>IF(O141="","",IF(O141=0,"Not counted",IF(J141&lt;=0,"Paid",IF(H141="Yes","On hold (left out)",IF(I141&lt;W1,IF(OverdueW1="No","Overdue (left out)","Overdue → Week 1"),IF(I141&lt;=W1+90,"Week "&amp;K141,"After Week 13"))))))</f>
        <v/>
      </c>
      <c r="N141" s="10">
        <f>IF(O141="","",IF(O141=0,IF(NOT(ISNUMBER(E141)),"Fix: amount missing",IF(E141&lt;=0,"Fix: amount must be above 0",IF(AND(NOT(ISNUMBER(D141)),NOT(ISNUMBER(G141))),"Fix: add a due date or a planned pay date",IF(AND(D141&lt;&gt;"",NOT(ISNUMBER(D141))),"Fix: due date isn't a date",IF(AND(F141&lt;&gt;"",NOT(ISNUMBER(F141))),"Fix: paid must be a number",IF(AND(G141&lt;&gt;"",NOT(ISNUMBER(G141))),"Fix: planned date isn't a date","Fix: paid is more than the amount")))))),IF(AND(C141&lt;&gt;"",ISNUMBER(MATCH(C141,OutCats,0))),"OK","Category not on Settings (counted as Other)")))</f>
        <v/>
      </c>
      <c r="O141">
        <f>IF(COUNTA(A141:H141)=0,"",IF(AND(ISNUMBER(E141),E141&gt;0,OR(ISNUMBER(D141),ISNUMBER(G141)),OR(D141="",ISNUMBER(D141)),OR(F141="",ISNUMBER(F141)),OR(G141="",ISNUMBER(G141))),IF(N(F141)&gt;E141,0,1),0))</f>
        <v/>
      </c>
    </row>
    <row r="142">
      <c r="A142" s="29" t="n"/>
      <c r="B142" s="29" t="n"/>
      <c r="C142" s="29" t="n"/>
      <c r="D142" s="24" t="n"/>
      <c r="E142" s="34" t="n"/>
      <c r="F142" s="34" t="n"/>
      <c r="G142" s="24" t="n"/>
      <c r="H142" s="29" t="n"/>
      <c r="I142" s="32">
        <f>IF(O142&lt;&gt;1,"",IF(ISNUMBER(G142),INT(G142),INT(D142)))</f>
        <v/>
      </c>
      <c r="J142" s="21">
        <f>IF(O142&lt;&gt;1,0,E142-N(F142))</f>
        <v/>
      </c>
      <c r="K142" s="35">
        <f>IF(OR(O142&lt;&gt;1,J142&lt;=0),"",IF(H142="Yes","",IF(I142&lt;W1,IF(OverdueW1="No","",1),IF(I142&lt;=W1+90,INT((I142-W1)/7)+1,""))))</f>
        <v/>
      </c>
      <c r="L142" s="36">
        <f>IF(ISNUMBER(K142),J142,0)</f>
        <v/>
      </c>
      <c r="M142" s="10">
        <f>IF(O142="","",IF(O142=0,"Not counted",IF(J142&lt;=0,"Paid",IF(H142="Yes","On hold (left out)",IF(I142&lt;W1,IF(OverdueW1="No","Overdue (left out)","Overdue → Week 1"),IF(I142&lt;=W1+90,"Week "&amp;K142,"After Week 13"))))))</f>
        <v/>
      </c>
      <c r="N142" s="10">
        <f>IF(O142="","",IF(O142=0,IF(NOT(ISNUMBER(E142)),"Fix: amount missing",IF(E142&lt;=0,"Fix: amount must be above 0",IF(AND(NOT(ISNUMBER(D142)),NOT(ISNUMBER(G142))),"Fix: add a due date or a planned pay date",IF(AND(D142&lt;&gt;"",NOT(ISNUMBER(D142))),"Fix: due date isn't a date",IF(AND(F142&lt;&gt;"",NOT(ISNUMBER(F142))),"Fix: paid must be a number",IF(AND(G142&lt;&gt;"",NOT(ISNUMBER(G142))),"Fix: planned date isn't a date","Fix: paid is more than the amount")))))),IF(AND(C142&lt;&gt;"",ISNUMBER(MATCH(C142,OutCats,0))),"OK","Category not on Settings (counted as Other)")))</f>
        <v/>
      </c>
      <c r="O142">
        <f>IF(COUNTA(A142:H142)=0,"",IF(AND(ISNUMBER(E142),E142&gt;0,OR(ISNUMBER(D142),ISNUMBER(G142)),OR(D142="",ISNUMBER(D142)),OR(F142="",ISNUMBER(F142)),OR(G142="",ISNUMBER(G142))),IF(N(F142)&gt;E142,0,1),0))</f>
        <v/>
      </c>
    </row>
    <row r="143">
      <c r="A143" s="29" t="n"/>
      <c r="B143" s="29" t="n"/>
      <c r="C143" s="29" t="n"/>
      <c r="D143" s="24" t="n"/>
      <c r="E143" s="34" t="n"/>
      <c r="F143" s="34" t="n"/>
      <c r="G143" s="24" t="n"/>
      <c r="H143" s="29" t="n"/>
      <c r="I143" s="32">
        <f>IF(O143&lt;&gt;1,"",IF(ISNUMBER(G143),INT(G143),INT(D143)))</f>
        <v/>
      </c>
      <c r="J143" s="21">
        <f>IF(O143&lt;&gt;1,0,E143-N(F143))</f>
        <v/>
      </c>
      <c r="K143" s="35">
        <f>IF(OR(O143&lt;&gt;1,J143&lt;=0),"",IF(H143="Yes","",IF(I143&lt;W1,IF(OverdueW1="No","",1),IF(I143&lt;=W1+90,INT((I143-W1)/7)+1,""))))</f>
        <v/>
      </c>
      <c r="L143" s="36">
        <f>IF(ISNUMBER(K143),J143,0)</f>
        <v/>
      </c>
      <c r="M143" s="10">
        <f>IF(O143="","",IF(O143=0,"Not counted",IF(J143&lt;=0,"Paid",IF(H143="Yes","On hold (left out)",IF(I143&lt;W1,IF(OverdueW1="No","Overdue (left out)","Overdue → Week 1"),IF(I143&lt;=W1+90,"Week "&amp;K143,"After Week 13"))))))</f>
        <v/>
      </c>
      <c r="N143" s="10">
        <f>IF(O143="","",IF(O143=0,IF(NOT(ISNUMBER(E143)),"Fix: amount missing",IF(E143&lt;=0,"Fix: amount must be above 0",IF(AND(NOT(ISNUMBER(D143)),NOT(ISNUMBER(G143))),"Fix: add a due date or a planned pay date",IF(AND(D143&lt;&gt;"",NOT(ISNUMBER(D143))),"Fix: due date isn't a date",IF(AND(F143&lt;&gt;"",NOT(ISNUMBER(F143))),"Fix: paid must be a number",IF(AND(G143&lt;&gt;"",NOT(ISNUMBER(G143))),"Fix: planned date isn't a date","Fix: paid is more than the amount")))))),IF(AND(C143&lt;&gt;"",ISNUMBER(MATCH(C143,OutCats,0))),"OK","Category not on Settings (counted as Other)")))</f>
        <v/>
      </c>
      <c r="O143">
        <f>IF(COUNTA(A143:H143)=0,"",IF(AND(ISNUMBER(E143),E143&gt;0,OR(ISNUMBER(D143),ISNUMBER(G143)),OR(D143="",ISNUMBER(D143)),OR(F143="",ISNUMBER(F143)),OR(G143="",ISNUMBER(G143))),IF(N(F143)&gt;E143,0,1),0))</f>
        <v/>
      </c>
    </row>
    <row r="144">
      <c r="A144" s="29" t="n"/>
      <c r="B144" s="29" t="n"/>
      <c r="C144" s="29" t="n"/>
      <c r="D144" s="24" t="n"/>
      <c r="E144" s="34" t="n"/>
      <c r="F144" s="34" t="n"/>
      <c r="G144" s="24" t="n"/>
      <c r="H144" s="29" t="n"/>
      <c r="I144" s="32">
        <f>IF(O144&lt;&gt;1,"",IF(ISNUMBER(G144),INT(G144),INT(D144)))</f>
        <v/>
      </c>
      <c r="J144" s="21">
        <f>IF(O144&lt;&gt;1,0,E144-N(F144))</f>
        <v/>
      </c>
      <c r="K144" s="35">
        <f>IF(OR(O144&lt;&gt;1,J144&lt;=0),"",IF(H144="Yes","",IF(I144&lt;W1,IF(OverdueW1="No","",1),IF(I144&lt;=W1+90,INT((I144-W1)/7)+1,""))))</f>
        <v/>
      </c>
      <c r="L144" s="36">
        <f>IF(ISNUMBER(K144),J144,0)</f>
        <v/>
      </c>
      <c r="M144" s="10">
        <f>IF(O144="","",IF(O144=0,"Not counted",IF(J144&lt;=0,"Paid",IF(H144="Yes","On hold (left out)",IF(I144&lt;W1,IF(OverdueW1="No","Overdue (left out)","Overdue → Week 1"),IF(I144&lt;=W1+90,"Week "&amp;K144,"After Week 13"))))))</f>
        <v/>
      </c>
      <c r="N144" s="10">
        <f>IF(O144="","",IF(O144=0,IF(NOT(ISNUMBER(E144)),"Fix: amount missing",IF(E144&lt;=0,"Fix: amount must be above 0",IF(AND(NOT(ISNUMBER(D144)),NOT(ISNUMBER(G144))),"Fix: add a due date or a planned pay date",IF(AND(D144&lt;&gt;"",NOT(ISNUMBER(D144))),"Fix: due date isn't a date",IF(AND(F144&lt;&gt;"",NOT(ISNUMBER(F144))),"Fix: paid must be a number",IF(AND(G144&lt;&gt;"",NOT(ISNUMBER(G144))),"Fix: planned date isn't a date","Fix: paid is more than the amount")))))),IF(AND(C144&lt;&gt;"",ISNUMBER(MATCH(C144,OutCats,0))),"OK","Category not on Settings (counted as Other)")))</f>
        <v/>
      </c>
      <c r="O144">
        <f>IF(COUNTA(A144:H144)=0,"",IF(AND(ISNUMBER(E144),E144&gt;0,OR(ISNUMBER(D144),ISNUMBER(G144)),OR(D144="",ISNUMBER(D144)),OR(F144="",ISNUMBER(F144)),OR(G144="",ISNUMBER(G144))),IF(N(F144)&gt;E144,0,1),0))</f>
        <v/>
      </c>
    </row>
    <row r="145">
      <c r="A145" s="29" t="n"/>
      <c r="B145" s="29" t="n"/>
      <c r="C145" s="29" t="n"/>
      <c r="D145" s="24" t="n"/>
      <c r="E145" s="34" t="n"/>
      <c r="F145" s="34" t="n"/>
      <c r="G145" s="24" t="n"/>
      <c r="H145" s="29" t="n"/>
      <c r="I145" s="32">
        <f>IF(O145&lt;&gt;1,"",IF(ISNUMBER(G145),INT(G145),INT(D145)))</f>
        <v/>
      </c>
      <c r="J145" s="21">
        <f>IF(O145&lt;&gt;1,0,E145-N(F145))</f>
        <v/>
      </c>
      <c r="K145" s="35">
        <f>IF(OR(O145&lt;&gt;1,J145&lt;=0),"",IF(H145="Yes","",IF(I145&lt;W1,IF(OverdueW1="No","",1),IF(I145&lt;=W1+90,INT((I145-W1)/7)+1,""))))</f>
        <v/>
      </c>
      <c r="L145" s="36">
        <f>IF(ISNUMBER(K145),J145,0)</f>
        <v/>
      </c>
      <c r="M145" s="10">
        <f>IF(O145="","",IF(O145=0,"Not counted",IF(J145&lt;=0,"Paid",IF(H145="Yes","On hold (left out)",IF(I145&lt;W1,IF(OverdueW1="No","Overdue (left out)","Overdue → Week 1"),IF(I145&lt;=W1+90,"Week "&amp;K145,"After Week 13"))))))</f>
        <v/>
      </c>
      <c r="N145" s="10">
        <f>IF(O145="","",IF(O145=0,IF(NOT(ISNUMBER(E145)),"Fix: amount missing",IF(E145&lt;=0,"Fix: amount must be above 0",IF(AND(NOT(ISNUMBER(D145)),NOT(ISNUMBER(G145))),"Fix: add a due date or a planned pay date",IF(AND(D145&lt;&gt;"",NOT(ISNUMBER(D145))),"Fix: due date isn't a date",IF(AND(F145&lt;&gt;"",NOT(ISNUMBER(F145))),"Fix: paid must be a number",IF(AND(G145&lt;&gt;"",NOT(ISNUMBER(G145))),"Fix: planned date isn't a date","Fix: paid is more than the amount")))))),IF(AND(C145&lt;&gt;"",ISNUMBER(MATCH(C145,OutCats,0))),"OK","Category not on Settings (counted as Other)")))</f>
        <v/>
      </c>
      <c r="O145">
        <f>IF(COUNTA(A145:H145)=0,"",IF(AND(ISNUMBER(E145),E145&gt;0,OR(ISNUMBER(D145),ISNUMBER(G145)),OR(D145="",ISNUMBER(D145)),OR(F145="",ISNUMBER(F145)),OR(G145="",ISNUMBER(G145))),IF(N(F145)&gt;E145,0,1),0))</f>
        <v/>
      </c>
    </row>
    <row r="146">
      <c r="A146" s="29" t="n"/>
      <c r="B146" s="29" t="n"/>
      <c r="C146" s="29" t="n"/>
      <c r="D146" s="24" t="n"/>
      <c r="E146" s="34" t="n"/>
      <c r="F146" s="34" t="n"/>
      <c r="G146" s="24" t="n"/>
      <c r="H146" s="29" t="n"/>
      <c r="I146" s="32">
        <f>IF(O146&lt;&gt;1,"",IF(ISNUMBER(G146),INT(G146),INT(D146)))</f>
        <v/>
      </c>
      <c r="J146" s="21">
        <f>IF(O146&lt;&gt;1,0,E146-N(F146))</f>
        <v/>
      </c>
      <c r="K146" s="35">
        <f>IF(OR(O146&lt;&gt;1,J146&lt;=0),"",IF(H146="Yes","",IF(I146&lt;W1,IF(OverdueW1="No","",1),IF(I146&lt;=W1+90,INT((I146-W1)/7)+1,""))))</f>
        <v/>
      </c>
      <c r="L146" s="36">
        <f>IF(ISNUMBER(K146),J146,0)</f>
        <v/>
      </c>
      <c r="M146" s="10">
        <f>IF(O146="","",IF(O146=0,"Not counted",IF(J146&lt;=0,"Paid",IF(H146="Yes","On hold (left out)",IF(I146&lt;W1,IF(OverdueW1="No","Overdue (left out)","Overdue → Week 1"),IF(I146&lt;=W1+90,"Week "&amp;K146,"After Week 13"))))))</f>
        <v/>
      </c>
      <c r="N146" s="10">
        <f>IF(O146="","",IF(O146=0,IF(NOT(ISNUMBER(E146)),"Fix: amount missing",IF(E146&lt;=0,"Fix: amount must be above 0",IF(AND(NOT(ISNUMBER(D146)),NOT(ISNUMBER(G146))),"Fix: add a due date or a planned pay date",IF(AND(D146&lt;&gt;"",NOT(ISNUMBER(D146))),"Fix: due date isn't a date",IF(AND(F146&lt;&gt;"",NOT(ISNUMBER(F146))),"Fix: paid must be a number",IF(AND(G146&lt;&gt;"",NOT(ISNUMBER(G146))),"Fix: planned date isn't a date","Fix: paid is more than the amount")))))),IF(AND(C146&lt;&gt;"",ISNUMBER(MATCH(C146,OutCats,0))),"OK","Category not on Settings (counted as Other)")))</f>
        <v/>
      </c>
      <c r="O146">
        <f>IF(COUNTA(A146:H146)=0,"",IF(AND(ISNUMBER(E146),E146&gt;0,OR(ISNUMBER(D146),ISNUMBER(G146)),OR(D146="",ISNUMBER(D146)),OR(F146="",ISNUMBER(F146)),OR(G146="",ISNUMBER(G146))),IF(N(F146)&gt;E146,0,1),0))</f>
        <v/>
      </c>
    </row>
    <row r="147">
      <c r="A147" s="29" t="n"/>
      <c r="B147" s="29" t="n"/>
      <c r="C147" s="29" t="n"/>
      <c r="D147" s="24" t="n"/>
      <c r="E147" s="34" t="n"/>
      <c r="F147" s="34" t="n"/>
      <c r="G147" s="24" t="n"/>
      <c r="H147" s="29" t="n"/>
      <c r="I147" s="32">
        <f>IF(O147&lt;&gt;1,"",IF(ISNUMBER(G147),INT(G147),INT(D147)))</f>
        <v/>
      </c>
      <c r="J147" s="21">
        <f>IF(O147&lt;&gt;1,0,E147-N(F147))</f>
        <v/>
      </c>
      <c r="K147" s="35">
        <f>IF(OR(O147&lt;&gt;1,J147&lt;=0),"",IF(H147="Yes","",IF(I147&lt;W1,IF(OverdueW1="No","",1),IF(I147&lt;=W1+90,INT((I147-W1)/7)+1,""))))</f>
        <v/>
      </c>
      <c r="L147" s="36">
        <f>IF(ISNUMBER(K147),J147,0)</f>
        <v/>
      </c>
      <c r="M147" s="10">
        <f>IF(O147="","",IF(O147=0,"Not counted",IF(J147&lt;=0,"Paid",IF(H147="Yes","On hold (left out)",IF(I147&lt;W1,IF(OverdueW1="No","Overdue (left out)","Overdue → Week 1"),IF(I147&lt;=W1+90,"Week "&amp;K147,"After Week 13"))))))</f>
        <v/>
      </c>
      <c r="N147" s="10">
        <f>IF(O147="","",IF(O147=0,IF(NOT(ISNUMBER(E147)),"Fix: amount missing",IF(E147&lt;=0,"Fix: amount must be above 0",IF(AND(NOT(ISNUMBER(D147)),NOT(ISNUMBER(G147))),"Fix: add a due date or a planned pay date",IF(AND(D147&lt;&gt;"",NOT(ISNUMBER(D147))),"Fix: due date isn't a date",IF(AND(F147&lt;&gt;"",NOT(ISNUMBER(F147))),"Fix: paid must be a number",IF(AND(G147&lt;&gt;"",NOT(ISNUMBER(G147))),"Fix: planned date isn't a date","Fix: paid is more than the amount")))))),IF(AND(C147&lt;&gt;"",ISNUMBER(MATCH(C147,OutCats,0))),"OK","Category not on Settings (counted as Other)")))</f>
        <v/>
      </c>
      <c r="O147">
        <f>IF(COUNTA(A147:H147)=0,"",IF(AND(ISNUMBER(E147),E147&gt;0,OR(ISNUMBER(D147),ISNUMBER(G147)),OR(D147="",ISNUMBER(D147)),OR(F147="",ISNUMBER(F147)),OR(G147="",ISNUMBER(G147))),IF(N(F147)&gt;E147,0,1),0))</f>
        <v/>
      </c>
    </row>
    <row r="148">
      <c r="A148" s="29" t="n"/>
      <c r="B148" s="29" t="n"/>
      <c r="C148" s="29" t="n"/>
      <c r="D148" s="24" t="n"/>
      <c r="E148" s="34" t="n"/>
      <c r="F148" s="34" t="n"/>
      <c r="G148" s="24" t="n"/>
      <c r="H148" s="29" t="n"/>
      <c r="I148" s="32">
        <f>IF(O148&lt;&gt;1,"",IF(ISNUMBER(G148),INT(G148),INT(D148)))</f>
        <v/>
      </c>
      <c r="J148" s="21">
        <f>IF(O148&lt;&gt;1,0,E148-N(F148))</f>
        <v/>
      </c>
      <c r="K148" s="35">
        <f>IF(OR(O148&lt;&gt;1,J148&lt;=0),"",IF(H148="Yes","",IF(I148&lt;W1,IF(OverdueW1="No","",1),IF(I148&lt;=W1+90,INT((I148-W1)/7)+1,""))))</f>
        <v/>
      </c>
      <c r="L148" s="36">
        <f>IF(ISNUMBER(K148),J148,0)</f>
        <v/>
      </c>
      <c r="M148" s="10">
        <f>IF(O148="","",IF(O148=0,"Not counted",IF(J148&lt;=0,"Paid",IF(H148="Yes","On hold (left out)",IF(I148&lt;W1,IF(OverdueW1="No","Overdue (left out)","Overdue → Week 1"),IF(I148&lt;=W1+90,"Week "&amp;K148,"After Week 13"))))))</f>
        <v/>
      </c>
      <c r="N148" s="10">
        <f>IF(O148="","",IF(O148=0,IF(NOT(ISNUMBER(E148)),"Fix: amount missing",IF(E148&lt;=0,"Fix: amount must be above 0",IF(AND(NOT(ISNUMBER(D148)),NOT(ISNUMBER(G148))),"Fix: add a due date or a planned pay date",IF(AND(D148&lt;&gt;"",NOT(ISNUMBER(D148))),"Fix: due date isn't a date",IF(AND(F148&lt;&gt;"",NOT(ISNUMBER(F148))),"Fix: paid must be a number",IF(AND(G148&lt;&gt;"",NOT(ISNUMBER(G148))),"Fix: planned date isn't a date","Fix: paid is more than the amount")))))),IF(AND(C148&lt;&gt;"",ISNUMBER(MATCH(C148,OutCats,0))),"OK","Category not on Settings (counted as Other)")))</f>
        <v/>
      </c>
      <c r="O148">
        <f>IF(COUNTA(A148:H148)=0,"",IF(AND(ISNUMBER(E148),E148&gt;0,OR(ISNUMBER(D148),ISNUMBER(G148)),OR(D148="",ISNUMBER(D148)),OR(F148="",ISNUMBER(F148)),OR(G148="",ISNUMBER(G148))),IF(N(F148)&gt;E148,0,1),0))</f>
        <v/>
      </c>
    </row>
    <row r="149">
      <c r="A149" s="29" t="n"/>
      <c r="B149" s="29" t="n"/>
      <c r="C149" s="29" t="n"/>
      <c r="D149" s="24" t="n"/>
      <c r="E149" s="34" t="n"/>
      <c r="F149" s="34" t="n"/>
      <c r="G149" s="24" t="n"/>
      <c r="H149" s="29" t="n"/>
      <c r="I149" s="32">
        <f>IF(O149&lt;&gt;1,"",IF(ISNUMBER(G149),INT(G149),INT(D149)))</f>
        <v/>
      </c>
      <c r="J149" s="21">
        <f>IF(O149&lt;&gt;1,0,E149-N(F149))</f>
        <v/>
      </c>
      <c r="K149" s="35">
        <f>IF(OR(O149&lt;&gt;1,J149&lt;=0),"",IF(H149="Yes","",IF(I149&lt;W1,IF(OverdueW1="No","",1),IF(I149&lt;=W1+90,INT((I149-W1)/7)+1,""))))</f>
        <v/>
      </c>
      <c r="L149" s="36">
        <f>IF(ISNUMBER(K149),J149,0)</f>
        <v/>
      </c>
      <c r="M149" s="10">
        <f>IF(O149="","",IF(O149=0,"Not counted",IF(J149&lt;=0,"Paid",IF(H149="Yes","On hold (left out)",IF(I149&lt;W1,IF(OverdueW1="No","Overdue (left out)","Overdue → Week 1"),IF(I149&lt;=W1+90,"Week "&amp;K149,"After Week 13"))))))</f>
        <v/>
      </c>
      <c r="N149" s="10">
        <f>IF(O149="","",IF(O149=0,IF(NOT(ISNUMBER(E149)),"Fix: amount missing",IF(E149&lt;=0,"Fix: amount must be above 0",IF(AND(NOT(ISNUMBER(D149)),NOT(ISNUMBER(G149))),"Fix: add a due date or a planned pay date",IF(AND(D149&lt;&gt;"",NOT(ISNUMBER(D149))),"Fix: due date isn't a date",IF(AND(F149&lt;&gt;"",NOT(ISNUMBER(F149))),"Fix: paid must be a number",IF(AND(G149&lt;&gt;"",NOT(ISNUMBER(G149))),"Fix: planned date isn't a date","Fix: paid is more than the amount")))))),IF(AND(C149&lt;&gt;"",ISNUMBER(MATCH(C149,OutCats,0))),"OK","Category not on Settings (counted as Other)")))</f>
        <v/>
      </c>
      <c r="O149">
        <f>IF(COUNTA(A149:H149)=0,"",IF(AND(ISNUMBER(E149),E149&gt;0,OR(ISNUMBER(D149),ISNUMBER(G149)),OR(D149="",ISNUMBER(D149)),OR(F149="",ISNUMBER(F149)),OR(G149="",ISNUMBER(G149))),IF(N(F149)&gt;E149,0,1),0))</f>
        <v/>
      </c>
    </row>
    <row r="150">
      <c r="A150" s="29" t="n"/>
      <c r="B150" s="29" t="n"/>
      <c r="C150" s="29" t="n"/>
      <c r="D150" s="24" t="n"/>
      <c r="E150" s="34" t="n"/>
      <c r="F150" s="34" t="n"/>
      <c r="G150" s="24" t="n"/>
      <c r="H150" s="29" t="n"/>
      <c r="I150" s="32">
        <f>IF(O150&lt;&gt;1,"",IF(ISNUMBER(G150),INT(G150),INT(D150)))</f>
        <v/>
      </c>
      <c r="J150" s="21">
        <f>IF(O150&lt;&gt;1,0,E150-N(F150))</f>
        <v/>
      </c>
      <c r="K150" s="35">
        <f>IF(OR(O150&lt;&gt;1,J150&lt;=0),"",IF(H150="Yes","",IF(I150&lt;W1,IF(OverdueW1="No","",1),IF(I150&lt;=W1+90,INT((I150-W1)/7)+1,""))))</f>
        <v/>
      </c>
      <c r="L150" s="36">
        <f>IF(ISNUMBER(K150),J150,0)</f>
        <v/>
      </c>
      <c r="M150" s="10">
        <f>IF(O150="","",IF(O150=0,"Not counted",IF(J150&lt;=0,"Paid",IF(H150="Yes","On hold (left out)",IF(I150&lt;W1,IF(OverdueW1="No","Overdue (left out)","Overdue → Week 1"),IF(I150&lt;=W1+90,"Week "&amp;K150,"After Week 13"))))))</f>
        <v/>
      </c>
      <c r="N150" s="10">
        <f>IF(O150="","",IF(O150=0,IF(NOT(ISNUMBER(E150)),"Fix: amount missing",IF(E150&lt;=0,"Fix: amount must be above 0",IF(AND(NOT(ISNUMBER(D150)),NOT(ISNUMBER(G150))),"Fix: add a due date or a planned pay date",IF(AND(D150&lt;&gt;"",NOT(ISNUMBER(D150))),"Fix: due date isn't a date",IF(AND(F150&lt;&gt;"",NOT(ISNUMBER(F150))),"Fix: paid must be a number",IF(AND(G150&lt;&gt;"",NOT(ISNUMBER(G150))),"Fix: planned date isn't a date","Fix: paid is more than the amount")))))),IF(AND(C150&lt;&gt;"",ISNUMBER(MATCH(C150,OutCats,0))),"OK","Category not on Settings (counted as Other)")))</f>
        <v/>
      </c>
      <c r="O150">
        <f>IF(COUNTA(A150:H150)=0,"",IF(AND(ISNUMBER(E150),E150&gt;0,OR(ISNUMBER(D150),ISNUMBER(G150)),OR(D150="",ISNUMBER(D150)),OR(F150="",ISNUMBER(F150)),OR(G150="",ISNUMBER(G150))),IF(N(F150)&gt;E150,0,1),0))</f>
        <v/>
      </c>
    </row>
    <row r="151">
      <c r="A151" s="29" t="n"/>
      <c r="B151" s="29" t="n"/>
      <c r="C151" s="29" t="n"/>
      <c r="D151" s="24" t="n"/>
      <c r="E151" s="34" t="n"/>
      <c r="F151" s="34" t="n"/>
      <c r="G151" s="24" t="n"/>
      <c r="H151" s="29" t="n"/>
      <c r="I151" s="32">
        <f>IF(O151&lt;&gt;1,"",IF(ISNUMBER(G151),INT(G151),INT(D151)))</f>
        <v/>
      </c>
      <c r="J151" s="21">
        <f>IF(O151&lt;&gt;1,0,E151-N(F151))</f>
        <v/>
      </c>
      <c r="K151" s="35">
        <f>IF(OR(O151&lt;&gt;1,J151&lt;=0),"",IF(H151="Yes","",IF(I151&lt;W1,IF(OverdueW1="No","",1),IF(I151&lt;=W1+90,INT((I151-W1)/7)+1,""))))</f>
        <v/>
      </c>
      <c r="L151" s="36">
        <f>IF(ISNUMBER(K151),J151,0)</f>
        <v/>
      </c>
      <c r="M151" s="10">
        <f>IF(O151="","",IF(O151=0,"Not counted",IF(J151&lt;=0,"Paid",IF(H151="Yes","On hold (left out)",IF(I151&lt;W1,IF(OverdueW1="No","Overdue (left out)","Overdue → Week 1"),IF(I151&lt;=W1+90,"Week "&amp;K151,"After Week 13"))))))</f>
        <v/>
      </c>
      <c r="N151" s="10">
        <f>IF(O151="","",IF(O151=0,IF(NOT(ISNUMBER(E151)),"Fix: amount missing",IF(E151&lt;=0,"Fix: amount must be above 0",IF(AND(NOT(ISNUMBER(D151)),NOT(ISNUMBER(G151))),"Fix: add a due date or a planned pay date",IF(AND(D151&lt;&gt;"",NOT(ISNUMBER(D151))),"Fix: due date isn't a date",IF(AND(F151&lt;&gt;"",NOT(ISNUMBER(F151))),"Fix: paid must be a number",IF(AND(G151&lt;&gt;"",NOT(ISNUMBER(G151))),"Fix: planned date isn't a date","Fix: paid is more than the amount")))))),IF(AND(C151&lt;&gt;"",ISNUMBER(MATCH(C151,OutCats,0))),"OK","Category not on Settings (counted as Other)")))</f>
        <v/>
      </c>
      <c r="O151">
        <f>IF(COUNTA(A151:H151)=0,"",IF(AND(ISNUMBER(E151),E151&gt;0,OR(ISNUMBER(D151),ISNUMBER(G151)),OR(D151="",ISNUMBER(D151)),OR(F151="",ISNUMBER(F151)),OR(G151="",ISNUMBER(G151))),IF(N(F151)&gt;E151,0,1),0))</f>
        <v/>
      </c>
    </row>
    <row r="152">
      <c r="A152" s="29" t="n"/>
      <c r="B152" s="29" t="n"/>
      <c r="C152" s="29" t="n"/>
      <c r="D152" s="24" t="n"/>
      <c r="E152" s="34" t="n"/>
      <c r="F152" s="34" t="n"/>
      <c r="G152" s="24" t="n"/>
      <c r="H152" s="29" t="n"/>
      <c r="I152" s="32">
        <f>IF(O152&lt;&gt;1,"",IF(ISNUMBER(G152),INT(G152),INT(D152)))</f>
        <v/>
      </c>
      <c r="J152" s="21">
        <f>IF(O152&lt;&gt;1,0,E152-N(F152))</f>
        <v/>
      </c>
      <c r="K152" s="35">
        <f>IF(OR(O152&lt;&gt;1,J152&lt;=0),"",IF(H152="Yes","",IF(I152&lt;W1,IF(OverdueW1="No","",1),IF(I152&lt;=W1+90,INT((I152-W1)/7)+1,""))))</f>
        <v/>
      </c>
      <c r="L152" s="36">
        <f>IF(ISNUMBER(K152),J152,0)</f>
        <v/>
      </c>
      <c r="M152" s="10">
        <f>IF(O152="","",IF(O152=0,"Not counted",IF(J152&lt;=0,"Paid",IF(H152="Yes","On hold (left out)",IF(I152&lt;W1,IF(OverdueW1="No","Overdue (left out)","Overdue → Week 1"),IF(I152&lt;=W1+90,"Week "&amp;K152,"After Week 13"))))))</f>
        <v/>
      </c>
      <c r="N152" s="10">
        <f>IF(O152="","",IF(O152=0,IF(NOT(ISNUMBER(E152)),"Fix: amount missing",IF(E152&lt;=0,"Fix: amount must be above 0",IF(AND(NOT(ISNUMBER(D152)),NOT(ISNUMBER(G152))),"Fix: add a due date or a planned pay date",IF(AND(D152&lt;&gt;"",NOT(ISNUMBER(D152))),"Fix: due date isn't a date",IF(AND(F152&lt;&gt;"",NOT(ISNUMBER(F152))),"Fix: paid must be a number",IF(AND(G152&lt;&gt;"",NOT(ISNUMBER(G152))),"Fix: planned date isn't a date","Fix: paid is more than the amount")))))),IF(AND(C152&lt;&gt;"",ISNUMBER(MATCH(C152,OutCats,0))),"OK","Category not on Settings (counted as Other)")))</f>
        <v/>
      </c>
      <c r="O152">
        <f>IF(COUNTA(A152:H152)=0,"",IF(AND(ISNUMBER(E152),E152&gt;0,OR(ISNUMBER(D152),ISNUMBER(G152)),OR(D152="",ISNUMBER(D152)),OR(F152="",ISNUMBER(F152)),OR(G152="",ISNUMBER(G152))),IF(N(F152)&gt;E152,0,1),0))</f>
        <v/>
      </c>
    </row>
    <row r="153">
      <c r="A153" s="29" t="n"/>
      <c r="B153" s="29" t="n"/>
      <c r="C153" s="29" t="n"/>
      <c r="D153" s="24" t="n"/>
      <c r="E153" s="34" t="n"/>
      <c r="F153" s="34" t="n"/>
      <c r="G153" s="24" t="n"/>
      <c r="H153" s="29" t="n"/>
      <c r="I153" s="32">
        <f>IF(O153&lt;&gt;1,"",IF(ISNUMBER(G153),INT(G153),INT(D153)))</f>
        <v/>
      </c>
      <c r="J153" s="21">
        <f>IF(O153&lt;&gt;1,0,E153-N(F153))</f>
        <v/>
      </c>
      <c r="K153" s="35">
        <f>IF(OR(O153&lt;&gt;1,J153&lt;=0),"",IF(H153="Yes","",IF(I153&lt;W1,IF(OverdueW1="No","",1),IF(I153&lt;=W1+90,INT((I153-W1)/7)+1,""))))</f>
        <v/>
      </c>
      <c r="L153" s="36">
        <f>IF(ISNUMBER(K153),J153,0)</f>
        <v/>
      </c>
      <c r="M153" s="10">
        <f>IF(O153="","",IF(O153=0,"Not counted",IF(J153&lt;=0,"Paid",IF(H153="Yes","On hold (left out)",IF(I153&lt;W1,IF(OverdueW1="No","Overdue (left out)","Overdue → Week 1"),IF(I153&lt;=W1+90,"Week "&amp;K153,"After Week 13"))))))</f>
        <v/>
      </c>
      <c r="N153" s="10">
        <f>IF(O153="","",IF(O153=0,IF(NOT(ISNUMBER(E153)),"Fix: amount missing",IF(E153&lt;=0,"Fix: amount must be above 0",IF(AND(NOT(ISNUMBER(D153)),NOT(ISNUMBER(G153))),"Fix: add a due date or a planned pay date",IF(AND(D153&lt;&gt;"",NOT(ISNUMBER(D153))),"Fix: due date isn't a date",IF(AND(F153&lt;&gt;"",NOT(ISNUMBER(F153))),"Fix: paid must be a number",IF(AND(G153&lt;&gt;"",NOT(ISNUMBER(G153))),"Fix: planned date isn't a date","Fix: paid is more than the amount")))))),IF(AND(C153&lt;&gt;"",ISNUMBER(MATCH(C153,OutCats,0))),"OK","Category not on Settings (counted as Other)")))</f>
        <v/>
      </c>
      <c r="O153">
        <f>IF(COUNTA(A153:H153)=0,"",IF(AND(ISNUMBER(E153),E153&gt;0,OR(ISNUMBER(D153),ISNUMBER(G153)),OR(D153="",ISNUMBER(D153)),OR(F153="",ISNUMBER(F153)),OR(G153="",ISNUMBER(G153))),IF(N(F153)&gt;E153,0,1),0))</f>
        <v/>
      </c>
    </row>
    <row r="154">
      <c r="A154" s="29" t="n"/>
      <c r="B154" s="29" t="n"/>
      <c r="C154" s="29" t="n"/>
      <c r="D154" s="24" t="n"/>
      <c r="E154" s="34" t="n"/>
      <c r="F154" s="34" t="n"/>
      <c r="G154" s="24" t="n"/>
      <c r="H154" s="29" t="n"/>
      <c r="I154" s="32">
        <f>IF(O154&lt;&gt;1,"",IF(ISNUMBER(G154),INT(G154),INT(D154)))</f>
        <v/>
      </c>
      <c r="J154" s="21">
        <f>IF(O154&lt;&gt;1,0,E154-N(F154))</f>
        <v/>
      </c>
      <c r="K154" s="35">
        <f>IF(OR(O154&lt;&gt;1,J154&lt;=0),"",IF(H154="Yes","",IF(I154&lt;W1,IF(OverdueW1="No","",1),IF(I154&lt;=W1+90,INT((I154-W1)/7)+1,""))))</f>
        <v/>
      </c>
      <c r="L154" s="36">
        <f>IF(ISNUMBER(K154),J154,0)</f>
        <v/>
      </c>
      <c r="M154" s="10">
        <f>IF(O154="","",IF(O154=0,"Not counted",IF(J154&lt;=0,"Paid",IF(H154="Yes","On hold (left out)",IF(I154&lt;W1,IF(OverdueW1="No","Overdue (left out)","Overdue → Week 1"),IF(I154&lt;=W1+90,"Week "&amp;K154,"After Week 13"))))))</f>
        <v/>
      </c>
      <c r="N154" s="10">
        <f>IF(O154="","",IF(O154=0,IF(NOT(ISNUMBER(E154)),"Fix: amount missing",IF(E154&lt;=0,"Fix: amount must be above 0",IF(AND(NOT(ISNUMBER(D154)),NOT(ISNUMBER(G154))),"Fix: add a due date or a planned pay date",IF(AND(D154&lt;&gt;"",NOT(ISNUMBER(D154))),"Fix: due date isn't a date",IF(AND(F154&lt;&gt;"",NOT(ISNUMBER(F154))),"Fix: paid must be a number",IF(AND(G154&lt;&gt;"",NOT(ISNUMBER(G154))),"Fix: planned date isn't a date","Fix: paid is more than the amount")))))),IF(AND(C154&lt;&gt;"",ISNUMBER(MATCH(C154,OutCats,0))),"OK","Category not on Settings (counted as Other)")))</f>
        <v/>
      </c>
      <c r="O154">
        <f>IF(COUNTA(A154:H154)=0,"",IF(AND(ISNUMBER(E154),E154&gt;0,OR(ISNUMBER(D154),ISNUMBER(G154)),OR(D154="",ISNUMBER(D154)),OR(F154="",ISNUMBER(F154)),OR(G154="",ISNUMBER(G154))),IF(N(F154)&gt;E154,0,1),0))</f>
        <v/>
      </c>
    </row>
    <row r="155">
      <c r="A155" s="29" t="n"/>
      <c r="B155" s="29" t="n"/>
      <c r="C155" s="29" t="n"/>
      <c r="D155" s="24" t="n"/>
      <c r="E155" s="34" t="n"/>
      <c r="F155" s="34" t="n"/>
      <c r="G155" s="24" t="n"/>
      <c r="H155" s="29" t="n"/>
      <c r="I155" s="32">
        <f>IF(O155&lt;&gt;1,"",IF(ISNUMBER(G155),INT(G155),INT(D155)))</f>
        <v/>
      </c>
      <c r="J155" s="21">
        <f>IF(O155&lt;&gt;1,0,E155-N(F155))</f>
        <v/>
      </c>
      <c r="K155" s="35">
        <f>IF(OR(O155&lt;&gt;1,J155&lt;=0),"",IF(H155="Yes","",IF(I155&lt;W1,IF(OverdueW1="No","",1),IF(I155&lt;=W1+90,INT((I155-W1)/7)+1,""))))</f>
        <v/>
      </c>
      <c r="L155" s="36">
        <f>IF(ISNUMBER(K155),J155,0)</f>
        <v/>
      </c>
      <c r="M155" s="10">
        <f>IF(O155="","",IF(O155=0,"Not counted",IF(J155&lt;=0,"Paid",IF(H155="Yes","On hold (left out)",IF(I155&lt;W1,IF(OverdueW1="No","Overdue (left out)","Overdue → Week 1"),IF(I155&lt;=W1+90,"Week "&amp;K155,"After Week 13"))))))</f>
        <v/>
      </c>
      <c r="N155" s="10">
        <f>IF(O155="","",IF(O155=0,IF(NOT(ISNUMBER(E155)),"Fix: amount missing",IF(E155&lt;=0,"Fix: amount must be above 0",IF(AND(NOT(ISNUMBER(D155)),NOT(ISNUMBER(G155))),"Fix: add a due date or a planned pay date",IF(AND(D155&lt;&gt;"",NOT(ISNUMBER(D155))),"Fix: due date isn't a date",IF(AND(F155&lt;&gt;"",NOT(ISNUMBER(F155))),"Fix: paid must be a number",IF(AND(G155&lt;&gt;"",NOT(ISNUMBER(G155))),"Fix: planned date isn't a date","Fix: paid is more than the amount")))))),IF(AND(C155&lt;&gt;"",ISNUMBER(MATCH(C155,OutCats,0))),"OK","Category not on Settings (counted as Other)")))</f>
        <v/>
      </c>
      <c r="O155">
        <f>IF(COUNTA(A155:H155)=0,"",IF(AND(ISNUMBER(E155),E155&gt;0,OR(ISNUMBER(D155),ISNUMBER(G155)),OR(D155="",ISNUMBER(D155)),OR(F155="",ISNUMBER(F155)),OR(G155="",ISNUMBER(G155))),IF(N(F155)&gt;E155,0,1),0))</f>
        <v/>
      </c>
    </row>
    <row r="156">
      <c r="A156" s="29" t="n"/>
      <c r="B156" s="29" t="n"/>
      <c r="C156" s="29" t="n"/>
      <c r="D156" s="24" t="n"/>
      <c r="E156" s="34" t="n"/>
      <c r="F156" s="34" t="n"/>
      <c r="G156" s="24" t="n"/>
      <c r="H156" s="29" t="n"/>
      <c r="I156" s="32">
        <f>IF(O156&lt;&gt;1,"",IF(ISNUMBER(G156),INT(G156),INT(D156)))</f>
        <v/>
      </c>
      <c r="J156" s="21">
        <f>IF(O156&lt;&gt;1,0,E156-N(F156))</f>
        <v/>
      </c>
      <c r="K156" s="35">
        <f>IF(OR(O156&lt;&gt;1,J156&lt;=0),"",IF(H156="Yes","",IF(I156&lt;W1,IF(OverdueW1="No","",1),IF(I156&lt;=W1+90,INT((I156-W1)/7)+1,""))))</f>
        <v/>
      </c>
      <c r="L156" s="36">
        <f>IF(ISNUMBER(K156),J156,0)</f>
        <v/>
      </c>
      <c r="M156" s="10">
        <f>IF(O156="","",IF(O156=0,"Not counted",IF(J156&lt;=0,"Paid",IF(H156="Yes","On hold (left out)",IF(I156&lt;W1,IF(OverdueW1="No","Overdue (left out)","Overdue → Week 1"),IF(I156&lt;=W1+90,"Week "&amp;K156,"After Week 13"))))))</f>
        <v/>
      </c>
      <c r="N156" s="10">
        <f>IF(O156="","",IF(O156=0,IF(NOT(ISNUMBER(E156)),"Fix: amount missing",IF(E156&lt;=0,"Fix: amount must be above 0",IF(AND(NOT(ISNUMBER(D156)),NOT(ISNUMBER(G156))),"Fix: add a due date or a planned pay date",IF(AND(D156&lt;&gt;"",NOT(ISNUMBER(D156))),"Fix: due date isn't a date",IF(AND(F156&lt;&gt;"",NOT(ISNUMBER(F156))),"Fix: paid must be a number",IF(AND(G156&lt;&gt;"",NOT(ISNUMBER(G156))),"Fix: planned date isn't a date","Fix: paid is more than the amount")))))),IF(AND(C156&lt;&gt;"",ISNUMBER(MATCH(C156,OutCats,0))),"OK","Category not on Settings (counted as Other)")))</f>
        <v/>
      </c>
      <c r="O156">
        <f>IF(COUNTA(A156:H156)=0,"",IF(AND(ISNUMBER(E156),E156&gt;0,OR(ISNUMBER(D156),ISNUMBER(G156)),OR(D156="",ISNUMBER(D156)),OR(F156="",ISNUMBER(F156)),OR(G156="",ISNUMBER(G156))),IF(N(F156)&gt;E156,0,1),0))</f>
        <v/>
      </c>
    </row>
    <row r="157">
      <c r="A157" s="29" t="n"/>
      <c r="B157" s="29" t="n"/>
      <c r="C157" s="29" t="n"/>
      <c r="D157" s="24" t="n"/>
      <c r="E157" s="34" t="n"/>
      <c r="F157" s="34" t="n"/>
      <c r="G157" s="24" t="n"/>
      <c r="H157" s="29" t="n"/>
      <c r="I157" s="32">
        <f>IF(O157&lt;&gt;1,"",IF(ISNUMBER(G157),INT(G157),INT(D157)))</f>
        <v/>
      </c>
      <c r="J157" s="21">
        <f>IF(O157&lt;&gt;1,0,E157-N(F157))</f>
        <v/>
      </c>
      <c r="K157" s="35">
        <f>IF(OR(O157&lt;&gt;1,J157&lt;=0),"",IF(H157="Yes","",IF(I157&lt;W1,IF(OverdueW1="No","",1),IF(I157&lt;=W1+90,INT((I157-W1)/7)+1,""))))</f>
        <v/>
      </c>
      <c r="L157" s="36">
        <f>IF(ISNUMBER(K157),J157,0)</f>
        <v/>
      </c>
      <c r="M157" s="10">
        <f>IF(O157="","",IF(O157=0,"Not counted",IF(J157&lt;=0,"Paid",IF(H157="Yes","On hold (left out)",IF(I157&lt;W1,IF(OverdueW1="No","Overdue (left out)","Overdue → Week 1"),IF(I157&lt;=W1+90,"Week "&amp;K157,"After Week 13"))))))</f>
        <v/>
      </c>
      <c r="N157" s="10">
        <f>IF(O157="","",IF(O157=0,IF(NOT(ISNUMBER(E157)),"Fix: amount missing",IF(E157&lt;=0,"Fix: amount must be above 0",IF(AND(NOT(ISNUMBER(D157)),NOT(ISNUMBER(G157))),"Fix: add a due date or a planned pay date",IF(AND(D157&lt;&gt;"",NOT(ISNUMBER(D157))),"Fix: due date isn't a date",IF(AND(F157&lt;&gt;"",NOT(ISNUMBER(F157))),"Fix: paid must be a number",IF(AND(G157&lt;&gt;"",NOT(ISNUMBER(G157))),"Fix: planned date isn't a date","Fix: paid is more than the amount")))))),IF(AND(C157&lt;&gt;"",ISNUMBER(MATCH(C157,OutCats,0))),"OK","Category not on Settings (counted as Other)")))</f>
        <v/>
      </c>
      <c r="O157">
        <f>IF(COUNTA(A157:H157)=0,"",IF(AND(ISNUMBER(E157),E157&gt;0,OR(ISNUMBER(D157),ISNUMBER(G157)),OR(D157="",ISNUMBER(D157)),OR(F157="",ISNUMBER(F157)),OR(G157="",ISNUMBER(G157))),IF(N(F157)&gt;E157,0,1),0))</f>
        <v/>
      </c>
    </row>
    <row r="158">
      <c r="A158" s="29" t="n"/>
      <c r="B158" s="29" t="n"/>
      <c r="C158" s="29" t="n"/>
      <c r="D158" s="24" t="n"/>
      <c r="E158" s="34" t="n"/>
      <c r="F158" s="34" t="n"/>
      <c r="G158" s="24" t="n"/>
      <c r="H158" s="29" t="n"/>
      <c r="I158" s="32">
        <f>IF(O158&lt;&gt;1,"",IF(ISNUMBER(G158),INT(G158),INT(D158)))</f>
        <v/>
      </c>
      <c r="J158" s="21">
        <f>IF(O158&lt;&gt;1,0,E158-N(F158))</f>
        <v/>
      </c>
      <c r="K158" s="35">
        <f>IF(OR(O158&lt;&gt;1,J158&lt;=0),"",IF(H158="Yes","",IF(I158&lt;W1,IF(OverdueW1="No","",1),IF(I158&lt;=W1+90,INT((I158-W1)/7)+1,""))))</f>
        <v/>
      </c>
      <c r="L158" s="36">
        <f>IF(ISNUMBER(K158),J158,0)</f>
        <v/>
      </c>
      <c r="M158" s="10">
        <f>IF(O158="","",IF(O158=0,"Not counted",IF(J158&lt;=0,"Paid",IF(H158="Yes","On hold (left out)",IF(I158&lt;W1,IF(OverdueW1="No","Overdue (left out)","Overdue → Week 1"),IF(I158&lt;=W1+90,"Week "&amp;K158,"After Week 13"))))))</f>
        <v/>
      </c>
      <c r="N158" s="10">
        <f>IF(O158="","",IF(O158=0,IF(NOT(ISNUMBER(E158)),"Fix: amount missing",IF(E158&lt;=0,"Fix: amount must be above 0",IF(AND(NOT(ISNUMBER(D158)),NOT(ISNUMBER(G158))),"Fix: add a due date or a planned pay date",IF(AND(D158&lt;&gt;"",NOT(ISNUMBER(D158))),"Fix: due date isn't a date",IF(AND(F158&lt;&gt;"",NOT(ISNUMBER(F158))),"Fix: paid must be a number",IF(AND(G158&lt;&gt;"",NOT(ISNUMBER(G158))),"Fix: planned date isn't a date","Fix: paid is more than the amount")))))),IF(AND(C158&lt;&gt;"",ISNUMBER(MATCH(C158,OutCats,0))),"OK","Category not on Settings (counted as Other)")))</f>
        <v/>
      </c>
      <c r="O158">
        <f>IF(COUNTA(A158:H158)=0,"",IF(AND(ISNUMBER(E158),E158&gt;0,OR(ISNUMBER(D158),ISNUMBER(G158)),OR(D158="",ISNUMBER(D158)),OR(F158="",ISNUMBER(F158)),OR(G158="",ISNUMBER(G158))),IF(N(F158)&gt;E158,0,1),0))</f>
        <v/>
      </c>
    </row>
    <row r="159">
      <c r="A159" s="29" t="n"/>
      <c r="B159" s="29" t="n"/>
      <c r="C159" s="29" t="n"/>
      <c r="D159" s="24" t="n"/>
      <c r="E159" s="34" t="n"/>
      <c r="F159" s="34" t="n"/>
      <c r="G159" s="24" t="n"/>
      <c r="H159" s="29" t="n"/>
      <c r="I159" s="32">
        <f>IF(O159&lt;&gt;1,"",IF(ISNUMBER(G159),INT(G159),INT(D159)))</f>
        <v/>
      </c>
      <c r="J159" s="21">
        <f>IF(O159&lt;&gt;1,0,E159-N(F159))</f>
        <v/>
      </c>
      <c r="K159" s="35">
        <f>IF(OR(O159&lt;&gt;1,J159&lt;=0),"",IF(H159="Yes","",IF(I159&lt;W1,IF(OverdueW1="No","",1),IF(I159&lt;=W1+90,INT((I159-W1)/7)+1,""))))</f>
        <v/>
      </c>
      <c r="L159" s="36">
        <f>IF(ISNUMBER(K159),J159,0)</f>
        <v/>
      </c>
      <c r="M159" s="10">
        <f>IF(O159="","",IF(O159=0,"Not counted",IF(J159&lt;=0,"Paid",IF(H159="Yes","On hold (left out)",IF(I159&lt;W1,IF(OverdueW1="No","Overdue (left out)","Overdue → Week 1"),IF(I159&lt;=W1+90,"Week "&amp;K159,"After Week 13"))))))</f>
        <v/>
      </c>
      <c r="N159" s="10">
        <f>IF(O159="","",IF(O159=0,IF(NOT(ISNUMBER(E159)),"Fix: amount missing",IF(E159&lt;=0,"Fix: amount must be above 0",IF(AND(NOT(ISNUMBER(D159)),NOT(ISNUMBER(G159))),"Fix: add a due date or a planned pay date",IF(AND(D159&lt;&gt;"",NOT(ISNUMBER(D159))),"Fix: due date isn't a date",IF(AND(F159&lt;&gt;"",NOT(ISNUMBER(F159))),"Fix: paid must be a number",IF(AND(G159&lt;&gt;"",NOT(ISNUMBER(G159))),"Fix: planned date isn't a date","Fix: paid is more than the amount")))))),IF(AND(C159&lt;&gt;"",ISNUMBER(MATCH(C159,OutCats,0))),"OK","Category not on Settings (counted as Other)")))</f>
        <v/>
      </c>
      <c r="O159">
        <f>IF(COUNTA(A159:H159)=0,"",IF(AND(ISNUMBER(E159),E159&gt;0,OR(ISNUMBER(D159),ISNUMBER(G159)),OR(D159="",ISNUMBER(D159)),OR(F159="",ISNUMBER(F159)),OR(G159="",ISNUMBER(G159))),IF(N(F159)&gt;E159,0,1),0))</f>
        <v/>
      </c>
    </row>
    <row r="160">
      <c r="A160" s="29" t="n"/>
      <c r="B160" s="29" t="n"/>
      <c r="C160" s="29" t="n"/>
      <c r="D160" s="24" t="n"/>
      <c r="E160" s="34" t="n"/>
      <c r="F160" s="34" t="n"/>
      <c r="G160" s="24" t="n"/>
      <c r="H160" s="29" t="n"/>
      <c r="I160" s="32">
        <f>IF(O160&lt;&gt;1,"",IF(ISNUMBER(G160),INT(G160),INT(D160)))</f>
        <v/>
      </c>
      <c r="J160" s="21">
        <f>IF(O160&lt;&gt;1,0,E160-N(F160))</f>
        <v/>
      </c>
      <c r="K160" s="35">
        <f>IF(OR(O160&lt;&gt;1,J160&lt;=0),"",IF(H160="Yes","",IF(I160&lt;W1,IF(OverdueW1="No","",1),IF(I160&lt;=W1+90,INT((I160-W1)/7)+1,""))))</f>
        <v/>
      </c>
      <c r="L160" s="36">
        <f>IF(ISNUMBER(K160),J160,0)</f>
        <v/>
      </c>
      <c r="M160" s="10">
        <f>IF(O160="","",IF(O160=0,"Not counted",IF(J160&lt;=0,"Paid",IF(H160="Yes","On hold (left out)",IF(I160&lt;W1,IF(OverdueW1="No","Overdue (left out)","Overdue → Week 1"),IF(I160&lt;=W1+90,"Week "&amp;K160,"After Week 13"))))))</f>
        <v/>
      </c>
      <c r="N160" s="10">
        <f>IF(O160="","",IF(O160=0,IF(NOT(ISNUMBER(E160)),"Fix: amount missing",IF(E160&lt;=0,"Fix: amount must be above 0",IF(AND(NOT(ISNUMBER(D160)),NOT(ISNUMBER(G160))),"Fix: add a due date or a planned pay date",IF(AND(D160&lt;&gt;"",NOT(ISNUMBER(D160))),"Fix: due date isn't a date",IF(AND(F160&lt;&gt;"",NOT(ISNUMBER(F160))),"Fix: paid must be a number",IF(AND(G160&lt;&gt;"",NOT(ISNUMBER(G160))),"Fix: planned date isn't a date","Fix: paid is more than the amount")))))),IF(AND(C160&lt;&gt;"",ISNUMBER(MATCH(C160,OutCats,0))),"OK","Category not on Settings (counted as Other)")))</f>
        <v/>
      </c>
      <c r="O160">
        <f>IF(COUNTA(A160:H160)=0,"",IF(AND(ISNUMBER(E160),E160&gt;0,OR(ISNUMBER(D160),ISNUMBER(G160)),OR(D160="",ISNUMBER(D160)),OR(F160="",ISNUMBER(F160)),OR(G160="",ISNUMBER(G160))),IF(N(F160)&gt;E160,0,1),0))</f>
        <v/>
      </c>
    </row>
    <row r="161">
      <c r="A161" s="29" t="n"/>
      <c r="B161" s="29" t="n"/>
      <c r="C161" s="29" t="n"/>
      <c r="D161" s="24" t="n"/>
      <c r="E161" s="34" t="n"/>
      <c r="F161" s="34" t="n"/>
      <c r="G161" s="24" t="n"/>
      <c r="H161" s="29" t="n"/>
      <c r="I161" s="32">
        <f>IF(O161&lt;&gt;1,"",IF(ISNUMBER(G161),INT(G161),INT(D161)))</f>
        <v/>
      </c>
      <c r="J161" s="21">
        <f>IF(O161&lt;&gt;1,0,E161-N(F161))</f>
        <v/>
      </c>
      <c r="K161" s="35">
        <f>IF(OR(O161&lt;&gt;1,J161&lt;=0),"",IF(H161="Yes","",IF(I161&lt;W1,IF(OverdueW1="No","",1),IF(I161&lt;=W1+90,INT((I161-W1)/7)+1,""))))</f>
        <v/>
      </c>
      <c r="L161" s="36">
        <f>IF(ISNUMBER(K161),J161,0)</f>
        <v/>
      </c>
      <c r="M161" s="10">
        <f>IF(O161="","",IF(O161=0,"Not counted",IF(J161&lt;=0,"Paid",IF(H161="Yes","On hold (left out)",IF(I161&lt;W1,IF(OverdueW1="No","Overdue (left out)","Overdue → Week 1"),IF(I161&lt;=W1+90,"Week "&amp;K161,"After Week 13"))))))</f>
        <v/>
      </c>
      <c r="N161" s="10">
        <f>IF(O161="","",IF(O161=0,IF(NOT(ISNUMBER(E161)),"Fix: amount missing",IF(E161&lt;=0,"Fix: amount must be above 0",IF(AND(NOT(ISNUMBER(D161)),NOT(ISNUMBER(G161))),"Fix: add a due date or a planned pay date",IF(AND(D161&lt;&gt;"",NOT(ISNUMBER(D161))),"Fix: due date isn't a date",IF(AND(F161&lt;&gt;"",NOT(ISNUMBER(F161))),"Fix: paid must be a number",IF(AND(G161&lt;&gt;"",NOT(ISNUMBER(G161))),"Fix: planned date isn't a date","Fix: paid is more than the amount")))))),IF(AND(C161&lt;&gt;"",ISNUMBER(MATCH(C161,OutCats,0))),"OK","Category not on Settings (counted as Other)")))</f>
        <v/>
      </c>
      <c r="O161">
        <f>IF(COUNTA(A161:H161)=0,"",IF(AND(ISNUMBER(E161),E161&gt;0,OR(ISNUMBER(D161),ISNUMBER(G161)),OR(D161="",ISNUMBER(D161)),OR(F161="",ISNUMBER(F161)),OR(G161="",ISNUMBER(G161))),IF(N(F161)&gt;E161,0,1),0))</f>
        <v/>
      </c>
    </row>
    <row r="162">
      <c r="A162" s="29" t="n"/>
      <c r="B162" s="29" t="n"/>
      <c r="C162" s="29" t="n"/>
      <c r="D162" s="24" t="n"/>
      <c r="E162" s="34" t="n"/>
      <c r="F162" s="34" t="n"/>
      <c r="G162" s="24" t="n"/>
      <c r="H162" s="29" t="n"/>
      <c r="I162" s="32">
        <f>IF(O162&lt;&gt;1,"",IF(ISNUMBER(G162),INT(G162),INT(D162)))</f>
        <v/>
      </c>
      <c r="J162" s="21">
        <f>IF(O162&lt;&gt;1,0,E162-N(F162))</f>
        <v/>
      </c>
      <c r="K162" s="35">
        <f>IF(OR(O162&lt;&gt;1,J162&lt;=0),"",IF(H162="Yes","",IF(I162&lt;W1,IF(OverdueW1="No","",1),IF(I162&lt;=W1+90,INT((I162-W1)/7)+1,""))))</f>
        <v/>
      </c>
      <c r="L162" s="36">
        <f>IF(ISNUMBER(K162),J162,0)</f>
        <v/>
      </c>
      <c r="M162" s="10">
        <f>IF(O162="","",IF(O162=0,"Not counted",IF(J162&lt;=0,"Paid",IF(H162="Yes","On hold (left out)",IF(I162&lt;W1,IF(OverdueW1="No","Overdue (left out)","Overdue → Week 1"),IF(I162&lt;=W1+90,"Week "&amp;K162,"After Week 13"))))))</f>
        <v/>
      </c>
      <c r="N162" s="10">
        <f>IF(O162="","",IF(O162=0,IF(NOT(ISNUMBER(E162)),"Fix: amount missing",IF(E162&lt;=0,"Fix: amount must be above 0",IF(AND(NOT(ISNUMBER(D162)),NOT(ISNUMBER(G162))),"Fix: add a due date or a planned pay date",IF(AND(D162&lt;&gt;"",NOT(ISNUMBER(D162))),"Fix: due date isn't a date",IF(AND(F162&lt;&gt;"",NOT(ISNUMBER(F162))),"Fix: paid must be a number",IF(AND(G162&lt;&gt;"",NOT(ISNUMBER(G162))),"Fix: planned date isn't a date","Fix: paid is more than the amount")))))),IF(AND(C162&lt;&gt;"",ISNUMBER(MATCH(C162,OutCats,0))),"OK","Category not on Settings (counted as Other)")))</f>
        <v/>
      </c>
      <c r="O162">
        <f>IF(COUNTA(A162:H162)=0,"",IF(AND(ISNUMBER(E162),E162&gt;0,OR(ISNUMBER(D162),ISNUMBER(G162)),OR(D162="",ISNUMBER(D162)),OR(F162="",ISNUMBER(F162)),OR(G162="",ISNUMBER(G162))),IF(N(F162)&gt;E162,0,1),0))</f>
        <v/>
      </c>
    </row>
    <row r="163">
      <c r="A163" s="29" t="n"/>
      <c r="B163" s="29" t="n"/>
      <c r="C163" s="29" t="n"/>
      <c r="D163" s="24" t="n"/>
      <c r="E163" s="34" t="n"/>
      <c r="F163" s="34" t="n"/>
      <c r="G163" s="24" t="n"/>
      <c r="H163" s="29" t="n"/>
      <c r="I163" s="32">
        <f>IF(O163&lt;&gt;1,"",IF(ISNUMBER(G163),INT(G163),INT(D163)))</f>
        <v/>
      </c>
      <c r="J163" s="21">
        <f>IF(O163&lt;&gt;1,0,E163-N(F163))</f>
        <v/>
      </c>
      <c r="K163" s="35">
        <f>IF(OR(O163&lt;&gt;1,J163&lt;=0),"",IF(H163="Yes","",IF(I163&lt;W1,IF(OverdueW1="No","",1),IF(I163&lt;=W1+90,INT((I163-W1)/7)+1,""))))</f>
        <v/>
      </c>
      <c r="L163" s="36">
        <f>IF(ISNUMBER(K163),J163,0)</f>
        <v/>
      </c>
      <c r="M163" s="10">
        <f>IF(O163="","",IF(O163=0,"Not counted",IF(J163&lt;=0,"Paid",IF(H163="Yes","On hold (left out)",IF(I163&lt;W1,IF(OverdueW1="No","Overdue (left out)","Overdue → Week 1"),IF(I163&lt;=W1+90,"Week "&amp;K163,"After Week 13"))))))</f>
        <v/>
      </c>
      <c r="N163" s="10">
        <f>IF(O163="","",IF(O163=0,IF(NOT(ISNUMBER(E163)),"Fix: amount missing",IF(E163&lt;=0,"Fix: amount must be above 0",IF(AND(NOT(ISNUMBER(D163)),NOT(ISNUMBER(G163))),"Fix: add a due date or a planned pay date",IF(AND(D163&lt;&gt;"",NOT(ISNUMBER(D163))),"Fix: due date isn't a date",IF(AND(F163&lt;&gt;"",NOT(ISNUMBER(F163))),"Fix: paid must be a number",IF(AND(G163&lt;&gt;"",NOT(ISNUMBER(G163))),"Fix: planned date isn't a date","Fix: paid is more than the amount")))))),IF(AND(C163&lt;&gt;"",ISNUMBER(MATCH(C163,OutCats,0))),"OK","Category not on Settings (counted as Other)")))</f>
        <v/>
      </c>
      <c r="O163">
        <f>IF(COUNTA(A163:H163)=0,"",IF(AND(ISNUMBER(E163),E163&gt;0,OR(ISNUMBER(D163),ISNUMBER(G163)),OR(D163="",ISNUMBER(D163)),OR(F163="",ISNUMBER(F163)),OR(G163="",ISNUMBER(G163))),IF(N(F163)&gt;E163,0,1),0))</f>
        <v/>
      </c>
    </row>
    <row r="164">
      <c r="A164" s="29" t="n"/>
      <c r="B164" s="29" t="n"/>
      <c r="C164" s="29" t="n"/>
      <c r="D164" s="24" t="n"/>
      <c r="E164" s="34" t="n"/>
      <c r="F164" s="34" t="n"/>
      <c r="G164" s="24" t="n"/>
      <c r="H164" s="29" t="n"/>
      <c r="I164" s="32">
        <f>IF(O164&lt;&gt;1,"",IF(ISNUMBER(G164),INT(G164),INT(D164)))</f>
        <v/>
      </c>
      <c r="J164" s="21">
        <f>IF(O164&lt;&gt;1,0,E164-N(F164))</f>
        <v/>
      </c>
      <c r="K164" s="35">
        <f>IF(OR(O164&lt;&gt;1,J164&lt;=0),"",IF(H164="Yes","",IF(I164&lt;W1,IF(OverdueW1="No","",1),IF(I164&lt;=W1+90,INT((I164-W1)/7)+1,""))))</f>
        <v/>
      </c>
      <c r="L164" s="36">
        <f>IF(ISNUMBER(K164),J164,0)</f>
        <v/>
      </c>
      <c r="M164" s="10">
        <f>IF(O164="","",IF(O164=0,"Not counted",IF(J164&lt;=0,"Paid",IF(H164="Yes","On hold (left out)",IF(I164&lt;W1,IF(OverdueW1="No","Overdue (left out)","Overdue → Week 1"),IF(I164&lt;=W1+90,"Week "&amp;K164,"After Week 13"))))))</f>
        <v/>
      </c>
      <c r="N164" s="10">
        <f>IF(O164="","",IF(O164=0,IF(NOT(ISNUMBER(E164)),"Fix: amount missing",IF(E164&lt;=0,"Fix: amount must be above 0",IF(AND(NOT(ISNUMBER(D164)),NOT(ISNUMBER(G164))),"Fix: add a due date or a planned pay date",IF(AND(D164&lt;&gt;"",NOT(ISNUMBER(D164))),"Fix: due date isn't a date",IF(AND(F164&lt;&gt;"",NOT(ISNUMBER(F164))),"Fix: paid must be a number",IF(AND(G164&lt;&gt;"",NOT(ISNUMBER(G164))),"Fix: planned date isn't a date","Fix: paid is more than the amount")))))),IF(AND(C164&lt;&gt;"",ISNUMBER(MATCH(C164,OutCats,0))),"OK","Category not on Settings (counted as Other)")))</f>
        <v/>
      </c>
      <c r="O164">
        <f>IF(COUNTA(A164:H164)=0,"",IF(AND(ISNUMBER(E164),E164&gt;0,OR(ISNUMBER(D164),ISNUMBER(G164)),OR(D164="",ISNUMBER(D164)),OR(F164="",ISNUMBER(F164)),OR(G164="",ISNUMBER(G164))),IF(N(F164)&gt;E164,0,1),0))</f>
        <v/>
      </c>
    </row>
    <row r="165">
      <c r="A165" s="29" t="n"/>
      <c r="B165" s="29" t="n"/>
      <c r="C165" s="29" t="n"/>
      <c r="D165" s="24" t="n"/>
      <c r="E165" s="34" t="n"/>
      <c r="F165" s="34" t="n"/>
      <c r="G165" s="24" t="n"/>
      <c r="H165" s="29" t="n"/>
      <c r="I165" s="32">
        <f>IF(O165&lt;&gt;1,"",IF(ISNUMBER(G165),INT(G165),INT(D165)))</f>
        <v/>
      </c>
      <c r="J165" s="21">
        <f>IF(O165&lt;&gt;1,0,E165-N(F165))</f>
        <v/>
      </c>
      <c r="K165" s="35">
        <f>IF(OR(O165&lt;&gt;1,J165&lt;=0),"",IF(H165="Yes","",IF(I165&lt;W1,IF(OverdueW1="No","",1),IF(I165&lt;=W1+90,INT((I165-W1)/7)+1,""))))</f>
        <v/>
      </c>
      <c r="L165" s="36">
        <f>IF(ISNUMBER(K165),J165,0)</f>
        <v/>
      </c>
      <c r="M165" s="10">
        <f>IF(O165="","",IF(O165=0,"Not counted",IF(J165&lt;=0,"Paid",IF(H165="Yes","On hold (left out)",IF(I165&lt;W1,IF(OverdueW1="No","Overdue (left out)","Overdue → Week 1"),IF(I165&lt;=W1+90,"Week "&amp;K165,"After Week 13"))))))</f>
        <v/>
      </c>
      <c r="N165" s="10">
        <f>IF(O165="","",IF(O165=0,IF(NOT(ISNUMBER(E165)),"Fix: amount missing",IF(E165&lt;=0,"Fix: amount must be above 0",IF(AND(NOT(ISNUMBER(D165)),NOT(ISNUMBER(G165))),"Fix: add a due date or a planned pay date",IF(AND(D165&lt;&gt;"",NOT(ISNUMBER(D165))),"Fix: due date isn't a date",IF(AND(F165&lt;&gt;"",NOT(ISNUMBER(F165))),"Fix: paid must be a number",IF(AND(G165&lt;&gt;"",NOT(ISNUMBER(G165))),"Fix: planned date isn't a date","Fix: paid is more than the amount")))))),IF(AND(C165&lt;&gt;"",ISNUMBER(MATCH(C165,OutCats,0))),"OK","Category not on Settings (counted as Other)")))</f>
        <v/>
      </c>
      <c r="O165">
        <f>IF(COUNTA(A165:H165)=0,"",IF(AND(ISNUMBER(E165),E165&gt;0,OR(ISNUMBER(D165),ISNUMBER(G165)),OR(D165="",ISNUMBER(D165)),OR(F165="",ISNUMBER(F165)),OR(G165="",ISNUMBER(G165))),IF(N(F165)&gt;E165,0,1),0))</f>
        <v/>
      </c>
    </row>
    <row r="166">
      <c r="A166" s="29" t="n"/>
      <c r="B166" s="29" t="n"/>
      <c r="C166" s="29" t="n"/>
      <c r="D166" s="24" t="n"/>
      <c r="E166" s="34" t="n"/>
      <c r="F166" s="34" t="n"/>
      <c r="G166" s="24" t="n"/>
      <c r="H166" s="29" t="n"/>
      <c r="I166" s="32">
        <f>IF(O166&lt;&gt;1,"",IF(ISNUMBER(G166),INT(G166),INT(D166)))</f>
        <v/>
      </c>
      <c r="J166" s="21">
        <f>IF(O166&lt;&gt;1,0,E166-N(F166))</f>
        <v/>
      </c>
      <c r="K166" s="35">
        <f>IF(OR(O166&lt;&gt;1,J166&lt;=0),"",IF(H166="Yes","",IF(I166&lt;W1,IF(OverdueW1="No","",1),IF(I166&lt;=W1+90,INT((I166-W1)/7)+1,""))))</f>
        <v/>
      </c>
      <c r="L166" s="36">
        <f>IF(ISNUMBER(K166),J166,0)</f>
        <v/>
      </c>
      <c r="M166" s="10">
        <f>IF(O166="","",IF(O166=0,"Not counted",IF(J166&lt;=0,"Paid",IF(H166="Yes","On hold (left out)",IF(I166&lt;W1,IF(OverdueW1="No","Overdue (left out)","Overdue → Week 1"),IF(I166&lt;=W1+90,"Week "&amp;K166,"After Week 13"))))))</f>
        <v/>
      </c>
      <c r="N166" s="10">
        <f>IF(O166="","",IF(O166=0,IF(NOT(ISNUMBER(E166)),"Fix: amount missing",IF(E166&lt;=0,"Fix: amount must be above 0",IF(AND(NOT(ISNUMBER(D166)),NOT(ISNUMBER(G166))),"Fix: add a due date or a planned pay date",IF(AND(D166&lt;&gt;"",NOT(ISNUMBER(D166))),"Fix: due date isn't a date",IF(AND(F166&lt;&gt;"",NOT(ISNUMBER(F166))),"Fix: paid must be a number",IF(AND(G166&lt;&gt;"",NOT(ISNUMBER(G166))),"Fix: planned date isn't a date","Fix: paid is more than the amount")))))),IF(AND(C166&lt;&gt;"",ISNUMBER(MATCH(C166,OutCats,0))),"OK","Category not on Settings (counted as Other)")))</f>
        <v/>
      </c>
      <c r="O166">
        <f>IF(COUNTA(A166:H166)=0,"",IF(AND(ISNUMBER(E166),E166&gt;0,OR(ISNUMBER(D166),ISNUMBER(G166)),OR(D166="",ISNUMBER(D166)),OR(F166="",ISNUMBER(F166)),OR(G166="",ISNUMBER(G166))),IF(N(F166)&gt;E166,0,1),0))</f>
        <v/>
      </c>
    </row>
    <row r="167">
      <c r="A167" s="29" t="n"/>
      <c r="B167" s="29" t="n"/>
      <c r="C167" s="29" t="n"/>
      <c r="D167" s="24" t="n"/>
      <c r="E167" s="34" t="n"/>
      <c r="F167" s="34" t="n"/>
      <c r="G167" s="24" t="n"/>
      <c r="H167" s="29" t="n"/>
      <c r="I167" s="32">
        <f>IF(O167&lt;&gt;1,"",IF(ISNUMBER(G167),INT(G167),INT(D167)))</f>
        <v/>
      </c>
      <c r="J167" s="21">
        <f>IF(O167&lt;&gt;1,0,E167-N(F167))</f>
        <v/>
      </c>
      <c r="K167" s="35">
        <f>IF(OR(O167&lt;&gt;1,J167&lt;=0),"",IF(H167="Yes","",IF(I167&lt;W1,IF(OverdueW1="No","",1),IF(I167&lt;=W1+90,INT((I167-W1)/7)+1,""))))</f>
        <v/>
      </c>
      <c r="L167" s="36">
        <f>IF(ISNUMBER(K167),J167,0)</f>
        <v/>
      </c>
      <c r="M167" s="10">
        <f>IF(O167="","",IF(O167=0,"Not counted",IF(J167&lt;=0,"Paid",IF(H167="Yes","On hold (left out)",IF(I167&lt;W1,IF(OverdueW1="No","Overdue (left out)","Overdue → Week 1"),IF(I167&lt;=W1+90,"Week "&amp;K167,"After Week 13"))))))</f>
        <v/>
      </c>
      <c r="N167" s="10">
        <f>IF(O167="","",IF(O167=0,IF(NOT(ISNUMBER(E167)),"Fix: amount missing",IF(E167&lt;=0,"Fix: amount must be above 0",IF(AND(NOT(ISNUMBER(D167)),NOT(ISNUMBER(G167))),"Fix: add a due date or a planned pay date",IF(AND(D167&lt;&gt;"",NOT(ISNUMBER(D167))),"Fix: due date isn't a date",IF(AND(F167&lt;&gt;"",NOT(ISNUMBER(F167))),"Fix: paid must be a number",IF(AND(G167&lt;&gt;"",NOT(ISNUMBER(G167))),"Fix: planned date isn't a date","Fix: paid is more than the amount")))))),IF(AND(C167&lt;&gt;"",ISNUMBER(MATCH(C167,OutCats,0))),"OK","Category not on Settings (counted as Other)")))</f>
        <v/>
      </c>
      <c r="O167">
        <f>IF(COUNTA(A167:H167)=0,"",IF(AND(ISNUMBER(E167),E167&gt;0,OR(ISNUMBER(D167),ISNUMBER(G167)),OR(D167="",ISNUMBER(D167)),OR(F167="",ISNUMBER(F167)),OR(G167="",ISNUMBER(G167))),IF(N(F167)&gt;E167,0,1),0))</f>
        <v/>
      </c>
    </row>
    <row r="168">
      <c r="A168" s="29" t="n"/>
      <c r="B168" s="29" t="n"/>
      <c r="C168" s="29" t="n"/>
      <c r="D168" s="24" t="n"/>
      <c r="E168" s="34" t="n"/>
      <c r="F168" s="34" t="n"/>
      <c r="G168" s="24" t="n"/>
      <c r="H168" s="29" t="n"/>
      <c r="I168" s="32">
        <f>IF(O168&lt;&gt;1,"",IF(ISNUMBER(G168),INT(G168),INT(D168)))</f>
        <v/>
      </c>
      <c r="J168" s="21">
        <f>IF(O168&lt;&gt;1,0,E168-N(F168))</f>
        <v/>
      </c>
      <c r="K168" s="35">
        <f>IF(OR(O168&lt;&gt;1,J168&lt;=0),"",IF(H168="Yes","",IF(I168&lt;W1,IF(OverdueW1="No","",1),IF(I168&lt;=W1+90,INT((I168-W1)/7)+1,""))))</f>
        <v/>
      </c>
      <c r="L168" s="36">
        <f>IF(ISNUMBER(K168),J168,0)</f>
        <v/>
      </c>
      <c r="M168" s="10">
        <f>IF(O168="","",IF(O168=0,"Not counted",IF(J168&lt;=0,"Paid",IF(H168="Yes","On hold (left out)",IF(I168&lt;W1,IF(OverdueW1="No","Overdue (left out)","Overdue → Week 1"),IF(I168&lt;=W1+90,"Week "&amp;K168,"After Week 13"))))))</f>
        <v/>
      </c>
      <c r="N168" s="10">
        <f>IF(O168="","",IF(O168=0,IF(NOT(ISNUMBER(E168)),"Fix: amount missing",IF(E168&lt;=0,"Fix: amount must be above 0",IF(AND(NOT(ISNUMBER(D168)),NOT(ISNUMBER(G168))),"Fix: add a due date or a planned pay date",IF(AND(D168&lt;&gt;"",NOT(ISNUMBER(D168))),"Fix: due date isn't a date",IF(AND(F168&lt;&gt;"",NOT(ISNUMBER(F168))),"Fix: paid must be a number",IF(AND(G168&lt;&gt;"",NOT(ISNUMBER(G168))),"Fix: planned date isn't a date","Fix: paid is more than the amount")))))),IF(AND(C168&lt;&gt;"",ISNUMBER(MATCH(C168,OutCats,0))),"OK","Category not on Settings (counted as Other)")))</f>
        <v/>
      </c>
      <c r="O168">
        <f>IF(COUNTA(A168:H168)=0,"",IF(AND(ISNUMBER(E168),E168&gt;0,OR(ISNUMBER(D168),ISNUMBER(G168)),OR(D168="",ISNUMBER(D168)),OR(F168="",ISNUMBER(F168)),OR(G168="",ISNUMBER(G168))),IF(N(F168)&gt;E168,0,1),0))</f>
        <v/>
      </c>
    </row>
    <row r="169">
      <c r="A169" s="29" t="n"/>
      <c r="B169" s="29" t="n"/>
      <c r="C169" s="29" t="n"/>
      <c r="D169" s="24" t="n"/>
      <c r="E169" s="34" t="n"/>
      <c r="F169" s="34" t="n"/>
      <c r="G169" s="24" t="n"/>
      <c r="H169" s="29" t="n"/>
      <c r="I169" s="32">
        <f>IF(O169&lt;&gt;1,"",IF(ISNUMBER(G169),INT(G169),INT(D169)))</f>
        <v/>
      </c>
      <c r="J169" s="21">
        <f>IF(O169&lt;&gt;1,0,E169-N(F169))</f>
        <v/>
      </c>
      <c r="K169" s="35">
        <f>IF(OR(O169&lt;&gt;1,J169&lt;=0),"",IF(H169="Yes","",IF(I169&lt;W1,IF(OverdueW1="No","",1),IF(I169&lt;=W1+90,INT((I169-W1)/7)+1,""))))</f>
        <v/>
      </c>
      <c r="L169" s="36">
        <f>IF(ISNUMBER(K169),J169,0)</f>
        <v/>
      </c>
      <c r="M169" s="10">
        <f>IF(O169="","",IF(O169=0,"Not counted",IF(J169&lt;=0,"Paid",IF(H169="Yes","On hold (left out)",IF(I169&lt;W1,IF(OverdueW1="No","Overdue (left out)","Overdue → Week 1"),IF(I169&lt;=W1+90,"Week "&amp;K169,"After Week 13"))))))</f>
        <v/>
      </c>
      <c r="N169" s="10">
        <f>IF(O169="","",IF(O169=0,IF(NOT(ISNUMBER(E169)),"Fix: amount missing",IF(E169&lt;=0,"Fix: amount must be above 0",IF(AND(NOT(ISNUMBER(D169)),NOT(ISNUMBER(G169))),"Fix: add a due date or a planned pay date",IF(AND(D169&lt;&gt;"",NOT(ISNUMBER(D169))),"Fix: due date isn't a date",IF(AND(F169&lt;&gt;"",NOT(ISNUMBER(F169))),"Fix: paid must be a number",IF(AND(G169&lt;&gt;"",NOT(ISNUMBER(G169))),"Fix: planned date isn't a date","Fix: paid is more than the amount")))))),IF(AND(C169&lt;&gt;"",ISNUMBER(MATCH(C169,OutCats,0))),"OK","Category not on Settings (counted as Other)")))</f>
        <v/>
      </c>
      <c r="O169">
        <f>IF(COUNTA(A169:H169)=0,"",IF(AND(ISNUMBER(E169),E169&gt;0,OR(ISNUMBER(D169),ISNUMBER(G169)),OR(D169="",ISNUMBER(D169)),OR(F169="",ISNUMBER(F169)),OR(G169="",ISNUMBER(G169))),IF(N(F169)&gt;E169,0,1),0))</f>
        <v/>
      </c>
    </row>
    <row r="170">
      <c r="A170" s="29" t="n"/>
      <c r="B170" s="29" t="n"/>
      <c r="C170" s="29" t="n"/>
      <c r="D170" s="24" t="n"/>
      <c r="E170" s="34" t="n"/>
      <c r="F170" s="34" t="n"/>
      <c r="G170" s="24" t="n"/>
      <c r="H170" s="29" t="n"/>
      <c r="I170" s="32">
        <f>IF(O170&lt;&gt;1,"",IF(ISNUMBER(G170),INT(G170),INT(D170)))</f>
        <v/>
      </c>
      <c r="J170" s="21">
        <f>IF(O170&lt;&gt;1,0,E170-N(F170))</f>
        <v/>
      </c>
      <c r="K170" s="35">
        <f>IF(OR(O170&lt;&gt;1,J170&lt;=0),"",IF(H170="Yes","",IF(I170&lt;W1,IF(OverdueW1="No","",1),IF(I170&lt;=W1+90,INT((I170-W1)/7)+1,""))))</f>
        <v/>
      </c>
      <c r="L170" s="36">
        <f>IF(ISNUMBER(K170),J170,0)</f>
        <v/>
      </c>
      <c r="M170" s="10">
        <f>IF(O170="","",IF(O170=0,"Not counted",IF(J170&lt;=0,"Paid",IF(H170="Yes","On hold (left out)",IF(I170&lt;W1,IF(OverdueW1="No","Overdue (left out)","Overdue → Week 1"),IF(I170&lt;=W1+90,"Week "&amp;K170,"After Week 13"))))))</f>
        <v/>
      </c>
      <c r="N170" s="10">
        <f>IF(O170="","",IF(O170=0,IF(NOT(ISNUMBER(E170)),"Fix: amount missing",IF(E170&lt;=0,"Fix: amount must be above 0",IF(AND(NOT(ISNUMBER(D170)),NOT(ISNUMBER(G170))),"Fix: add a due date or a planned pay date",IF(AND(D170&lt;&gt;"",NOT(ISNUMBER(D170))),"Fix: due date isn't a date",IF(AND(F170&lt;&gt;"",NOT(ISNUMBER(F170))),"Fix: paid must be a number",IF(AND(G170&lt;&gt;"",NOT(ISNUMBER(G170))),"Fix: planned date isn't a date","Fix: paid is more than the amount")))))),IF(AND(C170&lt;&gt;"",ISNUMBER(MATCH(C170,OutCats,0))),"OK","Category not on Settings (counted as Other)")))</f>
        <v/>
      </c>
      <c r="O170">
        <f>IF(COUNTA(A170:H170)=0,"",IF(AND(ISNUMBER(E170),E170&gt;0,OR(ISNUMBER(D170),ISNUMBER(G170)),OR(D170="",ISNUMBER(D170)),OR(F170="",ISNUMBER(F170)),OR(G170="",ISNUMBER(G170))),IF(N(F170)&gt;E170,0,1),0))</f>
        <v/>
      </c>
    </row>
    <row r="171">
      <c r="A171" s="29" t="n"/>
      <c r="B171" s="29" t="n"/>
      <c r="C171" s="29" t="n"/>
      <c r="D171" s="24" t="n"/>
      <c r="E171" s="34" t="n"/>
      <c r="F171" s="34" t="n"/>
      <c r="G171" s="24" t="n"/>
      <c r="H171" s="29" t="n"/>
      <c r="I171" s="32">
        <f>IF(O171&lt;&gt;1,"",IF(ISNUMBER(G171),INT(G171),INT(D171)))</f>
        <v/>
      </c>
      <c r="J171" s="21">
        <f>IF(O171&lt;&gt;1,0,E171-N(F171))</f>
        <v/>
      </c>
      <c r="K171" s="35">
        <f>IF(OR(O171&lt;&gt;1,J171&lt;=0),"",IF(H171="Yes","",IF(I171&lt;W1,IF(OverdueW1="No","",1),IF(I171&lt;=W1+90,INT((I171-W1)/7)+1,""))))</f>
        <v/>
      </c>
      <c r="L171" s="36">
        <f>IF(ISNUMBER(K171),J171,0)</f>
        <v/>
      </c>
      <c r="M171" s="10">
        <f>IF(O171="","",IF(O171=0,"Not counted",IF(J171&lt;=0,"Paid",IF(H171="Yes","On hold (left out)",IF(I171&lt;W1,IF(OverdueW1="No","Overdue (left out)","Overdue → Week 1"),IF(I171&lt;=W1+90,"Week "&amp;K171,"After Week 13"))))))</f>
        <v/>
      </c>
      <c r="N171" s="10">
        <f>IF(O171="","",IF(O171=0,IF(NOT(ISNUMBER(E171)),"Fix: amount missing",IF(E171&lt;=0,"Fix: amount must be above 0",IF(AND(NOT(ISNUMBER(D171)),NOT(ISNUMBER(G171))),"Fix: add a due date or a planned pay date",IF(AND(D171&lt;&gt;"",NOT(ISNUMBER(D171))),"Fix: due date isn't a date",IF(AND(F171&lt;&gt;"",NOT(ISNUMBER(F171))),"Fix: paid must be a number",IF(AND(G171&lt;&gt;"",NOT(ISNUMBER(G171))),"Fix: planned date isn't a date","Fix: paid is more than the amount")))))),IF(AND(C171&lt;&gt;"",ISNUMBER(MATCH(C171,OutCats,0))),"OK","Category not on Settings (counted as Other)")))</f>
        <v/>
      </c>
      <c r="O171">
        <f>IF(COUNTA(A171:H171)=0,"",IF(AND(ISNUMBER(E171),E171&gt;0,OR(ISNUMBER(D171),ISNUMBER(G171)),OR(D171="",ISNUMBER(D171)),OR(F171="",ISNUMBER(F171)),OR(G171="",ISNUMBER(G171))),IF(N(F171)&gt;E171,0,1),0))</f>
        <v/>
      </c>
    </row>
    <row r="172">
      <c r="A172" s="29" t="n"/>
      <c r="B172" s="29" t="n"/>
      <c r="C172" s="29" t="n"/>
      <c r="D172" s="24" t="n"/>
      <c r="E172" s="34" t="n"/>
      <c r="F172" s="34" t="n"/>
      <c r="G172" s="24" t="n"/>
      <c r="H172" s="29" t="n"/>
      <c r="I172" s="32">
        <f>IF(O172&lt;&gt;1,"",IF(ISNUMBER(G172),INT(G172),INT(D172)))</f>
        <v/>
      </c>
      <c r="J172" s="21">
        <f>IF(O172&lt;&gt;1,0,E172-N(F172))</f>
        <v/>
      </c>
      <c r="K172" s="35">
        <f>IF(OR(O172&lt;&gt;1,J172&lt;=0),"",IF(H172="Yes","",IF(I172&lt;W1,IF(OverdueW1="No","",1),IF(I172&lt;=W1+90,INT((I172-W1)/7)+1,""))))</f>
        <v/>
      </c>
      <c r="L172" s="36">
        <f>IF(ISNUMBER(K172),J172,0)</f>
        <v/>
      </c>
      <c r="M172" s="10">
        <f>IF(O172="","",IF(O172=0,"Not counted",IF(J172&lt;=0,"Paid",IF(H172="Yes","On hold (left out)",IF(I172&lt;W1,IF(OverdueW1="No","Overdue (left out)","Overdue → Week 1"),IF(I172&lt;=W1+90,"Week "&amp;K172,"After Week 13"))))))</f>
        <v/>
      </c>
      <c r="N172" s="10">
        <f>IF(O172="","",IF(O172=0,IF(NOT(ISNUMBER(E172)),"Fix: amount missing",IF(E172&lt;=0,"Fix: amount must be above 0",IF(AND(NOT(ISNUMBER(D172)),NOT(ISNUMBER(G172))),"Fix: add a due date or a planned pay date",IF(AND(D172&lt;&gt;"",NOT(ISNUMBER(D172))),"Fix: due date isn't a date",IF(AND(F172&lt;&gt;"",NOT(ISNUMBER(F172))),"Fix: paid must be a number",IF(AND(G172&lt;&gt;"",NOT(ISNUMBER(G172))),"Fix: planned date isn't a date","Fix: paid is more than the amount")))))),IF(AND(C172&lt;&gt;"",ISNUMBER(MATCH(C172,OutCats,0))),"OK","Category not on Settings (counted as Other)")))</f>
        <v/>
      </c>
      <c r="O172">
        <f>IF(COUNTA(A172:H172)=0,"",IF(AND(ISNUMBER(E172),E172&gt;0,OR(ISNUMBER(D172),ISNUMBER(G172)),OR(D172="",ISNUMBER(D172)),OR(F172="",ISNUMBER(F172)),OR(G172="",ISNUMBER(G172))),IF(N(F172)&gt;E172,0,1),0))</f>
        <v/>
      </c>
    </row>
    <row r="173">
      <c r="A173" s="29" t="n"/>
      <c r="B173" s="29" t="n"/>
      <c r="C173" s="29" t="n"/>
      <c r="D173" s="24" t="n"/>
      <c r="E173" s="34" t="n"/>
      <c r="F173" s="34" t="n"/>
      <c r="G173" s="24" t="n"/>
      <c r="H173" s="29" t="n"/>
      <c r="I173" s="32">
        <f>IF(O173&lt;&gt;1,"",IF(ISNUMBER(G173),INT(G173),INT(D173)))</f>
        <v/>
      </c>
      <c r="J173" s="21">
        <f>IF(O173&lt;&gt;1,0,E173-N(F173))</f>
        <v/>
      </c>
      <c r="K173" s="35">
        <f>IF(OR(O173&lt;&gt;1,J173&lt;=0),"",IF(H173="Yes","",IF(I173&lt;W1,IF(OverdueW1="No","",1),IF(I173&lt;=W1+90,INT((I173-W1)/7)+1,""))))</f>
        <v/>
      </c>
      <c r="L173" s="36">
        <f>IF(ISNUMBER(K173),J173,0)</f>
        <v/>
      </c>
      <c r="M173" s="10">
        <f>IF(O173="","",IF(O173=0,"Not counted",IF(J173&lt;=0,"Paid",IF(H173="Yes","On hold (left out)",IF(I173&lt;W1,IF(OverdueW1="No","Overdue (left out)","Overdue → Week 1"),IF(I173&lt;=W1+90,"Week "&amp;K173,"After Week 13"))))))</f>
        <v/>
      </c>
      <c r="N173" s="10">
        <f>IF(O173="","",IF(O173=0,IF(NOT(ISNUMBER(E173)),"Fix: amount missing",IF(E173&lt;=0,"Fix: amount must be above 0",IF(AND(NOT(ISNUMBER(D173)),NOT(ISNUMBER(G173))),"Fix: add a due date or a planned pay date",IF(AND(D173&lt;&gt;"",NOT(ISNUMBER(D173))),"Fix: due date isn't a date",IF(AND(F173&lt;&gt;"",NOT(ISNUMBER(F173))),"Fix: paid must be a number",IF(AND(G173&lt;&gt;"",NOT(ISNUMBER(G173))),"Fix: planned date isn't a date","Fix: paid is more than the amount")))))),IF(AND(C173&lt;&gt;"",ISNUMBER(MATCH(C173,OutCats,0))),"OK","Category not on Settings (counted as Other)")))</f>
        <v/>
      </c>
      <c r="O173">
        <f>IF(COUNTA(A173:H173)=0,"",IF(AND(ISNUMBER(E173),E173&gt;0,OR(ISNUMBER(D173),ISNUMBER(G173)),OR(D173="",ISNUMBER(D173)),OR(F173="",ISNUMBER(F173)),OR(G173="",ISNUMBER(G173))),IF(N(F173)&gt;E173,0,1),0))</f>
        <v/>
      </c>
    </row>
    <row r="174">
      <c r="A174" s="29" t="n"/>
      <c r="B174" s="29" t="n"/>
      <c r="C174" s="29" t="n"/>
      <c r="D174" s="24" t="n"/>
      <c r="E174" s="34" t="n"/>
      <c r="F174" s="34" t="n"/>
      <c r="G174" s="24" t="n"/>
      <c r="H174" s="29" t="n"/>
      <c r="I174" s="32">
        <f>IF(O174&lt;&gt;1,"",IF(ISNUMBER(G174),INT(G174),INT(D174)))</f>
        <v/>
      </c>
      <c r="J174" s="21">
        <f>IF(O174&lt;&gt;1,0,E174-N(F174))</f>
        <v/>
      </c>
      <c r="K174" s="35">
        <f>IF(OR(O174&lt;&gt;1,J174&lt;=0),"",IF(H174="Yes","",IF(I174&lt;W1,IF(OverdueW1="No","",1),IF(I174&lt;=W1+90,INT((I174-W1)/7)+1,""))))</f>
        <v/>
      </c>
      <c r="L174" s="36">
        <f>IF(ISNUMBER(K174),J174,0)</f>
        <v/>
      </c>
      <c r="M174" s="10">
        <f>IF(O174="","",IF(O174=0,"Not counted",IF(J174&lt;=0,"Paid",IF(H174="Yes","On hold (left out)",IF(I174&lt;W1,IF(OverdueW1="No","Overdue (left out)","Overdue → Week 1"),IF(I174&lt;=W1+90,"Week "&amp;K174,"After Week 13"))))))</f>
        <v/>
      </c>
      <c r="N174" s="10">
        <f>IF(O174="","",IF(O174=0,IF(NOT(ISNUMBER(E174)),"Fix: amount missing",IF(E174&lt;=0,"Fix: amount must be above 0",IF(AND(NOT(ISNUMBER(D174)),NOT(ISNUMBER(G174))),"Fix: add a due date or a planned pay date",IF(AND(D174&lt;&gt;"",NOT(ISNUMBER(D174))),"Fix: due date isn't a date",IF(AND(F174&lt;&gt;"",NOT(ISNUMBER(F174))),"Fix: paid must be a number",IF(AND(G174&lt;&gt;"",NOT(ISNUMBER(G174))),"Fix: planned date isn't a date","Fix: paid is more than the amount")))))),IF(AND(C174&lt;&gt;"",ISNUMBER(MATCH(C174,OutCats,0))),"OK","Category not on Settings (counted as Other)")))</f>
        <v/>
      </c>
      <c r="O174">
        <f>IF(COUNTA(A174:H174)=0,"",IF(AND(ISNUMBER(E174),E174&gt;0,OR(ISNUMBER(D174),ISNUMBER(G174)),OR(D174="",ISNUMBER(D174)),OR(F174="",ISNUMBER(F174)),OR(G174="",ISNUMBER(G174))),IF(N(F174)&gt;E174,0,1),0))</f>
        <v/>
      </c>
    </row>
    <row r="175">
      <c r="A175" s="29" t="n"/>
      <c r="B175" s="29" t="n"/>
      <c r="C175" s="29" t="n"/>
      <c r="D175" s="24" t="n"/>
      <c r="E175" s="34" t="n"/>
      <c r="F175" s="34" t="n"/>
      <c r="G175" s="24" t="n"/>
      <c r="H175" s="29" t="n"/>
      <c r="I175" s="32">
        <f>IF(O175&lt;&gt;1,"",IF(ISNUMBER(G175),INT(G175),INT(D175)))</f>
        <v/>
      </c>
      <c r="J175" s="21">
        <f>IF(O175&lt;&gt;1,0,E175-N(F175))</f>
        <v/>
      </c>
      <c r="K175" s="35">
        <f>IF(OR(O175&lt;&gt;1,J175&lt;=0),"",IF(H175="Yes","",IF(I175&lt;W1,IF(OverdueW1="No","",1),IF(I175&lt;=W1+90,INT((I175-W1)/7)+1,""))))</f>
        <v/>
      </c>
      <c r="L175" s="36">
        <f>IF(ISNUMBER(K175),J175,0)</f>
        <v/>
      </c>
      <c r="M175" s="10">
        <f>IF(O175="","",IF(O175=0,"Not counted",IF(J175&lt;=0,"Paid",IF(H175="Yes","On hold (left out)",IF(I175&lt;W1,IF(OverdueW1="No","Overdue (left out)","Overdue → Week 1"),IF(I175&lt;=W1+90,"Week "&amp;K175,"After Week 13"))))))</f>
        <v/>
      </c>
      <c r="N175" s="10">
        <f>IF(O175="","",IF(O175=0,IF(NOT(ISNUMBER(E175)),"Fix: amount missing",IF(E175&lt;=0,"Fix: amount must be above 0",IF(AND(NOT(ISNUMBER(D175)),NOT(ISNUMBER(G175))),"Fix: add a due date or a planned pay date",IF(AND(D175&lt;&gt;"",NOT(ISNUMBER(D175))),"Fix: due date isn't a date",IF(AND(F175&lt;&gt;"",NOT(ISNUMBER(F175))),"Fix: paid must be a number",IF(AND(G175&lt;&gt;"",NOT(ISNUMBER(G175))),"Fix: planned date isn't a date","Fix: paid is more than the amount")))))),IF(AND(C175&lt;&gt;"",ISNUMBER(MATCH(C175,OutCats,0))),"OK","Category not on Settings (counted as Other)")))</f>
        <v/>
      </c>
      <c r="O175">
        <f>IF(COUNTA(A175:H175)=0,"",IF(AND(ISNUMBER(E175),E175&gt;0,OR(ISNUMBER(D175),ISNUMBER(G175)),OR(D175="",ISNUMBER(D175)),OR(F175="",ISNUMBER(F175)),OR(G175="",ISNUMBER(G175))),IF(N(F175)&gt;E175,0,1),0))</f>
        <v/>
      </c>
    </row>
    <row r="176">
      <c r="A176" s="29" t="n"/>
      <c r="B176" s="29" t="n"/>
      <c r="C176" s="29" t="n"/>
      <c r="D176" s="24" t="n"/>
      <c r="E176" s="34" t="n"/>
      <c r="F176" s="34" t="n"/>
      <c r="G176" s="24" t="n"/>
      <c r="H176" s="29" t="n"/>
      <c r="I176" s="32">
        <f>IF(O176&lt;&gt;1,"",IF(ISNUMBER(G176),INT(G176),INT(D176)))</f>
        <v/>
      </c>
      <c r="J176" s="21">
        <f>IF(O176&lt;&gt;1,0,E176-N(F176))</f>
        <v/>
      </c>
      <c r="K176" s="35">
        <f>IF(OR(O176&lt;&gt;1,J176&lt;=0),"",IF(H176="Yes","",IF(I176&lt;W1,IF(OverdueW1="No","",1),IF(I176&lt;=W1+90,INT((I176-W1)/7)+1,""))))</f>
        <v/>
      </c>
      <c r="L176" s="36">
        <f>IF(ISNUMBER(K176),J176,0)</f>
        <v/>
      </c>
      <c r="M176" s="10">
        <f>IF(O176="","",IF(O176=0,"Not counted",IF(J176&lt;=0,"Paid",IF(H176="Yes","On hold (left out)",IF(I176&lt;W1,IF(OverdueW1="No","Overdue (left out)","Overdue → Week 1"),IF(I176&lt;=W1+90,"Week "&amp;K176,"After Week 13"))))))</f>
        <v/>
      </c>
      <c r="N176" s="10">
        <f>IF(O176="","",IF(O176=0,IF(NOT(ISNUMBER(E176)),"Fix: amount missing",IF(E176&lt;=0,"Fix: amount must be above 0",IF(AND(NOT(ISNUMBER(D176)),NOT(ISNUMBER(G176))),"Fix: add a due date or a planned pay date",IF(AND(D176&lt;&gt;"",NOT(ISNUMBER(D176))),"Fix: due date isn't a date",IF(AND(F176&lt;&gt;"",NOT(ISNUMBER(F176))),"Fix: paid must be a number",IF(AND(G176&lt;&gt;"",NOT(ISNUMBER(G176))),"Fix: planned date isn't a date","Fix: paid is more than the amount")))))),IF(AND(C176&lt;&gt;"",ISNUMBER(MATCH(C176,OutCats,0))),"OK","Category not on Settings (counted as Other)")))</f>
        <v/>
      </c>
      <c r="O176">
        <f>IF(COUNTA(A176:H176)=0,"",IF(AND(ISNUMBER(E176),E176&gt;0,OR(ISNUMBER(D176),ISNUMBER(G176)),OR(D176="",ISNUMBER(D176)),OR(F176="",ISNUMBER(F176)),OR(G176="",ISNUMBER(G176))),IF(N(F176)&gt;E176,0,1),0))</f>
        <v/>
      </c>
    </row>
    <row r="177">
      <c r="A177" s="29" t="n"/>
      <c r="B177" s="29" t="n"/>
      <c r="C177" s="29" t="n"/>
      <c r="D177" s="24" t="n"/>
      <c r="E177" s="34" t="n"/>
      <c r="F177" s="34" t="n"/>
      <c r="G177" s="24" t="n"/>
      <c r="H177" s="29" t="n"/>
      <c r="I177" s="32">
        <f>IF(O177&lt;&gt;1,"",IF(ISNUMBER(G177),INT(G177),INT(D177)))</f>
        <v/>
      </c>
      <c r="J177" s="21">
        <f>IF(O177&lt;&gt;1,0,E177-N(F177))</f>
        <v/>
      </c>
      <c r="K177" s="35">
        <f>IF(OR(O177&lt;&gt;1,J177&lt;=0),"",IF(H177="Yes","",IF(I177&lt;W1,IF(OverdueW1="No","",1),IF(I177&lt;=W1+90,INT((I177-W1)/7)+1,""))))</f>
        <v/>
      </c>
      <c r="L177" s="36">
        <f>IF(ISNUMBER(K177),J177,0)</f>
        <v/>
      </c>
      <c r="M177" s="10">
        <f>IF(O177="","",IF(O177=0,"Not counted",IF(J177&lt;=0,"Paid",IF(H177="Yes","On hold (left out)",IF(I177&lt;W1,IF(OverdueW1="No","Overdue (left out)","Overdue → Week 1"),IF(I177&lt;=W1+90,"Week "&amp;K177,"After Week 13"))))))</f>
        <v/>
      </c>
      <c r="N177" s="10">
        <f>IF(O177="","",IF(O177=0,IF(NOT(ISNUMBER(E177)),"Fix: amount missing",IF(E177&lt;=0,"Fix: amount must be above 0",IF(AND(NOT(ISNUMBER(D177)),NOT(ISNUMBER(G177))),"Fix: add a due date or a planned pay date",IF(AND(D177&lt;&gt;"",NOT(ISNUMBER(D177))),"Fix: due date isn't a date",IF(AND(F177&lt;&gt;"",NOT(ISNUMBER(F177))),"Fix: paid must be a number",IF(AND(G177&lt;&gt;"",NOT(ISNUMBER(G177))),"Fix: planned date isn't a date","Fix: paid is more than the amount")))))),IF(AND(C177&lt;&gt;"",ISNUMBER(MATCH(C177,OutCats,0))),"OK","Category not on Settings (counted as Other)")))</f>
        <v/>
      </c>
      <c r="O177">
        <f>IF(COUNTA(A177:H177)=0,"",IF(AND(ISNUMBER(E177),E177&gt;0,OR(ISNUMBER(D177),ISNUMBER(G177)),OR(D177="",ISNUMBER(D177)),OR(F177="",ISNUMBER(F177)),OR(G177="",ISNUMBER(G177))),IF(N(F177)&gt;E177,0,1),0))</f>
        <v/>
      </c>
    </row>
    <row r="178">
      <c r="A178" s="29" t="n"/>
      <c r="B178" s="29" t="n"/>
      <c r="C178" s="29" t="n"/>
      <c r="D178" s="24" t="n"/>
      <c r="E178" s="34" t="n"/>
      <c r="F178" s="34" t="n"/>
      <c r="G178" s="24" t="n"/>
      <c r="H178" s="29" t="n"/>
      <c r="I178" s="32">
        <f>IF(O178&lt;&gt;1,"",IF(ISNUMBER(G178),INT(G178),INT(D178)))</f>
        <v/>
      </c>
      <c r="J178" s="21">
        <f>IF(O178&lt;&gt;1,0,E178-N(F178))</f>
        <v/>
      </c>
      <c r="K178" s="35">
        <f>IF(OR(O178&lt;&gt;1,J178&lt;=0),"",IF(H178="Yes","",IF(I178&lt;W1,IF(OverdueW1="No","",1),IF(I178&lt;=W1+90,INT((I178-W1)/7)+1,""))))</f>
        <v/>
      </c>
      <c r="L178" s="36">
        <f>IF(ISNUMBER(K178),J178,0)</f>
        <v/>
      </c>
      <c r="M178" s="10">
        <f>IF(O178="","",IF(O178=0,"Not counted",IF(J178&lt;=0,"Paid",IF(H178="Yes","On hold (left out)",IF(I178&lt;W1,IF(OverdueW1="No","Overdue (left out)","Overdue → Week 1"),IF(I178&lt;=W1+90,"Week "&amp;K178,"After Week 13"))))))</f>
        <v/>
      </c>
      <c r="N178" s="10">
        <f>IF(O178="","",IF(O178=0,IF(NOT(ISNUMBER(E178)),"Fix: amount missing",IF(E178&lt;=0,"Fix: amount must be above 0",IF(AND(NOT(ISNUMBER(D178)),NOT(ISNUMBER(G178))),"Fix: add a due date or a planned pay date",IF(AND(D178&lt;&gt;"",NOT(ISNUMBER(D178))),"Fix: due date isn't a date",IF(AND(F178&lt;&gt;"",NOT(ISNUMBER(F178))),"Fix: paid must be a number",IF(AND(G178&lt;&gt;"",NOT(ISNUMBER(G178))),"Fix: planned date isn't a date","Fix: paid is more than the amount")))))),IF(AND(C178&lt;&gt;"",ISNUMBER(MATCH(C178,OutCats,0))),"OK","Category not on Settings (counted as Other)")))</f>
        <v/>
      </c>
      <c r="O178">
        <f>IF(COUNTA(A178:H178)=0,"",IF(AND(ISNUMBER(E178),E178&gt;0,OR(ISNUMBER(D178),ISNUMBER(G178)),OR(D178="",ISNUMBER(D178)),OR(F178="",ISNUMBER(F178)),OR(G178="",ISNUMBER(G178))),IF(N(F178)&gt;E178,0,1),0))</f>
        <v/>
      </c>
    </row>
    <row r="179">
      <c r="A179" s="29" t="n"/>
      <c r="B179" s="29" t="n"/>
      <c r="C179" s="29" t="n"/>
      <c r="D179" s="24" t="n"/>
      <c r="E179" s="34" t="n"/>
      <c r="F179" s="34" t="n"/>
      <c r="G179" s="24" t="n"/>
      <c r="H179" s="29" t="n"/>
      <c r="I179" s="32">
        <f>IF(O179&lt;&gt;1,"",IF(ISNUMBER(G179),INT(G179),INT(D179)))</f>
        <v/>
      </c>
      <c r="J179" s="21">
        <f>IF(O179&lt;&gt;1,0,E179-N(F179))</f>
        <v/>
      </c>
      <c r="K179" s="35">
        <f>IF(OR(O179&lt;&gt;1,J179&lt;=0),"",IF(H179="Yes","",IF(I179&lt;W1,IF(OverdueW1="No","",1),IF(I179&lt;=W1+90,INT((I179-W1)/7)+1,""))))</f>
        <v/>
      </c>
      <c r="L179" s="36">
        <f>IF(ISNUMBER(K179),J179,0)</f>
        <v/>
      </c>
      <c r="M179" s="10">
        <f>IF(O179="","",IF(O179=0,"Not counted",IF(J179&lt;=0,"Paid",IF(H179="Yes","On hold (left out)",IF(I179&lt;W1,IF(OverdueW1="No","Overdue (left out)","Overdue → Week 1"),IF(I179&lt;=W1+90,"Week "&amp;K179,"After Week 13"))))))</f>
        <v/>
      </c>
      <c r="N179" s="10">
        <f>IF(O179="","",IF(O179=0,IF(NOT(ISNUMBER(E179)),"Fix: amount missing",IF(E179&lt;=0,"Fix: amount must be above 0",IF(AND(NOT(ISNUMBER(D179)),NOT(ISNUMBER(G179))),"Fix: add a due date or a planned pay date",IF(AND(D179&lt;&gt;"",NOT(ISNUMBER(D179))),"Fix: due date isn't a date",IF(AND(F179&lt;&gt;"",NOT(ISNUMBER(F179))),"Fix: paid must be a number",IF(AND(G179&lt;&gt;"",NOT(ISNUMBER(G179))),"Fix: planned date isn't a date","Fix: paid is more than the amount")))))),IF(AND(C179&lt;&gt;"",ISNUMBER(MATCH(C179,OutCats,0))),"OK","Category not on Settings (counted as Other)")))</f>
        <v/>
      </c>
      <c r="O179">
        <f>IF(COUNTA(A179:H179)=0,"",IF(AND(ISNUMBER(E179),E179&gt;0,OR(ISNUMBER(D179),ISNUMBER(G179)),OR(D179="",ISNUMBER(D179)),OR(F179="",ISNUMBER(F179)),OR(G179="",ISNUMBER(G179))),IF(N(F179)&gt;E179,0,1),0))</f>
        <v/>
      </c>
    </row>
    <row r="180">
      <c r="A180" s="29" t="n"/>
      <c r="B180" s="29" t="n"/>
      <c r="C180" s="29" t="n"/>
      <c r="D180" s="24" t="n"/>
      <c r="E180" s="34" t="n"/>
      <c r="F180" s="34" t="n"/>
      <c r="G180" s="24" t="n"/>
      <c r="H180" s="29" t="n"/>
      <c r="I180" s="32">
        <f>IF(O180&lt;&gt;1,"",IF(ISNUMBER(G180),INT(G180),INT(D180)))</f>
        <v/>
      </c>
      <c r="J180" s="21">
        <f>IF(O180&lt;&gt;1,0,E180-N(F180))</f>
        <v/>
      </c>
      <c r="K180" s="35">
        <f>IF(OR(O180&lt;&gt;1,J180&lt;=0),"",IF(H180="Yes","",IF(I180&lt;W1,IF(OverdueW1="No","",1),IF(I180&lt;=W1+90,INT((I180-W1)/7)+1,""))))</f>
        <v/>
      </c>
      <c r="L180" s="36">
        <f>IF(ISNUMBER(K180),J180,0)</f>
        <v/>
      </c>
      <c r="M180" s="10">
        <f>IF(O180="","",IF(O180=0,"Not counted",IF(J180&lt;=0,"Paid",IF(H180="Yes","On hold (left out)",IF(I180&lt;W1,IF(OverdueW1="No","Overdue (left out)","Overdue → Week 1"),IF(I180&lt;=W1+90,"Week "&amp;K180,"After Week 13"))))))</f>
        <v/>
      </c>
      <c r="N180" s="10">
        <f>IF(O180="","",IF(O180=0,IF(NOT(ISNUMBER(E180)),"Fix: amount missing",IF(E180&lt;=0,"Fix: amount must be above 0",IF(AND(NOT(ISNUMBER(D180)),NOT(ISNUMBER(G180))),"Fix: add a due date or a planned pay date",IF(AND(D180&lt;&gt;"",NOT(ISNUMBER(D180))),"Fix: due date isn't a date",IF(AND(F180&lt;&gt;"",NOT(ISNUMBER(F180))),"Fix: paid must be a number",IF(AND(G180&lt;&gt;"",NOT(ISNUMBER(G180))),"Fix: planned date isn't a date","Fix: paid is more than the amount")))))),IF(AND(C180&lt;&gt;"",ISNUMBER(MATCH(C180,OutCats,0))),"OK","Category not on Settings (counted as Other)")))</f>
        <v/>
      </c>
      <c r="O180">
        <f>IF(COUNTA(A180:H180)=0,"",IF(AND(ISNUMBER(E180),E180&gt;0,OR(ISNUMBER(D180),ISNUMBER(G180)),OR(D180="",ISNUMBER(D180)),OR(F180="",ISNUMBER(F180)),OR(G180="",ISNUMBER(G180))),IF(N(F180)&gt;E180,0,1),0))</f>
        <v/>
      </c>
    </row>
    <row r="181">
      <c r="A181" s="29" t="n"/>
      <c r="B181" s="29" t="n"/>
      <c r="C181" s="29" t="n"/>
      <c r="D181" s="24" t="n"/>
      <c r="E181" s="34" t="n"/>
      <c r="F181" s="34" t="n"/>
      <c r="G181" s="24" t="n"/>
      <c r="H181" s="29" t="n"/>
      <c r="I181" s="32">
        <f>IF(O181&lt;&gt;1,"",IF(ISNUMBER(G181),INT(G181),INT(D181)))</f>
        <v/>
      </c>
      <c r="J181" s="21">
        <f>IF(O181&lt;&gt;1,0,E181-N(F181))</f>
        <v/>
      </c>
      <c r="K181" s="35">
        <f>IF(OR(O181&lt;&gt;1,J181&lt;=0),"",IF(H181="Yes","",IF(I181&lt;W1,IF(OverdueW1="No","",1),IF(I181&lt;=W1+90,INT((I181-W1)/7)+1,""))))</f>
        <v/>
      </c>
      <c r="L181" s="36">
        <f>IF(ISNUMBER(K181),J181,0)</f>
        <v/>
      </c>
      <c r="M181" s="10">
        <f>IF(O181="","",IF(O181=0,"Not counted",IF(J181&lt;=0,"Paid",IF(H181="Yes","On hold (left out)",IF(I181&lt;W1,IF(OverdueW1="No","Overdue (left out)","Overdue → Week 1"),IF(I181&lt;=W1+90,"Week "&amp;K181,"After Week 13"))))))</f>
        <v/>
      </c>
      <c r="N181" s="10">
        <f>IF(O181="","",IF(O181=0,IF(NOT(ISNUMBER(E181)),"Fix: amount missing",IF(E181&lt;=0,"Fix: amount must be above 0",IF(AND(NOT(ISNUMBER(D181)),NOT(ISNUMBER(G181))),"Fix: add a due date or a planned pay date",IF(AND(D181&lt;&gt;"",NOT(ISNUMBER(D181))),"Fix: due date isn't a date",IF(AND(F181&lt;&gt;"",NOT(ISNUMBER(F181))),"Fix: paid must be a number",IF(AND(G181&lt;&gt;"",NOT(ISNUMBER(G181))),"Fix: planned date isn't a date","Fix: paid is more than the amount")))))),IF(AND(C181&lt;&gt;"",ISNUMBER(MATCH(C181,OutCats,0))),"OK","Category not on Settings (counted as Other)")))</f>
        <v/>
      </c>
      <c r="O181">
        <f>IF(COUNTA(A181:H181)=0,"",IF(AND(ISNUMBER(E181),E181&gt;0,OR(ISNUMBER(D181),ISNUMBER(G181)),OR(D181="",ISNUMBER(D181)),OR(F181="",ISNUMBER(F181)),OR(G181="",ISNUMBER(G181))),IF(N(F181)&gt;E181,0,1),0))</f>
        <v/>
      </c>
    </row>
    <row r="182">
      <c r="A182" s="29" t="n"/>
      <c r="B182" s="29" t="n"/>
      <c r="C182" s="29" t="n"/>
      <c r="D182" s="24" t="n"/>
      <c r="E182" s="34" t="n"/>
      <c r="F182" s="34" t="n"/>
      <c r="G182" s="24" t="n"/>
      <c r="H182" s="29" t="n"/>
      <c r="I182" s="32">
        <f>IF(O182&lt;&gt;1,"",IF(ISNUMBER(G182),INT(G182),INT(D182)))</f>
        <v/>
      </c>
      <c r="J182" s="21">
        <f>IF(O182&lt;&gt;1,0,E182-N(F182))</f>
        <v/>
      </c>
      <c r="K182" s="35">
        <f>IF(OR(O182&lt;&gt;1,J182&lt;=0),"",IF(H182="Yes","",IF(I182&lt;W1,IF(OverdueW1="No","",1),IF(I182&lt;=W1+90,INT((I182-W1)/7)+1,""))))</f>
        <v/>
      </c>
      <c r="L182" s="36">
        <f>IF(ISNUMBER(K182),J182,0)</f>
        <v/>
      </c>
      <c r="M182" s="10">
        <f>IF(O182="","",IF(O182=0,"Not counted",IF(J182&lt;=0,"Paid",IF(H182="Yes","On hold (left out)",IF(I182&lt;W1,IF(OverdueW1="No","Overdue (left out)","Overdue → Week 1"),IF(I182&lt;=W1+90,"Week "&amp;K182,"After Week 13"))))))</f>
        <v/>
      </c>
      <c r="N182" s="10">
        <f>IF(O182="","",IF(O182=0,IF(NOT(ISNUMBER(E182)),"Fix: amount missing",IF(E182&lt;=0,"Fix: amount must be above 0",IF(AND(NOT(ISNUMBER(D182)),NOT(ISNUMBER(G182))),"Fix: add a due date or a planned pay date",IF(AND(D182&lt;&gt;"",NOT(ISNUMBER(D182))),"Fix: due date isn't a date",IF(AND(F182&lt;&gt;"",NOT(ISNUMBER(F182))),"Fix: paid must be a number",IF(AND(G182&lt;&gt;"",NOT(ISNUMBER(G182))),"Fix: planned date isn't a date","Fix: paid is more than the amount")))))),IF(AND(C182&lt;&gt;"",ISNUMBER(MATCH(C182,OutCats,0))),"OK","Category not on Settings (counted as Other)")))</f>
        <v/>
      </c>
      <c r="O182">
        <f>IF(COUNTA(A182:H182)=0,"",IF(AND(ISNUMBER(E182),E182&gt;0,OR(ISNUMBER(D182),ISNUMBER(G182)),OR(D182="",ISNUMBER(D182)),OR(F182="",ISNUMBER(F182)),OR(G182="",ISNUMBER(G182))),IF(N(F182)&gt;E182,0,1),0))</f>
        <v/>
      </c>
    </row>
    <row r="183">
      <c r="A183" s="29" t="n"/>
      <c r="B183" s="29" t="n"/>
      <c r="C183" s="29" t="n"/>
      <c r="D183" s="24" t="n"/>
      <c r="E183" s="34" t="n"/>
      <c r="F183" s="34" t="n"/>
      <c r="G183" s="24" t="n"/>
      <c r="H183" s="29" t="n"/>
      <c r="I183" s="32">
        <f>IF(O183&lt;&gt;1,"",IF(ISNUMBER(G183),INT(G183),INT(D183)))</f>
        <v/>
      </c>
      <c r="J183" s="21">
        <f>IF(O183&lt;&gt;1,0,E183-N(F183))</f>
        <v/>
      </c>
      <c r="K183" s="35">
        <f>IF(OR(O183&lt;&gt;1,J183&lt;=0),"",IF(H183="Yes","",IF(I183&lt;W1,IF(OverdueW1="No","",1),IF(I183&lt;=W1+90,INT((I183-W1)/7)+1,""))))</f>
        <v/>
      </c>
      <c r="L183" s="36">
        <f>IF(ISNUMBER(K183),J183,0)</f>
        <v/>
      </c>
      <c r="M183" s="10">
        <f>IF(O183="","",IF(O183=0,"Not counted",IF(J183&lt;=0,"Paid",IF(H183="Yes","On hold (left out)",IF(I183&lt;W1,IF(OverdueW1="No","Overdue (left out)","Overdue → Week 1"),IF(I183&lt;=W1+90,"Week "&amp;K183,"After Week 13"))))))</f>
        <v/>
      </c>
      <c r="N183" s="10">
        <f>IF(O183="","",IF(O183=0,IF(NOT(ISNUMBER(E183)),"Fix: amount missing",IF(E183&lt;=0,"Fix: amount must be above 0",IF(AND(NOT(ISNUMBER(D183)),NOT(ISNUMBER(G183))),"Fix: add a due date or a planned pay date",IF(AND(D183&lt;&gt;"",NOT(ISNUMBER(D183))),"Fix: due date isn't a date",IF(AND(F183&lt;&gt;"",NOT(ISNUMBER(F183))),"Fix: paid must be a number",IF(AND(G183&lt;&gt;"",NOT(ISNUMBER(G183))),"Fix: planned date isn't a date","Fix: paid is more than the amount")))))),IF(AND(C183&lt;&gt;"",ISNUMBER(MATCH(C183,OutCats,0))),"OK","Category not on Settings (counted as Other)")))</f>
        <v/>
      </c>
      <c r="O183">
        <f>IF(COUNTA(A183:H183)=0,"",IF(AND(ISNUMBER(E183),E183&gt;0,OR(ISNUMBER(D183),ISNUMBER(G183)),OR(D183="",ISNUMBER(D183)),OR(F183="",ISNUMBER(F183)),OR(G183="",ISNUMBER(G183))),IF(N(F183)&gt;E183,0,1),0))</f>
        <v/>
      </c>
    </row>
    <row r="184">
      <c r="A184" s="29" t="n"/>
      <c r="B184" s="29" t="n"/>
      <c r="C184" s="29" t="n"/>
      <c r="D184" s="24" t="n"/>
      <c r="E184" s="34" t="n"/>
      <c r="F184" s="34" t="n"/>
      <c r="G184" s="24" t="n"/>
      <c r="H184" s="29" t="n"/>
      <c r="I184" s="32">
        <f>IF(O184&lt;&gt;1,"",IF(ISNUMBER(G184),INT(G184),INT(D184)))</f>
        <v/>
      </c>
      <c r="J184" s="21">
        <f>IF(O184&lt;&gt;1,0,E184-N(F184))</f>
        <v/>
      </c>
      <c r="K184" s="35">
        <f>IF(OR(O184&lt;&gt;1,J184&lt;=0),"",IF(H184="Yes","",IF(I184&lt;W1,IF(OverdueW1="No","",1),IF(I184&lt;=W1+90,INT((I184-W1)/7)+1,""))))</f>
        <v/>
      </c>
      <c r="L184" s="36">
        <f>IF(ISNUMBER(K184),J184,0)</f>
        <v/>
      </c>
      <c r="M184" s="10">
        <f>IF(O184="","",IF(O184=0,"Not counted",IF(J184&lt;=0,"Paid",IF(H184="Yes","On hold (left out)",IF(I184&lt;W1,IF(OverdueW1="No","Overdue (left out)","Overdue → Week 1"),IF(I184&lt;=W1+90,"Week "&amp;K184,"After Week 13"))))))</f>
        <v/>
      </c>
      <c r="N184" s="10">
        <f>IF(O184="","",IF(O184=0,IF(NOT(ISNUMBER(E184)),"Fix: amount missing",IF(E184&lt;=0,"Fix: amount must be above 0",IF(AND(NOT(ISNUMBER(D184)),NOT(ISNUMBER(G184))),"Fix: add a due date or a planned pay date",IF(AND(D184&lt;&gt;"",NOT(ISNUMBER(D184))),"Fix: due date isn't a date",IF(AND(F184&lt;&gt;"",NOT(ISNUMBER(F184))),"Fix: paid must be a number",IF(AND(G184&lt;&gt;"",NOT(ISNUMBER(G184))),"Fix: planned date isn't a date","Fix: paid is more than the amount")))))),IF(AND(C184&lt;&gt;"",ISNUMBER(MATCH(C184,OutCats,0))),"OK","Category not on Settings (counted as Other)")))</f>
        <v/>
      </c>
      <c r="O184">
        <f>IF(COUNTA(A184:H184)=0,"",IF(AND(ISNUMBER(E184),E184&gt;0,OR(ISNUMBER(D184),ISNUMBER(G184)),OR(D184="",ISNUMBER(D184)),OR(F184="",ISNUMBER(F184)),OR(G184="",ISNUMBER(G184))),IF(N(F184)&gt;E184,0,1),0))</f>
        <v/>
      </c>
    </row>
    <row r="185">
      <c r="A185" s="29" t="n"/>
      <c r="B185" s="29" t="n"/>
      <c r="C185" s="29" t="n"/>
      <c r="D185" s="24" t="n"/>
      <c r="E185" s="34" t="n"/>
      <c r="F185" s="34" t="n"/>
      <c r="G185" s="24" t="n"/>
      <c r="H185" s="29" t="n"/>
      <c r="I185" s="32">
        <f>IF(O185&lt;&gt;1,"",IF(ISNUMBER(G185),INT(G185),INT(D185)))</f>
        <v/>
      </c>
      <c r="J185" s="21">
        <f>IF(O185&lt;&gt;1,0,E185-N(F185))</f>
        <v/>
      </c>
      <c r="K185" s="35">
        <f>IF(OR(O185&lt;&gt;1,J185&lt;=0),"",IF(H185="Yes","",IF(I185&lt;W1,IF(OverdueW1="No","",1),IF(I185&lt;=W1+90,INT((I185-W1)/7)+1,""))))</f>
        <v/>
      </c>
      <c r="L185" s="36">
        <f>IF(ISNUMBER(K185),J185,0)</f>
        <v/>
      </c>
      <c r="M185" s="10">
        <f>IF(O185="","",IF(O185=0,"Not counted",IF(J185&lt;=0,"Paid",IF(H185="Yes","On hold (left out)",IF(I185&lt;W1,IF(OverdueW1="No","Overdue (left out)","Overdue → Week 1"),IF(I185&lt;=W1+90,"Week "&amp;K185,"After Week 13"))))))</f>
        <v/>
      </c>
      <c r="N185" s="10">
        <f>IF(O185="","",IF(O185=0,IF(NOT(ISNUMBER(E185)),"Fix: amount missing",IF(E185&lt;=0,"Fix: amount must be above 0",IF(AND(NOT(ISNUMBER(D185)),NOT(ISNUMBER(G185))),"Fix: add a due date or a planned pay date",IF(AND(D185&lt;&gt;"",NOT(ISNUMBER(D185))),"Fix: due date isn't a date",IF(AND(F185&lt;&gt;"",NOT(ISNUMBER(F185))),"Fix: paid must be a number",IF(AND(G185&lt;&gt;"",NOT(ISNUMBER(G185))),"Fix: planned date isn't a date","Fix: paid is more than the amount")))))),IF(AND(C185&lt;&gt;"",ISNUMBER(MATCH(C185,OutCats,0))),"OK","Category not on Settings (counted as Other)")))</f>
        <v/>
      </c>
      <c r="O185">
        <f>IF(COUNTA(A185:H185)=0,"",IF(AND(ISNUMBER(E185),E185&gt;0,OR(ISNUMBER(D185),ISNUMBER(G185)),OR(D185="",ISNUMBER(D185)),OR(F185="",ISNUMBER(F185)),OR(G185="",ISNUMBER(G185))),IF(N(F185)&gt;E185,0,1),0))</f>
        <v/>
      </c>
    </row>
    <row r="186">
      <c r="A186" s="29" t="n"/>
      <c r="B186" s="29" t="n"/>
      <c r="C186" s="29" t="n"/>
      <c r="D186" s="24" t="n"/>
      <c r="E186" s="34" t="n"/>
      <c r="F186" s="34" t="n"/>
      <c r="G186" s="24" t="n"/>
      <c r="H186" s="29" t="n"/>
      <c r="I186" s="32">
        <f>IF(O186&lt;&gt;1,"",IF(ISNUMBER(G186),INT(G186),INT(D186)))</f>
        <v/>
      </c>
      <c r="J186" s="21">
        <f>IF(O186&lt;&gt;1,0,E186-N(F186))</f>
        <v/>
      </c>
      <c r="K186" s="35">
        <f>IF(OR(O186&lt;&gt;1,J186&lt;=0),"",IF(H186="Yes","",IF(I186&lt;W1,IF(OverdueW1="No","",1),IF(I186&lt;=W1+90,INT((I186-W1)/7)+1,""))))</f>
        <v/>
      </c>
      <c r="L186" s="36">
        <f>IF(ISNUMBER(K186),J186,0)</f>
        <v/>
      </c>
      <c r="M186" s="10">
        <f>IF(O186="","",IF(O186=0,"Not counted",IF(J186&lt;=0,"Paid",IF(H186="Yes","On hold (left out)",IF(I186&lt;W1,IF(OverdueW1="No","Overdue (left out)","Overdue → Week 1"),IF(I186&lt;=W1+90,"Week "&amp;K186,"After Week 13"))))))</f>
        <v/>
      </c>
      <c r="N186" s="10">
        <f>IF(O186="","",IF(O186=0,IF(NOT(ISNUMBER(E186)),"Fix: amount missing",IF(E186&lt;=0,"Fix: amount must be above 0",IF(AND(NOT(ISNUMBER(D186)),NOT(ISNUMBER(G186))),"Fix: add a due date or a planned pay date",IF(AND(D186&lt;&gt;"",NOT(ISNUMBER(D186))),"Fix: due date isn't a date",IF(AND(F186&lt;&gt;"",NOT(ISNUMBER(F186))),"Fix: paid must be a number",IF(AND(G186&lt;&gt;"",NOT(ISNUMBER(G186))),"Fix: planned date isn't a date","Fix: paid is more than the amount")))))),IF(AND(C186&lt;&gt;"",ISNUMBER(MATCH(C186,OutCats,0))),"OK","Category not on Settings (counted as Other)")))</f>
        <v/>
      </c>
      <c r="O186">
        <f>IF(COUNTA(A186:H186)=0,"",IF(AND(ISNUMBER(E186),E186&gt;0,OR(ISNUMBER(D186),ISNUMBER(G186)),OR(D186="",ISNUMBER(D186)),OR(F186="",ISNUMBER(F186)),OR(G186="",ISNUMBER(G186))),IF(N(F186)&gt;E186,0,1),0))</f>
        <v/>
      </c>
    </row>
    <row r="187">
      <c r="A187" s="29" t="n"/>
      <c r="B187" s="29" t="n"/>
      <c r="C187" s="29" t="n"/>
      <c r="D187" s="24" t="n"/>
      <c r="E187" s="34" t="n"/>
      <c r="F187" s="34" t="n"/>
      <c r="G187" s="24" t="n"/>
      <c r="H187" s="29" t="n"/>
      <c r="I187" s="32">
        <f>IF(O187&lt;&gt;1,"",IF(ISNUMBER(G187),INT(G187),INT(D187)))</f>
        <v/>
      </c>
      <c r="J187" s="21">
        <f>IF(O187&lt;&gt;1,0,E187-N(F187))</f>
        <v/>
      </c>
      <c r="K187" s="35">
        <f>IF(OR(O187&lt;&gt;1,J187&lt;=0),"",IF(H187="Yes","",IF(I187&lt;W1,IF(OverdueW1="No","",1),IF(I187&lt;=W1+90,INT((I187-W1)/7)+1,""))))</f>
        <v/>
      </c>
      <c r="L187" s="36">
        <f>IF(ISNUMBER(K187),J187,0)</f>
        <v/>
      </c>
      <c r="M187" s="10">
        <f>IF(O187="","",IF(O187=0,"Not counted",IF(J187&lt;=0,"Paid",IF(H187="Yes","On hold (left out)",IF(I187&lt;W1,IF(OverdueW1="No","Overdue (left out)","Overdue → Week 1"),IF(I187&lt;=W1+90,"Week "&amp;K187,"After Week 13"))))))</f>
        <v/>
      </c>
      <c r="N187" s="10">
        <f>IF(O187="","",IF(O187=0,IF(NOT(ISNUMBER(E187)),"Fix: amount missing",IF(E187&lt;=0,"Fix: amount must be above 0",IF(AND(NOT(ISNUMBER(D187)),NOT(ISNUMBER(G187))),"Fix: add a due date or a planned pay date",IF(AND(D187&lt;&gt;"",NOT(ISNUMBER(D187))),"Fix: due date isn't a date",IF(AND(F187&lt;&gt;"",NOT(ISNUMBER(F187))),"Fix: paid must be a number",IF(AND(G187&lt;&gt;"",NOT(ISNUMBER(G187))),"Fix: planned date isn't a date","Fix: paid is more than the amount")))))),IF(AND(C187&lt;&gt;"",ISNUMBER(MATCH(C187,OutCats,0))),"OK","Category not on Settings (counted as Other)")))</f>
        <v/>
      </c>
      <c r="O187">
        <f>IF(COUNTA(A187:H187)=0,"",IF(AND(ISNUMBER(E187),E187&gt;0,OR(ISNUMBER(D187),ISNUMBER(G187)),OR(D187="",ISNUMBER(D187)),OR(F187="",ISNUMBER(F187)),OR(G187="",ISNUMBER(G187))),IF(N(F187)&gt;E187,0,1),0))</f>
        <v/>
      </c>
    </row>
    <row r="188">
      <c r="A188" s="29" t="n"/>
      <c r="B188" s="29" t="n"/>
      <c r="C188" s="29" t="n"/>
      <c r="D188" s="24" t="n"/>
      <c r="E188" s="34" t="n"/>
      <c r="F188" s="34" t="n"/>
      <c r="G188" s="24" t="n"/>
      <c r="H188" s="29" t="n"/>
      <c r="I188" s="32">
        <f>IF(O188&lt;&gt;1,"",IF(ISNUMBER(G188),INT(G188),INT(D188)))</f>
        <v/>
      </c>
      <c r="J188" s="21">
        <f>IF(O188&lt;&gt;1,0,E188-N(F188))</f>
        <v/>
      </c>
      <c r="K188" s="35">
        <f>IF(OR(O188&lt;&gt;1,J188&lt;=0),"",IF(H188="Yes","",IF(I188&lt;W1,IF(OverdueW1="No","",1),IF(I188&lt;=W1+90,INT((I188-W1)/7)+1,""))))</f>
        <v/>
      </c>
      <c r="L188" s="36">
        <f>IF(ISNUMBER(K188),J188,0)</f>
        <v/>
      </c>
      <c r="M188" s="10">
        <f>IF(O188="","",IF(O188=0,"Not counted",IF(J188&lt;=0,"Paid",IF(H188="Yes","On hold (left out)",IF(I188&lt;W1,IF(OverdueW1="No","Overdue (left out)","Overdue → Week 1"),IF(I188&lt;=W1+90,"Week "&amp;K188,"After Week 13"))))))</f>
        <v/>
      </c>
      <c r="N188" s="10">
        <f>IF(O188="","",IF(O188=0,IF(NOT(ISNUMBER(E188)),"Fix: amount missing",IF(E188&lt;=0,"Fix: amount must be above 0",IF(AND(NOT(ISNUMBER(D188)),NOT(ISNUMBER(G188))),"Fix: add a due date or a planned pay date",IF(AND(D188&lt;&gt;"",NOT(ISNUMBER(D188))),"Fix: due date isn't a date",IF(AND(F188&lt;&gt;"",NOT(ISNUMBER(F188))),"Fix: paid must be a number",IF(AND(G188&lt;&gt;"",NOT(ISNUMBER(G188))),"Fix: planned date isn't a date","Fix: paid is more than the amount")))))),IF(AND(C188&lt;&gt;"",ISNUMBER(MATCH(C188,OutCats,0))),"OK","Category not on Settings (counted as Other)")))</f>
        <v/>
      </c>
      <c r="O188">
        <f>IF(COUNTA(A188:H188)=0,"",IF(AND(ISNUMBER(E188),E188&gt;0,OR(ISNUMBER(D188),ISNUMBER(G188)),OR(D188="",ISNUMBER(D188)),OR(F188="",ISNUMBER(F188)),OR(G188="",ISNUMBER(G188))),IF(N(F188)&gt;E188,0,1),0))</f>
        <v/>
      </c>
    </row>
    <row r="189">
      <c r="A189" s="29" t="n"/>
      <c r="B189" s="29" t="n"/>
      <c r="C189" s="29" t="n"/>
      <c r="D189" s="24" t="n"/>
      <c r="E189" s="34" t="n"/>
      <c r="F189" s="34" t="n"/>
      <c r="G189" s="24" t="n"/>
      <c r="H189" s="29" t="n"/>
      <c r="I189" s="32">
        <f>IF(O189&lt;&gt;1,"",IF(ISNUMBER(G189),INT(G189),INT(D189)))</f>
        <v/>
      </c>
      <c r="J189" s="21">
        <f>IF(O189&lt;&gt;1,0,E189-N(F189))</f>
        <v/>
      </c>
      <c r="K189" s="35">
        <f>IF(OR(O189&lt;&gt;1,J189&lt;=0),"",IF(H189="Yes","",IF(I189&lt;W1,IF(OverdueW1="No","",1),IF(I189&lt;=W1+90,INT((I189-W1)/7)+1,""))))</f>
        <v/>
      </c>
      <c r="L189" s="36">
        <f>IF(ISNUMBER(K189),J189,0)</f>
        <v/>
      </c>
      <c r="M189" s="10">
        <f>IF(O189="","",IF(O189=0,"Not counted",IF(J189&lt;=0,"Paid",IF(H189="Yes","On hold (left out)",IF(I189&lt;W1,IF(OverdueW1="No","Overdue (left out)","Overdue → Week 1"),IF(I189&lt;=W1+90,"Week "&amp;K189,"After Week 13"))))))</f>
        <v/>
      </c>
      <c r="N189" s="10">
        <f>IF(O189="","",IF(O189=0,IF(NOT(ISNUMBER(E189)),"Fix: amount missing",IF(E189&lt;=0,"Fix: amount must be above 0",IF(AND(NOT(ISNUMBER(D189)),NOT(ISNUMBER(G189))),"Fix: add a due date or a planned pay date",IF(AND(D189&lt;&gt;"",NOT(ISNUMBER(D189))),"Fix: due date isn't a date",IF(AND(F189&lt;&gt;"",NOT(ISNUMBER(F189))),"Fix: paid must be a number",IF(AND(G189&lt;&gt;"",NOT(ISNUMBER(G189))),"Fix: planned date isn't a date","Fix: paid is more than the amount")))))),IF(AND(C189&lt;&gt;"",ISNUMBER(MATCH(C189,OutCats,0))),"OK","Category not on Settings (counted as Other)")))</f>
        <v/>
      </c>
      <c r="O189">
        <f>IF(COUNTA(A189:H189)=0,"",IF(AND(ISNUMBER(E189),E189&gt;0,OR(ISNUMBER(D189),ISNUMBER(G189)),OR(D189="",ISNUMBER(D189)),OR(F189="",ISNUMBER(F189)),OR(G189="",ISNUMBER(G189))),IF(N(F189)&gt;E189,0,1),0))</f>
        <v/>
      </c>
    </row>
    <row r="190">
      <c r="A190" s="29" t="n"/>
      <c r="B190" s="29" t="n"/>
      <c r="C190" s="29" t="n"/>
      <c r="D190" s="24" t="n"/>
      <c r="E190" s="34" t="n"/>
      <c r="F190" s="34" t="n"/>
      <c r="G190" s="24" t="n"/>
      <c r="H190" s="29" t="n"/>
      <c r="I190" s="32">
        <f>IF(O190&lt;&gt;1,"",IF(ISNUMBER(G190),INT(G190),INT(D190)))</f>
        <v/>
      </c>
      <c r="J190" s="21">
        <f>IF(O190&lt;&gt;1,0,E190-N(F190))</f>
        <v/>
      </c>
      <c r="K190" s="35">
        <f>IF(OR(O190&lt;&gt;1,J190&lt;=0),"",IF(H190="Yes","",IF(I190&lt;W1,IF(OverdueW1="No","",1),IF(I190&lt;=W1+90,INT((I190-W1)/7)+1,""))))</f>
        <v/>
      </c>
      <c r="L190" s="36">
        <f>IF(ISNUMBER(K190),J190,0)</f>
        <v/>
      </c>
      <c r="M190" s="10">
        <f>IF(O190="","",IF(O190=0,"Not counted",IF(J190&lt;=0,"Paid",IF(H190="Yes","On hold (left out)",IF(I190&lt;W1,IF(OverdueW1="No","Overdue (left out)","Overdue → Week 1"),IF(I190&lt;=W1+90,"Week "&amp;K190,"After Week 13"))))))</f>
        <v/>
      </c>
      <c r="N190" s="10">
        <f>IF(O190="","",IF(O190=0,IF(NOT(ISNUMBER(E190)),"Fix: amount missing",IF(E190&lt;=0,"Fix: amount must be above 0",IF(AND(NOT(ISNUMBER(D190)),NOT(ISNUMBER(G190))),"Fix: add a due date or a planned pay date",IF(AND(D190&lt;&gt;"",NOT(ISNUMBER(D190))),"Fix: due date isn't a date",IF(AND(F190&lt;&gt;"",NOT(ISNUMBER(F190))),"Fix: paid must be a number",IF(AND(G190&lt;&gt;"",NOT(ISNUMBER(G190))),"Fix: planned date isn't a date","Fix: paid is more than the amount")))))),IF(AND(C190&lt;&gt;"",ISNUMBER(MATCH(C190,OutCats,0))),"OK","Category not on Settings (counted as Other)")))</f>
        <v/>
      </c>
      <c r="O190">
        <f>IF(COUNTA(A190:H190)=0,"",IF(AND(ISNUMBER(E190),E190&gt;0,OR(ISNUMBER(D190),ISNUMBER(G190)),OR(D190="",ISNUMBER(D190)),OR(F190="",ISNUMBER(F190)),OR(G190="",ISNUMBER(G190))),IF(N(F190)&gt;E190,0,1),0))</f>
        <v/>
      </c>
    </row>
    <row r="191">
      <c r="A191" s="29" t="n"/>
      <c r="B191" s="29" t="n"/>
      <c r="C191" s="29" t="n"/>
      <c r="D191" s="24" t="n"/>
      <c r="E191" s="34" t="n"/>
      <c r="F191" s="34" t="n"/>
      <c r="G191" s="24" t="n"/>
      <c r="H191" s="29" t="n"/>
      <c r="I191" s="32">
        <f>IF(O191&lt;&gt;1,"",IF(ISNUMBER(G191),INT(G191),INT(D191)))</f>
        <v/>
      </c>
      <c r="J191" s="21">
        <f>IF(O191&lt;&gt;1,0,E191-N(F191))</f>
        <v/>
      </c>
      <c r="K191" s="35">
        <f>IF(OR(O191&lt;&gt;1,J191&lt;=0),"",IF(H191="Yes","",IF(I191&lt;W1,IF(OverdueW1="No","",1),IF(I191&lt;=W1+90,INT((I191-W1)/7)+1,""))))</f>
        <v/>
      </c>
      <c r="L191" s="36">
        <f>IF(ISNUMBER(K191),J191,0)</f>
        <v/>
      </c>
      <c r="M191" s="10">
        <f>IF(O191="","",IF(O191=0,"Not counted",IF(J191&lt;=0,"Paid",IF(H191="Yes","On hold (left out)",IF(I191&lt;W1,IF(OverdueW1="No","Overdue (left out)","Overdue → Week 1"),IF(I191&lt;=W1+90,"Week "&amp;K191,"After Week 13"))))))</f>
        <v/>
      </c>
      <c r="N191" s="10">
        <f>IF(O191="","",IF(O191=0,IF(NOT(ISNUMBER(E191)),"Fix: amount missing",IF(E191&lt;=0,"Fix: amount must be above 0",IF(AND(NOT(ISNUMBER(D191)),NOT(ISNUMBER(G191))),"Fix: add a due date or a planned pay date",IF(AND(D191&lt;&gt;"",NOT(ISNUMBER(D191))),"Fix: due date isn't a date",IF(AND(F191&lt;&gt;"",NOT(ISNUMBER(F191))),"Fix: paid must be a number",IF(AND(G191&lt;&gt;"",NOT(ISNUMBER(G191))),"Fix: planned date isn't a date","Fix: paid is more than the amount")))))),IF(AND(C191&lt;&gt;"",ISNUMBER(MATCH(C191,OutCats,0))),"OK","Category not on Settings (counted as Other)")))</f>
        <v/>
      </c>
      <c r="O191">
        <f>IF(COUNTA(A191:H191)=0,"",IF(AND(ISNUMBER(E191),E191&gt;0,OR(ISNUMBER(D191),ISNUMBER(G191)),OR(D191="",ISNUMBER(D191)),OR(F191="",ISNUMBER(F191)),OR(G191="",ISNUMBER(G191))),IF(N(F191)&gt;E191,0,1),0))</f>
        <v/>
      </c>
    </row>
    <row r="192">
      <c r="A192" s="29" t="n"/>
      <c r="B192" s="29" t="n"/>
      <c r="C192" s="29" t="n"/>
      <c r="D192" s="24" t="n"/>
      <c r="E192" s="34" t="n"/>
      <c r="F192" s="34" t="n"/>
      <c r="G192" s="24" t="n"/>
      <c r="H192" s="29" t="n"/>
      <c r="I192" s="32">
        <f>IF(O192&lt;&gt;1,"",IF(ISNUMBER(G192),INT(G192),INT(D192)))</f>
        <v/>
      </c>
      <c r="J192" s="21">
        <f>IF(O192&lt;&gt;1,0,E192-N(F192))</f>
        <v/>
      </c>
      <c r="K192" s="35">
        <f>IF(OR(O192&lt;&gt;1,J192&lt;=0),"",IF(H192="Yes","",IF(I192&lt;W1,IF(OverdueW1="No","",1),IF(I192&lt;=W1+90,INT((I192-W1)/7)+1,""))))</f>
        <v/>
      </c>
      <c r="L192" s="36">
        <f>IF(ISNUMBER(K192),J192,0)</f>
        <v/>
      </c>
      <c r="M192" s="10">
        <f>IF(O192="","",IF(O192=0,"Not counted",IF(J192&lt;=0,"Paid",IF(H192="Yes","On hold (left out)",IF(I192&lt;W1,IF(OverdueW1="No","Overdue (left out)","Overdue → Week 1"),IF(I192&lt;=W1+90,"Week "&amp;K192,"After Week 13"))))))</f>
        <v/>
      </c>
      <c r="N192" s="10">
        <f>IF(O192="","",IF(O192=0,IF(NOT(ISNUMBER(E192)),"Fix: amount missing",IF(E192&lt;=0,"Fix: amount must be above 0",IF(AND(NOT(ISNUMBER(D192)),NOT(ISNUMBER(G192))),"Fix: add a due date or a planned pay date",IF(AND(D192&lt;&gt;"",NOT(ISNUMBER(D192))),"Fix: due date isn't a date",IF(AND(F192&lt;&gt;"",NOT(ISNUMBER(F192))),"Fix: paid must be a number",IF(AND(G192&lt;&gt;"",NOT(ISNUMBER(G192))),"Fix: planned date isn't a date","Fix: paid is more than the amount")))))),IF(AND(C192&lt;&gt;"",ISNUMBER(MATCH(C192,OutCats,0))),"OK","Category not on Settings (counted as Other)")))</f>
        <v/>
      </c>
      <c r="O192">
        <f>IF(COUNTA(A192:H192)=0,"",IF(AND(ISNUMBER(E192),E192&gt;0,OR(ISNUMBER(D192),ISNUMBER(G192)),OR(D192="",ISNUMBER(D192)),OR(F192="",ISNUMBER(F192)),OR(G192="",ISNUMBER(G192))),IF(N(F192)&gt;E192,0,1),0))</f>
        <v/>
      </c>
    </row>
    <row r="193">
      <c r="A193" s="29" t="n"/>
      <c r="B193" s="29" t="n"/>
      <c r="C193" s="29" t="n"/>
      <c r="D193" s="24" t="n"/>
      <c r="E193" s="34" t="n"/>
      <c r="F193" s="34" t="n"/>
      <c r="G193" s="24" t="n"/>
      <c r="H193" s="29" t="n"/>
      <c r="I193" s="32">
        <f>IF(O193&lt;&gt;1,"",IF(ISNUMBER(G193),INT(G193),INT(D193)))</f>
        <v/>
      </c>
      <c r="J193" s="21">
        <f>IF(O193&lt;&gt;1,0,E193-N(F193))</f>
        <v/>
      </c>
      <c r="K193" s="35">
        <f>IF(OR(O193&lt;&gt;1,J193&lt;=0),"",IF(H193="Yes","",IF(I193&lt;W1,IF(OverdueW1="No","",1),IF(I193&lt;=W1+90,INT((I193-W1)/7)+1,""))))</f>
        <v/>
      </c>
      <c r="L193" s="36">
        <f>IF(ISNUMBER(K193),J193,0)</f>
        <v/>
      </c>
      <c r="M193" s="10">
        <f>IF(O193="","",IF(O193=0,"Not counted",IF(J193&lt;=0,"Paid",IF(H193="Yes","On hold (left out)",IF(I193&lt;W1,IF(OverdueW1="No","Overdue (left out)","Overdue → Week 1"),IF(I193&lt;=W1+90,"Week "&amp;K193,"After Week 13"))))))</f>
        <v/>
      </c>
      <c r="N193" s="10">
        <f>IF(O193="","",IF(O193=0,IF(NOT(ISNUMBER(E193)),"Fix: amount missing",IF(E193&lt;=0,"Fix: amount must be above 0",IF(AND(NOT(ISNUMBER(D193)),NOT(ISNUMBER(G193))),"Fix: add a due date or a planned pay date",IF(AND(D193&lt;&gt;"",NOT(ISNUMBER(D193))),"Fix: due date isn't a date",IF(AND(F193&lt;&gt;"",NOT(ISNUMBER(F193))),"Fix: paid must be a number",IF(AND(G193&lt;&gt;"",NOT(ISNUMBER(G193))),"Fix: planned date isn't a date","Fix: paid is more than the amount")))))),IF(AND(C193&lt;&gt;"",ISNUMBER(MATCH(C193,OutCats,0))),"OK","Category not on Settings (counted as Other)")))</f>
        <v/>
      </c>
      <c r="O193">
        <f>IF(COUNTA(A193:H193)=0,"",IF(AND(ISNUMBER(E193),E193&gt;0,OR(ISNUMBER(D193),ISNUMBER(G193)),OR(D193="",ISNUMBER(D193)),OR(F193="",ISNUMBER(F193)),OR(G193="",ISNUMBER(G193))),IF(N(F193)&gt;E193,0,1),0))</f>
        <v/>
      </c>
    </row>
    <row r="194">
      <c r="A194" s="29" t="n"/>
      <c r="B194" s="29" t="n"/>
      <c r="C194" s="29" t="n"/>
      <c r="D194" s="24" t="n"/>
      <c r="E194" s="34" t="n"/>
      <c r="F194" s="34" t="n"/>
      <c r="G194" s="24" t="n"/>
      <c r="H194" s="29" t="n"/>
      <c r="I194" s="32">
        <f>IF(O194&lt;&gt;1,"",IF(ISNUMBER(G194),INT(G194),INT(D194)))</f>
        <v/>
      </c>
      <c r="J194" s="21">
        <f>IF(O194&lt;&gt;1,0,E194-N(F194))</f>
        <v/>
      </c>
      <c r="K194" s="35">
        <f>IF(OR(O194&lt;&gt;1,J194&lt;=0),"",IF(H194="Yes","",IF(I194&lt;W1,IF(OverdueW1="No","",1),IF(I194&lt;=W1+90,INT((I194-W1)/7)+1,""))))</f>
        <v/>
      </c>
      <c r="L194" s="36">
        <f>IF(ISNUMBER(K194),J194,0)</f>
        <v/>
      </c>
      <c r="M194" s="10">
        <f>IF(O194="","",IF(O194=0,"Not counted",IF(J194&lt;=0,"Paid",IF(H194="Yes","On hold (left out)",IF(I194&lt;W1,IF(OverdueW1="No","Overdue (left out)","Overdue → Week 1"),IF(I194&lt;=W1+90,"Week "&amp;K194,"After Week 13"))))))</f>
        <v/>
      </c>
      <c r="N194" s="10">
        <f>IF(O194="","",IF(O194=0,IF(NOT(ISNUMBER(E194)),"Fix: amount missing",IF(E194&lt;=0,"Fix: amount must be above 0",IF(AND(NOT(ISNUMBER(D194)),NOT(ISNUMBER(G194))),"Fix: add a due date or a planned pay date",IF(AND(D194&lt;&gt;"",NOT(ISNUMBER(D194))),"Fix: due date isn't a date",IF(AND(F194&lt;&gt;"",NOT(ISNUMBER(F194))),"Fix: paid must be a number",IF(AND(G194&lt;&gt;"",NOT(ISNUMBER(G194))),"Fix: planned date isn't a date","Fix: paid is more than the amount")))))),IF(AND(C194&lt;&gt;"",ISNUMBER(MATCH(C194,OutCats,0))),"OK","Category not on Settings (counted as Other)")))</f>
        <v/>
      </c>
      <c r="O194">
        <f>IF(COUNTA(A194:H194)=0,"",IF(AND(ISNUMBER(E194),E194&gt;0,OR(ISNUMBER(D194),ISNUMBER(G194)),OR(D194="",ISNUMBER(D194)),OR(F194="",ISNUMBER(F194)),OR(G194="",ISNUMBER(G194))),IF(N(F194)&gt;E194,0,1),0))</f>
        <v/>
      </c>
    </row>
    <row r="195">
      <c r="A195" s="29" t="n"/>
      <c r="B195" s="29" t="n"/>
      <c r="C195" s="29" t="n"/>
      <c r="D195" s="24" t="n"/>
      <c r="E195" s="34" t="n"/>
      <c r="F195" s="34" t="n"/>
      <c r="G195" s="24" t="n"/>
      <c r="H195" s="29" t="n"/>
      <c r="I195" s="32">
        <f>IF(O195&lt;&gt;1,"",IF(ISNUMBER(G195),INT(G195),INT(D195)))</f>
        <v/>
      </c>
      <c r="J195" s="21">
        <f>IF(O195&lt;&gt;1,0,E195-N(F195))</f>
        <v/>
      </c>
      <c r="K195" s="35">
        <f>IF(OR(O195&lt;&gt;1,J195&lt;=0),"",IF(H195="Yes","",IF(I195&lt;W1,IF(OverdueW1="No","",1),IF(I195&lt;=W1+90,INT((I195-W1)/7)+1,""))))</f>
        <v/>
      </c>
      <c r="L195" s="36">
        <f>IF(ISNUMBER(K195),J195,0)</f>
        <v/>
      </c>
      <c r="M195" s="10">
        <f>IF(O195="","",IF(O195=0,"Not counted",IF(J195&lt;=0,"Paid",IF(H195="Yes","On hold (left out)",IF(I195&lt;W1,IF(OverdueW1="No","Overdue (left out)","Overdue → Week 1"),IF(I195&lt;=W1+90,"Week "&amp;K195,"After Week 13"))))))</f>
        <v/>
      </c>
      <c r="N195" s="10">
        <f>IF(O195="","",IF(O195=0,IF(NOT(ISNUMBER(E195)),"Fix: amount missing",IF(E195&lt;=0,"Fix: amount must be above 0",IF(AND(NOT(ISNUMBER(D195)),NOT(ISNUMBER(G195))),"Fix: add a due date or a planned pay date",IF(AND(D195&lt;&gt;"",NOT(ISNUMBER(D195))),"Fix: due date isn't a date",IF(AND(F195&lt;&gt;"",NOT(ISNUMBER(F195))),"Fix: paid must be a number",IF(AND(G195&lt;&gt;"",NOT(ISNUMBER(G195))),"Fix: planned date isn't a date","Fix: paid is more than the amount")))))),IF(AND(C195&lt;&gt;"",ISNUMBER(MATCH(C195,OutCats,0))),"OK","Category not on Settings (counted as Other)")))</f>
        <v/>
      </c>
      <c r="O195">
        <f>IF(COUNTA(A195:H195)=0,"",IF(AND(ISNUMBER(E195),E195&gt;0,OR(ISNUMBER(D195),ISNUMBER(G195)),OR(D195="",ISNUMBER(D195)),OR(F195="",ISNUMBER(F195)),OR(G195="",ISNUMBER(G195))),IF(N(F195)&gt;E195,0,1),0))</f>
        <v/>
      </c>
    </row>
    <row r="196">
      <c r="A196" s="29" t="n"/>
      <c r="B196" s="29" t="n"/>
      <c r="C196" s="29" t="n"/>
      <c r="D196" s="24" t="n"/>
      <c r="E196" s="34" t="n"/>
      <c r="F196" s="34" t="n"/>
      <c r="G196" s="24" t="n"/>
      <c r="H196" s="29" t="n"/>
      <c r="I196" s="32">
        <f>IF(O196&lt;&gt;1,"",IF(ISNUMBER(G196),INT(G196),INT(D196)))</f>
        <v/>
      </c>
      <c r="J196" s="21">
        <f>IF(O196&lt;&gt;1,0,E196-N(F196))</f>
        <v/>
      </c>
      <c r="K196" s="35">
        <f>IF(OR(O196&lt;&gt;1,J196&lt;=0),"",IF(H196="Yes","",IF(I196&lt;W1,IF(OverdueW1="No","",1),IF(I196&lt;=W1+90,INT((I196-W1)/7)+1,""))))</f>
        <v/>
      </c>
      <c r="L196" s="36">
        <f>IF(ISNUMBER(K196),J196,0)</f>
        <v/>
      </c>
      <c r="M196" s="10">
        <f>IF(O196="","",IF(O196=0,"Not counted",IF(J196&lt;=0,"Paid",IF(H196="Yes","On hold (left out)",IF(I196&lt;W1,IF(OverdueW1="No","Overdue (left out)","Overdue → Week 1"),IF(I196&lt;=W1+90,"Week "&amp;K196,"After Week 13"))))))</f>
        <v/>
      </c>
      <c r="N196" s="10">
        <f>IF(O196="","",IF(O196=0,IF(NOT(ISNUMBER(E196)),"Fix: amount missing",IF(E196&lt;=0,"Fix: amount must be above 0",IF(AND(NOT(ISNUMBER(D196)),NOT(ISNUMBER(G196))),"Fix: add a due date or a planned pay date",IF(AND(D196&lt;&gt;"",NOT(ISNUMBER(D196))),"Fix: due date isn't a date",IF(AND(F196&lt;&gt;"",NOT(ISNUMBER(F196))),"Fix: paid must be a number",IF(AND(G196&lt;&gt;"",NOT(ISNUMBER(G196))),"Fix: planned date isn't a date","Fix: paid is more than the amount")))))),IF(AND(C196&lt;&gt;"",ISNUMBER(MATCH(C196,OutCats,0))),"OK","Category not on Settings (counted as Other)")))</f>
        <v/>
      </c>
      <c r="O196">
        <f>IF(COUNTA(A196:H196)=0,"",IF(AND(ISNUMBER(E196),E196&gt;0,OR(ISNUMBER(D196),ISNUMBER(G196)),OR(D196="",ISNUMBER(D196)),OR(F196="",ISNUMBER(F196)),OR(G196="",ISNUMBER(G196))),IF(N(F196)&gt;E196,0,1),0))</f>
        <v/>
      </c>
    </row>
    <row r="197">
      <c r="A197" s="29" t="n"/>
      <c r="B197" s="29" t="n"/>
      <c r="C197" s="29" t="n"/>
      <c r="D197" s="24" t="n"/>
      <c r="E197" s="34" t="n"/>
      <c r="F197" s="34" t="n"/>
      <c r="G197" s="24" t="n"/>
      <c r="H197" s="29" t="n"/>
      <c r="I197" s="32">
        <f>IF(O197&lt;&gt;1,"",IF(ISNUMBER(G197),INT(G197),INT(D197)))</f>
        <v/>
      </c>
      <c r="J197" s="21">
        <f>IF(O197&lt;&gt;1,0,E197-N(F197))</f>
        <v/>
      </c>
      <c r="K197" s="35">
        <f>IF(OR(O197&lt;&gt;1,J197&lt;=0),"",IF(H197="Yes","",IF(I197&lt;W1,IF(OverdueW1="No","",1),IF(I197&lt;=W1+90,INT((I197-W1)/7)+1,""))))</f>
        <v/>
      </c>
      <c r="L197" s="36">
        <f>IF(ISNUMBER(K197),J197,0)</f>
        <v/>
      </c>
      <c r="M197" s="10">
        <f>IF(O197="","",IF(O197=0,"Not counted",IF(J197&lt;=0,"Paid",IF(H197="Yes","On hold (left out)",IF(I197&lt;W1,IF(OverdueW1="No","Overdue (left out)","Overdue → Week 1"),IF(I197&lt;=W1+90,"Week "&amp;K197,"After Week 13"))))))</f>
        <v/>
      </c>
      <c r="N197" s="10">
        <f>IF(O197="","",IF(O197=0,IF(NOT(ISNUMBER(E197)),"Fix: amount missing",IF(E197&lt;=0,"Fix: amount must be above 0",IF(AND(NOT(ISNUMBER(D197)),NOT(ISNUMBER(G197))),"Fix: add a due date or a planned pay date",IF(AND(D197&lt;&gt;"",NOT(ISNUMBER(D197))),"Fix: due date isn't a date",IF(AND(F197&lt;&gt;"",NOT(ISNUMBER(F197))),"Fix: paid must be a number",IF(AND(G197&lt;&gt;"",NOT(ISNUMBER(G197))),"Fix: planned date isn't a date","Fix: paid is more than the amount")))))),IF(AND(C197&lt;&gt;"",ISNUMBER(MATCH(C197,OutCats,0))),"OK","Category not on Settings (counted as Other)")))</f>
        <v/>
      </c>
      <c r="O197">
        <f>IF(COUNTA(A197:H197)=0,"",IF(AND(ISNUMBER(E197),E197&gt;0,OR(ISNUMBER(D197),ISNUMBER(G197)),OR(D197="",ISNUMBER(D197)),OR(F197="",ISNUMBER(F197)),OR(G197="",ISNUMBER(G197))),IF(N(F197)&gt;E197,0,1),0))</f>
        <v/>
      </c>
    </row>
    <row r="198">
      <c r="A198" s="29" t="n"/>
      <c r="B198" s="29" t="n"/>
      <c r="C198" s="29" t="n"/>
      <c r="D198" s="24" t="n"/>
      <c r="E198" s="34" t="n"/>
      <c r="F198" s="34" t="n"/>
      <c r="G198" s="24" t="n"/>
      <c r="H198" s="29" t="n"/>
      <c r="I198" s="32">
        <f>IF(O198&lt;&gt;1,"",IF(ISNUMBER(G198),INT(G198),INT(D198)))</f>
        <v/>
      </c>
      <c r="J198" s="21">
        <f>IF(O198&lt;&gt;1,0,E198-N(F198))</f>
        <v/>
      </c>
      <c r="K198" s="35">
        <f>IF(OR(O198&lt;&gt;1,J198&lt;=0),"",IF(H198="Yes","",IF(I198&lt;W1,IF(OverdueW1="No","",1),IF(I198&lt;=W1+90,INT((I198-W1)/7)+1,""))))</f>
        <v/>
      </c>
      <c r="L198" s="36">
        <f>IF(ISNUMBER(K198),J198,0)</f>
        <v/>
      </c>
      <c r="M198" s="10">
        <f>IF(O198="","",IF(O198=0,"Not counted",IF(J198&lt;=0,"Paid",IF(H198="Yes","On hold (left out)",IF(I198&lt;W1,IF(OverdueW1="No","Overdue (left out)","Overdue → Week 1"),IF(I198&lt;=W1+90,"Week "&amp;K198,"After Week 13"))))))</f>
        <v/>
      </c>
      <c r="N198" s="10">
        <f>IF(O198="","",IF(O198=0,IF(NOT(ISNUMBER(E198)),"Fix: amount missing",IF(E198&lt;=0,"Fix: amount must be above 0",IF(AND(NOT(ISNUMBER(D198)),NOT(ISNUMBER(G198))),"Fix: add a due date or a planned pay date",IF(AND(D198&lt;&gt;"",NOT(ISNUMBER(D198))),"Fix: due date isn't a date",IF(AND(F198&lt;&gt;"",NOT(ISNUMBER(F198))),"Fix: paid must be a number",IF(AND(G198&lt;&gt;"",NOT(ISNUMBER(G198))),"Fix: planned date isn't a date","Fix: paid is more than the amount")))))),IF(AND(C198&lt;&gt;"",ISNUMBER(MATCH(C198,OutCats,0))),"OK","Category not on Settings (counted as Other)")))</f>
        <v/>
      </c>
      <c r="O198">
        <f>IF(COUNTA(A198:H198)=0,"",IF(AND(ISNUMBER(E198),E198&gt;0,OR(ISNUMBER(D198),ISNUMBER(G198)),OR(D198="",ISNUMBER(D198)),OR(F198="",ISNUMBER(F198)),OR(G198="",ISNUMBER(G198))),IF(N(F198)&gt;E198,0,1),0))</f>
        <v/>
      </c>
    </row>
    <row r="199">
      <c r="A199" s="29" t="n"/>
      <c r="B199" s="29" t="n"/>
      <c r="C199" s="29" t="n"/>
      <c r="D199" s="24" t="n"/>
      <c r="E199" s="34" t="n"/>
      <c r="F199" s="34" t="n"/>
      <c r="G199" s="24" t="n"/>
      <c r="H199" s="29" t="n"/>
      <c r="I199" s="32">
        <f>IF(O199&lt;&gt;1,"",IF(ISNUMBER(G199),INT(G199),INT(D199)))</f>
        <v/>
      </c>
      <c r="J199" s="21">
        <f>IF(O199&lt;&gt;1,0,E199-N(F199))</f>
        <v/>
      </c>
      <c r="K199" s="35">
        <f>IF(OR(O199&lt;&gt;1,J199&lt;=0),"",IF(H199="Yes","",IF(I199&lt;W1,IF(OverdueW1="No","",1),IF(I199&lt;=W1+90,INT((I199-W1)/7)+1,""))))</f>
        <v/>
      </c>
      <c r="L199" s="36">
        <f>IF(ISNUMBER(K199),J199,0)</f>
        <v/>
      </c>
      <c r="M199" s="10">
        <f>IF(O199="","",IF(O199=0,"Not counted",IF(J199&lt;=0,"Paid",IF(H199="Yes","On hold (left out)",IF(I199&lt;W1,IF(OverdueW1="No","Overdue (left out)","Overdue → Week 1"),IF(I199&lt;=W1+90,"Week "&amp;K199,"After Week 13"))))))</f>
        <v/>
      </c>
      <c r="N199" s="10">
        <f>IF(O199="","",IF(O199=0,IF(NOT(ISNUMBER(E199)),"Fix: amount missing",IF(E199&lt;=0,"Fix: amount must be above 0",IF(AND(NOT(ISNUMBER(D199)),NOT(ISNUMBER(G199))),"Fix: add a due date or a planned pay date",IF(AND(D199&lt;&gt;"",NOT(ISNUMBER(D199))),"Fix: due date isn't a date",IF(AND(F199&lt;&gt;"",NOT(ISNUMBER(F199))),"Fix: paid must be a number",IF(AND(G199&lt;&gt;"",NOT(ISNUMBER(G199))),"Fix: planned date isn't a date","Fix: paid is more than the amount")))))),IF(AND(C199&lt;&gt;"",ISNUMBER(MATCH(C199,OutCats,0))),"OK","Category not on Settings (counted as Other)")))</f>
        <v/>
      </c>
      <c r="O199">
        <f>IF(COUNTA(A199:H199)=0,"",IF(AND(ISNUMBER(E199),E199&gt;0,OR(ISNUMBER(D199),ISNUMBER(G199)),OR(D199="",ISNUMBER(D199)),OR(F199="",ISNUMBER(F199)),OR(G199="",ISNUMBER(G199))),IF(N(F199)&gt;E199,0,1),0))</f>
        <v/>
      </c>
    </row>
    <row r="200">
      <c r="A200" s="29" t="n"/>
      <c r="B200" s="29" t="n"/>
      <c r="C200" s="29" t="n"/>
      <c r="D200" s="24" t="n"/>
      <c r="E200" s="34" t="n"/>
      <c r="F200" s="34" t="n"/>
      <c r="G200" s="24" t="n"/>
      <c r="H200" s="29" t="n"/>
      <c r="I200" s="32">
        <f>IF(O200&lt;&gt;1,"",IF(ISNUMBER(G200),INT(G200),INT(D200)))</f>
        <v/>
      </c>
      <c r="J200" s="21">
        <f>IF(O200&lt;&gt;1,0,E200-N(F200))</f>
        <v/>
      </c>
      <c r="K200" s="35">
        <f>IF(OR(O200&lt;&gt;1,J200&lt;=0),"",IF(H200="Yes","",IF(I200&lt;W1,IF(OverdueW1="No","",1),IF(I200&lt;=W1+90,INT((I200-W1)/7)+1,""))))</f>
        <v/>
      </c>
      <c r="L200" s="36">
        <f>IF(ISNUMBER(K200),J200,0)</f>
        <v/>
      </c>
      <c r="M200" s="10">
        <f>IF(O200="","",IF(O200=0,"Not counted",IF(J200&lt;=0,"Paid",IF(H200="Yes","On hold (left out)",IF(I200&lt;W1,IF(OverdueW1="No","Overdue (left out)","Overdue → Week 1"),IF(I200&lt;=W1+90,"Week "&amp;K200,"After Week 13"))))))</f>
        <v/>
      </c>
      <c r="N200" s="10">
        <f>IF(O200="","",IF(O200=0,IF(NOT(ISNUMBER(E200)),"Fix: amount missing",IF(E200&lt;=0,"Fix: amount must be above 0",IF(AND(NOT(ISNUMBER(D200)),NOT(ISNUMBER(G200))),"Fix: add a due date or a planned pay date",IF(AND(D200&lt;&gt;"",NOT(ISNUMBER(D200))),"Fix: due date isn't a date",IF(AND(F200&lt;&gt;"",NOT(ISNUMBER(F200))),"Fix: paid must be a number",IF(AND(G200&lt;&gt;"",NOT(ISNUMBER(G200))),"Fix: planned date isn't a date","Fix: paid is more than the amount")))))),IF(AND(C200&lt;&gt;"",ISNUMBER(MATCH(C200,OutCats,0))),"OK","Category not on Settings (counted as Other)")))</f>
        <v/>
      </c>
      <c r="O200">
        <f>IF(COUNTA(A200:H200)=0,"",IF(AND(ISNUMBER(E200),E200&gt;0,OR(ISNUMBER(D200),ISNUMBER(G200)),OR(D200="",ISNUMBER(D200)),OR(F200="",ISNUMBER(F200)),OR(G200="",ISNUMBER(G200))),IF(N(F200)&gt;E200,0,1),0))</f>
        <v/>
      </c>
    </row>
    <row r="201">
      <c r="A201" s="29" t="n"/>
      <c r="B201" s="29" t="n"/>
      <c r="C201" s="29" t="n"/>
      <c r="D201" s="24" t="n"/>
      <c r="E201" s="34" t="n"/>
      <c r="F201" s="34" t="n"/>
      <c r="G201" s="24" t="n"/>
      <c r="H201" s="29" t="n"/>
      <c r="I201" s="32">
        <f>IF(O201&lt;&gt;1,"",IF(ISNUMBER(G201),INT(G201),INT(D201)))</f>
        <v/>
      </c>
      <c r="J201" s="21">
        <f>IF(O201&lt;&gt;1,0,E201-N(F201))</f>
        <v/>
      </c>
      <c r="K201" s="35">
        <f>IF(OR(O201&lt;&gt;1,J201&lt;=0),"",IF(H201="Yes","",IF(I201&lt;W1,IF(OverdueW1="No","",1),IF(I201&lt;=W1+90,INT((I201-W1)/7)+1,""))))</f>
        <v/>
      </c>
      <c r="L201" s="36">
        <f>IF(ISNUMBER(K201),J201,0)</f>
        <v/>
      </c>
      <c r="M201" s="10">
        <f>IF(O201="","",IF(O201=0,"Not counted",IF(J201&lt;=0,"Paid",IF(H201="Yes","On hold (left out)",IF(I201&lt;W1,IF(OverdueW1="No","Overdue (left out)","Overdue → Week 1"),IF(I201&lt;=W1+90,"Week "&amp;K201,"After Week 13"))))))</f>
        <v/>
      </c>
      <c r="N201" s="10">
        <f>IF(O201="","",IF(O201=0,IF(NOT(ISNUMBER(E201)),"Fix: amount missing",IF(E201&lt;=0,"Fix: amount must be above 0",IF(AND(NOT(ISNUMBER(D201)),NOT(ISNUMBER(G201))),"Fix: add a due date or a planned pay date",IF(AND(D201&lt;&gt;"",NOT(ISNUMBER(D201))),"Fix: due date isn't a date",IF(AND(F201&lt;&gt;"",NOT(ISNUMBER(F201))),"Fix: paid must be a number",IF(AND(G201&lt;&gt;"",NOT(ISNUMBER(G201))),"Fix: planned date isn't a date","Fix: paid is more than the amount")))))),IF(AND(C201&lt;&gt;"",ISNUMBER(MATCH(C201,OutCats,0))),"OK","Category not on Settings (counted as Other)")))</f>
        <v/>
      </c>
      <c r="O201">
        <f>IF(COUNTA(A201:H201)=0,"",IF(AND(ISNUMBER(E201),E201&gt;0,OR(ISNUMBER(D201),ISNUMBER(G201)),OR(D201="",ISNUMBER(D201)),OR(F201="",ISNUMBER(F201)),OR(G201="",ISNUMBER(G201))),IF(N(F201)&gt;E201,0,1),0))</f>
        <v/>
      </c>
    </row>
    <row r="202">
      <c r="A202" s="29" t="n"/>
      <c r="B202" s="29" t="n"/>
      <c r="C202" s="29" t="n"/>
      <c r="D202" s="24" t="n"/>
      <c r="E202" s="34" t="n"/>
      <c r="F202" s="34" t="n"/>
      <c r="G202" s="24" t="n"/>
      <c r="H202" s="29" t="n"/>
      <c r="I202" s="32">
        <f>IF(O202&lt;&gt;1,"",IF(ISNUMBER(G202),INT(G202),INT(D202)))</f>
        <v/>
      </c>
      <c r="J202" s="21">
        <f>IF(O202&lt;&gt;1,0,E202-N(F202))</f>
        <v/>
      </c>
      <c r="K202" s="35">
        <f>IF(OR(O202&lt;&gt;1,J202&lt;=0),"",IF(H202="Yes","",IF(I202&lt;W1,IF(OverdueW1="No","",1),IF(I202&lt;=W1+90,INT((I202-W1)/7)+1,""))))</f>
        <v/>
      </c>
      <c r="L202" s="36">
        <f>IF(ISNUMBER(K202),J202,0)</f>
        <v/>
      </c>
      <c r="M202" s="10">
        <f>IF(O202="","",IF(O202=0,"Not counted",IF(J202&lt;=0,"Paid",IF(H202="Yes","On hold (left out)",IF(I202&lt;W1,IF(OverdueW1="No","Overdue (left out)","Overdue → Week 1"),IF(I202&lt;=W1+90,"Week "&amp;K202,"After Week 13"))))))</f>
        <v/>
      </c>
      <c r="N202" s="10">
        <f>IF(O202="","",IF(O202=0,IF(NOT(ISNUMBER(E202)),"Fix: amount missing",IF(E202&lt;=0,"Fix: amount must be above 0",IF(AND(NOT(ISNUMBER(D202)),NOT(ISNUMBER(G202))),"Fix: add a due date or a planned pay date",IF(AND(D202&lt;&gt;"",NOT(ISNUMBER(D202))),"Fix: due date isn't a date",IF(AND(F202&lt;&gt;"",NOT(ISNUMBER(F202))),"Fix: paid must be a number",IF(AND(G202&lt;&gt;"",NOT(ISNUMBER(G202))),"Fix: planned date isn't a date","Fix: paid is more than the amount")))))),IF(AND(C202&lt;&gt;"",ISNUMBER(MATCH(C202,OutCats,0))),"OK","Category not on Settings (counted as Other)")))</f>
        <v/>
      </c>
      <c r="O202">
        <f>IF(COUNTA(A202:H202)=0,"",IF(AND(ISNUMBER(E202),E202&gt;0,OR(ISNUMBER(D202),ISNUMBER(G202)),OR(D202="",ISNUMBER(D202)),OR(F202="",ISNUMBER(F202)),OR(G202="",ISNUMBER(G202))),IF(N(F202)&gt;E202,0,1),0))</f>
        <v/>
      </c>
    </row>
    <row r="203">
      <c r="A203" s="29" t="n"/>
      <c r="B203" s="29" t="n"/>
      <c r="C203" s="29" t="n"/>
      <c r="D203" s="24" t="n"/>
      <c r="E203" s="34" t="n"/>
      <c r="F203" s="34" t="n"/>
      <c r="G203" s="24" t="n"/>
      <c r="H203" s="29" t="n"/>
      <c r="I203" s="32">
        <f>IF(O203&lt;&gt;1,"",IF(ISNUMBER(G203),INT(G203),INT(D203)))</f>
        <v/>
      </c>
      <c r="J203" s="21">
        <f>IF(O203&lt;&gt;1,0,E203-N(F203))</f>
        <v/>
      </c>
      <c r="K203" s="35">
        <f>IF(OR(O203&lt;&gt;1,J203&lt;=0),"",IF(H203="Yes","",IF(I203&lt;W1,IF(OverdueW1="No","",1),IF(I203&lt;=W1+90,INT((I203-W1)/7)+1,""))))</f>
        <v/>
      </c>
      <c r="L203" s="36">
        <f>IF(ISNUMBER(K203),J203,0)</f>
        <v/>
      </c>
      <c r="M203" s="10">
        <f>IF(O203="","",IF(O203=0,"Not counted",IF(J203&lt;=0,"Paid",IF(H203="Yes","On hold (left out)",IF(I203&lt;W1,IF(OverdueW1="No","Overdue (left out)","Overdue → Week 1"),IF(I203&lt;=W1+90,"Week "&amp;K203,"After Week 13"))))))</f>
        <v/>
      </c>
      <c r="N203" s="10">
        <f>IF(O203="","",IF(O203=0,IF(NOT(ISNUMBER(E203)),"Fix: amount missing",IF(E203&lt;=0,"Fix: amount must be above 0",IF(AND(NOT(ISNUMBER(D203)),NOT(ISNUMBER(G203))),"Fix: add a due date or a planned pay date",IF(AND(D203&lt;&gt;"",NOT(ISNUMBER(D203))),"Fix: due date isn't a date",IF(AND(F203&lt;&gt;"",NOT(ISNUMBER(F203))),"Fix: paid must be a number",IF(AND(G203&lt;&gt;"",NOT(ISNUMBER(G203))),"Fix: planned date isn't a date","Fix: paid is more than the amount")))))),IF(AND(C203&lt;&gt;"",ISNUMBER(MATCH(C203,OutCats,0))),"OK","Category not on Settings (counted as Other)")))</f>
        <v/>
      </c>
      <c r="O203">
        <f>IF(COUNTA(A203:H203)=0,"",IF(AND(ISNUMBER(E203),E203&gt;0,OR(ISNUMBER(D203),ISNUMBER(G203)),OR(D203="",ISNUMBER(D203)),OR(F203="",ISNUMBER(F203)),OR(G203="",ISNUMBER(G203))),IF(N(F203)&gt;E203,0,1),0))</f>
        <v/>
      </c>
    </row>
    <row r="204">
      <c r="A204" s="29" t="n"/>
      <c r="B204" s="29" t="n"/>
      <c r="C204" s="29" t="n"/>
      <c r="D204" s="24" t="n"/>
      <c r="E204" s="34" t="n"/>
      <c r="F204" s="34" t="n"/>
      <c r="G204" s="24" t="n"/>
      <c r="H204" s="29" t="n"/>
      <c r="I204" s="32">
        <f>IF(O204&lt;&gt;1,"",IF(ISNUMBER(G204),INT(G204),INT(D204)))</f>
        <v/>
      </c>
      <c r="J204" s="21">
        <f>IF(O204&lt;&gt;1,0,E204-N(F204))</f>
        <v/>
      </c>
      <c r="K204" s="35">
        <f>IF(OR(O204&lt;&gt;1,J204&lt;=0),"",IF(H204="Yes","",IF(I204&lt;W1,IF(OverdueW1="No","",1),IF(I204&lt;=W1+90,INT((I204-W1)/7)+1,""))))</f>
        <v/>
      </c>
      <c r="L204" s="36">
        <f>IF(ISNUMBER(K204),J204,0)</f>
        <v/>
      </c>
      <c r="M204" s="10">
        <f>IF(O204="","",IF(O204=0,"Not counted",IF(J204&lt;=0,"Paid",IF(H204="Yes","On hold (left out)",IF(I204&lt;W1,IF(OverdueW1="No","Overdue (left out)","Overdue → Week 1"),IF(I204&lt;=W1+90,"Week "&amp;K204,"After Week 13"))))))</f>
        <v/>
      </c>
      <c r="N204" s="10">
        <f>IF(O204="","",IF(O204=0,IF(NOT(ISNUMBER(E204)),"Fix: amount missing",IF(E204&lt;=0,"Fix: amount must be above 0",IF(AND(NOT(ISNUMBER(D204)),NOT(ISNUMBER(G204))),"Fix: add a due date or a planned pay date",IF(AND(D204&lt;&gt;"",NOT(ISNUMBER(D204))),"Fix: due date isn't a date",IF(AND(F204&lt;&gt;"",NOT(ISNUMBER(F204))),"Fix: paid must be a number",IF(AND(G204&lt;&gt;"",NOT(ISNUMBER(G204))),"Fix: planned date isn't a date","Fix: paid is more than the amount")))))),IF(AND(C204&lt;&gt;"",ISNUMBER(MATCH(C204,OutCats,0))),"OK","Category not on Settings (counted as Other)")))</f>
        <v/>
      </c>
      <c r="O204">
        <f>IF(COUNTA(A204:H204)=0,"",IF(AND(ISNUMBER(E204),E204&gt;0,OR(ISNUMBER(D204),ISNUMBER(G204)),OR(D204="",ISNUMBER(D204)),OR(F204="",ISNUMBER(F204)),OR(G204="",ISNUMBER(G204))),IF(N(F204)&gt;E204,0,1),0))</f>
        <v/>
      </c>
    </row>
    <row r="205">
      <c r="A205" s="29" t="n"/>
      <c r="B205" s="29" t="n"/>
      <c r="C205" s="29" t="n"/>
      <c r="D205" s="24" t="n"/>
      <c r="E205" s="34" t="n"/>
      <c r="F205" s="34" t="n"/>
      <c r="G205" s="24" t="n"/>
      <c r="H205" s="29" t="n"/>
      <c r="I205" s="32">
        <f>IF(O205&lt;&gt;1,"",IF(ISNUMBER(G205),INT(G205),INT(D205)))</f>
        <v/>
      </c>
      <c r="J205" s="21">
        <f>IF(O205&lt;&gt;1,0,E205-N(F205))</f>
        <v/>
      </c>
      <c r="K205" s="35">
        <f>IF(OR(O205&lt;&gt;1,J205&lt;=0),"",IF(H205="Yes","",IF(I205&lt;W1,IF(OverdueW1="No","",1),IF(I205&lt;=W1+90,INT((I205-W1)/7)+1,""))))</f>
        <v/>
      </c>
      <c r="L205" s="36">
        <f>IF(ISNUMBER(K205),J205,0)</f>
        <v/>
      </c>
      <c r="M205" s="10">
        <f>IF(O205="","",IF(O205=0,"Not counted",IF(J205&lt;=0,"Paid",IF(H205="Yes","On hold (left out)",IF(I205&lt;W1,IF(OverdueW1="No","Overdue (left out)","Overdue → Week 1"),IF(I205&lt;=W1+90,"Week "&amp;K205,"After Week 13"))))))</f>
        <v/>
      </c>
      <c r="N205" s="10">
        <f>IF(O205="","",IF(O205=0,IF(NOT(ISNUMBER(E205)),"Fix: amount missing",IF(E205&lt;=0,"Fix: amount must be above 0",IF(AND(NOT(ISNUMBER(D205)),NOT(ISNUMBER(G205))),"Fix: add a due date or a planned pay date",IF(AND(D205&lt;&gt;"",NOT(ISNUMBER(D205))),"Fix: due date isn't a date",IF(AND(F205&lt;&gt;"",NOT(ISNUMBER(F205))),"Fix: paid must be a number",IF(AND(G205&lt;&gt;"",NOT(ISNUMBER(G205))),"Fix: planned date isn't a date","Fix: paid is more than the amount")))))),IF(AND(C205&lt;&gt;"",ISNUMBER(MATCH(C205,OutCats,0))),"OK","Category not on Settings (counted as Other)")))</f>
        <v/>
      </c>
      <c r="O205">
        <f>IF(COUNTA(A205:H205)=0,"",IF(AND(ISNUMBER(E205),E205&gt;0,OR(ISNUMBER(D205),ISNUMBER(G205)),OR(D205="",ISNUMBER(D205)),OR(F205="",ISNUMBER(F205)),OR(G205="",ISNUMBER(G205))),IF(N(F205)&gt;E205,0,1),0))</f>
        <v/>
      </c>
    </row>
    <row r="206">
      <c r="A206" s="29" t="n"/>
      <c r="B206" s="29" t="n"/>
      <c r="C206" s="29" t="n"/>
      <c r="D206" s="24" t="n"/>
      <c r="E206" s="34" t="n"/>
      <c r="F206" s="34" t="n"/>
      <c r="G206" s="24" t="n"/>
      <c r="H206" s="29" t="n"/>
      <c r="I206" s="32">
        <f>IF(O206&lt;&gt;1,"",IF(ISNUMBER(G206),INT(G206),INT(D206)))</f>
        <v/>
      </c>
      <c r="J206" s="21">
        <f>IF(O206&lt;&gt;1,0,E206-N(F206))</f>
        <v/>
      </c>
      <c r="K206" s="35">
        <f>IF(OR(O206&lt;&gt;1,J206&lt;=0),"",IF(H206="Yes","",IF(I206&lt;W1,IF(OverdueW1="No","",1),IF(I206&lt;=W1+90,INT((I206-W1)/7)+1,""))))</f>
        <v/>
      </c>
      <c r="L206" s="36">
        <f>IF(ISNUMBER(K206),J206,0)</f>
        <v/>
      </c>
      <c r="M206" s="10">
        <f>IF(O206="","",IF(O206=0,"Not counted",IF(J206&lt;=0,"Paid",IF(H206="Yes","On hold (left out)",IF(I206&lt;W1,IF(OverdueW1="No","Overdue (left out)","Overdue → Week 1"),IF(I206&lt;=W1+90,"Week "&amp;K206,"After Week 13"))))))</f>
        <v/>
      </c>
      <c r="N206" s="10">
        <f>IF(O206="","",IF(O206=0,IF(NOT(ISNUMBER(E206)),"Fix: amount missing",IF(E206&lt;=0,"Fix: amount must be above 0",IF(AND(NOT(ISNUMBER(D206)),NOT(ISNUMBER(G206))),"Fix: add a due date or a planned pay date",IF(AND(D206&lt;&gt;"",NOT(ISNUMBER(D206))),"Fix: due date isn't a date",IF(AND(F206&lt;&gt;"",NOT(ISNUMBER(F206))),"Fix: paid must be a number",IF(AND(G206&lt;&gt;"",NOT(ISNUMBER(G206))),"Fix: planned date isn't a date","Fix: paid is more than the amount")))))),IF(AND(C206&lt;&gt;"",ISNUMBER(MATCH(C206,OutCats,0))),"OK","Category not on Settings (counted as Other)")))</f>
        <v/>
      </c>
      <c r="O206">
        <f>IF(COUNTA(A206:H206)=0,"",IF(AND(ISNUMBER(E206),E206&gt;0,OR(ISNUMBER(D206),ISNUMBER(G206)),OR(D206="",ISNUMBER(D206)),OR(F206="",ISNUMBER(F206)),OR(G206="",ISNUMBER(G206))),IF(N(F206)&gt;E206,0,1),0))</f>
        <v/>
      </c>
    </row>
    <row r="207">
      <c r="A207" s="29" t="n"/>
      <c r="B207" s="29" t="n"/>
      <c r="C207" s="29" t="n"/>
      <c r="D207" s="24" t="n"/>
      <c r="E207" s="34" t="n"/>
      <c r="F207" s="34" t="n"/>
      <c r="G207" s="24" t="n"/>
      <c r="H207" s="29" t="n"/>
      <c r="I207" s="32">
        <f>IF(O207&lt;&gt;1,"",IF(ISNUMBER(G207),INT(G207),INT(D207)))</f>
        <v/>
      </c>
      <c r="J207" s="21">
        <f>IF(O207&lt;&gt;1,0,E207-N(F207))</f>
        <v/>
      </c>
      <c r="K207" s="35">
        <f>IF(OR(O207&lt;&gt;1,J207&lt;=0),"",IF(H207="Yes","",IF(I207&lt;W1,IF(OverdueW1="No","",1),IF(I207&lt;=W1+90,INT((I207-W1)/7)+1,""))))</f>
        <v/>
      </c>
      <c r="L207" s="36">
        <f>IF(ISNUMBER(K207),J207,0)</f>
        <v/>
      </c>
      <c r="M207" s="10">
        <f>IF(O207="","",IF(O207=0,"Not counted",IF(J207&lt;=0,"Paid",IF(H207="Yes","On hold (left out)",IF(I207&lt;W1,IF(OverdueW1="No","Overdue (left out)","Overdue → Week 1"),IF(I207&lt;=W1+90,"Week "&amp;K207,"After Week 13"))))))</f>
        <v/>
      </c>
      <c r="N207" s="10">
        <f>IF(O207="","",IF(O207=0,IF(NOT(ISNUMBER(E207)),"Fix: amount missing",IF(E207&lt;=0,"Fix: amount must be above 0",IF(AND(NOT(ISNUMBER(D207)),NOT(ISNUMBER(G207))),"Fix: add a due date or a planned pay date",IF(AND(D207&lt;&gt;"",NOT(ISNUMBER(D207))),"Fix: due date isn't a date",IF(AND(F207&lt;&gt;"",NOT(ISNUMBER(F207))),"Fix: paid must be a number",IF(AND(G207&lt;&gt;"",NOT(ISNUMBER(G207))),"Fix: planned date isn't a date","Fix: paid is more than the amount")))))),IF(AND(C207&lt;&gt;"",ISNUMBER(MATCH(C207,OutCats,0))),"OK","Category not on Settings (counted as Other)")))</f>
        <v/>
      </c>
      <c r="O207">
        <f>IF(COUNTA(A207:H207)=0,"",IF(AND(ISNUMBER(E207),E207&gt;0,OR(ISNUMBER(D207),ISNUMBER(G207)),OR(D207="",ISNUMBER(D207)),OR(F207="",ISNUMBER(F207)),OR(G207="",ISNUMBER(G207))),IF(N(F207)&gt;E207,0,1),0))</f>
        <v/>
      </c>
    </row>
    <row r="208">
      <c r="A208" s="29" t="n"/>
      <c r="B208" s="29" t="n"/>
      <c r="C208" s="29" t="n"/>
      <c r="D208" s="24" t="n"/>
      <c r="E208" s="34" t="n"/>
      <c r="F208" s="34" t="n"/>
      <c r="G208" s="24" t="n"/>
      <c r="H208" s="29" t="n"/>
      <c r="I208" s="32">
        <f>IF(O208&lt;&gt;1,"",IF(ISNUMBER(G208),INT(G208),INT(D208)))</f>
        <v/>
      </c>
      <c r="J208" s="21">
        <f>IF(O208&lt;&gt;1,0,E208-N(F208))</f>
        <v/>
      </c>
      <c r="K208" s="35">
        <f>IF(OR(O208&lt;&gt;1,J208&lt;=0),"",IF(H208="Yes","",IF(I208&lt;W1,IF(OverdueW1="No","",1),IF(I208&lt;=W1+90,INT((I208-W1)/7)+1,""))))</f>
        <v/>
      </c>
      <c r="L208" s="36">
        <f>IF(ISNUMBER(K208),J208,0)</f>
        <v/>
      </c>
      <c r="M208" s="10">
        <f>IF(O208="","",IF(O208=0,"Not counted",IF(J208&lt;=0,"Paid",IF(H208="Yes","On hold (left out)",IF(I208&lt;W1,IF(OverdueW1="No","Overdue (left out)","Overdue → Week 1"),IF(I208&lt;=W1+90,"Week "&amp;K208,"After Week 13"))))))</f>
        <v/>
      </c>
      <c r="N208" s="10">
        <f>IF(O208="","",IF(O208=0,IF(NOT(ISNUMBER(E208)),"Fix: amount missing",IF(E208&lt;=0,"Fix: amount must be above 0",IF(AND(NOT(ISNUMBER(D208)),NOT(ISNUMBER(G208))),"Fix: add a due date or a planned pay date",IF(AND(D208&lt;&gt;"",NOT(ISNUMBER(D208))),"Fix: due date isn't a date",IF(AND(F208&lt;&gt;"",NOT(ISNUMBER(F208))),"Fix: paid must be a number",IF(AND(G208&lt;&gt;"",NOT(ISNUMBER(G208))),"Fix: planned date isn't a date","Fix: paid is more than the amount")))))),IF(AND(C208&lt;&gt;"",ISNUMBER(MATCH(C208,OutCats,0))),"OK","Category not on Settings (counted as Other)")))</f>
        <v/>
      </c>
      <c r="O208">
        <f>IF(COUNTA(A208:H208)=0,"",IF(AND(ISNUMBER(E208),E208&gt;0,OR(ISNUMBER(D208),ISNUMBER(G208)),OR(D208="",ISNUMBER(D208)),OR(F208="",ISNUMBER(F208)),OR(G208="",ISNUMBER(G208))),IF(N(F208)&gt;E208,0,1),0))</f>
        <v/>
      </c>
    </row>
    <row r="209">
      <c r="A209" s="29" t="n"/>
      <c r="B209" s="29" t="n"/>
      <c r="C209" s="29" t="n"/>
      <c r="D209" s="24" t="n"/>
      <c r="E209" s="34" t="n"/>
      <c r="F209" s="34" t="n"/>
      <c r="G209" s="24" t="n"/>
      <c r="H209" s="29" t="n"/>
      <c r="I209" s="32">
        <f>IF(O209&lt;&gt;1,"",IF(ISNUMBER(G209),INT(G209),INT(D209)))</f>
        <v/>
      </c>
      <c r="J209" s="21">
        <f>IF(O209&lt;&gt;1,0,E209-N(F209))</f>
        <v/>
      </c>
      <c r="K209" s="35">
        <f>IF(OR(O209&lt;&gt;1,J209&lt;=0),"",IF(H209="Yes","",IF(I209&lt;W1,IF(OverdueW1="No","",1),IF(I209&lt;=W1+90,INT((I209-W1)/7)+1,""))))</f>
        <v/>
      </c>
      <c r="L209" s="36">
        <f>IF(ISNUMBER(K209),J209,0)</f>
        <v/>
      </c>
      <c r="M209" s="10">
        <f>IF(O209="","",IF(O209=0,"Not counted",IF(J209&lt;=0,"Paid",IF(H209="Yes","On hold (left out)",IF(I209&lt;W1,IF(OverdueW1="No","Overdue (left out)","Overdue → Week 1"),IF(I209&lt;=W1+90,"Week "&amp;K209,"After Week 13"))))))</f>
        <v/>
      </c>
      <c r="N209" s="10">
        <f>IF(O209="","",IF(O209=0,IF(NOT(ISNUMBER(E209)),"Fix: amount missing",IF(E209&lt;=0,"Fix: amount must be above 0",IF(AND(NOT(ISNUMBER(D209)),NOT(ISNUMBER(G209))),"Fix: add a due date or a planned pay date",IF(AND(D209&lt;&gt;"",NOT(ISNUMBER(D209))),"Fix: due date isn't a date",IF(AND(F209&lt;&gt;"",NOT(ISNUMBER(F209))),"Fix: paid must be a number",IF(AND(G209&lt;&gt;"",NOT(ISNUMBER(G209))),"Fix: planned date isn't a date","Fix: paid is more than the amount")))))),IF(AND(C209&lt;&gt;"",ISNUMBER(MATCH(C209,OutCats,0))),"OK","Category not on Settings (counted as Other)")))</f>
        <v/>
      </c>
      <c r="O209">
        <f>IF(COUNTA(A209:H209)=0,"",IF(AND(ISNUMBER(E209),E209&gt;0,OR(ISNUMBER(D209),ISNUMBER(G209)),OR(D209="",ISNUMBER(D209)),OR(F209="",ISNUMBER(F209)),OR(G209="",ISNUMBER(G209))),IF(N(F209)&gt;E209,0,1),0))</f>
        <v/>
      </c>
    </row>
    <row r="210">
      <c r="A210" s="29" t="n"/>
      <c r="B210" s="29" t="n"/>
      <c r="C210" s="29" t="n"/>
      <c r="D210" s="24" t="n"/>
      <c r="E210" s="34" t="n"/>
      <c r="F210" s="34" t="n"/>
      <c r="G210" s="24" t="n"/>
      <c r="H210" s="29" t="n"/>
      <c r="I210" s="32">
        <f>IF(O210&lt;&gt;1,"",IF(ISNUMBER(G210),INT(G210),INT(D210)))</f>
        <v/>
      </c>
      <c r="J210" s="21">
        <f>IF(O210&lt;&gt;1,0,E210-N(F210))</f>
        <v/>
      </c>
      <c r="K210" s="35">
        <f>IF(OR(O210&lt;&gt;1,J210&lt;=0),"",IF(H210="Yes","",IF(I210&lt;W1,IF(OverdueW1="No","",1),IF(I210&lt;=W1+90,INT((I210-W1)/7)+1,""))))</f>
        <v/>
      </c>
      <c r="L210" s="36">
        <f>IF(ISNUMBER(K210),J210,0)</f>
        <v/>
      </c>
      <c r="M210" s="10">
        <f>IF(O210="","",IF(O210=0,"Not counted",IF(J210&lt;=0,"Paid",IF(H210="Yes","On hold (left out)",IF(I210&lt;W1,IF(OverdueW1="No","Overdue (left out)","Overdue → Week 1"),IF(I210&lt;=W1+90,"Week "&amp;K210,"After Week 13"))))))</f>
        <v/>
      </c>
      <c r="N210" s="10">
        <f>IF(O210="","",IF(O210=0,IF(NOT(ISNUMBER(E210)),"Fix: amount missing",IF(E210&lt;=0,"Fix: amount must be above 0",IF(AND(NOT(ISNUMBER(D210)),NOT(ISNUMBER(G210))),"Fix: add a due date or a planned pay date",IF(AND(D210&lt;&gt;"",NOT(ISNUMBER(D210))),"Fix: due date isn't a date",IF(AND(F210&lt;&gt;"",NOT(ISNUMBER(F210))),"Fix: paid must be a number",IF(AND(G210&lt;&gt;"",NOT(ISNUMBER(G210))),"Fix: planned date isn't a date","Fix: paid is more than the amount")))))),IF(AND(C210&lt;&gt;"",ISNUMBER(MATCH(C210,OutCats,0))),"OK","Category not on Settings (counted as Other)")))</f>
        <v/>
      </c>
      <c r="O210">
        <f>IF(COUNTA(A210:H210)=0,"",IF(AND(ISNUMBER(E210),E210&gt;0,OR(ISNUMBER(D210),ISNUMBER(G210)),OR(D210="",ISNUMBER(D210)),OR(F210="",ISNUMBER(F210)),OR(G210="",ISNUMBER(G210))),IF(N(F210)&gt;E210,0,1),0))</f>
        <v/>
      </c>
    </row>
    <row r="211">
      <c r="A211" s="29" t="n"/>
      <c r="B211" s="29" t="n"/>
      <c r="C211" s="29" t="n"/>
      <c r="D211" s="24" t="n"/>
      <c r="E211" s="34" t="n"/>
      <c r="F211" s="34" t="n"/>
      <c r="G211" s="24" t="n"/>
      <c r="H211" s="29" t="n"/>
      <c r="I211" s="32">
        <f>IF(O211&lt;&gt;1,"",IF(ISNUMBER(G211),INT(G211),INT(D211)))</f>
        <v/>
      </c>
      <c r="J211" s="21">
        <f>IF(O211&lt;&gt;1,0,E211-N(F211))</f>
        <v/>
      </c>
      <c r="K211" s="35">
        <f>IF(OR(O211&lt;&gt;1,J211&lt;=0),"",IF(H211="Yes","",IF(I211&lt;W1,IF(OverdueW1="No","",1),IF(I211&lt;=W1+90,INT((I211-W1)/7)+1,""))))</f>
        <v/>
      </c>
      <c r="L211" s="36">
        <f>IF(ISNUMBER(K211),J211,0)</f>
        <v/>
      </c>
      <c r="M211" s="10">
        <f>IF(O211="","",IF(O211=0,"Not counted",IF(J211&lt;=0,"Paid",IF(H211="Yes","On hold (left out)",IF(I211&lt;W1,IF(OverdueW1="No","Overdue (left out)","Overdue → Week 1"),IF(I211&lt;=W1+90,"Week "&amp;K211,"After Week 13"))))))</f>
        <v/>
      </c>
      <c r="N211" s="10">
        <f>IF(O211="","",IF(O211=0,IF(NOT(ISNUMBER(E211)),"Fix: amount missing",IF(E211&lt;=0,"Fix: amount must be above 0",IF(AND(NOT(ISNUMBER(D211)),NOT(ISNUMBER(G211))),"Fix: add a due date or a planned pay date",IF(AND(D211&lt;&gt;"",NOT(ISNUMBER(D211))),"Fix: due date isn't a date",IF(AND(F211&lt;&gt;"",NOT(ISNUMBER(F211))),"Fix: paid must be a number",IF(AND(G211&lt;&gt;"",NOT(ISNUMBER(G211))),"Fix: planned date isn't a date","Fix: paid is more than the amount")))))),IF(AND(C211&lt;&gt;"",ISNUMBER(MATCH(C211,OutCats,0))),"OK","Category not on Settings (counted as Other)")))</f>
        <v/>
      </c>
      <c r="O211">
        <f>IF(COUNTA(A211:H211)=0,"",IF(AND(ISNUMBER(E211),E211&gt;0,OR(ISNUMBER(D211),ISNUMBER(G211)),OR(D211="",ISNUMBER(D211)),OR(F211="",ISNUMBER(F211)),OR(G211="",ISNUMBER(G211))),IF(N(F211)&gt;E211,0,1),0))</f>
        <v/>
      </c>
    </row>
    <row r="212">
      <c r="A212" s="29" t="n"/>
      <c r="B212" s="29" t="n"/>
      <c r="C212" s="29" t="n"/>
      <c r="D212" s="24" t="n"/>
      <c r="E212" s="34" t="n"/>
      <c r="F212" s="34" t="n"/>
      <c r="G212" s="24" t="n"/>
      <c r="H212" s="29" t="n"/>
      <c r="I212" s="32">
        <f>IF(O212&lt;&gt;1,"",IF(ISNUMBER(G212),INT(G212),INT(D212)))</f>
        <v/>
      </c>
      <c r="J212" s="21">
        <f>IF(O212&lt;&gt;1,0,E212-N(F212))</f>
        <v/>
      </c>
      <c r="K212" s="35">
        <f>IF(OR(O212&lt;&gt;1,J212&lt;=0),"",IF(H212="Yes","",IF(I212&lt;W1,IF(OverdueW1="No","",1),IF(I212&lt;=W1+90,INT((I212-W1)/7)+1,""))))</f>
        <v/>
      </c>
      <c r="L212" s="36">
        <f>IF(ISNUMBER(K212),J212,0)</f>
        <v/>
      </c>
      <c r="M212" s="10">
        <f>IF(O212="","",IF(O212=0,"Not counted",IF(J212&lt;=0,"Paid",IF(H212="Yes","On hold (left out)",IF(I212&lt;W1,IF(OverdueW1="No","Overdue (left out)","Overdue → Week 1"),IF(I212&lt;=W1+90,"Week "&amp;K212,"After Week 13"))))))</f>
        <v/>
      </c>
      <c r="N212" s="10">
        <f>IF(O212="","",IF(O212=0,IF(NOT(ISNUMBER(E212)),"Fix: amount missing",IF(E212&lt;=0,"Fix: amount must be above 0",IF(AND(NOT(ISNUMBER(D212)),NOT(ISNUMBER(G212))),"Fix: add a due date or a planned pay date",IF(AND(D212&lt;&gt;"",NOT(ISNUMBER(D212))),"Fix: due date isn't a date",IF(AND(F212&lt;&gt;"",NOT(ISNUMBER(F212))),"Fix: paid must be a number",IF(AND(G212&lt;&gt;"",NOT(ISNUMBER(G212))),"Fix: planned date isn't a date","Fix: paid is more than the amount")))))),IF(AND(C212&lt;&gt;"",ISNUMBER(MATCH(C212,OutCats,0))),"OK","Category not on Settings (counted as Other)")))</f>
        <v/>
      </c>
      <c r="O212">
        <f>IF(COUNTA(A212:H212)=0,"",IF(AND(ISNUMBER(E212),E212&gt;0,OR(ISNUMBER(D212),ISNUMBER(G212)),OR(D212="",ISNUMBER(D212)),OR(F212="",ISNUMBER(F212)),OR(G212="",ISNUMBER(G212))),IF(N(F212)&gt;E212,0,1),0))</f>
        <v/>
      </c>
    </row>
    <row r="213">
      <c r="A213" s="29" t="n"/>
      <c r="B213" s="29" t="n"/>
      <c r="C213" s="29" t="n"/>
      <c r="D213" s="24" t="n"/>
      <c r="E213" s="34" t="n"/>
      <c r="F213" s="34" t="n"/>
      <c r="G213" s="24" t="n"/>
      <c r="H213" s="29" t="n"/>
      <c r="I213" s="32">
        <f>IF(O213&lt;&gt;1,"",IF(ISNUMBER(G213),INT(G213),INT(D213)))</f>
        <v/>
      </c>
      <c r="J213" s="21">
        <f>IF(O213&lt;&gt;1,0,E213-N(F213))</f>
        <v/>
      </c>
      <c r="K213" s="35">
        <f>IF(OR(O213&lt;&gt;1,J213&lt;=0),"",IF(H213="Yes","",IF(I213&lt;W1,IF(OverdueW1="No","",1),IF(I213&lt;=W1+90,INT((I213-W1)/7)+1,""))))</f>
        <v/>
      </c>
      <c r="L213" s="36">
        <f>IF(ISNUMBER(K213),J213,0)</f>
        <v/>
      </c>
      <c r="M213" s="10">
        <f>IF(O213="","",IF(O213=0,"Not counted",IF(J213&lt;=0,"Paid",IF(H213="Yes","On hold (left out)",IF(I213&lt;W1,IF(OverdueW1="No","Overdue (left out)","Overdue → Week 1"),IF(I213&lt;=W1+90,"Week "&amp;K213,"After Week 13"))))))</f>
        <v/>
      </c>
      <c r="N213" s="10">
        <f>IF(O213="","",IF(O213=0,IF(NOT(ISNUMBER(E213)),"Fix: amount missing",IF(E213&lt;=0,"Fix: amount must be above 0",IF(AND(NOT(ISNUMBER(D213)),NOT(ISNUMBER(G213))),"Fix: add a due date or a planned pay date",IF(AND(D213&lt;&gt;"",NOT(ISNUMBER(D213))),"Fix: due date isn't a date",IF(AND(F213&lt;&gt;"",NOT(ISNUMBER(F213))),"Fix: paid must be a number",IF(AND(G213&lt;&gt;"",NOT(ISNUMBER(G213))),"Fix: planned date isn't a date","Fix: paid is more than the amount")))))),IF(AND(C213&lt;&gt;"",ISNUMBER(MATCH(C213,OutCats,0))),"OK","Category not on Settings (counted as Other)")))</f>
        <v/>
      </c>
      <c r="O213">
        <f>IF(COUNTA(A213:H213)=0,"",IF(AND(ISNUMBER(E213),E213&gt;0,OR(ISNUMBER(D213),ISNUMBER(G213)),OR(D213="",ISNUMBER(D213)),OR(F213="",ISNUMBER(F213)),OR(G213="",ISNUMBER(G213))),IF(N(F213)&gt;E213,0,1),0))</f>
        <v/>
      </c>
    </row>
    <row r="214">
      <c r="A214" s="29" t="n"/>
      <c r="B214" s="29" t="n"/>
      <c r="C214" s="29" t="n"/>
      <c r="D214" s="24" t="n"/>
      <c r="E214" s="34" t="n"/>
      <c r="F214" s="34" t="n"/>
      <c r="G214" s="24" t="n"/>
      <c r="H214" s="29" t="n"/>
      <c r="I214" s="32">
        <f>IF(O214&lt;&gt;1,"",IF(ISNUMBER(G214),INT(G214),INT(D214)))</f>
        <v/>
      </c>
      <c r="J214" s="21">
        <f>IF(O214&lt;&gt;1,0,E214-N(F214))</f>
        <v/>
      </c>
      <c r="K214" s="35">
        <f>IF(OR(O214&lt;&gt;1,J214&lt;=0),"",IF(H214="Yes","",IF(I214&lt;W1,IF(OverdueW1="No","",1),IF(I214&lt;=W1+90,INT((I214-W1)/7)+1,""))))</f>
        <v/>
      </c>
      <c r="L214" s="36">
        <f>IF(ISNUMBER(K214),J214,0)</f>
        <v/>
      </c>
      <c r="M214" s="10">
        <f>IF(O214="","",IF(O214=0,"Not counted",IF(J214&lt;=0,"Paid",IF(H214="Yes","On hold (left out)",IF(I214&lt;W1,IF(OverdueW1="No","Overdue (left out)","Overdue → Week 1"),IF(I214&lt;=W1+90,"Week "&amp;K214,"After Week 13"))))))</f>
        <v/>
      </c>
      <c r="N214" s="10">
        <f>IF(O214="","",IF(O214=0,IF(NOT(ISNUMBER(E214)),"Fix: amount missing",IF(E214&lt;=0,"Fix: amount must be above 0",IF(AND(NOT(ISNUMBER(D214)),NOT(ISNUMBER(G214))),"Fix: add a due date or a planned pay date",IF(AND(D214&lt;&gt;"",NOT(ISNUMBER(D214))),"Fix: due date isn't a date",IF(AND(F214&lt;&gt;"",NOT(ISNUMBER(F214))),"Fix: paid must be a number",IF(AND(G214&lt;&gt;"",NOT(ISNUMBER(G214))),"Fix: planned date isn't a date","Fix: paid is more than the amount")))))),IF(AND(C214&lt;&gt;"",ISNUMBER(MATCH(C214,OutCats,0))),"OK","Category not on Settings (counted as Other)")))</f>
        <v/>
      </c>
      <c r="O214">
        <f>IF(COUNTA(A214:H214)=0,"",IF(AND(ISNUMBER(E214),E214&gt;0,OR(ISNUMBER(D214),ISNUMBER(G214)),OR(D214="",ISNUMBER(D214)),OR(F214="",ISNUMBER(F214)),OR(G214="",ISNUMBER(G214))),IF(N(F214)&gt;E214,0,1),0))</f>
        <v/>
      </c>
    </row>
    <row r="215">
      <c r="A215" s="29" t="n"/>
      <c r="B215" s="29" t="n"/>
      <c r="C215" s="29" t="n"/>
      <c r="D215" s="24" t="n"/>
      <c r="E215" s="34" t="n"/>
      <c r="F215" s="34" t="n"/>
      <c r="G215" s="24" t="n"/>
      <c r="H215" s="29" t="n"/>
      <c r="I215" s="32">
        <f>IF(O215&lt;&gt;1,"",IF(ISNUMBER(G215),INT(G215),INT(D215)))</f>
        <v/>
      </c>
      <c r="J215" s="21">
        <f>IF(O215&lt;&gt;1,0,E215-N(F215))</f>
        <v/>
      </c>
      <c r="K215" s="35">
        <f>IF(OR(O215&lt;&gt;1,J215&lt;=0),"",IF(H215="Yes","",IF(I215&lt;W1,IF(OverdueW1="No","",1),IF(I215&lt;=W1+90,INT((I215-W1)/7)+1,""))))</f>
        <v/>
      </c>
      <c r="L215" s="36">
        <f>IF(ISNUMBER(K215),J215,0)</f>
        <v/>
      </c>
      <c r="M215" s="10">
        <f>IF(O215="","",IF(O215=0,"Not counted",IF(J215&lt;=0,"Paid",IF(H215="Yes","On hold (left out)",IF(I215&lt;W1,IF(OverdueW1="No","Overdue (left out)","Overdue → Week 1"),IF(I215&lt;=W1+90,"Week "&amp;K215,"After Week 13"))))))</f>
        <v/>
      </c>
      <c r="N215" s="10">
        <f>IF(O215="","",IF(O215=0,IF(NOT(ISNUMBER(E215)),"Fix: amount missing",IF(E215&lt;=0,"Fix: amount must be above 0",IF(AND(NOT(ISNUMBER(D215)),NOT(ISNUMBER(G215))),"Fix: add a due date or a planned pay date",IF(AND(D215&lt;&gt;"",NOT(ISNUMBER(D215))),"Fix: due date isn't a date",IF(AND(F215&lt;&gt;"",NOT(ISNUMBER(F215))),"Fix: paid must be a number",IF(AND(G215&lt;&gt;"",NOT(ISNUMBER(G215))),"Fix: planned date isn't a date","Fix: paid is more than the amount")))))),IF(AND(C215&lt;&gt;"",ISNUMBER(MATCH(C215,OutCats,0))),"OK","Category not on Settings (counted as Other)")))</f>
        <v/>
      </c>
      <c r="O215">
        <f>IF(COUNTA(A215:H215)=0,"",IF(AND(ISNUMBER(E215),E215&gt;0,OR(ISNUMBER(D215),ISNUMBER(G215)),OR(D215="",ISNUMBER(D215)),OR(F215="",ISNUMBER(F215)),OR(G215="",ISNUMBER(G215))),IF(N(F215)&gt;E215,0,1),0))</f>
        <v/>
      </c>
    </row>
    <row r="216">
      <c r="A216" s="29" t="n"/>
      <c r="B216" s="29" t="n"/>
      <c r="C216" s="29" t="n"/>
      <c r="D216" s="24" t="n"/>
      <c r="E216" s="34" t="n"/>
      <c r="F216" s="34" t="n"/>
      <c r="G216" s="24" t="n"/>
      <c r="H216" s="29" t="n"/>
      <c r="I216" s="32">
        <f>IF(O216&lt;&gt;1,"",IF(ISNUMBER(G216),INT(G216),INT(D216)))</f>
        <v/>
      </c>
      <c r="J216" s="21">
        <f>IF(O216&lt;&gt;1,0,E216-N(F216))</f>
        <v/>
      </c>
      <c r="K216" s="35">
        <f>IF(OR(O216&lt;&gt;1,J216&lt;=0),"",IF(H216="Yes","",IF(I216&lt;W1,IF(OverdueW1="No","",1),IF(I216&lt;=W1+90,INT((I216-W1)/7)+1,""))))</f>
        <v/>
      </c>
      <c r="L216" s="36">
        <f>IF(ISNUMBER(K216),J216,0)</f>
        <v/>
      </c>
      <c r="M216" s="10">
        <f>IF(O216="","",IF(O216=0,"Not counted",IF(J216&lt;=0,"Paid",IF(H216="Yes","On hold (left out)",IF(I216&lt;W1,IF(OverdueW1="No","Overdue (left out)","Overdue → Week 1"),IF(I216&lt;=W1+90,"Week "&amp;K216,"After Week 13"))))))</f>
        <v/>
      </c>
      <c r="N216" s="10">
        <f>IF(O216="","",IF(O216=0,IF(NOT(ISNUMBER(E216)),"Fix: amount missing",IF(E216&lt;=0,"Fix: amount must be above 0",IF(AND(NOT(ISNUMBER(D216)),NOT(ISNUMBER(G216))),"Fix: add a due date or a planned pay date",IF(AND(D216&lt;&gt;"",NOT(ISNUMBER(D216))),"Fix: due date isn't a date",IF(AND(F216&lt;&gt;"",NOT(ISNUMBER(F216))),"Fix: paid must be a number",IF(AND(G216&lt;&gt;"",NOT(ISNUMBER(G216))),"Fix: planned date isn't a date","Fix: paid is more than the amount")))))),IF(AND(C216&lt;&gt;"",ISNUMBER(MATCH(C216,OutCats,0))),"OK","Category not on Settings (counted as Other)")))</f>
        <v/>
      </c>
      <c r="O216">
        <f>IF(COUNTA(A216:H216)=0,"",IF(AND(ISNUMBER(E216),E216&gt;0,OR(ISNUMBER(D216),ISNUMBER(G216)),OR(D216="",ISNUMBER(D216)),OR(F216="",ISNUMBER(F216)),OR(G216="",ISNUMBER(G216))),IF(N(F216)&gt;E216,0,1),0))</f>
        <v/>
      </c>
    </row>
    <row r="217">
      <c r="A217" s="29" t="n"/>
      <c r="B217" s="29" t="n"/>
      <c r="C217" s="29" t="n"/>
      <c r="D217" s="24" t="n"/>
      <c r="E217" s="34" t="n"/>
      <c r="F217" s="34" t="n"/>
      <c r="G217" s="24" t="n"/>
      <c r="H217" s="29" t="n"/>
      <c r="I217" s="32">
        <f>IF(O217&lt;&gt;1,"",IF(ISNUMBER(G217),INT(G217),INT(D217)))</f>
        <v/>
      </c>
      <c r="J217" s="21">
        <f>IF(O217&lt;&gt;1,0,E217-N(F217))</f>
        <v/>
      </c>
      <c r="K217" s="35">
        <f>IF(OR(O217&lt;&gt;1,J217&lt;=0),"",IF(H217="Yes","",IF(I217&lt;W1,IF(OverdueW1="No","",1),IF(I217&lt;=W1+90,INT((I217-W1)/7)+1,""))))</f>
        <v/>
      </c>
      <c r="L217" s="36">
        <f>IF(ISNUMBER(K217),J217,0)</f>
        <v/>
      </c>
      <c r="M217" s="10">
        <f>IF(O217="","",IF(O217=0,"Not counted",IF(J217&lt;=0,"Paid",IF(H217="Yes","On hold (left out)",IF(I217&lt;W1,IF(OverdueW1="No","Overdue (left out)","Overdue → Week 1"),IF(I217&lt;=W1+90,"Week "&amp;K217,"After Week 13"))))))</f>
        <v/>
      </c>
      <c r="N217" s="10">
        <f>IF(O217="","",IF(O217=0,IF(NOT(ISNUMBER(E217)),"Fix: amount missing",IF(E217&lt;=0,"Fix: amount must be above 0",IF(AND(NOT(ISNUMBER(D217)),NOT(ISNUMBER(G217))),"Fix: add a due date or a planned pay date",IF(AND(D217&lt;&gt;"",NOT(ISNUMBER(D217))),"Fix: due date isn't a date",IF(AND(F217&lt;&gt;"",NOT(ISNUMBER(F217))),"Fix: paid must be a number",IF(AND(G217&lt;&gt;"",NOT(ISNUMBER(G217))),"Fix: planned date isn't a date","Fix: paid is more than the amount")))))),IF(AND(C217&lt;&gt;"",ISNUMBER(MATCH(C217,OutCats,0))),"OK","Category not on Settings (counted as Other)")))</f>
        <v/>
      </c>
      <c r="O217">
        <f>IF(COUNTA(A217:H217)=0,"",IF(AND(ISNUMBER(E217),E217&gt;0,OR(ISNUMBER(D217),ISNUMBER(G217)),OR(D217="",ISNUMBER(D217)),OR(F217="",ISNUMBER(F217)),OR(G217="",ISNUMBER(G217))),IF(N(F217)&gt;E217,0,1),0))</f>
        <v/>
      </c>
    </row>
    <row r="218">
      <c r="A218" s="29" t="n"/>
      <c r="B218" s="29" t="n"/>
      <c r="C218" s="29" t="n"/>
      <c r="D218" s="24" t="n"/>
      <c r="E218" s="34" t="n"/>
      <c r="F218" s="34" t="n"/>
      <c r="G218" s="24" t="n"/>
      <c r="H218" s="29" t="n"/>
      <c r="I218" s="32">
        <f>IF(O218&lt;&gt;1,"",IF(ISNUMBER(G218),INT(G218),INT(D218)))</f>
        <v/>
      </c>
      <c r="J218" s="21">
        <f>IF(O218&lt;&gt;1,0,E218-N(F218))</f>
        <v/>
      </c>
      <c r="K218" s="35">
        <f>IF(OR(O218&lt;&gt;1,J218&lt;=0),"",IF(H218="Yes","",IF(I218&lt;W1,IF(OverdueW1="No","",1),IF(I218&lt;=W1+90,INT((I218-W1)/7)+1,""))))</f>
        <v/>
      </c>
      <c r="L218" s="36">
        <f>IF(ISNUMBER(K218),J218,0)</f>
        <v/>
      </c>
      <c r="M218" s="10">
        <f>IF(O218="","",IF(O218=0,"Not counted",IF(J218&lt;=0,"Paid",IF(H218="Yes","On hold (left out)",IF(I218&lt;W1,IF(OverdueW1="No","Overdue (left out)","Overdue → Week 1"),IF(I218&lt;=W1+90,"Week "&amp;K218,"After Week 13"))))))</f>
        <v/>
      </c>
      <c r="N218" s="10">
        <f>IF(O218="","",IF(O218=0,IF(NOT(ISNUMBER(E218)),"Fix: amount missing",IF(E218&lt;=0,"Fix: amount must be above 0",IF(AND(NOT(ISNUMBER(D218)),NOT(ISNUMBER(G218))),"Fix: add a due date or a planned pay date",IF(AND(D218&lt;&gt;"",NOT(ISNUMBER(D218))),"Fix: due date isn't a date",IF(AND(F218&lt;&gt;"",NOT(ISNUMBER(F218))),"Fix: paid must be a number",IF(AND(G218&lt;&gt;"",NOT(ISNUMBER(G218))),"Fix: planned date isn't a date","Fix: paid is more than the amount")))))),IF(AND(C218&lt;&gt;"",ISNUMBER(MATCH(C218,OutCats,0))),"OK","Category not on Settings (counted as Other)")))</f>
        <v/>
      </c>
      <c r="O218">
        <f>IF(COUNTA(A218:H218)=0,"",IF(AND(ISNUMBER(E218),E218&gt;0,OR(ISNUMBER(D218),ISNUMBER(G218)),OR(D218="",ISNUMBER(D218)),OR(F218="",ISNUMBER(F218)),OR(G218="",ISNUMBER(G218))),IF(N(F218)&gt;E218,0,1),0))</f>
        <v/>
      </c>
    </row>
    <row r="219">
      <c r="A219" s="29" t="n"/>
      <c r="B219" s="29" t="n"/>
      <c r="C219" s="29" t="n"/>
      <c r="D219" s="24" t="n"/>
      <c r="E219" s="34" t="n"/>
      <c r="F219" s="34" t="n"/>
      <c r="G219" s="24" t="n"/>
      <c r="H219" s="29" t="n"/>
      <c r="I219" s="32">
        <f>IF(O219&lt;&gt;1,"",IF(ISNUMBER(G219),INT(G219),INT(D219)))</f>
        <v/>
      </c>
      <c r="J219" s="21">
        <f>IF(O219&lt;&gt;1,0,E219-N(F219))</f>
        <v/>
      </c>
      <c r="K219" s="35">
        <f>IF(OR(O219&lt;&gt;1,J219&lt;=0),"",IF(H219="Yes","",IF(I219&lt;W1,IF(OverdueW1="No","",1),IF(I219&lt;=W1+90,INT((I219-W1)/7)+1,""))))</f>
        <v/>
      </c>
      <c r="L219" s="36">
        <f>IF(ISNUMBER(K219),J219,0)</f>
        <v/>
      </c>
      <c r="M219" s="10">
        <f>IF(O219="","",IF(O219=0,"Not counted",IF(J219&lt;=0,"Paid",IF(H219="Yes","On hold (left out)",IF(I219&lt;W1,IF(OverdueW1="No","Overdue (left out)","Overdue → Week 1"),IF(I219&lt;=W1+90,"Week "&amp;K219,"After Week 13"))))))</f>
        <v/>
      </c>
      <c r="N219" s="10">
        <f>IF(O219="","",IF(O219=0,IF(NOT(ISNUMBER(E219)),"Fix: amount missing",IF(E219&lt;=0,"Fix: amount must be above 0",IF(AND(NOT(ISNUMBER(D219)),NOT(ISNUMBER(G219))),"Fix: add a due date or a planned pay date",IF(AND(D219&lt;&gt;"",NOT(ISNUMBER(D219))),"Fix: due date isn't a date",IF(AND(F219&lt;&gt;"",NOT(ISNUMBER(F219))),"Fix: paid must be a number",IF(AND(G219&lt;&gt;"",NOT(ISNUMBER(G219))),"Fix: planned date isn't a date","Fix: paid is more than the amount")))))),IF(AND(C219&lt;&gt;"",ISNUMBER(MATCH(C219,OutCats,0))),"OK","Category not on Settings (counted as Other)")))</f>
        <v/>
      </c>
      <c r="O219">
        <f>IF(COUNTA(A219:H219)=0,"",IF(AND(ISNUMBER(E219),E219&gt;0,OR(ISNUMBER(D219),ISNUMBER(G219)),OR(D219="",ISNUMBER(D219)),OR(F219="",ISNUMBER(F219)),OR(G219="",ISNUMBER(G219))),IF(N(F219)&gt;E219,0,1),0))</f>
        <v/>
      </c>
    </row>
    <row r="220">
      <c r="A220" s="29" t="n"/>
      <c r="B220" s="29" t="n"/>
      <c r="C220" s="29" t="n"/>
      <c r="D220" s="24" t="n"/>
      <c r="E220" s="34" t="n"/>
      <c r="F220" s="34" t="n"/>
      <c r="G220" s="24" t="n"/>
      <c r="H220" s="29" t="n"/>
      <c r="I220" s="32">
        <f>IF(O220&lt;&gt;1,"",IF(ISNUMBER(G220),INT(G220),INT(D220)))</f>
        <v/>
      </c>
      <c r="J220" s="21">
        <f>IF(O220&lt;&gt;1,0,E220-N(F220))</f>
        <v/>
      </c>
      <c r="K220" s="35">
        <f>IF(OR(O220&lt;&gt;1,J220&lt;=0),"",IF(H220="Yes","",IF(I220&lt;W1,IF(OverdueW1="No","",1),IF(I220&lt;=W1+90,INT((I220-W1)/7)+1,""))))</f>
        <v/>
      </c>
      <c r="L220" s="36">
        <f>IF(ISNUMBER(K220),J220,0)</f>
        <v/>
      </c>
      <c r="M220" s="10">
        <f>IF(O220="","",IF(O220=0,"Not counted",IF(J220&lt;=0,"Paid",IF(H220="Yes","On hold (left out)",IF(I220&lt;W1,IF(OverdueW1="No","Overdue (left out)","Overdue → Week 1"),IF(I220&lt;=W1+90,"Week "&amp;K220,"After Week 13"))))))</f>
        <v/>
      </c>
      <c r="N220" s="10">
        <f>IF(O220="","",IF(O220=0,IF(NOT(ISNUMBER(E220)),"Fix: amount missing",IF(E220&lt;=0,"Fix: amount must be above 0",IF(AND(NOT(ISNUMBER(D220)),NOT(ISNUMBER(G220))),"Fix: add a due date or a planned pay date",IF(AND(D220&lt;&gt;"",NOT(ISNUMBER(D220))),"Fix: due date isn't a date",IF(AND(F220&lt;&gt;"",NOT(ISNUMBER(F220))),"Fix: paid must be a number",IF(AND(G220&lt;&gt;"",NOT(ISNUMBER(G220))),"Fix: planned date isn't a date","Fix: paid is more than the amount")))))),IF(AND(C220&lt;&gt;"",ISNUMBER(MATCH(C220,OutCats,0))),"OK","Category not on Settings (counted as Other)")))</f>
        <v/>
      </c>
      <c r="O220">
        <f>IF(COUNTA(A220:H220)=0,"",IF(AND(ISNUMBER(E220),E220&gt;0,OR(ISNUMBER(D220),ISNUMBER(G220)),OR(D220="",ISNUMBER(D220)),OR(F220="",ISNUMBER(F220)),OR(G220="",ISNUMBER(G220))),IF(N(F220)&gt;E220,0,1),0))</f>
        <v/>
      </c>
    </row>
    <row r="221">
      <c r="A221" s="29" t="n"/>
      <c r="B221" s="29" t="n"/>
      <c r="C221" s="29" t="n"/>
      <c r="D221" s="24" t="n"/>
      <c r="E221" s="34" t="n"/>
      <c r="F221" s="34" t="n"/>
      <c r="G221" s="24" t="n"/>
      <c r="H221" s="29" t="n"/>
      <c r="I221" s="32">
        <f>IF(O221&lt;&gt;1,"",IF(ISNUMBER(G221),INT(G221),INT(D221)))</f>
        <v/>
      </c>
      <c r="J221" s="21">
        <f>IF(O221&lt;&gt;1,0,E221-N(F221))</f>
        <v/>
      </c>
      <c r="K221" s="35">
        <f>IF(OR(O221&lt;&gt;1,J221&lt;=0),"",IF(H221="Yes","",IF(I221&lt;W1,IF(OverdueW1="No","",1),IF(I221&lt;=W1+90,INT((I221-W1)/7)+1,""))))</f>
        <v/>
      </c>
      <c r="L221" s="36">
        <f>IF(ISNUMBER(K221),J221,0)</f>
        <v/>
      </c>
      <c r="M221" s="10">
        <f>IF(O221="","",IF(O221=0,"Not counted",IF(J221&lt;=0,"Paid",IF(H221="Yes","On hold (left out)",IF(I221&lt;W1,IF(OverdueW1="No","Overdue (left out)","Overdue → Week 1"),IF(I221&lt;=W1+90,"Week "&amp;K221,"After Week 13"))))))</f>
        <v/>
      </c>
      <c r="N221" s="10">
        <f>IF(O221="","",IF(O221=0,IF(NOT(ISNUMBER(E221)),"Fix: amount missing",IF(E221&lt;=0,"Fix: amount must be above 0",IF(AND(NOT(ISNUMBER(D221)),NOT(ISNUMBER(G221))),"Fix: add a due date or a planned pay date",IF(AND(D221&lt;&gt;"",NOT(ISNUMBER(D221))),"Fix: due date isn't a date",IF(AND(F221&lt;&gt;"",NOT(ISNUMBER(F221))),"Fix: paid must be a number",IF(AND(G221&lt;&gt;"",NOT(ISNUMBER(G221))),"Fix: planned date isn't a date","Fix: paid is more than the amount")))))),IF(AND(C221&lt;&gt;"",ISNUMBER(MATCH(C221,OutCats,0))),"OK","Category not on Settings (counted as Other)")))</f>
        <v/>
      </c>
      <c r="O221">
        <f>IF(COUNTA(A221:H221)=0,"",IF(AND(ISNUMBER(E221),E221&gt;0,OR(ISNUMBER(D221),ISNUMBER(G221)),OR(D221="",ISNUMBER(D221)),OR(F221="",ISNUMBER(F221)),OR(G221="",ISNUMBER(G221))),IF(N(F221)&gt;E221,0,1),0))</f>
        <v/>
      </c>
    </row>
    <row r="222">
      <c r="A222" s="29" t="n"/>
      <c r="B222" s="29" t="n"/>
      <c r="C222" s="29" t="n"/>
      <c r="D222" s="24" t="n"/>
      <c r="E222" s="34" t="n"/>
      <c r="F222" s="34" t="n"/>
      <c r="G222" s="24" t="n"/>
      <c r="H222" s="29" t="n"/>
      <c r="I222" s="32">
        <f>IF(O222&lt;&gt;1,"",IF(ISNUMBER(G222),INT(G222),INT(D222)))</f>
        <v/>
      </c>
      <c r="J222" s="21">
        <f>IF(O222&lt;&gt;1,0,E222-N(F222))</f>
        <v/>
      </c>
      <c r="K222" s="35">
        <f>IF(OR(O222&lt;&gt;1,J222&lt;=0),"",IF(H222="Yes","",IF(I222&lt;W1,IF(OverdueW1="No","",1),IF(I222&lt;=W1+90,INT((I222-W1)/7)+1,""))))</f>
        <v/>
      </c>
      <c r="L222" s="36">
        <f>IF(ISNUMBER(K222),J222,0)</f>
        <v/>
      </c>
      <c r="M222" s="10">
        <f>IF(O222="","",IF(O222=0,"Not counted",IF(J222&lt;=0,"Paid",IF(H222="Yes","On hold (left out)",IF(I222&lt;W1,IF(OverdueW1="No","Overdue (left out)","Overdue → Week 1"),IF(I222&lt;=W1+90,"Week "&amp;K222,"After Week 13"))))))</f>
        <v/>
      </c>
      <c r="N222" s="10">
        <f>IF(O222="","",IF(O222=0,IF(NOT(ISNUMBER(E222)),"Fix: amount missing",IF(E222&lt;=0,"Fix: amount must be above 0",IF(AND(NOT(ISNUMBER(D222)),NOT(ISNUMBER(G222))),"Fix: add a due date or a planned pay date",IF(AND(D222&lt;&gt;"",NOT(ISNUMBER(D222))),"Fix: due date isn't a date",IF(AND(F222&lt;&gt;"",NOT(ISNUMBER(F222))),"Fix: paid must be a number",IF(AND(G222&lt;&gt;"",NOT(ISNUMBER(G222))),"Fix: planned date isn't a date","Fix: paid is more than the amount")))))),IF(AND(C222&lt;&gt;"",ISNUMBER(MATCH(C222,OutCats,0))),"OK","Category not on Settings (counted as Other)")))</f>
        <v/>
      </c>
      <c r="O222">
        <f>IF(COUNTA(A222:H222)=0,"",IF(AND(ISNUMBER(E222),E222&gt;0,OR(ISNUMBER(D222),ISNUMBER(G222)),OR(D222="",ISNUMBER(D222)),OR(F222="",ISNUMBER(F222)),OR(G222="",ISNUMBER(G222))),IF(N(F222)&gt;E222,0,1),0))</f>
        <v/>
      </c>
    </row>
    <row r="223">
      <c r="A223" s="29" t="n"/>
      <c r="B223" s="29" t="n"/>
      <c r="C223" s="29" t="n"/>
      <c r="D223" s="24" t="n"/>
      <c r="E223" s="34" t="n"/>
      <c r="F223" s="34" t="n"/>
      <c r="G223" s="24" t="n"/>
      <c r="H223" s="29" t="n"/>
      <c r="I223" s="32">
        <f>IF(O223&lt;&gt;1,"",IF(ISNUMBER(G223),INT(G223),INT(D223)))</f>
        <v/>
      </c>
      <c r="J223" s="21">
        <f>IF(O223&lt;&gt;1,0,E223-N(F223))</f>
        <v/>
      </c>
      <c r="K223" s="35">
        <f>IF(OR(O223&lt;&gt;1,J223&lt;=0),"",IF(H223="Yes","",IF(I223&lt;W1,IF(OverdueW1="No","",1),IF(I223&lt;=W1+90,INT((I223-W1)/7)+1,""))))</f>
        <v/>
      </c>
      <c r="L223" s="36">
        <f>IF(ISNUMBER(K223),J223,0)</f>
        <v/>
      </c>
      <c r="M223" s="10">
        <f>IF(O223="","",IF(O223=0,"Not counted",IF(J223&lt;=0,"Paid",IF(H223="Yes","On hold (left out)",IF(I223&lt;W1,IF(OverdueW1="No","Overdue (left out)","Overdue → Week 1"),IF(I223&lt;=W1+90,"Week "&amp;K223,"After Week 13"))))))</f>
        <v/>
      </c>
      <c r="N223" s="10">
        <f>IF(O223="","",IF(O223=0,IF(NOT(ISNUMBER(E223)),"Fix: amount missing",IF(E223&lt;=0,"Fix: amount must be above 0",IF(AND(NOT(ISNUMBER(D223)),NOT(ISNUMBER(G223))),"Fix: add a due date or a planned pay date",IF(AND(D223&lt;&gt;"",NOT(ISNUMBER(D223))),"Fix: due date isn't a date",IF(AND(F223&lt;&gt;"",NOT(ISNUMBER(F223))),"Fix: paid must be a number",IF(AND(G223&lt;&gt;"",NOT(ISNUMBER(G223))),"Fix: planned date isn't a date","Fix: paid is more than the amount")))))),IF(AND(C223&lt;&gt;"",ISNUMBER(MATCH(C223,OutCats,0))),"OK","Category not on Settings (counted as Other)")))</f>
        <v/>
      </c>
      <c r="O223">
        <f>IF(COUNTA(A223:H223)=0,"",IF(AND(ISNUMBER(E223),E223&gt;0,OR(ISNUMBER(D223),ISNUMBER(G223)),OR(D223="",ISNUMBER(D223)),OR(F223="",ISNUMBER(F223)),OR(G223="",ISNUMBER(G223))),IF(N(F223)&gt;E223,0,1),0))</f>
        <v/>
      </c>
    </row>
    <row r="224">
      <c r="A224" s="29" t="n"/>
      <c r="B224" s="29" t="n"/>
      <c r="C224" s="29" t="n"/>
      <c r="D224" s="24" t="n"/>
      <c r="E224" s="34" t="n"/>
      <c r="F224" s="34" t="n"/>
      <c r="G224" s="24" t="n"/>
      <c r="H224" s="29" t="n"/>
      <c r="I224" s="32">
        <f>IF(O224&lt;&gt;1,"",IF(ISNUMBER(G224),INT(G224),INT(D224)))</f>
        <v/>
      </c>
      <c r="J224" s="21">
        <f>IF(O224&lt;&gt;1,0,E224-N(F224))</f>
        <v/>
      </c>
      <c r="K224" s="35">
        <f>IF(OR(O224&lt;&gt;1,J224&lt;=0),"",IF(H224="Yes","",IF(I224&lt;W1,IF(OverdueW1="No","",1),IF(I224&lt;=W1+90,INT((I224-W1)/7)+1,""))))</f>
        <v/>
      </c>
      <c r="L224" s="36">
        <f>IF(ISNUMBER(K224),J224,0)</f>
        <v/>
      </c>
      <c r="M224" s="10">
        <f>IF(O224="","",IF(O224=0,"Not counted",IF(J224&lt;=0,"Paid",IF(H224="Yes","On hold (left out)",IF(I224&lt;W1,IF(OverdueW1="No","Overdue (left out)","Overdue → Week 1"),IF(I224&lt;=W1+90,"Week "&amp;K224,"After Week 13"))))))</f>
        <v/>
      </c>
      <c r="N224" s="10">
        <f>IF(O224="","",IF(O224=0,IF(NOT(ISNUMBER(E224)),"Fix: amount missing",IF(E224&lt;=0,"Fix: amount must be above 0",IF(AND(NOT(ISNUMBER(D224)),NOT(ISNUMBER(G224))),"Fix: add a due date or a planned pay date",IF(AND(D224&lt;&gt;"",NOT(ISNUMBER(D224))),"Fix: due date isn't a date",IF(AND(F224&lt;&gt;"",NOT(ISNUMBER(F224))),"Fix: paid must be a number",IF(AND(G224&lt;&gt;"",NOT(ISNUMBER(G224))),"Fix: planned date isn't a date","Fix: paid is more than the amount")))))),IF(AND(C224&lt;&gt;"",ISNUMBER(MATCH(C224,OutCats,0))),"OK","Category not on Settings (counted as Other)")))</f>
        <v/>
      </c>
      <c r="O224">
        <f>IF(COUNTA(A224:H224)=0,"",IF(AND(ISNUMBER(E224),E224&gt;0,OR(ISNUMBER(D224),ISNUMBER(G224)),OR(D224="",ISNUMBER(D224)),OR(F224="",ISNUMBER(F224)),OR(G224="",ISNUMBER(G224))),IF(N(F224)&gt;E224,0,1),0))</f>
        <v/>
      </c>
    </row>
    <row r="225">
      <c r="A225" s="29" t="n"/>
      <c r="B225" s="29" t="n"/>
      <c r="C225" s="29" t="n"/>
      <c r="D225" s="24" t="n"/>
      <c r="E225" s="34" t="n"/>
      <c r="F225" s="34" t="n"/>
      <c r="G225" s="24" t="n"/>
      <c r="H225" s="29" t="n"/>
      <c r="I225" s="32">
        <f>IF(O225&lt;&gt;1,"",IF(ISNUMBER(G225),INT(G225),INT(D225)))</f>
        <v/>
      </c>
      <c r="J225" s="21">
        <f>IF(O225&lt;&gt;1,0,E225-N(F225))</f>
        <v/>
      </c>
      <c r="K225" s="35">
        <f>IF(OR(O225&lt;&gt;1,J225&lt;=0),"",IF(H225="Yes","",IF(I225&lt;W1,IF(OverdueW1="No","",1),IF(I225&lt;=W1+90,INT((I225-W1)/7)+1,""))))</f>
        <v/>
      </c>
      <c r="L225" s="36">
        <f>IF(ISNUMBER(K225),J225,0)</f>
        <v/>
      </c>
      <c r="M225" s="10">
        <f>IF(O225="","",IF(O225=0,"Not counted",IF(J225&lt;=0,"Paid",IF(H225="Yes","On hold (left out)",IF(I225&lt;W1,IF(OverdueW1="No","Overdue (left out)","Overdue → Week 1"),IF(I225&lt;=W1+90,"Week "&amp;K225,"After Week 13"))))))</f>
        <v/>
      </c>
      <c r="N225" s="10">
        <f>IF(O225="","",IF(O225=0,IF(NOT(ISNUMBER(E225)),"Fix: amount missing",IF(E225&lt;=0,"Fix: amount must be above 0",IF(AND(NOT(ISNUMBER(D225)),NOT(ISNUMBER(G225))),"Fix: add a due date or a planned pay date",IF(AND(D225&lt;&gt;"",NOT(ISNUMBER(D225))),"Fix: due date isn't a date",IF(AND(F225&lt;&gt;"",NOT(ISNUMBER(F225))),"Fix: paid must be a number",IF(AND(G225&lt;&gt;"",NOT(ISNUMBER(G225))),"Fix: planned date isn't a date","Fix: paid is more than the amount")))))),IF(AND(C225&lt;&gt;"",ISNUMBER(MATCH(C225,OutCats,0))),"OK","Category not on Settings (counted as Other)")))</f>
        <v/>
      </c>
      <c r="O225">
        <f>IF(COUNTA(A225:H225)=0,"",IF(AND(ISNUMBER(E225),E225&gt;0,OR(ISNUMBER(D225),ISNUMBER(G225)),OR(D225="",ISNUMBER(D225)),OR(F225="",ISNUMBER(F225)),OR(G225="",ISNUMBER(G225))),IF(N(F225)&gt;E225,0,1),0))</f>
        <v/>
      </c>
    </row>
    <row r="226">
      <c r="A226" s="29" t="n"/>
      <c r="B226" s="29" t="n"/>
      <c r="C226" s="29" t="n"/>
      <c r="D226" s="24" t="n"/>
      <c r="E226" s="34" t="n"/>
      <c r="F226" s="34" t="n"/>
      <c r="G226" s="24" t="n"/>
      <c r="H226" s="29" t="n"/>
      <c r="I226" s="32">
        <f>IF(O226&lt;&gt;1,"",IF(ISNUMBER(G226),INT(G226),INT(D226)))</f>
        <v/>
      </c>
      <c r="J226" s="21">
        <f>IF(O226&lt;&gt;1,0,E226-N(F226))</f>
        <v/>
      </c>
      <c r="K226" s="35">
        <f>IF(OR(O226&lt;&gt;1,J226&lt;=0),"",IF(H226="Yes","",IF(I226&lt;W1,IF(OverdueW1="No","",1),IF(I226&lt;=W1+90,INT((I226-W1)/7)+1,""))))</f>
        <v/>
      </c>
      <c r="L226" s="36">
        <f>IF(ISNUMBER(K226),J226,0)</f>
        <v/>
      </c>
      <c r="M226" s="10">
        <f>IF(O226="","",IF(O226=0,"Not counted",IF(J226&lt;=0,"Paid",IF(H226="Yes","On hold (left out)",IF(I226&lt;W1,IF(OverdueW1="No","Overdue (left out)","Overdue → Week 1"),IF(I226&lt;=W1+90,"Week "&amp;K226,"After Week 13"))))))</f>
        <v/>
      </c>
      <c r="N226" s="10">
        <f>IF(O226="","",IF(O226=0,IF(NOT(ISNUMBER(E226)),"Fix: amount missing",IF(E226&lt;=0,"Fix: amount must be above 0",IF(AND(NOT(ISNUMBER(D226)),NOT(ISNUMBER(G226))),"Fix: add a due date or a planned pay date",IF(AND(D226&lt;&gt;"",NOT(ISNUMBER(D226))),"Fix: due date isn't a date",IF(AND(F226&lt;&gt;"",NOT(ISNUMBER(F226))),"Fix: paid must be a number",IF(AND(G226&lt;&gt;"",NOT(ISNUMBER(G226))),"Fix: planned date isn't a date","Fix: paid is more than the amount")))))),IF(AND(C226&lt;&gt;"",ISNUMBER(MATCH(C226,OutCats,0))),"OK","Category not on Settings (counted as Other)")))</f>
        <v/>
      </c>
      <c r="O226">
        <f>IF(COUNTA(A226:H226)=0,"",IF(AND(ISNUMBER(E226),E226&gt;0,OR(ISNUMBER(D226),ISNUMBER(G226)),OR(D226="",ISNUMBER(D226)),OR(F226="",ISNUMBER(F226)),OR(G226="",ISNUMBER(G226))),IF(N(F226)&gt;E226,0,1),0))</f>
        <v/>
      </c>
    </row>
    <row r="227">
      <c r="A227" s="29" t="n"/>
      <c r="B227" s="29" t="n"/>
      <c r="C227" s="29" t="n"/>
      <c r="D227" s="24" t="n"/>
      <c r="E227" s="34" t="n"/>
      <c r="F227" s="34" t="n"/>
      <c r="G227" s="24" t="n"/>
      <c r="H227" s="29" t="n"/>
      <c r="I227" s="32">
        <f>IF(O227&lt;&gt;1,"",IF(ISNUMBER(G227),INT(G227),INT(D227)))</f>
        <v/>
      </c>
      <c r="J227" s="21">
        <f>IF(O227&lt;&gt;1,0,E227-N(F227))</f>
        <v/>
      </c>
      <c r="K227" s="35">
        <f>IF(OR(O227&lt;&gt;1,J227&lt;=0),"",IF(H227="Yes","",IF(I227&lt;W1,IF(OverdueW1="No","",1),IF(I227&lt;=W1+90,INT((I227-W1)/7)+1,""))))</f>
        <v/>
      </c>
      <c r="L227" s="36">
        <f>IF(ISNUMBER(K227),J227,0)</f>
        <v/>
      </c>
      <c r="M227" s="10">
        <f>IF(O227="","",IF(O227=0,"Not counted",IF(J227&lt;=0,"Paid",IF(H227="Yes","On hold (left out)",IF(I227&lt;W1,IF(OverdueW1="No","Overdue (left out)","Overdue → Week 1"),IF(I227&lt;=W1+90,"Week "&amp;K227,"After Week 13"))))))</f>
        <v/>
      </c>
      <c r="N227" s="10">
        <f>IF(O227="","",IF(O227=0,IF(NOT(ISNUMBER(E227)),"Fix: amount missing",IF(E227&lt;=0,"Fix: amount must be above 0",IF(AND(NOT(ISNUMBER(D227)),NOT(ISNUMBER(G227))),"Fix: add a due date or a planned pay date",IF(AND(D227&lt;&gt;"",NOT(ISNUMBER(D227))),"Fix: due date isn't a date",IF(AND(F227&lt;&gt;"",NOT(ISNUMBER(F227))),"Fix: paid must be a number",IF(AND(G227&lt;&gt;"",NOT(ISNUMBER(G227))),"Fix: planned date isn't a date","Fix: paid is more than the amount")))))),IF(AND(C227&lt;&gt;"",ISNUMBER(MATCH(C227,OutCats,0))),"OK","Category not on Settings (counted as Other)")))</f>
        <v/>
      </c>
      <c r="O227">
        <f>IF(COUNTA(A227:H227)=0,"",IF(AND(ISNUMBER(E227),E227&gt;0,OR(ISNUMBER(D227),ISNUMBER(G227)),OR(D227="",ISNUMBER(D227)),OR(F227="",ISNUMBER(F227)),OR(G227="",ISNUMBER(G227))),IF(N(F227)&gt;E227,0,1),0))</f>
        <v/>
      </c>
    </row>
    <row r="228">
      <c r="A228" s="29" t="n"/>
      <c r="B228" s="29" t="n"/>
      <c r="C228" s="29" t="n"/>
      <c r="D228" s="24" t="n"/>
      <c r="E228" s="34" t="n"/>
      <c r="F228" s="34" t="n"/>
      <c r="G228" s="24" t="n"/>
      <c r="H228" s="29" t="n"/>
      <c r="I228" s="32">
        <f>IF(O228&lt;&gt;1,"",IF(ISNUMBER(G228),INT(G228),INT(D228)))</f>
        <v/>
      </c>
      <c r="J228" s="21">
        <f>IF(O228&lt;&gt;1,0,E228-N(F228))</f>
        <v/>
      </c>
      <c r="K228" s="35">
        <f>IF(OR(O228&lt;&gt;1,J228&lt;=0),"",IF(H228="Yes","",IF(I228&lt;W1,IF(OverdueW1="No","",1),IF(I228&lt;=W1+90,INT((I228-W1)/7)+1,""))))</f>
        <v/>
      </c>
      <c r="L228" s="36">
        <f>IF(ISNUMBER(K228),J228,0)</f>
        <v/>
      </c>
      <c r="M228" s="10">
        <f>IF(O228="","",IF(O228=0,"Not counted",IF(J228&lt;=0,"Paid",IF(H228="Yes","On hold (left out)",IF(I228&lt;W1,IF(OverdueW1="No","Overdue (left out)","Overdue → Week 1"),IF(I228&lt;=W1+90,"Week "&amp;K228,"After Week 13"))))))</f>
        <v/>
      </c>
      <c r="N228" s="10">
        <f>IF(O228="","",IF(O228=0,IF(NOT(ISNUMBER(E228)),"Fix: amount missing",IF(E228&lt;=0,"Fix: amount must be above 0",IF(AND(NOT(ISNUMBER(D228)),NOT(ISNUMBER(G228))),"Fix: add a due date or a planned pay date",IF(AND(D228&lt;&gt;"",NOT(ISNUMBER(D228))),"Fix: due date isn't a date",IF(AND(F228&lt;&gt;"",NOT(ISNUMBER(F228))),"Fix: paid must be a number",IF(AND(G228&lt;&gt;"",NOT(ISNUMBER(G228))),"Fix: planned date isn't a date","Fix: paid is more than the amount")))))),IF(AND(C228&lt;&gt;"",ISNUMBER(MATCH(C228,OutCats,0))),"OK","Category not on Settings (counted as Other)")))</f>
        <v/>
      </c>
      <c r="O228">
        <f>IF(COUNTA(A228:H228)=0,"",IF(AND(ISNUMBER(E228),E228&gt;0,OR(ISNUMBER(D228),ISNUMBER(G228)),OR(D228="",ISNUMBER(D228)),OR(F228="",ISNUMBER(F228)),OR(G228="",ISNUMBER(G228))),IF(N(F228)&gt;E228,0,1),0))</f>
        <v/>
      </c>
    </row>
    <row r="229">
      <c r="A229" s="29" t="n"/>
      <c r="B229" s="29" t="n"/>
      <c r="C229" s="29" t="n"/>
      <c r="D229" s="24" t="n"/>
      <c r="E229" s="34" t="n"/>
      <c r="F229" s="34" t="n"/>
      <c r="G229" s="24" t="n"/>
      <c r="H229" s="29" t="n"/>
      <c r="I229" s="32">
        <f>IF(O229&lt;&gt;1,"",IF(ISNUMBER(G229),INT(G229),INT(D229)))</f>
        <v/>
      </c>
      <c r="J229" s="21">
        <f>IF(O229&lt;&gt;1,0,E229-N(F229))</f>
        <v/>
      </c>
      <c r="K229" s="35">
        <f>IF(OR(O229&lt;&gt;1,J229&lt;=0),"",IF(H229="Yes","",IF(I229&lt;W1,IF(OverdueW1="No","",1),IF(I229&lt;=W1+90,INT((I229-W1)/7)+1,""))))</f>
        <v/>
      </c>
      <c r="L229" s="36">
        <f>IF(ISNUMBER(K229),J229,0)</f>
        <v/>
      </c>
      <c r="M229" s="10">
        <f>IF(O229="","",IF(O229=0,"Not counted",IF(J229&lt;=0,"Paid",IF(H229="Yes","On hold (left out)",IF(I229&lt;W1,IF(OverdueW1="No","Overdue (left out)","Overdue → Week 1"),IF(I229&lt;=W1+90,"Week "&amp;K229,"After Week 13"))))))</f>
        <v/>
      </c>
      <c r="N229" s="10">
        <f>IF(O229="","",IF(O229=0,IF(NOT(ISNUMBER(E229)),"Fix: amount missing",IF(E229&lt;=0,"Fix: amount must be above 0",IF(AND(NOT(ISNUMBER(D229)),NOT(ISNUMBER(G229))),"Fix: add a due date or a planned pay date",IF(AND(D229&lt;&gt;"",NOT(ISNUMBER(D229))),"Fix: due date isn't a date",IF(AND(F229&lt;&gt;"",NOT(ISNUMBER(F229))),"Fix: paid must be a number",IF(AND(G229&lt;&gt;"",NOT(ISNUMBER(G229))),"Fix: planned date isn't a date","Fix: paid is more than the amount")))))),IF(AND(C229&lt;&gt;"",ISNUMBER(MATCH(C229,OutCats,0))),"OK","Category not on Settings (counted as Other)")))</f>
        <v/>
      </c>
      <c r="O229">
        <f>IF(COUNTA(A229:H229)=0,"",IF(AND(ISNUMBER(E229),E229&gt;0,OR(ISNUMBER(D229),ISNUMBER(G229)),OR(D229="",ISNUMBER(D229)),OR(F229="",ISNUMBER(F229)),OR(G229="",ISNUMBER(G229))),IF(N(F229)&gt;E229,0,1),0))</f>
        <v/>
      </c>
    </row>
    <row r="230">
      <c r="A230" s="29" t="n"/>
      <c r="B230" s="29" t="n"/>
      <c r="C230" s="29" t="n"/>
      <c r="D230" s="24" t="n"/>
      <c r="E230" s="34" t="n"/>
      <c r="F230" s="34" t="n"/>
      <c r="G230" s="24" t="n"/>
      <c r="H230" s="29" t="n"/>
      <c r="I230" s="32">
        <f>IF(O230&lt;&gt;1,"",IF(ISNUMBER(G230),INT(G230),INT(D230)))</f>
        <v/>
      </c>
      <c r="J230" s="21">
        <f>IF(O230&lt;&gt;1,0,E230-N(F230))</f>
        <v/>
      </c>
      <c r="K230" s="35">
        <f>IF(OR(O230&lt;&gt;1,J230&lt;=0),"",IF(H230="Yes","",IF(I230&lt;W1,IF(OverdueW1="No","",1),IF(I230&lt;=W1+90,INT((I230-W1)/7)+1,""))))</f>
        <v/>
      </c>
      <c r="L230" s="36">
        <f>IF(ISNUMBER(K230),J230,0)</f>
        <v/>
      </c>
      <c r="M230" s="10">
        <f>IF(O230="","",IF(O230=0,"Not counted",IF(J230&lt;=0,"Paid",IF(H230="Yes","On hold (left out)",IF(I230&lt;W1,IF(OverdueW1="No","Overdue (left out)","Overdue → Week 1"),IF(I230&lt;=W1+90,"Week "&amp;K230,"After Week 13"))))))</f>
        <v/>
      </c>
      <c r="N230" s="10">
        <f>IF(O230="","",IF(O230=0,IF(NOT(ISNUMBER(E230)),"Fix: amount missing",IF(E230&lt;=0,"Fix: amount must be above 0",IF(AND(NOT(ISNUMBER(D230)),NOT(ISNUMBER(G230))),"Fix: add a due date or a planned pay date",IF(AND(D230&lt;&gt;"",NOT(ISNUMBER(D230))),"Fix: due date isn't a date",IF(AND(F230&lt;&gt;"",NOT(ISNUMBER(F230))),"Fix: paid must be a number",IF(AND(G230&lt;&gt;"",NOT(ISNUMBER(G230))),"Fix: planned date isn't a date","Fix: paid is more than the amount")))))),IF(AND(C230&lt;&gt;"",ISNUMBER(MATCH(C230,OutCats,0))),"OK","Category not on Settings (counted as Other)")))</f>
        <v/>
      </c>
      <c r="O230">
        <f>IF(COUNTA(A230:H230)=0,"",IF(AND(ISNUMBER(E230),E230&gt;0,OR(ISNUMBER(D230),ISNUMBER(G230)),OR(D230="",ISNUMBER(D230)),OR(F230="",ISNUMBER(F230)),OR(G230="",ISNUMBER(G230))),IF(N(F230)&gt;E230,0,1),0))</f>
        <v/>
      </c>
    </row>
    <row r="231">
      <c r="A231" s="29" t="n"/>
      <c r="B231" s="29" t="n"/>
      <c r="C231" s="29" t="n"/>
      <c r="D231" s="24" t="n"/>
      <c r="E231" s="34" t="n"/>
      <c r="F231" s="34" t="n"/>
      <c r="G231" s="24" t="n"/>
      <c r="H231" s="29" t="n"/>
      <c r="I231" s="32">
        <f>IF(O231&lt;&gt;1,"",IF(ISNUMBER(G231),INT(G231),INT(D231)))</f>
        <v/>
      </c>
      <c r="J231" s="21">
        <f>IF(O231&lt;&gt;1,0,E231-N(F231))</f>
        <v/>
      </c>
      <c r="K231" s="35">
        <f>IF(OR(O231&lt;&gt;1,J231&lt;=0),"",IF(H231="Yes","",IF(I231&lt;W1,IF(OverdueW1="No","",1),IF(I231&lt;=W1+90,INT((I231-W1)/7)+1,""))))</f>
        <v/>
      </c>
      <c r="L231" s="36">
        <f>IF(ISNUMBER(K231),J231,0)</f>
        <v/>
      </c>
      <c r="M231" s="10">
        <f>IF(O231="","",IF(O231=0,"Not counted",IF(J231&lt;=0,"Paid",IF(H231="Yes","On hold (left out)",IF(I231&lt;W1,IF(OverdueW1="No","Overdue (left out)","Overdue → Week 1"),IF(I231&lt;=W1+90,"Week "&amp;K231,"After Week 13"))))))</f>
        <v/>
      </c>
      <c r="N231" s="10">
        <f>IF(O231="","",IF(O231=0,IF(NOT(ISNUMBER(E231)),"Fix: amount missing",IF(E231&lt;=0,"Fix: amount must be above 0",IF(AND(NOT(ISNUMBER(D231)),NOT(ISNUMBER(G231))),"Fix: add a due date or a planned pay date",IF(AND(D231&lt;&gt;"",NOT(ISNUMBER(D231))),"Fix: due date isn't a date",IF(AND(F231&lt;&gt;"",NOT(ISNUMBER(F231))),"Fix: paid must be a number",IF(AND(G231&lt;&gt;"",NOT(ISNUMBER(G231))),"Fix: planned date isn't a date","Fix: paid is more than the amount")))))),IF(AND(C231&lt;&gt;"",ISNUMBER(MATCH(C231,OutCats,0))),"OK","Category not on Settings (counted as Other)")))</f>
        <v/>
      </c>
      <c r="O231">
        <f>IF(COUNTA(A231:H231)=0,"",IF(AND(ISNUMBER(E231),E231&gt;0,OR(ISNUMBER(D231),ISNUMBER(G231)),OR(D231="",ISNUMBER(D231)),OR(F231="",ISNUMBER(F231)),OR(G231="",ISNUMBER(G231))),IF(N(F231)&gt;E231,0,1),0))</f>
        <v/>
      </c>
    </row>
    <row r="232">
      <c r="A232" s="29" t="n"/>
      <c r="B232" s="29" t="n"/>
      <c r="C232" s="29" t="n"/>
      <c r="D232" s="24" t="n"/>
      <c r="E232" s="34" t="n"/>
      <c r="F232" s="34" t="n"/>
      <c r="G232" s="24" t="n"/>
      <c r="H232" s="29" t="n"/>
      <c r="I232" s="32">
        <f>IF(O232&lt;&gt;1,"",IF(ISNUMBER(G232),INT(G232),INT(D232)))</f>
        <v/>
      </c>
      <c r="J232" s="21">
        <f>IF(O232&lt;&gt;1,0,E232-N(F232))</f>
        <v/>
      </c>
      <c r="K232" s="35">
        <f>IF(OR(O232&lt;&gt;1,J232&lt;=0),"",IF(H232="Yes","",IF(I232&lt;W1,IF(OverdueW1="No","",1),IF(I232&lt;=W1+90,INT((I232-W1)/7)+1,""))))</f>
        <v/>
      </c>
      <c r="L232" s="36">
        <f>IF(ISNUMBER(K232),J232,0)</f>
        <v/>
      </c>
      <c r="M232" s="10">
        <f>IF(O232="","",IF(O232=0,"Not counted",IF(J232&lt;=0,"Paid",IF(H232="Yes","On hold (left out)",IF(I232&lt;W1,IF(OverdueW1="No","Overdue (left out)","Overdue → Week 1"),IF(I232&lt;=W1+90,"Week "&amp;K232,"After Week 13"))))))</f>
        <v/>
      </c>
      <c r="N232" s="10">
        <f>IF(O232="","",IF(O232=0,IF(NOT(ISNUMBER(E232)),"Fix: amount missing",IF(E232&lt;=0,"Fix: amount must be above 0",IF(AND(NOT(ISNUMBER(D232)),NOT(ISNUMBER(G232))),"Fix: add a due date or a planned pay date",IF(AND(D232&lt;&gt;"",NOT(ISNUMBER(D232))),"Fix: due date isn't a date",IF(AND(F232&lt;&gt;"",NOT(ISNUMBER(F232))),"Fix: paid must be a number",IF(AND(G232&lt;&gt;"",NOT(ISNUMBER(G232))),"Fix: planned date isn't a date","Fix: paid is more than the amount")))))),IF(AND(C232&lt;&gt;"",ISNUMBER(MATCH(C232,OutCats,0))),"OK","Category not on Settings (counted as Other)")))</f>
        <v/>
      </c>
      <c r="O232">
        <f>IF(COUNTA(A232:H232)=0,"",IF(AND(ISNUMBER(E232),E232&gt;0,OR(ISNUMBER(D232),ISNUMBER(G232)),OR(D232="",ISNUMBER(D232)),OR(F232="",ISNUMBER(F232)),OR(G232="",ISNUMBER(G232))),IF(N(F232)&gt;E232,0,1),0))</f>
        <v/>
      </c>
    </row>
    <row r="233">
      <c r="A233" s="29" t="n"/>
      <c r="B233" s="29" t="n"/>
      <c r="C233" s="29" t="n"/>
      <c r="D233" s="24" t="n"/>
      <c r="E233" s="34" t="n"/>
      <c r="F233" s="34" t="n"/>
      <c r="G233" s="24" t="n"/>
      <c r="H233" s="29" t="n"/>
      <c r="I233" s="32">
        <f>IF(O233&lt;&gt;1,"",IF(ISNUMBER(G233),INT(G233),INT(D233)))</f>
        <v/>
      </c>
      <c r="J233" s="21">
        <f>IF(O233&lt;&gt;1,0,E233-N(F233))</f>
        <v/>
      </c>
      <c r="K233" s="35">
        <f>IF(OR(O233&lt;&gt;1,J233&lt;=0),"",IF(H233="Yes","",IF(I233&lt;W1,IF(OverdueW1="No","",1),IF(I233&lt;=W1+90,INT((I233-W1)/7)+1,""))))</f>
        <v/>
      </c>
      <c r="L233" s="36">
        <f>IF(ISNUMBER(K233),J233,0)</f>
        <v/>
      </c>
      <c r="M233" s="10">
        <f>IF(O233="","",IF(O233=0,"Not counted",IF(J233&lt;=0,"Paid",IF(H233="Yes","On hold (left out)",IF(I233&lt;W1,IF(OverdueW1="No","Overdue (left out)","Overdue → Week 1"),IF(I233&lt;=W1+90,"Week "&amp;K233,"After Week 13"))))))</f>
        <v/>
      </c>
      <c r="N233" s="10">
        <f>IF(O233="","",IF(O233=0,IF(NOT(ISNUMBER(E233)),"Fix: amount missing",IF(E233&lt;=0,"Fix: amount must be above 0",IF(AND(NOT(ISNUMBER(D233)),NOT(ISNUMBER(G233))),"Fix: add a due date or a planned pay date",IF(AND(D233&lt;&gt;"",NOT(ISNUMBER(D233))),"Fix: due date isn't a date",IF(AND(F233&lt;&gt;"",NOT(ISNUMBER(F233))),"Fix: paid must be a number",IF(AND(G233&lt;&gt;"",NOT(ISNUMBER(G233))),"Fix: planned date isn't a date","Fix: paid is more than the amount")))))),IF(AND(C233&lt;&gt;"",ISNUMBER(MATCH(C233,OutCats,0))),"OK","Category not on Settings (counted as Other)")))</f>
        <v/>
      </c>
      <c r="O233">
        <f>IF(COUNTA(A233:H233)=0,"",IF(AND(ISNUMBER(E233),E233&gt;0,OR(ISNUMBER(D233),ISNUMBER(G233)),OR(D233="",ISNUMBER(D233)),OR(F233="",ISNUMBER(F233)),OR(G233="",ISNUMBER(G233))),IF(N(F233)&gt;E233,0,1),0))</f>
        <v/>
      </c>
    </row>
    <row r="234">
      <c r="A234" s="29" t="n"/>
      <c r="B234" s="29" t="n"/>
      <c r="C234" s="29" t="n"/>
      <c r="D234" s="24" t="n"/>
      <c r="E234" s="34" t="n"/>
      <c r="F234" s="34" t="n"/>
      <c r="G234" s="24" t="n"/>
      <c r="H234" s="29" t="n"/>
      <c r="I234" s="32">
        <f>IF(O234&lt;&gt;1,"",IF(ISNUMBER(G234),INT(G234),INT(D234)))</f>
        <v/>
      </c>
      <c r="J234" s="21">
        <f>IF(O234&lt;&gt;1,0,E234-N(F234))</f>
        <v/>
      </c>
      <c r="K234" s="35">
        <f>IF(OR(O234&lt;&gt;1,J234&lt;=0),"",IF(H234="Yes","",IF(I234&lt;W1,IF(OverdueW1="No","",1),IF(I234&lt;=W1+90,INT((I234-W1)/7)+1,""))))</f>
        <v/>
      </c>
      <c r="L234" s="36">
        <f>IF(ISNUMBER(K234),J234,0)</f>
        <v/>
      </c>
      <c r="M234" s="10">
        <f>IF(O234="","",IF(O234=0,"Not counted",IF(J234&lt;=0,"Paid",IF(H234="Yes","On hold (left out)",IF(I234&lt;W1,IF(OverdueW1="No","Overdue (left out)","Overdue → Week 1"),IF(I234&lt;=W1+90,"Week "&amp;K234,"After Week 13"))))))</f>
        <v/>
      </c>
      <c r="N234" s="10">
        <f>IF(O234="","",IF(O234=0,IF(NOT(ISNUMBER(E234)),"Fix: amount missing",IF(E234&lt;=0,"Fix: amount must be above 0",IF(AND(NOT(ISNUMBER(D234)),NOT(ISNUMBER(G234))),"Fix: add a due date or a planned pay date",IF(AND(D234&lt;&gt;"",NOT(ISNUMBER(D234))),"Fix: due date isn't a date",IF(AND(F234&lt;&gt;"",NOT(ISNUMBER(F234))),"Fix: paid must be a number",IF(AND(G234&lt;&gt;"",NOT(ISNUMBER(G234))),"Fix: planned date isn't a date","Fix: paid is more than the amount")))))),IF(AND(C234&lt;&gt;"",ISNUMBER(MATCH(C234,OutCats,0))),"OK","Category not on Settings (counted as Other)")))</f>
        <v/>
      </c>
      <c r="O234">
        <f>IF(COUNTA(A234:H234)=0,"",IF(AND(ISNUMBER(E234),E234&gt;0,OR(ISNUMBER(D234),ISNUMBER(G234)),OR(D234="",ISNUMBER(D234)),OR(F234="",ISNUMBER(F234)),OR(G234="",ISNUMBER(G234))),IF(N(F234)&gt;E234,0,1),0))</f>
        <v/>
      </c>
    </row>
    <row r="235">
      <c r="A235" s="29" t="n"/>
      <c r="B235" s="29" t="n"/>
      <c r="C235" s="29" t="n"/>
      <c r="D235" s="24" t="n"/>
      <c r="E235" s="34" t="n"/>
      <c r="F235" s="34" t="n"/>
      <c r="G235" s="24" t="n"/>
      <c r="H235" s="29" t="n"/>
      <c r="I235" s="32">
        <f>IF(O235&lt;&gt;1,"",IF(ISNUMBER(G235),INT(G235),INT(D235)))</f>
        <v/>
      </c>
      <c r="J235" s="21">
        <f>IF(O235&lt;&gt;1,0,E235-N(F235))</f>
        <v/>
      </c>
      <c r="K235" s="35">
        <f>IF(OR(O235&lt;&gt;1,J235&lt;=0),"",IF(H235="Yes","",IF(I235&lt;W1,IF(OverdueW1="No","",1),IF(I235&lt;=W1+90,INT((I235-W1)/7)+1,""))))</f>
        <v/>
      </c>
      <c r="L235" s="36">
        <f>IF(ISNUMBER(K235),J235,0)</f>
        <v/>
      </c>
      <c r="M235" s="10">
        <f>IF(O235="","",IF(O235=0,"Not counted",IF(J235&lt;=0,"Paid",IF(H235="Yes","On hold (left out)",IF(I235&lt;W1,IF(OverdueW1="No","Overdue (left out)","Overdue → Week 1"),IF(I235&lt;=W1+90,"Week "&amp;K235,"After Week 13"))))))</f>
        <v/>
      </c>
      <c r="N235" s="10">
        <f>IF(O235="","",IF(O235=0,IF(NOT(ISNUMBER(E235)),"Fix: amount missing",IF(E235&lt;=0,"Fix: amount must be above 0",IF(AND(NOT(ISNUMBER(D235)),NOT(ISNUMBER(G235))),"Fix: add a due date or a planned pay date",IF(AND(D235&lt;&gt;"",NOT(ISNUMBER(D235))),"Fix: due date isn't a date",IF(AND(F235&lt;&gt;"",NOT(ISNUMBER(F235))),"Fix: paid must be a number",IF(AND(G235&lt;&gt;"",NOT(ISNUMBER(G235))),"Fix: planned date isn't a date","Fix: paid is more than the amount")))))),IF(AND(C235&lt;&gt;"",ISNUMBER(MATCH(C235,OutCats,0))),"OK","Category not on Settings (counted as Other)")))</f>
        <v/>
      </c>
      <c r="O235">
        <f>IF(COUNTA(A235:H235)=0,"",IF(AND(ISNUMBER(E235),E235&gt;0,OR(ISNUMBER(D235),ISNUMBER(G235)),OR(D235="",ISNUMBER(D235)),OR(F235="",ISNUMBER(F235)),OR(G235="",ISNUMBER(G235))),IF(N(F235)&gt;E235,0,1),0))</f>
        <v/>
      </c>
    </row>
    <row r="236">
      <c r="A236" s="29" t="n"/>
      <c r="B236" s="29" t="n"/>
      <c r="C236" s="29" t="n"/>
      <c r="D236" s="24" t="n"/>
      <c r="E236" s="34" t="n"/>
      <c r="F236" s="34" t="n"/>
      <c r="G236" s="24" t="n"/>
      <c r="H236" s="29" t="n"/>
      <c r="I236" s="32">
        <f>IF(O236&lt;&gt;1,"",IF(ISNUMBER(G236),INT(G236),INT(D236)))</f>
        <v/>
      </c>
      <c r="J236" s="21">
        <f>IF(O236&lt;&gt;1,0,E236-N(F236))</f>
        <v/>
      </c>
      <c r="K236" s="35">
        <f>IF(OR(O236&lt;&gt;1,J236&lt;=0),"",IF(H236="Yes","",IF(I236&lt;W1,IF(OverdueW1="No","",1),IF(I236&lt;=W1+90,INT((I236-W1)/7)+1,""))))</f>
        <v/>
      </c>
      <c r="L236" s="36">
        <f>IF(ISNUMBER(K236),J236,0)</f>
        <v/>
      </c>
      <c r="M236" s="10">
        <f>IF(O236="","",IF(O236=0,"Not counted",IF(J236&lt;=0,"Paid",IF(H236="Yes","On hold (left out)",IF(I236&lt;W1,IF(OverdueW1="No","Overdue (left out)","Overdue → Week 1"),IF(I236&lt;=W1+90,"Week "&amp;K236,"After Week 13"))))))</f>
        <v/>
      </c>
      <c r="N236" s="10">
        <f>IF(O236="","",IF(O236=0,IF(NOT(ISNUMBER(E236)),"Fix: amount missing",IF(E236&lt;=0,"Fix: amount must be above 0",IF(AND(NOT(ISNUMBER(D236)),NOT(ISNUMBER(G236))),"Fix: add a due date or a planned pay date",IF(AND(D236&lt;&gt;"",NOT(ISNUMBER(D236))),"Fix: due date isn't a date",IF(AND(F236&lt;&gt;"",NOT(ISNUMBER(F236))),"Fix: paid must be a number",IF(AND(G236&lt;&gt;"",NOT(ISNUMBER(G236))),"Fix: planned date isn't a date","Fix: paid is more than the amount")))))),IF(AND(C236&lt;&gt;"",ISNUMBER(MATCH(C236,OutCats,0))),"OK","Category not on Settings (counted as Other)")))</f>
        <v/>
      </c>
      <c r="O236">
        <f>IF(COUNTA(A236:H236)=0,"",IF(AND(ISNUMBER(E236),E236&gt;0,OR(ISNUMBER(D236),ISNUMBER(G236)),OR(D236="",ISNUMBER(D236)),OR(F236="",ISNUMBER(F236)),OR(G236="",ISNUMBER(G236))),IF(N(F236)&gt;E236,0,1),0))</f>
        <v/>
      </c>
    </row>
    <row r="237">
      <c r="A237" s="29" t="n"/>
      <c r="B237" s="29" t="n"/>
      <c r="C237" s="29" t="n"/>
      <c r="D237" s="24" t="n"/>
      <c r="E237" s="34" t="n"/>
      <c r="F237" s="34" t="n"/>
      <c r="G237" s="24" t="n"/>
      <c r="H237" s="29" t="n"/>
      <c r="I237" s="32">
        <f>IF(O237&lt;&gt;1,"",IF(ISNUMBER(G237),INT(G237),INT(D237)))</f>
        <v/>
      </c>
      <c r="J237" s="21">
        <f>IF(O237&lt;&gt;1,0,E237-N(F237))</f>
        <v/>
      </c>
      <c r="K237" s="35">
        <f>IF(OR(O237&lt;&gt;1,J237&lt;=0),"",IF(H237="Yes","",IF(I237&lt;W1,IF(OverdueW1="No","",1),IF(I237&lt;=W1+90,INT((I237-W1)/7)+1,""))))</f>
        <v/>
      </c>
      <c r="L237" s="36">
        <f>IF(ISNUMBER(K237),J237,0)</f>
        <v/>
      </c>
      <c r="M237" s="10">
        <f>IF(O237="","",IF(O237=0,"Not counted",IF(J237&lt;=0,"Paid",IF(H237="Yes","On hold (left out)",IF(I237&lt;W1,IF(OverdueW1="No","Overdue (left out)","Overdue → Week 1"),IF(I237&lt;=W1+90,"Week "&amp;K237,"After Week 13"))))))</f>
        <v/>
      </c>
      <c r="N237" s="10">
        <f>IF(O237="","",IF(O237=0,IF(NOT(ISNUMBER(E237)),"Fix: amount missing",IF(E237&lt;=0,"Fix: amount must be above 0",IF(AND(NOT(ISNUMBER(D237)),NOT(ISNUMBER(G237))),"Fix: add a due date or a planned pay date",IF(AND(D237&lt;&gt;"",NOT(ISNUMBER(D237))),"Fix: due date isn't a date",IF(AND(F237&lt;&gt;"",NOT(ISNUMBER(F237))),"Fix: paid must be a number",IF(AND(G237&lt;&gt;"",NOT(ISNUMBER(G237))),"Fix: planned date isn't a date","Fix: paid is more than the amount")))))),IF(AND(C237&lt;&gt;"",ISNUMBER(MATCH(C237,OutCats,0))),"OK","Category not on Settings (counted as Other)")))</f>
        <v/>
      </c>
      <c r="O237">
        <f>IF(COUNTA(A237:H237)=0,"",IF(AND(ISNUMBER(E237),E237&gt;0,OR(ISNUMBER(D237),ISNUMBER(G237)),OR(D237="",ISNUMBER(D237)),OR(F237="",ISNUMBER(F237)),OR(G237="",ISNUMBER(G237))),IF(N(F237)&gt;E237,0,1),0))</f>
        <v/>
      </c>
    </row>
    <row r="238">
      <c r="A238" s="29" t="n"/>
      <c r="B238" s="29" t="n"/>
      <c r="C238" s="29" t="n"/>
      <c r="D238" s="24" t="n"/>
      <c r="E238" s="34" t="n"/>
      <c r="F238" s="34" t="n"/>
      <c r="G238" s="24" t="n"/>
      <c r="H238" s="29" t="n"/>
      <c r="I238" s="32">
        <f>IF(O238&lt;&gt;1,"",IF(ISNUMBER(G238),INT(G238),INT(D238)))</f>
        <v/>
      </c>
      <c r="J238" s="21">
        <f>IF(O238&lt;&gt;1,0,E238-N(F238))</f>
        <v/>
      </c>
      <c r="K238" s="35">
        <f>IF(OR(O238&lt;&gt;1,J238&lt;=0),"",IF(H238="Yes","",IF(I238&lt;W1,IF(OverdueW1="No","",1),IF(I238&lt;=W1+90,INT((I238-W1)/7)+1,""))))</f>
        <v/>
      </c>
      <c r="L238" s="36">
        <f>IF(ISNUMBER(K238),J238,0)</f>
        <v/>
      </c>
      <c r="M238" s="10">
        <f>IF(O238="","",IF(O238=0,"Not counted",IF(J238&lt;=0,"Paid",IF(H238="Yes","On hold (left out)",IF(I238&lt;W1,IF(OverdueW1="No","Overdue (left out)","Overdue → Week 1"),IF(I238&lt;=W1+90,"Week "&amp;K238,"After Week 13"))))))</f>
        <v/>
      </c>
      <c r="N238" s="10">
        <f>IF(O238="","",IF(O238=0,IF(NOT(ISNUMBER(E238)),"Fix: amount missing",IF(E238&lt;=0,"Fix: amount must be above 0",IF(AND(NOT(ISNUMBER(D238)),NOT(ISNUMBER(G238))),"Fix: add a due date or a planned pay date",IF(AND(D238&lt;&gt;"",NOT(ISNUMBER(D238))),"Fix: due date isn't a date",IF(AND(F238&lt;&gt;"",NOT(ISNUMBER(F238))),"Fix: paid must be a number",IF(AND(G238&lt;&gt;"",NOT(ISNUMBER(G238))),"Fix: planned date isn't a date","Fix: paid is more than the amount")))))),IF(AND(C238&lt;&gt;"",ISNUMBER(MATCH(C238,OutCats,0))),"OK","Category not on Settings (counted as Other)")))</f>
        <v/>
      </c>
      <c r="O238">
        <f>IF(COUNTA(A238:H238)=0,"",IF(AND(ISNUMBER(E238),E238&gt;0,OR(ISNUMBER(D238),ISNUMBER(G238)),OR(D238="",ISNUMBER(D238)),OR(F238="",ISNUMBER(F238)),OR(G238="",ISNUMBER(G238))),IF(N(F238)&gt;E238,0,1),0))</f>
        <v/>
      </c>
    </row>
    <row r="239">
      <c r="A239" s="29" t="n"/>
      <c r="B239" s="29" t="n"/>
      <c r="C239" s="29" t="n"/>
      <c r="D239" s="24" t="n"/>
      <c r="E239" s="34" t="n"/>
      <c r="F239" s="34" t="n"/>
      <c r="G239" s="24" t="n"/>
      <c r="H239" s="29" t="n"/>
      <c r="I239" s="32">
        <f>IF(O239&lt;&gt;1,"",IF(ISNUMBER(G239),INT(G239),INT(D239)))</f>
        <v/>
      </c>
      <c r="J239" s="21">
        <f>IF(O239&lt;&gt;1,0,E239-N(F239))</f>
        <v/>
      </c>
      <c r="K239" s="35">
        <f>IF(OR(O239&lt;&gt;1,J239&lt;=0),"",IF(H239="Yes","",IF(I239&lt;W1,IF(OverdueW1="No","",1),IF(I239&lt;=W1+90,INT((I239-W1)/7)+1,""))))</f>
        <v/>
      </c>
      <c r="L239" s="36">
        <f>IF(ISNUMBER(K239),J239,0)</f>
        <v/>
      </c>
      <c r="M239" s="10">
        <f>IF(O239="","",IF(O239=0,"Not counted",IF(J239&lt;=0,"Paid",IF(H239="Yes","On hold (left out)",IF(I239&lt;W1,IF(OverdueW1="No","Overdue (left out)","Overdue → Week 1"),IF(I239&lt;=W1+90,"Week "&amp;K239,"After Week 13"))))))</f>
        <v/>
      </c>
      <c r="N239" s="10">
        <f>IF(O239="","",IF(O239=0,IF(NOT(ISNUMBER(E239)),"Fix: amount missing",IF(E239&lt;=0,"Fix: amount must be above 0",IF(AND(NOT(ISNUMBER(D239)),NOT(ISNUMBER(G239))),"Fix: add a due date or a planned pay date",IF(AND(D239&lt;&gt;"",NOT(ISNUMBER(D239))),"Fix: due date isn't a date",IF(AND(F239&lt;&gt;"",NOT(ISNUMBER(F239))),"Fix: paid must be a number",IF(AND(G239&lt;&gt;"",NOT(ISNUMBER(G239))),"Fix: planned date isn't a date","Fix: paid is more than the amount")))))),IF(AND(C239&lt;&gt;"",ISNUMBER(MATCH(C239,OutCats,0))),"OK","Category not on Settings (counted as Other)")))</f>
        <v/>
      </c>
      <c r="O239">
        <f>IF(COUNTA(A239:H239)=0,"",IF(AND(ISNUMBER(E239),E239&gt;0,OR(ISNUMBER(D239),ISNUMBER(G239)),OR(D239="",ISNUMBER(D239)),OR(F239="",ISNUMBER(F239)),OR(G239="",ISNUMBER(G239))),IF(N(F239)&gt;E239,0,1),0))</f>
        <v/>
      </c>
    </row>
    <row r="240">
      <c r="A240" s="29" t="n"/>
      <c r="B240" s="29" t="n"/>
      <c r="C240" s="29" t="n"/>
      <c r="D240" s="24" t="n"/>
      <c r="E240" s="34" t="n"/>
      <c r="F240" s="34" t="n"/>
      <c r="G240" s="24" t="n"/>
      <c r="H240" s="29" t="n"/>
      <c r="I240" s="32">
        <f>IF(O240&lt;&gt;1,"",IF(ISNUMBER(G240),INT(G240),INT(D240)))</f>
        <v/>
      </c>
      <c r="J240" s="21">
        <f>IF(O240&lt;&gt;1,0,E240-N(F240))</f>
        <v/>
      </c>
      <c r="K240" s="35">
        <f>IF(OR(O240&lt;&gt;1,J240&lt;=0),"",IF(H240="Yes","",IF(I240&lt;W1,IF(OverdueW1="No","",1),IF(I240&lt;=W1+90,INT((I240-W1)/7)+1,""))))</f>
        <v/>
      </c>
      <c r="L240" s="36">
        <f>IF(ISNUMBER(K240),J240,0)</f>
        <v/>
      </c>
      <c r="M240" s="10">
        <f>IF(O240="","",IF(O240=0,"Not counted",IF(J240&lt;=0,"Paid",IF(H240="Yes","On hold (left out)",IF(I240&lt;W1,IF(OverdueW1="No","Overdue (left out)","Overdue → Week 1"),IF(I240&lt;=W1+90,"Week "&amp;K240,"After Week 13"))))))</f>
        <v/>
      </c>
      <c r="N240" s="10">
        <f>IF(O240="","",IF(O240=0,IF(NOT(ISNUMBER(E240)),"Fix: amount missing",IF(E240&lt;=0,"Fix: amount must be above 0",IF(AND(NOT(ISNUMBER(D240)),NOT(ISNUMBER(G240))),"Fix: add a due date or a planned pay date",IF(AND(D240&lt;&gt;"",NOT(ISNUMBER(D240))),"Fix: due date isn't a date",IF(AND(F240&lt;&gt;"",NOT(ISNUMBER(F240))),"Fix: paid must be a number",IF(AND(G240&lt;&gt;"",NOT(ISNUMBER(G240))),"Fix: planned date isn't a date","Fix: paid is more than the amount")))))),IF(AND(C240&lt;&gt;"",ISNUMBER(MATCH(C240,OutCats,0))),"OK","Category not on Settings (counted as Other)")))</f>
        <v/>
      </c>
      <c r="O240">
        <f>IF(COUNTA(A240:H240)=0,"",IF(AND(ISNUMBER(E240),E240&gt;0,OR(ISNUMBER(D240),ISNUMBER(G240)),OR(D240="",ISNUMBER(D240)),OR(F240="",ISNUMBER(F240)),OR(G240="",ISNUMBER(G240))),IF(N(F240)&gt;E240,0,1),0))</f>
        <v/>
      </c>
    </row>
    <row r="241">
      <c r="A241" s="29" t="n"/>
      <c r="B241" s="29" t="n"/>
      <c r="C241" s="29" t="n"/>
      <c r="D241" s="24" t="n"/>
      <c r="E241" s="34" t="n"/>
      <c r="F241" s="34" t="n"/>
      <c r="G241" s="24" t="n"/>
      <c r="H241" s="29" t="n"/>
      <c r="I241" s="32">
        <f>IF(O241&lt;&gt;1,"",IF(ISNUMBER(G241),INT(G241),INT(D241)))</f>
        <v/>
      </c>
      <c r="J241" s="21">
        <f>IF(O241&lt;&gt;1,0,E241-N(F241))</f>
        <v/>
      </c>
      <c r="K241" s="35">
        <f>IF(OR(O241&lt;&gt;1,J241&lt;=0),"",IF(H241="Yes","",IF(I241&lt;W1,IF(OverdueW1="No","",1),IF(I241&lt;=W1+90,INT((I241-W1)/7)+1,""))))</f>
        <v/>
      </c>
      <c r="L241" s="36">
        <f>IF(ISNUMBER(K241),J241,0)</f>
        <v/>
      </c>
      <c r="M241" s="10">
        <f>IF(O241="","",IF(O241=0,"Not counted",IF(J241&lt;=0,"Paid",IF(H241="Yes","On hold (left out)",IF(I241&lt;W1,IF(OverdueW1="No","Overdue (left out)","Overdue → Week 1"),IF(I241&lt;=W1+90,"Week "&amp;K241,"After Week 13"))))))</f>
        <v/>
      </c>
      <c r="N241" s="10">
        <f>IF(O241="","",IF(O241=0,IF(NOT(ISNUMBER(E241)),"Fix: amount missing",IF(E241&lt;=0,"Fix: amount must be above 0",IF(AND(NOT(ISNUMBER(D241)),NOT(ISNUMBER(G241))),"Fix: add a due date or a planned pay date",IF(AND(D241&lt;&gt;"",NOT(ISNUMBER(D241))),"Fix: due date isn't a date",IF(AND(F241&lt;&gt;"",NOT(ISNUMBER(F241))),"Fix: paid must be a number",IF(AND(G241&lt;&gt;"",NOT(ISNUMBER(G241))),"Fix: planned date isn't a date","Fix: paid is more than the amount")))))),IF(AND(C241&lt;&gt;"",ISNUMBER(MATCH(C241,OutCats,0))),"OK","Category not on Settings (counted as Other)")))</f>
        <v/>
      </c>
      <c r="O241">
        <f>IF(COUNTA(A241:H241)=0,"",IF(AND(ISNUMBER(E241),E241&gt;0,OR(ISNUMBER(D241),ISNUMBER(G241)),OR(D241="",ISNUMBER(D241)),OR(F241="",ISNUMBER(F241)),OR(G241="",ISNUMBER(G241))),IF(N(F241)&gt;E241,0,1),0))</f>
        <v/>
      </c>
    </row>
    <row r="242">
      <c r="A242" s="29" t="n"/>
      <c r="B242" s="29" t="n"/>
      <c r="C242" s="29" t="n"/>
      <c r="D242" s="24" t="n"/>
      <c r="E242" s="34" t="n"/>
      <c r="F242" s="34" t="n"/>
      <c r="G242" s="24" t="n"/>
      <c r="H242" s="29" t="n"/>
      <c r="I242" s="32">
        <f>IF(O242&lt;&gt;1,"",IF(ISNUMBER(G242),INT(G242),INT(D242)))</f>
        <v/>
      </c>
      <c r="J242" s="21">
        <f>IF(O242&lt;&gt;1,0,E242-N(F242))</f>
        <v/>
      </c>
      <c r="K242" s="35">
        <f>IF(OR(O242&lt;&gt;1,J242&lt;=0),"",IF(H242="Yes","",IF(I242&lt;W1,IF(OverdueW1="No","",1),IF(I242&lt;=W1+90,INT((I242-W1)/7)+1,""))))</f>
        <v/>
      </c>
      <c r="L242" s="36">
        <f>IF(ISNUMBER(K242),J242,0)</f>
        <v/>
      </c>
      <c r="M242" s="10">
        <f>IF(O242="","",IF(O242=0,"Not counted",IF(J242&lt;=0,"Paid",IF(H242="Yes","On hold (left out)",IF(I242&lt;W1,IF(OverdueW1="No","Overdue (left out)","Overdue → Week 1"),IF(I242&lt;=W1+90,"Week "&amp;K242,"After Week 13"))))))</f>
        <v/>
      </c>
      <c r="N242" s="10">
        <f>IF(O242="","",IF(O242=0,IF(NOT(ISNUMBER(E242)),"Fix: amount missing",IF(E242&lt;=0,"Fix: amount must be above 0",IF(AND(NOT(ISNUMBER(D242)),NOT(ISNUMBER(G242))),"Fix: add a due date or a planned pay date",IF(AND(D242&lt;&gt;"",NOT(ISNUMBER(D242))),"Fix: due date isn't a date",IF(AND(F242&lt;&gt;"",NOT(ISNUMBER(F242))),"Fix: paid must be a number",IF(AND(G242&lt;&gt;"",NOT(ISNUMBER(G242))),"Fix: planned date isn't a date","Fix: paid is more than the amount")))))),IF(AND(C242&lt;&gt;"",ISNUMBER(MATCH(C242,OutCats,0))),"OK","Category not on Settings (counted as Other)")))</f>
        <v/>
      </c>
      <c r="O242">
        <f>IF(COUNTA(A242:H242)=0,"",IF(AND(ISNUMBER(E242),E242&gt;0,OR(ISNUMBER(D242),ISNUMBER(G242)),OR(D242="",ISNUMBER(D242)),OR(F242="",ISNUMBER(F242)),OR(G242="",ISNUMBER(G242))),IF(N(F242)&gt;E242,0,1),0))</f>
        <v/>
      </c>
    </row>
    <row r="243">
      <c r="A243" s="29" t="n"/>
      <c r="B243" s="29" t="n"/>
      <c r="C243" s="29" t="n"/>
      <c r="D243" s="24" t="n"/>
      <c r="E243" s="34" t="n"/>
      <c r="F243" s="34" t="n"/>
      <c r="G243" s="24" t="n"/>
      <c r="H243" s="29" t="n"/>
      <c r="I243" s="32">
        <f>IF(O243&lt;&gt;1,"",IF(ISNUMBER(G243),INT(G243),INT(D243)))</f>
        <v/>
      </c>
      <c r="J243" s="21">
        <f>IF(O243&lt;&gt;1,0,E243-N(F243))</f>
        <v/>
      </c>
      <c r="K243" s="35">
        <f>IF(OR(O243&lt;&gt;1,J243&lt;=0),"",IF(H243="Yes","",IF(I243&lt;W1,IF(OverdueW1="No","",1),IF(I243&lt;=W1+90,INT((I243-W1)/7)+1,""))))</f>
        <v/>
      </c>
      <c r="L243" s="36">
        <f>IF(ISNUMBER(K243),J243,0)</f>
        <v/>
      </c>
      <c r="M243" s="10">
        <f>IF(O243="","",IF(O243=0,"Not counted",IF(J243&lt;=0,"Paid",IF(H243="Yes","On hold (left out)",IF(I243&lt;W1,IF(OverdueW1="No","Overdue (left out)","Overdue → Week 1"),IF(I243&lt;=W1+90,"Week "&amp;K243,"After Week 13"))))))</f>
        <v/>
      </c>
      <c r="N243" s="10">
        <f>IF(O243="","",IF(O243=0,IF(NOT(ISNUMBER(E243)),"Fix: amount missing",IF(E243&lt;=0,"Fix: amount must be above 0",IF(AND(NOT(ISNUMBER(D243)),NOT(ISNUMBER(G243))),"Fix: add a due date or a planned pay date",IF(AND(D243&lt;&gt;"",NOT(ISNUMBER(D243))),"Fix: due date isn't a date",IF(AND(F243&lt;&gt;"",NOT(ISNUMBER(F243))),"Fix: paid must be a number",IF(AND(G243&lt;&gt;"",NOT(ISNUMBER(G243))),"Fix: planned date isn't a date","Fix: paid is more than the amount")))))),IF(AND(C243&lt;&gt;"",ISNUMBER(MATCH(C243,OutCats,0))),"OK","Category not on Settings (counted as Other)")))</f>
        <v/>
      </c>
      <c r="O243">
        <f>IF(COUNTA(A243:H243)=0,"",IF(AND(ISNUMBER(E243),E243&gt;0,OR(ISNUMBER(D243),ISNUMBER(G243)),OR(D243="",ISNUMBER(D243)),OR(F243="",ISNUMBER(F243)),OR(G243="",ISNUMBER(G243))),IF(N(F243)&gt;E243,0,1),0))</f>
        <v/>
      </c>
    </row>
    <row r="244">
      <c r="A244" s="29" t="n"/>
      <c r="B244" s="29" t="n"/>
      <c r="C244" s="29" t="n"/>
      <c r="D244" s="24" t="n"/>
      <c r="E244" s="34" t="n"/>
      <c r="F244" s="34" t="n"/>
      <c r="G244" s="24" t="n"/>
      <c r="H244" s="29" t="n"/>
      <c r="I244" s="32">
        <f>IF(O244&lt;&gt;1,"",IF(ISNUMBER(G244),INT(G244),INT(D244)))</f>
        <v/>
      </c>
      <c r="J244" s="21">
        <f>IF(O244&lt;&gt;1,0,E244-N(F244))</f>
        <v/>
      </c>
      <c r="K244" s="35">
        <f>IF(OR(O244&lt;&gt;1,J244&lt;=0),"",IF(H244="Yes","",IF(I244&lt;W1,IF(OverdueW1="No","",1),IF(I244&lt;=W1+90,INT((I244-W1)/7)+1,""))))</f>
        <v/>
      </c>
      <c r="L244" s="36">
        <f>IF(ISNUMBER(K244),J244,0)</f>
        <v/>
      </c>
      <c r="M244" s="10">
        <f>IF(O244="","",IF(O244=0,"Not counted",IF(J244&lt;=0,"Paid",IF(H244="Yes","On hold (left out)",IF(I244&lt;W1,IF(OverdueW1="No","Overdue (left out)","Overdue → Week 1"),IF(I244&lt;=W1+90,"Week "&amp;K244,"After Week 13"))))))</f>
        <v/>
      </c>
      <c r="N244" s="10">
        <f>IF(O244="","",IF(O244=0,IF(NOT(ISNUMBER(E244)),"Fix: amount missing",IF(E244&lt;=0,"Fix: amount must be above 0",IF(AND(NOT(ISNUMBER(D244)),NOT(ISNUMBER(G244))),"Fix: add a due date or a planned pay date",IF(AND(D244&lt;&gt;"",NOT(ISNUMBER(D244))),"Fix: due date isn't a date",IF(AND(F244&lt;&gt;"",NOT(ISNUMBER(F244))),"Fix: paid must be a number",IF(AND(G244&lt;&gt;"",NOT(ISNUMBER(G244))),"Fix: planned date isn't a date","Fix: paid is more than the amount")))))),IF(AND(C244&lt;&gt;"",ISNUMBER(MATCH(C244,OutCats,0))),"OK","Category not on Settings (counted as Other)")))</f>
        <v/>
      </c>
      <c r="O244">
        <f>IF(COUNTA(A244:H244)=0,"",IF(AND(ISNUMBER(E244),E244&gt;0,OR(ISNUMBER(D244),ISNUMBER(G244)),OR(D244="",ISNUMBER(D244)),OR(F244="",ISNUMBER(F244)),OR(G244="",ISNUMBER(G244))),IF(N(F244)&gt;E244,0,1),0))</f>
        <v/>
      </c>
    </row>
    <row r="245">
      <c r="A245" s="29" t="n"/>
      <c r="B245" s="29" t="n"/>
      <c r="C245" s="29" t="n"/>
      <c r="D245" s="24" t="n"/>
      <c r="E245" s="34" t="n"/>
      <c r="F245" s="34" t="n"/>
      <c r="G245" s="24" t="n"/>
      <c r="H245" s="29" t="n"/>
      <c r="I245" s="32">
        <f>IF(O245&lt;&gt;1,"",IF(ISNUMBER(G245),INT(G245),INT(D245)))</f>
        <v/>
      </c>
      <c r="J245" s="21">
        <f>IF(O245&lt;&gt;1,0,E245-N(F245))</f>
        <v/>
      </c>
      <c r="K245" s="35">
        <f>IF(OR(O245&lt;&gt;1,J245&lt;=0),"",IF(H245="Yes","",IF(I245&lt;W1,IF(OverdueW1="No","",1),IF(I245&lt;=W1+90,INT((I245-W1)/7)+1,""))))</f>
        <v/>
      </c>
      <c r="L245" s="36">
        <f>IF(ISNUMBER(K245),J245,0)</f>
        <v/>
      </c>
      <c r="M245" s="10">
        <f>IF(O245="","",IF(O245=0,"Not counted",IF(J245&lt;=0,"Paid",IF(H245="Yes","On hold (left out)",IF(I245&lt;W1,IF(OverdueW1="No","Overdue (left out)","Overdue → Week 1"),IF(I245&lt;=W1+90,"Week "&amp;K245,"After Week 13"))))))</f>
        <v/>
      </c>
      <c r="N245" s="10">
        <f>IF(O245="","",IF(O245=0,IF(NOT(ISNUMBER(E245)),"Fix: amount missing",IF(E245&lt;=0,"Fix: amount must be above 0",IF(AND(NOT(ISNUMBER(D245)),NOT(ISNUMBER(G245))),"Fix: add a due date or a planned pay date",IF(AND(D245&lt;&gt;"",NOT(ISNUMBER(D245))),"Fix: due date isn't a date",IF(AND(F245&lt;&gt;"",NOT(ISNUMBER(F245))),"Fix: paid must be a number",IF(AND(G245&lt;&gt;"",NOT(ISNUMBER(G245))),"Fix: planned date isn't a date","Fix: paid is more than the amount")))))),IF(AND(C245&lt;&gt;"",ISNUMBER(MATCH(C245,OutCats,0))),"OK","Category not on Settings (counted as Other)")))</f>
        <v/>
      </c>
      <c r="O245">
        <f>IF(COUNTA(A245:H245)=0,"",IF(AND(ISNUMBER(E245),E245&gt;0,OR(ISNUMBER(D245),ISNUMBER(G245)),OR(D245="",ISNUMBER(D245)),OR(F245="",ISNUMBER(F245)),OR(G245="",ISNUMBER(G245))),IF(N(F245)&gt;E245,0,1),0))</f>
        <v/>
      </c>
    </row>
    <row r="246">
      <c r="A246" s="29" t="n"/>
      <c r="B246" s="29" t="n"/>
      <c r="C246" s="29" t="n"/>
      <c r="D246" s="24" t="n"/>
      <c r="E246" s="34" t="n"/>
      <c r="F246" s="34" t="n"/>
      <c r="G246" s="24" t="n"/>
      <c r="H246" s="29" t="n"/>
      <c r="I246" s="32">
        <f>IF(O246&lt;&gt;1,"",IF(ISNUMBER(G246),INT(G246),INT(D246)))</f>
        <v/>
      </c>
      <c r="J246" s="21">
        <f>IF(O246&lt;&gt;1,0,E246-N(F246))</f>
        <v/>
      </c>
      <c r="K246" s="35">
        <f>IF(OR(O246&lt;&gt;1,J246&lt;=0),"",IF(H246="Yes","",IF(I246&lt;W1,IF(OverdueW1="No","",1),IF(I246&lt;=W1+90,INT((I246-W1)/7)+1,""))))</f>
        <v/>
      </c>
      <c r="L246" s="36">
        <f>IF(ISNUMBER(K246),J246,0)</f>
        <v/>
      </c>
      <c r="M246" s="10">
        <f>IF(O246="","",IF(O246=0,"Not counted",IF(J246&lt;=0,"Paid",IF(H246="Yes","On hold (left out)",IF(I246&lt;W1,IF(OverdueW1="No","Overdue (left out)","Overdue → Week 1"),IF(I246&lt;=W1+90,"Week "&amp;K246,"After Week 13"))))))</f>
        <v/>
      </c>
      <c r="N246" s="10">
        <f>IF(O246="","",IF(O246=0,IF(NOT(ISNUMBER(E246)),"Fix: amount missing",IF(E246&lt;=0,"Fix: amount must be above 0",IF(AND(NOT(ISNUMBER(D246)),NOT(ISNUMBER(G246))),"Fix: add a due date or a planned pay date",IF(AND(D246&lt;&gt;"",NOT(ISNUMBER(D246))),"Fix: due date isn't a date",IF(AND(F246&lt;&gt;"",NOT(ISNUMBER(F246))),"Fix: paid must be a number",IF(AND(G246&lt;&gt;"",NOT(ISNUMBER(G246))),"Fix: planned date isn't a date","Fix: paid is more than the amount")))))),IF(AND(C246&lt;&gt;"",ISNUMBER(MATCH(C246,OutCats,0))),"OK","Category not on Settings (counted as Other)")))</f>
        <v/>
      </c>
      <c r="O246">
        <f>IF(COUNTA(A246:H246)=0,"",IF(AND(ISNUMBER(E246),E246&gt;0,OR(ISNUMBER(D246),ISNUMBER(G246)),OR(D246="",ISNUMBER(D246)),OR(F246="",ISNUMBER(F246)),OR(G246="",ISNUMBER(G246))),IF(N(F246)&gt;E246,0,1),0))</f>
        <v/>
      </c>
    </row>
    <row r="247">
      <c r="A247" s="29" t="n"/>
      <c r="B247" s="29" t="n"/>
      <c r="C247" s="29" t="n"/>
      <c r="D247" s="24" t="n"/>
      <c r="E247" s="34" t="n"/>
      <c r="F247" s="34" t="n"/>
      <c r="G247" s="24" t="n"/>
      <c r="H247" s="29" t="n"/>
      <c r="I247" s="32">
        <f>IF(O247&lt;&gt;1,"",IF(ISNUMBER(G247),INT(G247),INT(D247)))</f>
        <v/>
      </c>
      <c r="J247" s="21">
        <f>IF(O247&lt;&gt;1,0,E247-N(F247))</f>
        <v/>
      </c>
      <c r="K247" s="35">
        <f>IF(OR(O247&lt;&gt;1,J247&lt;=0),"",IF(H247="Yes","",IF(I247&lt;W1,IF(OverdueW1="No","",1),IF(I247&lt;=W1+90,INT((I247-W1)/7)+1,""))))</f>
        <v/>
      </c>
      <c r="L247" s="36">
        <f>IF(ISNUMBER(K247),J247,0)</f>
        <v/>
      </c>
      <c r="M247" s="10">
        <f>IF(O247="","",IF(O247=0,"Not counted",IF(J247&lt;=0,"Paid",IF(H247="Yes","On hold (left out)",IF(I247&lt;W1,IF(OverdueW1="No","Overdue (left out)","Overdue → Week 1"),IF(I247&lt;=W1+90,"Week "&amp;K247,"After Week 13"))))))</f>
        <v/>
      </c>
      <c r="N247" s="10">
        <f>IF(O247="","",IF(O247=0,IF(NOT(ISNUMBER(E247)),"Fix: amount missing",IF(E247&lt;=0,"Fix: amount must be above 0",IF(AND(NOT(ISNUMBER(D247)),NOT(ISNUMBER(G247))),"Fix: add a due date or a planned pay date",IF(AND(D247&lt;&gt;"",NOT(ISNUMBER(D247))),"Fix: due date isn't a date",IF(AND(F247&lt;&gt;"",NOT(ISNUMBER(F247))),"Fix: paid must be a number",IF(AND(G247&lt;&gt;"",NOT(ISNUMBER(G247))),"Fix: planned date isn't a date","Fix: paid is more than the amount")))))),IF(AND(C247&lt;&gt;"",ISNUMBER(MATCH(C247,OutCats,0))),"OK","Category not on Settings (counted as Other)")))</f>
        <v/>
      </c>
      <c r="O247">
        <f>IF(COUNTA(A247:H247)=0,"",IF(AND(ISNUMBER(E247),E247&gt;0,OR(ISNUMBER(D247),ISNUMBER(G247)),OR(D247="",ISNUMBER(D247)),OR(F247="",ISNUMBER(F247)),OR(G247="",ISNUMBER(G247))),IF(N(F247)&gt;E247,0,1),0))</f>
        <v/>
      </c>
    </row>
    <row r="248">
      <c r="A248" s="29" t="n"/>
      <c r="B248" s="29" t="n"/>
      <c r="C248" s="29" t="n"/>
      <c r="D248" s="24" t="n"/>
      <c r="E248" s="34" t="n"/>
      <c r="F248" s="34" t="n"/>
      <c r="G248" s="24" t="n"/>
      <c r="H248" s="29" t="n"/>
      <c r="I248" s="32">
        <f>IF(O248&lt;&gt;1,"",IF(ISNUMBER(G248),INT(G248),INT(D248)))</f>
        <v/>
      </c>
      <c r="J248" s="21">
        <f>IF(O248&lt;&gt;1,0,E248-N(F248))</f>
        <v/>
      </c>
      <c r="K248" s="35">
        <f>IF(OR(O248&lt;&gt;1,J248&lt;=0),"",IF(H248="Yes","",IF(I248&lt;W1,IF(OverdueW1="No","",1),IF(I248&lt;=W1+90,INT((I248-W1)/7)+1,""))))</f>
        <v/>
      </c>
      <c r="L248" s="36">
        <f>IF(ISNUMBER(K248),J248,0)</f>
        <v/>
      </c>
      <c r="M248" s="10">
        <f>IF(O248="","",IF(O248=0,"Not counted",IF(J248&lt;=0,"Paid",IF(H248="Yes","On hold (left out)",IF(I248&lt;W1,IF(OverdueW1="No","Overdue (left out)","Overdue → Week 1"),IF(I248&lt;=W1+90,"Week "&amp;K248,"After Week 13"))))))</f>
        <v/>
      </c>
      <c r="N248" s="10">
        <f>IF(O248="","",IF(O248=0,IF(NOT(ISNUMBER(E248)),"Fix: amount missing",IF(E248&lt;=0,"Fix: amount must be above 0",IF(AND(NOT(ISNUMBER(D248)),NOT(ISNUMBER(G248))),"Fix: add a due date or a planned pay date",IF(AND(D248&lt;&gt;"",NOT(ISNUMBER(D248))),"Fix: due date isn't a date",IF(AND(F248&lt;&gt;"",NOT(ISNUMBER(F248))),"Fix: paid must be a number",IF(AND(G248&lt;&gt;"",NOT(ISNUMBER(G248))),"Fix: planned date isn't a date","Fix: paid is more than the amount")))))),IF(AND(C248&lt;&gt;"",ISNUMBER(MATCH(C248,OutCats,0))),"OK","Category not on Settings (counted as Other)")))</f>
        <v/>
      </c>
      <c r="O248">
        <f>IF(COUNTA(A248:H248)=0,"",IF(AND(ISNUMBER(E248),E248&gt;0,OR(ISNUMBER(D248),ISNUMBER(G248)),OR(D248="",ISNUMBER(D248)),OR(F248="",ISNUMBER(F248)),OR(G248="",ISNUMBER(G248))),IF(N(F248)&gt;E248,0,1),0))</f>
        <v/>
      </c>
    </row>
    <row r="249">
      <c r="A249" s="29" t="n"/>
      <c r="B249" s="29" t="n"/>
      <c r="C249" s="29" t="n"/>
      <c r="D249" s="24" t="n"/>
      <c r="E249" s="34" t="n"/>
      <c r="F249" s="34" t="n"/>
      <c r="G249" s="24" t="n"/>
      <c r="H249" s="29" t="n"/>
      <c r="I249" s="32">
        <f>IF(O249&lt;&gt;1,"",IF(ISNUMBER(G249),INT(G249),INT(D249)))</f>
        <v/>
      </c>
      <c r="J249" s="21">
        <f>IF(O249&lt;&gt;1,0,E249-N(F249))</f>
        <v/>
      </c>
      <c r="K249" s="35">
        <f>IF(OR(O249&lt;&gt;1,J249&lt;=0),"",IF(H249="Yes","",IF(I249&lt;W1,IF(OverdueW1="No","",1),IF(I249&lt;=W1+90,INT((I249-W1)/7)+1,""))))</f>
        <v/>
      </c>
      <c r="L249" s="36">
        <f>IF(ISNUMBER(K249),J249,0)</f>
        <v/>
      </c>
      <c r="M249" s="10">
        <f>IF(O249="","",IF(O249=0,"Not counted",IF(J249&lt;=0,"Paid",IF(H249="Yes","On hold (left out)",IF(I249&lt;W1,IF(OverdueW1="No","Overdue (left out)","Overdue → Week 1"),IF(I249&lt;=W1+90,"Week "&amp;K249,"After Week 13"))))))</f>
        <v/>
      </c>
      <c r="N249" s="10">
        <f>IF(O249="","",IF(O249=0,IF(NOT(ISNUMBER(E249)),"Fix: amount missing",IF(E249&lt;=0,"Fix: amount must be above 0",IF(AND(NOT(ISNUMBER(D249)),NOT(ISNUMBER(G249))),"Fix: add a due date or a planned pay date",IF(AND(D249&lt;&gt;"",NOT(ISNUMBER(D249))),"Fix: due date isn't a date",IF(AND(F249&lt;&gt;"",NOT(ISNUMBER(F249))),"Fix: paid must be a number",IF(AND(G249&lt;&gt;"",NOT(ISNUMBER(G249))),"Fix: planned date isn't a date","Fix: paid is more than the amount")))))),IF(AND(C249&lt;&gt;"",ISNUMBER(MATCH(C249,OutCats,0))),"OK","Category not on Settings (counted as Other)")))</f>
        <v/>
      </c>
      <c r="O249">
        <f>IF(COUNTA(A249:H249)=0,"",IF(AND(ISNUMBER(E249),E249&gt;0,OR(ISNUMBER(D249),ISNUMBER(G249)),OR(D249="",ISNUMBER(D249)),OR(F249="",ISNUMBER(F249)),OR(G249="",ISNUMBER(G249))),IF(N(F249)&gt;E249,0,1),0))</f>
        <v/>
      </c>
    </row>
    <row r="250">
      <c r="A250" s="29" t="n"/>
      <c r="B250" s="29" t="n"/>
      <c r="C250" s="29" t="n"/>
      <c r="D250" s="24" t="n"/>
      <c r="E250" s="34" t="n"/>
      <c r="F250" s="34" t="n"/>
      <c r="G250" s="24" t="n"/>
      <c r="H250" s="29" t="n"/>
      <c r="I250" s="32">
        <f>IF(O250&lt;&gt;1,"",IF(ISNUMBER(G250),INT(G250),INT(D250)))</f>
        <v/>
      </c>
      <c r="J250" s="21">
        <f>IF(O250&lt;&gt;1,0,E250-N(F250))</f>
        <v/>
      </c>
      <c r="K250" s="35">
        <f>IF(OR(O250&lt;&gt;1,J250&lt;=0),"",IF(H250="Yes","",IF(I250&lt;W1,IF(OverdueW1="No","",1),IF(I250&lt;=W1+90,INT((I250-W1)/7)+1,""))))</f>
        <v/>
      </c>
      <c r="L250" s="36">
        <f>IF(ISNUMBER(K250),J250,0)</f>
        <v/>
      </c>
      <c r="M250" s="10">
        <f>IF(O250="","",IF(O250=0,"Not counted",IF(J250&lt;=0,"Paid",IF(H250="Yes","On hold (left out)",IF(I250&lt;W1,IF(OverdueW1="No","Overdue (left out)","Overdue → Week 1"),IF(I250&lt;=W1+90,"Week "&amp;K250,"After Week 13"))))))</f>
        <v/>
      </c>
      <c r="N250" s="10">
        <f>IF(O250="","",IF(O250=0,IF(NOT(ISNUMBER(E250)),"Fix: amount missing",IF(E250&lt;=0,"Fix: amount must be above 0",IF(AND(NOT(ISNUMBER(D250)),NOT(ISNUMBER(G250))),"Fix: add a due date or a planned pay date",IF(AND(D250&lt;&gt;"",NOT(ISNUMBER(D250))),"Fix: due date isn't a date",IF(AND(F250&lt;&gt;"",NOT(ISNUMBER(F250))),"Fix: paid must be a number",IF(AND(G250&lt;&gt;"",NOT(ISNUMBER(G250))),"Fix: planned date isn't a date","Fix: paid is more than the amount")))))),IF(AND(C250&lt;&gt;"",ISNUMBER(MATCH(C250,OutCats,0))),"OK","Category not on Settings (counted as Other)")))</f>
        <v/>
      </c>
      <c r="O250">
        <f>IF(COUNTA(A250:H250)=0,"",IF(AND(ISNUMBER(E250),E250&gt;0,OR(ISNUMBER(D250),ISNUMBER(G250)),OR(D250="",ISNUMBER(D250)),OR(F250="",ISNUMBER(F250)),OR(G250="",ISNUMBER(G250))),IF(N(F250)&gt;E250,0,1),0))</f>
        <v/>
      </c>
    </row>
    <row r="251">
      <c r="A251" s="29" t="n"/>
      <c r="B251" s="29" t="n"/>
      <c r="C251" s="29" t="n"/>
      <c r="D251" s="24" t="n"/>
      <c r="E251" s="34" t="n"/>
      <c r="F251" s="34" t="n"/>
      <c r="G251" s="24" t="n"/>
      <c r="H251" s="29" t="n"/>
      <c r="I251" s="32">
        <f>IF(O251&lt;&gt;1,"",IF(ISNUMBER(G251),INT(G251),INT(D251)))</f>
        <v/>
      </c>
      <c r="J251" s="21">
        <f>IF(O251&lt;&gt;1,0,E251-N(F251))</f>
        <v/>
      </c>
      <c r="K251" s="35">
        <f>IF(OR(O251&lt;&gt;1,J251&lt;=0),"",IF(H251="Yes","",IF(I251&lt;W1,IF(OverdueW1="No","",1),IF(I251&lt;=W1+90,INT((I251-W1)/7)+1,""))))</f>
        <v/>
      </c>
      <c r="L251" s="36">
        <f>IF(ISNUMBER(K251),J251,0)</f>
        <v/>
      </c>
      <c r="M251" s="10">
        <f>IF(O251="","",IF(O251=0,"Not counted",IF(J251&lt;=0,"Paid",IF(H251="Yes","On hold (left out)",IF(I251&lt;W1,IF(OverdueW1="No","Overdue (left out)","Overdue → Week 1"),IF(I251&lt;=W1+90,"Week "&amp;K251,"After Week 13"))))))</f>
        <v/>
      </c>
      <c r="N251" s="10">
        <f>IF(O251="","",IF(O251=0,IF(NOT(ISNUMBER(E251)),"Fix: amount missing",IF(E251&lt;=0,"Fix: amount must be above 0",IF(AND(NOT(ISNUMBER(D251)),NOT(ISNUMBER(G251))),"Fix: add a due date or a planned pay date",IF(AND(D251&lt;&gt;"",NOT(ISNUMBER(D251))),"Fix: due date isn't a date",IF(AND(F251&lt;&gt;"",NOT(ISNUMBER(F251))),"Fix: paid must be a number",IF(AND(G251&lt;&gt;"",NOT(ISNUMBER(G251))),"Fix: planned date isn't a date","Fix: paid is more than the amount")))))),IF(AND(C251&lt;&gt;"",ISNUMBER(MATCH(C251,OutCats,0))),"OK","Category not on Settings (counted as Other)")))</f>
        <v/>
      </c>
      <c r="O251">
        <f>IF(COUNTA(A251:H251)=0,"",IF(AND(ISNUMBER(E251),E251&gt;0,OR(ISNUMBER(D251),ISNUMBER(G251)),OR(D251="",ISNUMBER(D251)),OR(F251="",ISNUMBER(F251)),OR(G251="",ISNUMBER(G251))),IF(N(F251)&gt;E251,0,1),0))</f>
        <v/>
      </c>
    </row>
    <row r="252">
      <c r="A252" s="29" t="n"/>
      <c r="B252" s="29" t="n"/>
      <c r="C252" s="29" t="n"/>
      <c r="D252" s="24" t="n"/>
      <c r="E252" s="34" t="n"/>
      <c r="F252" s="34" t="n"/>
      <c r="G252" s="24" t="n"/>
      <c r="H252" s="29" t="n"/>
      <c r="I252" s="32">
        <f>IF(O252&lt;&gt;1,"",IF(ISNUMBER(G252),INT(G252),INT(D252)))</f>
        <v/>
      </c>
      <c r="J252" s="21">
        <f>IF(O252&lt;&gt;1,0,E252-N(F252))</f>
        <v/>
      </c>
      <c r="K252" s="35">
        <f>IF(OR(O252&lt;&gt;1,J252&lt;=0),"",IF(H252="Yes","",IF(I252&lt;W1,IF(OverdueW1="No","",1),IF(I252&lt;=W1+90,INT((I252-W1)/7)+1,""))))</f>
        <v/>
      </c>
      <c r="L252" s="36">
        <f>IF(ISNUMBER(K252),J252,0)</f>
        <v/>
      </c>
      <c r="M252" s="10">
        <f>IF(O252="","",IF(O252=0,"Not counted",IF(J252&lt;=0,"Paid",IF(H252="Yes","On hold (left out)",IF(I252&lt;W1,IF(OverdueW1="No","Overdue (left out)","Overdue → Week 1"),IF(I252&lt;=W1+90,"Week "&amp;K252,"After Week 13"))))))</f>
        <v/>
      </c>
      <c r="N252" s="10">
        <f>IF(O252="","",IF(O252=0,IF(NOT(ISNUMBER(E252)),"Fix: amount missing",IF(E252&lt;=0,"Fix: amount must be above 0",IF(AND(NOT(ISNUMBER(D252)),NOT(ISNUMBER(G252))),"Fix: add a due date or a planned pay date",IF(AND(D252&lt;&gt;"",NOT(ISNUMBER(D252))),"Fix: due date isn't a date",IF(AND(F252&lt;&gt;"",NOT(ISNUMBER(F252))),"Fix: paid must be a number",IF(AND(G252&lt;&gt;"",NOT(ISNUMBER(G252))),"Fix: planned date isn't a date","Fix: paid is more than the amount")))))),IF(AND(C252&lt;&gt;"",ISNUMBER(MATCH(C252,OutCats,0))),"OK","Category not on Settings (counted as Other)")))</f>
        <v/>
      </c>
      <c r="O252">
        <f>IF(COUNTA(A252:H252)=0,"",IF(AND(ISNUMBER(E252),E252&gt;0,OR(ISNUMBER(D252),ISNUMBER(G252)),OR(D252="",ISNUMBER(D252)),OR(F252="",ISNUMBER(F252)),OR(G252="",ISNUMBER(G252))),IF(N(F252)&gt;E252,0,1),0))</f>
        <v/>
      </c>
    </row>
    <row r="253">
      <c r="A253" s="29" t="n"/>
      <c r="B253" s="29" t="n"/>
      <c r="C253" s="29" t="n"/>
      <c r="D253" s="24" t="n"/>
      <c r="E253" s="34" t="n"/>
      <c r="F253" s="34" t="n"/>
      <c r="G253" s="24" t="n"/>
      <c r="H253" s="29" t="n"/>
      <c r="I253" s="32">
        <f>IF(O253&lt;&gt;1,"",IF(ISNUMBER(G253),INT(G253),INT(D253)))</f>
        <v/>
      </c>
      <c r="J253" s="21">
        <f>IF(O253&lt;&gt;1,0,E253-N(F253))</f>
        <v/>
      </c>
      <c r="K253" s="35">
        <f>IF(OR(O253&lt;&gt;1,J253&lt;=0),"",IF(H253="Yes","",IF(I253&lt;W1,IF(OverdueW1="No","",1),IF(I253&lt;=W1+90,INT((I253-W1)/7)+1,""))))</f>
        <v/>
      </c>
      <c r="L253" s="36">
        <f>IF(ISNUMBER(K253),J253,0)</f>
        <v/>
      </c>
      <c r="M253" s="10">
        <f>IF(O253="","",IF(O253=0,"Not counted",IF(J253&lt;=0,"Paid",IF(H253="Yes","On hold (left out)",IF(I253&lt;W1,IF(OverdueW1="No","Overdue (left out)","Overdue → Week 1"),IF(I253&lt;=W1+90,"Week "&amp;K253,"After Week 13"))))))</f>
        <v/>
      </c>
      <c r="N253" s="10">
        <f>IF(O253="","",IF(O253=0,IF(NOT(ISNUMBER(E253)),"Fix: amount missing",IF(E253&lt;=0,"Fix: amount must be above 0",IF(AND(NOT(ISNUMBER(D253)),NOT(ISNUMBER(G253))),"Fix: add a due date or a planned pay date",IF(AND(D253&lt;&gt;"",NOT(ISNUMBER(D253))),"Fix: due date isn't a date",IF(AND(F253&lt;&gt;"",NOT(ISNUMBER(F253))),"Fix: paid must be a number",IF(AND(G253&lt;&gt;"",NOT(ISNUMBER(G253))),"Fix: planned date isn't a date","Fix: paid is more than the amount")))))),IF(AND(C253&lt;&gt;"",ISNUMBER(MATCH(C253,OutCats,0))),"OK","Category not on Settings (counted as Other)")))</f>
        <v/>
      </c>
      <c r="O253">
        <f>IF(COUNTA(A253:H253)=0,"",IF(AND(ISNUMBER(E253),E253&gt;0,OR(ISNUMBER(D253),ISNUMBER(G253)),OR(D253="",ISNUMBER(D253)),OR(F253="",ISNUMBER(F253)),OR(G253="",ISNUMBER(G253))),IF(N(F253)&gt;E253,0,1),0))</f>
        <v/>
      </c>
    </row>
    <row r="254">
      <c r="A254" s="29" t="n"/>
      <c r="B254" s="29" t="n"/>
      <c r="C254" s="29" t="n"/>
      <c r="D254" s="24" t="n"/>
      <c r="E254" s="34" t="n"/>
      <c r="F254" s="34" t="n"/>
      <c r="G254" s="24" t="n"/>
      <c r="H254" s="29" t="n"/>
      <c r="I254" s="32">
        <f>IF(O254&lt;&gt;1,"",IF(ISNUMBER(G254),INT(G254),INT(D254)))</f>
        <v/>
      </c>
      <c r="J254" s="21">
        <f>IF(O254&lt;&gt;1,0,E254-N(F254))</f>
        <v/>
      </c>
      <c r="K254" s="35">
        <f>IF(OR(O254&lt;&gt;1,J254&lt;=0),"",IF(H254="Yes","",IF(I254&lt;W1,IF(OverdueW1="No","",1),IF(I254&lt;=W1+90,INT((I254-W1)/7)+1,""))))</f>
        <v/>
      </c>
      <c r="L254" s="36">
        <f>IF(ISNUMBER(K254),J254,0)</f>
        <v/>
      </c>
      <c r="M254" s="10">
        <f>IF(O254="","",IF(O254=0,"Not counted",IF(J254&lt;=0,"Paid",IF(H254="Yes","On hold (left out)",IF(I254&lt;W1,IF(OverdueW1="No","Overdue (left out)","Overdue → Week 1"),IF(I254&lt;=W1+90,"Week "&amp;K254,"After Week 13"))))))</f>
        <v/>
      </c>
      <c r="N254" s="10">
        <f>IF(O254="","",IF(O254=0,IF(NOT(ISNUMBER(E254)),"Fix: amount missing",IF(E254&lt;=0,"Fix: amount must be above 0",IF(AND(NOT(ISNUMBER(D254)),NOT(ISNUMBER(G254))),"Fix: add a due date or a planned pay date",IF(AND(D254&lt;&gt;"",NOT(ISNUMBER(D254))),"Fix: due date isn't a date",IF(AND(F254&lt;&gt;"",NOT(ISNUMBER(F254))),"Fix: paid must be a number",IF(AND(G254&lt;&gt;"",NOT(ISNUMBER(G254))),"Fix: planned date isn't a date","Fix: paid is more than the amount")))))),IF(AND(C254&lt;&gt;"",ISNUMBER(MATCH(C254,OutCats,0))),"OK","Category not on Settings (counted as Other)")))</f>
        <v/>
      </c>
      <c r="O254">
        <f>IF(COUNTA(A254:H254)=0,"",IF(AND(ISNUMBER(E254),E254&gt;0,OR(ISNUMBER(D254),ISNUMBER(G254)),OR(D254="",ISNUMBER(D254)),OR(F254="",ISNUMBER(F254)),OR(G254="",ISNUMBER(G254))),IF(N(F254)&gt;E254,0,1),0))</f>
        <v/>
      </c>
    </row>
    <row r="255">
      <c r="A255" s="29" t="n"/>
      <c r="B255" s="29" t="n"/>
      <c r="C255" s="29" t="n"/>
      <c r="D255" s="24" t="n"/>
      <c r="E255" s="34" t="n"/>
      <c r="F255" s="34" t="n"/>
      <c r="G255" s="24" t="n"/>
      <c r="H255" s="29" t="n"/>
      <c r="I255" s="32">
        <f>IF(O255&lt;&gt;1,"",IF(ISNUMBER(G255),INT(G255),INT(D255)))</f>
        <v/>
      </c>
      <c r="J255" s="21">
        <f>IF(O255&lt;&gt;1,0,E255-N(F255))</f>
        <v/>
      </c>
      <c r="K255" s="35">
        <f>IF(OR(O255&lt;&gt;1,J255&lt;=0),"",IF(H255="Yes","",IF(I255&lt;W1,IF(OverdueW1="No","",1),IF(I255&lt;=W1+90,INT((I255-W1)/7)+1,""))))</f>
        <v/>
      </c>
      <c r="L255" s="36">
        <f>IF(ISNUMBER(K255),J255,0)</f>
        <v/>
      </c>
      <c r="M255" s="10">
        <f>IF(O255="","",IF(O255=0,"Not counted",IF(J255&lt;=0,"Paid",IF(H255="Yes","On hold (left out)",IF(I255&lt;W1,IF(OverdueW1="No","Overdue (left out)","Overdue → Week 1"),IF(I255&lt;=W1+90,"Week "&amp;K255,"After Week 13"))))))</f>
        <v/>
      </c>
      <c r="N255" s="10">
        <f>IF(O255="","",IF(O255=0,IF(NOT(ISNUMBER(E255)),"Fix: amount missing",IF(E255&lt;=0,"Fix: amount must be above 0",IF(AND(NOT(ISNUMBER(D255)),NOT(ISNUMBER(G255))),"Fix: add a due date or a planned pay date",IF(AND(D255&lt;&gt;"",NOT(ISNUMBER(D255))),"Fix: due date isn't a date",IF(AND(F255&lt;&gt;"",NOT(ISNUMBER(F255))),"Fix: paid must be a number",IF(AND(G255&lt;&gt;"",NOT(ISNUMBER(G255))),"Fix: planned date isn't a date","Fix: paid is more than the amount")))))),IF(AND(C255&lt;&gt;"",ISNUMBER(MATCH(C255,OutCats,0))),"OK","Category not on Settings (counted as Other)")))</f>
        <v/>
      </c>
      <c r="O255">
        <f>IF(COUNTA(A255:H255)=0,"",IF(AND(ISNUMBER(E255),E255&gt;0,OR(ISNUMBER(D255),ISNUMBER(G255)),OR(D255="",ISNUMBER(D255)),OR(F255="",ISNUMBER(F255)),OR(G255="",ISNUMBER(G255))),IF(N(F255)&gt;E255,0,1),0))</f>
        <v/>
      </c>
    </row>
    <row r="256">
      <c r="A256" s="29" t="n"/>
      <c r="B256" s="29" t="n"/>
      <c r="C256" s="29" t="n"/>
      <c r="D256" s="24" t="n"/>
      <c r="E256" s="34" t="n"/>
      <c r="F256" s="34" t="n"/>
      <c r="G256" s="24" t="n"/>
      <c r="H256" s="29" t="n"/>
      <c r="I256" s="32">
        <f>IF(O256&lt;&gt;1,"",IF(ISNUMBER(G256),INT(G256),INT(D256)))</f>
        <v/>
      </c>
      <c r="J256" s="21">
        <f>IF(O256&lt;&gt;1,0,E256-N(F256))</f>
        <v/>
      </c>
      <c r="K256" s="35">
        <f>IF(OR(O256&lt;&gt;1,J256&lt;=0),"",IF(H256="Yes","",IF(I256&lt;W1,IF(OverdueW1="No","",1),IF(I256&lt;=W1+90,INT((I256-W1)/7)+1,""))))</f>
        <v/>
      </c>
      <c r="L256" s="36">
        <f>IF(ISNUMBER(K256),J256,0)</f>
        <v/>
      </c>
      <c r="M256" s="10">
        <f>IF(O256="","",IF(O256=0,"Not counted",IF(J256&lt;=0,"Paid",IF(H256="Yes","On hold (left out)",IF(I256&lt;W1,IF(OverdueW1="No","Overdue (left out)","Overdue → Week 1"),IF(I256&lt;=W1+90,"Week "&amp;K256,"After Week 13"))))))</f>
        <v/>
      </c>
      <c r="N256" s="10">
        <f>IF(O256="","",IF(O256=0,IF(NOT(ISNUMBER(E256)),"Fix: amount missing",IF(E256&lt;=0,"Fix: amount must be above 0",IF(AND(NOT(ISNUMBER(D256)),NOT(ISNUMBER(G256))),"Fix: add a due date or a planned pay date",IF(AND(D256&lt;&gt;"",NOT(ISNUMBER(D256))),"Fix: due date isn't a date",IF(AND(F256&lt;&gt;"",NOT(ISNUMBER(F256))),"Fix: paid must be a number",IF(AND(G256&lt;&gt;"",NOT(ISNUMBER(G256))),"Fix: planned date isn't a date","Fix: paid is more than the amount")))))),IF(AND(C256&lt;&gt;"",ISNUMBER(MATCH(C256,OutCats,0))),"OK","Category not on Settings (counted as Other)")))</f>
        <v/>
      </c>
      <c r="O256">
        <f>IF(COUNTA(A256:H256)=0,"",IF(AND(ISNUMBER(E256),E256&gt;0,OR(ISNUMBER(D256),ISNUMBER(G256)),OR(D256="",ISNUMBER(D256)),OR(F256="",ISNUMBER(F256)),OR(G256="",ISNUMBER(G256))),IF(N(F256)&gt;E256,0,1),0))</f>
        <v/>
      </c>
    </row>
    <row r="257">
      <c r="A257" s="29" t="n"/>
      <c r="B257" s="29" t="n"/>
      <c r="C257" s="29" t="n"/>
      <c r="D257" s="24" t="n"/>
      <c r="E257" s="34" t="n"/>
      <c r="F257" s="34" t="n"/>
      <c r="G257" s="24" t="n"/>
      <c r="H257" s="29" t="n"/>
      <c r="I257" s="32">
        <f>IF(O257&lt;&gt;1,"",IF(ISNUMBER(G257),INT(G257),INT(D257)))</f>
        <v/>
      </c>
      <c r="J257" s="21">
        <f>IF(O257&lt;&gt;1,0,E257-N(F257))</f>
        <v/>
      </c>
      <c r="K257" s="35">
        <f>IF(OR(O257&lt;&gt;1,J257&lt;=0),"",IF(H257="Yes","",IF(I257&lt;W1,IF(OverdueW1="No","",1),IF(I257&lt;=W1+90,INT((I257-W1)/7)+1,""))))</f>
        <v/>
      </c>
      <c r="L257" s="36">
        <f>IF(ISNUMBER(K257),J257,0)</f>
        <v/>
      </c>
      <c r="M257" s="10">
        <f>IF(O257="","",IF(O257=0,"Not counted",IF(J257&lt;=0,"Paid",IF(H257="Yes","On hold (left out)",IF(I257&lt;W1,IF(OverdueW1="No","Overdue (left out)","Overdue → Week 1"),IF(I257&lt;=W1+90,"Week "&amp;K257,"After Week 13"))))))</f>
        <v/>
      </c>
      <c r="N257" s="10">
        <f>IF(O257="","",IF(O257=0,IF(NOT(ISNUMBER(E257)),"Fix: amount missing",IF(E257&lt;=0,"Fix: amount must be above 0",IF(AND(NOT(ISNUMBER(D257)),NOT(ISNUMBER(G257))),"Fix: add a due date or a planned pay date",IF(AND(D257&lt;&gt;"",NOT(ISNUMBER(D257))),"Fix: due date isn't a date",IF(AND(F257&lt;&gt;"",NOT(ISNUMBER(F257))),"Fix: paid must be a number",IF(AND(G257&lt;&gt;"",NOT(ISNUMBER(G257))),"Fix: planned date isn't a date","Fix: paid is more than the amount")))))),IF(AND(C257&lt;&gt;"",ISNUMBER(MATCH(C257,OutCats,0))),"OK","Category not on Settings (counted as Other)")))</f>
        <v/>
      </c>
      <c r="O257">
        <f>IF(COUNTA(A257:H257)=0,"",IF(AND(ISNUMBER(E257),E257&gt;0,OR(ISNUMBER(D257),ISNUMBER(G257)),OR(D257="",ISNUMBER(D257)),OR(F257="",ISNUMBER(F257)),OR(G257="",ISNUMBER(G257))),IF(N(F257)&gt;E257,0,1),0))</f>
        <v/>
      </c>
    </row>
    <row r="258">
      <c r="A258" s="29" t="n"/>
      <c r="B258" s="29" t="n"/>
      <c r="C258" s="29" t="n"/>
      <c r="D258" s="24" t="n"/>
      <c r="E258" s="34" t="n"/>
      <c r="F258" s="34" t="n"/>
      <c r="G258" s="24" t="n"/>
      <c r="H258" s="29" t="n"/>
      <c r="I258" s="32">
        <f>IF(O258&lt;&gt;1,"",IF(ISNUMBER(G258),INT(G258),INT(D258)))</f>
        <v/>
      </c>
      <c r="J258" s="21">
        <f>IF(O258&lt;&gt;1,0,E258-N(F258))</f>
        <v/>
      </c>
      <c r="K258" s="35">
        <f>IF(OR(O258&lt;&gt;1,J258&lt;=0),"",IF(H258="Yes","",IF(I258&lt;W1,IF(OverdueW1="No","",1),IF(I258&lt;=W1+90,INT((I258-W1)/7)+1,""))))</f>
        <v/>
      </c>
      <c r="L258" s="36">
        <f>IF(ISNUMBER(K258),J258,0)</f>
        <v/>
      </c>
      <c r="M258" s="10">
        <f>IF(O258="","",IF(O258=0,"Not counted",IF(J258&lt;=0,"Paid",IF(H258="Yes","On hold (left out)",IF(I258&lt;W1,IF(OverdueW1="No","Overdue (left out)","Overdue → Week 1"),IF(I258&lt;=W1+90,"Week "&amp;K258,"After Week 13"))))))</f>
        <v/>
      </c>
      <c r="N258" s="10">
        <f>IF(O258="","",IF(O258=0,IF(NOT(ISNUMBER(E258)),"Fix: amount missing",IF(E258&lt;=0,"Fix: amount must be above 0",IF(AND(NOT(ISNUMBER(D258)),NOT(ISNUMBER(G258))),"Fix: add a due date or a planned pay date",IF(AND(D258&lt;&gt;"",NOT(ISNUMBER(D258))),"Fix: due date isn't a date",IF(AND(F258&lt;&gt;"",NOT(ISNUMBER(F258))),"Fix: paid must be a number",IF(AND(G258&lt;&gt;"",NOT(ISNUMBER(G258))),"Fix: planned date isn't a date","Fix: paid is more than the amount")))))),IF(AND(C258&lt;&gt;"",ISNUMBER(MATCH(C258,OutCats,0))),"OK","Category not on Settings (counted as Other)")))</f>
        <v/>
      </c>
      <c r="O258">
        <f>IF(COUNTA(A258:H258)=0,"",IF(AND(ISNUMBER(E258),E258&gt;0,OR(ISNUMBER(D258),ISNUMBER(G258)),OR(D258="",ISNUMBER(D258)),OR(F258="",ISNUMBER(F258)),OR(G258="",ISNUMBER(G258))),IF(N(F258)&gt;E258,0,1),0))</f>
        <v/>
      </c>
    </row>
    <row r="259">
      <c r="A259" s="29" t="n"/>
      <c r="B259" s="29" t="n"/>
      <c r="C259" s="29" t="n"/>
      <c r="D259" s="24" t="n"/>
      <c r="E259" s="34" t="n"/>
      <c r="F259" s="34" t="n"/>
      <c r="G259" s="24" t="n"/>
      <c r="H259" s="29" t="n"/>
      <c r="I259" s="32">
        <f>IF(O259&lt;&gt;1,"",IF(ISNUMBER(G259),INT(G259),INT(D259)))</f>
        <v/>
      </c>
      <c r="J259" s="21">
        <f>IF(O259&lt;&gt;1,0,E259-N(F259))</f>
        <v/>
      </c>
      <c r="K259" s="35">
        <f>IF(OR(O259&lt;&gt;1,J259&lt;=0),"",IF(H259="Yes","",IF(I259&lt;W1,IF(OverdueW1="No","",1),IF(I259&lt;=W1+90,INT((I259-W1)/7)+1,""))))</f>
        <v/>
      </c>
      <c r="L259" s="36">
        <f>IF(ISNUMBER(K259),J259,0)</f>
        <v/>
      </c>
      <c r="M259" s="10">
        <f>IF(O259="","",IF(O259=0,"Not counted",IF(J259&lt;=0,"Paid",IF(H259="Yes","On hold (left out)",IF(I259&lt;W1,IF(OverdueW1="No","Overdue (left out)","Overdue → Week 1"),IF(I259&lt;=W1+90,"Week "&amp;K259,"After Week 13"))))))</f>
        <v/>
      </c>
      <c r="N259" s="10">
        <f>IF(O259="","",IF(O259=0,IF(NOT(ISNUMBER(E259)),"Fix: amount missing",IF(E259&lt;=0,"Fix: amount must be above 0",IF(AND(NOT(ISNUMBER(D259)),NOT(ISNUMBER(G259))),"Fix: add a due date or a planned pay date",IF(AND(D259&lt;&gt;"",NOT(ISNUMBER(D259))),"Fix: due date isn't a date",IF(AND(F259&lt;&gt;"",NOT(ISNUMBER(F259))),"Fix: paid must be a number",IF(AND(G259&lt;&gt;"",NOT(ISNUMBER(G259))),"Fix: planned date isn't a date","Fix: paid is more than the amount")))))),IF(AND(C259&lt;&gt;"",ISNUMBER(MATCH(C259,OutCats,0))),"OK","Category not on Settings (counted as Other)")))</f>
        <v/>
      </c>
      <c r="O259">
        <f>IF(COUNTA(A259:H259)=0,"",IF(AND(ISNUMBER(E259),E259&gt;0,OR(ISNUMBER(D259),ISNUMBER(G259)),OR(D259="",ISNUMBER(D259)),OR(F259="",ISNUMBER(F259)),OR(G259="",ISNUMBER(G259))),IF(N(F259)&gt;E259,0,1),0))</f>
        <v/>
      </c>
    </row>
    <row r="260">
      <c r="A260" s="29" t="n"/>
      <c r="B260" s="29" t="n"/>
      <c r="C260" s="29" t="n"/>
      <c r="D260" s="24" t="n"/>
      <c r="E260" s="34" t="n"/>
      <c r="F260" s="34" t="n"/>
      <c r="G260" s="24" t="n"/>
      <c r="H260" s="29" t="n"/>
      <c r="I260" s="32">
        <f>IF(O260&lt;&gt;1,"",IF(ISNUMBER(G260),INT(G260),INT(D260)))</f>
        <v/>
      </c>
      <c r="J260" s="21">
        <f>IF(O260&lt;&gt;1,0,E260-N(F260))</f>
        <v/>
      </c>
      <c r="K260" s="35">
        <f>IF(OR(O260&lt;&gt;1,J260&lt;=0),"",IF(H260="Yes","",IF(I260&lt;W1,IF(OverdueW1="No","",1),IF(I260&lt;=W1+90,INT((I260-W1)/7)+1,""))))</f>
        <v/>
      </c>
      <c r="L260" s="36">
        <f>IF(ISNUMBER(K260),J260,0)</f>
        <v/>
      </c>
      <c r="M260" s="10">
        <f>IF(O260="","",IF(O260=0,"Not counted",IF(J260&lt;=0,"Paid",IF(H260="Yes","On hold (left out)",IF(I260&lt;W1,IF(OverdueW1="No","Overdue (left out)","Overdue → Week 1"),IF(I260&lt;=W1+90,"Week "&amp;K260,"After Week 13"))))))</f>
        <v/>
      </c>
      <c r="N260" s="10">
        <f>IF(O260="","",IF(O260=0,IF(NOT(ISNUMBER(E260)),"Fix: amount missing",IF(E260&lt;=0,"Fix: amount must be above 0",IF(AND(NOT(ISNUMBER(D260)),NOT(ISNUMBER(G260))),"Fix: add a due date or a planned pay date",IF(AND(D260&lt;&gt;"",NOT(ISNUMBER(D260))),"Fix: due date isn't a date",IF(AND(F260&lt;&gt;"",NOT(ISNUMBER(F260))),"Fix: paid must be a number",IF(AND(G260&lt;&gt;"",NOT(ISNUMBER(G260))),"Fix: planned date isn't a date","Fix: paid is more than the amount")))))),IF(AND(C260&lt;&gt;"",ISNUMBER(MATCH(C260,OutCats,0))),"OK","Category not on Settings (counted as Other)")))</f>
        <v/>
      </c>
      <c r="O260">
        <f>IF(COUNTA(A260:H260)=0,"",IF(AND(ISNUMBER(E260),E260&gt;0,OR(ISNUMBER(D260),ISNUMBER(G260)),OR(D260="",ISNUMBER(D260)),OR(F260="",ISNUMBER(F260)),OR(G260="",ISNUMBER(G260))),IF(N(F260)&gt;E260,0,1),0))</f>
        <v/>
      </c>
    </row>
    <row r="261">
      <c r="A261" s="29" t="n"/>
      <c r="B261" s="29" t="n"/>
      <c r="C261" s="29" t="n"/>
      <c r="D261" s="24" t="n"/>
      <c r="E261" s="34" t="n"/>
      <c r="F261" s="34" t="n"/>
      <c r="G261" s="24" t="n"/>
      <c r="H261" s="29" t="n"/>
      <c r="I261" s="32">
        <f>IF(O261&lt;&gt;1,"",IF(ISNUMBER(G261),INT(G261),INT(D261)))</f>
        <v/>
      </c>
      <c r="J261" s="21">
        <f>IF(O261&lt;&gt;1,0,E261-N(F261))</f>
        <v/>
      </c>
      <c r="K261" s="35">
        <f>IF(OR(O261&lt;&gt;1,J261&lt;=0),"",IF(H261="Yes","",IF(I261&lt;W1,IF(OverdueW1="No","",1),IF(I261&lt;=W1+90,INT((I261-W1)/7)+1,""))))</f>
        <v/>
      </c>
      <c r="L261" s="36">
        <f>IF(ISNUMBER(K261),J261,0)</f>
        <v/>
      </c>
      <c r="M261" s="10">
        <f>IF(O261="","",IF(O261=0,"Not counted",IF(J261&lt;=0,"Paid",IF(H261="Yes","On hold (left out)",IF(I261&lt;W1,IF(OverdueW1="No","Overdue (left out)","Overdue → Week 1"),IF(I261&lt;=W1+90,"Week "&amp;K261,"After Week 13"))))))</f>
        <v/>
      </c>
      <c r="N261" s="10">
        <f>IF(O261="","",IF(O261=0,IF(NOT(ISNUMBER(E261)),"Fix: amount missing",IF(E261&lt;=0,"Fix: amount must be above 0",IF(AND(NOT(ISNUMBER(D261)),NOT(ISNUMBER(G261))),"Fix: add a due date or a planned pay date",IF(AND(D261&lt;&gt;"",NOT(ISNUMBER(D261))),"Fix: due date isn't a date",IF(AND(F261&lt;&gt;"",NOT(ISNUMBER(F261))),"Fix: paid must be a number",IF(AND(G261&lt;&gt;"",NOT(ISNUMBER(G261))),"Fix: planned date isn't a date","Fix: paid is more than the amount")))))),IF(AND(C261&lt;&gt;"",ISNUMBER(MATCH(C261,OutCats,0))),"OK","Category not on Settings (counted as Other)")))</f>
        <v/>
      </c>
      <c r="O261">
        <f>IF(COUNTA(A261:H261)=0,"",IF(AND(ISNUMBER(E261),E261&gt;0,OR(ISNUMBER(D261),ISNUMBER(G261)),OR(D261="",ISNUMBER(D261)),OR(F261="",ISNUMBER(F261)),OR(G261="",ISNUMBER(G261))),IF(N(F261)&gt;E261,0,1),0))</f>
        <v/>
      </c>
    </row>
    <row r="262">
      <c r="A262" s="29" t="n"/>
      <c r="B262" s="29" t="n"/>
      <c r="C262" s="29" t="n"/>
      <c r="D262" s="24" t="n"/>
      <c r="E262" s="34" t="n"/>
      <c r="F262" s="34" t="n"/>
      <c r="G262" s="24" t="n"/>
      <c r="H262" s="29" t="n"/>
      <c r="I262" s="32">
        <f>IF(O262&lt;&gt;1,"",IF(ISNUMBER(G262),INT(G262),INT(D262)))</f>
        <v/>
      </c>
      <c r="J262" s="21">
        <f>IF(O262&lt;&gt;1,0,E262-N(F262))</f>
        <v/>
      </c>
      <c r="K262" s="35">
        <f>IF(OR(O262&lt;&gt;1,J262&lt;=0),"",IF(H262="Yes","",IF(I262&lt;W1,IF(OverdueW1="No","",1),IF(I262&lt;=W1+90,INT((I262-W1)/7)+1,""))))</f>
        <v/>
      </c>
      <c r="L262" s="36">
        <f>IF(ISNUMBER(K262),J262,0)</f>
        <v/>
      </c>
      <c r="M262" s="10">
        <f>IF(O262="","",IF(O262=0,"Not counted",IF(J262&lt;=0,"Paid",IF(H262="Yes","On hold (left out)",IF(I262&lt;W1,IF(OverdueW1="No","Overdue (left out)","Overdue → Week 1"),IF(I262&lt;=W1+90,"Week "&amp;K262,"After Week 13"))))))</f>
        <v/>
      </c>
      <c r="N262" s="10">
        <f>IF(O262="","",IF(O262=0,IF(NOT(ISNUMBER(E262)),"Fix: amount missing",IF(E262&lt;=0,"Fix: amount must be above 0",IF(AND(NOT(ISNUMBER(D262)),NOT(ISNUMBER(G262))),"Fix: add a due date or a planned pay date",IF(AND(D262&lt;&gt;"",NOT(ISNUMBER(D262))),"Fix: due date isn't a date",IF(AND(F262&lt;&gt;"",NOT(ISNUMBER(F262))),"Fix: paid must be a number",IF(AND(G262&lt;&gt;"",NOT(ISNUMBER(G262))),"Fix: planned date isn't a date","Fix: paid is more than the amount")))))),IF(AND(C262&lt;&gt;"",ISNUMBER(MATCH(C262,OutCats,0))),"OK","Category not on Settings (counted as Other)")))</f>
        <v/>
      </c>
      <c r="O262">
        <f>IF(COUNTA(A262:H262)=0,"",IF(AND(ISNUMBER(E262),E262&gt;0,OR(ISNUMBER(D262),ISNUMBER(G262)),OR(D262="",ISNUMBER(D262)),OR(F262="",ISNUMBER(F262)),OR(G262="",ISNUMBER(G262))),IF(N(F262)&gt;E262,0,1),0))</f>
        <v/>
      </c>
    </row>
    <row r="263">
      <c r="A263" s="29" t="n"/>
      <c r="B263" s="29" t="n"/>
      <c r="C263" s="29" t="n"/>
      <c r="D263" s="24" t="n"/>
      <c r="E263" s="34" t="n"/>
      <c r="F263" s="34" t="n"/>
      <c r="G263" s="24" t="n"/>
      <c r="H263" s="29" t="n"/>
      <c r="I263" s="32">
        <f>IF(O263&lt;&gt;1,"",IF(ISNUMBER(G263),INT(G263),INT(D263)))</f>
        <v/>
      </c>
      <c r="J263" s="21">
        <f>IF(O263&lt;&gt;1,0,E263-N(F263))</f>
        <v/>
      </c>
      <c r="K263" s="35">
        <f>IF(OR(O263&lt;&gt;1,J263&lt;=0),"",IF(H263="Yes","",IF(I263&lt;W1,IF(OverdueW1="No","",1),IF(I263&lt;=W1+90,INT((I263-W1)/7)+1,""))))</f>
        <v/>
      </c>
      <c r="L263" s="36">
        <f>IF(ISNUMBER(K263),J263,0)</f>
        <v/>
      </c>
      <c r="M263" s="10">
        <f>IF(O263="","",IF(O263=0,"Not counted",IF(J263&lt;=0,"Paid",IF(H263="Yes","On hold (left out)",IF(I263&lt;W1,IF(OverdueW1="No","Overdue (left out)","Overdue → Week 1"),IF(I263&lt;=W1+90,"Week "&amp;K263,"After Week 13"))))))</f>
        <v/>
      </c>
      <c r="N263" s="10">
        <f>IF(O263="","",IF(O263=0,IF(NOT(ISNUMBER(E263)),"Fix: amount missing",IF(E263&lt;=0,"Fix: amount must be above 0",IF(AND(NOT(ISNUMBER(D263)),NOT(ISNUMBER(G263))),"Fix: add a due date or a planned pay date",IF(AND(D263&lt;&gt;"",NOT(ISNUMBER(D263))),"Fix: due date isn't a date",IF(AND(F263&lt;&gt;"",NOT(ISNUMBER(F263))),"Fix: paid must be a number",IF(AND(G263&lt;&gt;"",NOT(ISNUMBER(G263))),"Fix: planned date isn't a date","Fix: paid is more than the amount")))))),IF(AND(C263&lt;&gt;"",ISNUMBER(MATCH(C263,OutCats,0))),"OK","Category not on Settings (counted as Other)")))</f>
        <v/>
      </c>
      <c r="O263">
        <f>IF(COUNTA(A263:H263)=0,"",IF(AND(ISNUMBER(E263),E263&gt;0,OR(ISNUMBER(D263),ISNUMBER(G263)),OR(D263="",ISNUMBER(D263)),OR(F263="",ISNUMBER(F263)),OR(G263="",ISNUMBER(G263))),IF(N(F263)&gt;E263,0,1),0))</f>
        <v/>
      </c>
    </row>
    <row r="264">
      <c r="A264" s="29" t="n"/>
      <c r="B264" s="29" t="n"/>
      <c r="C264" s="29" t="n"/>
      <c r="D264" s="24" t="n"/>
      <c r="E264" s="34" t="n"/>
      <c r="F264" s="34" t="n"/>
      <c r="G264" s="24" t="n"/>
      <c r="H264" s="29" t="n"/>
      <c r="I264" s="32">
        <f>IF(O264&lt;&gt;1,"",IF(ISNUMBER(G264),INT(G264),INT(D264)))</f>
        <v/>
      </c>
      <c r="J264" s="21">
        <f>IF(O264&lt;&gt;1,0,E264-N(F264))</f>
        <v/>
      </c>
      <c r="K264" s="35">
        <f>IF(OR(O264&lt;&gt;1,J264&lt;=0),"",IF(H264="Yes","",IF(I264&lt;W1,IF(OverdueW1="No","",1),IF(I264&lt;=W1+90,INT((I264-W1)/7)+1,""))))</f>
        <v/>
      </c>
      <c r="L264" s="36">
        <f>IF(ISNUMBER(K264),J264,0)</f>
        <v/>
      </c>
      <c r="M264" s="10">
        <f>IF(O264="","",IF(O264=0,"Not counted",IF(J264&lt;=0,"Paid",IF(H264="Yes","On hold (left out)",IF(I264&lt;W1,IF(OverdueW1="No","Overdue (left out)","Overdue → Week 1"),IF(I264&lt;=W1+90,"Week "&amp;K264,"After Week 13"))))))</f>
        <v/>
      </c>
      <c r="N264" s="10">
        <f>IF(O264="","",IF(O264=0,IF(NOT(ISNUMBER(E264)),"Fix: amount missing",IF(E264&lt;=0,"Fix: amount must be above 0",IF(AND(NOT(ISNUMBER(D264)),NOT(ISNUMBER(G264))),"Fix: add a due date or a planned pay date",IF(AND(D264&lt;&gt;"",NOT(ISNUMBER(D264))),"Fix: due date isn't a date",IF(AND(F264&lt;&gt;"",NOT(ISNUMBER(F264))),"Fix: paid must be a number",IF(AND(G264&lt;&gt;"",NOT(ISNUMBER(G264))),"Fix: planned date isn't a date","Fix: paid is more than the amount")))))),IF(AND(C264&lt;&gt;"",ISNUMBER(MATCH(C264,OutCats,0))),"OK","Category not on Settings (counted as Other)")))</f>
        <v/>
      </c>
      <c r="O264">
        <f>IF(COUNTA(A264:H264)=0,"",IF(AND(ISNUMBER(E264),E264&gt;0,OR(ISNUMBER(D264),ISNUMBER(G264)),OR(D264="",ISNUMBER(D264)),OR(F264="",ISNUMBER(F264)),OR(G264="",ISNUMBER(G264))),IF(N(F264)&gt;E264,0,1),0))</f>
        <v/>
      </c>
    </row>
    <row r="265">
      <c r="A265" s="29" t="n"/>
      <c r="B265" s="29" t="n"/>
      <c r="C265" s="29" t="n"/>
      <c r="D265" s="24" t="n"/>
      <c r="E265" s="34" t="n"/>
      <c r="F265" s="34" t="n"/>
      <c r="G265" s="24" t="n"/>
      <c r="H265" s="29" t="n"/>
      <c r="I265" s="32">
        <f>IF(O265&lt;&gt;1,"",IF(ISNUMBER(G265),INT(G265),INT(D265)))</f>
        <v/>
      </c>
      <c r="J265" s="21">
        <f>IF(O265&lt;&gt;1,0,E265-N(F265))</f>
        <v/>
      </c>
      <c r="K265" s="35">
        <f>IF(OR(O265&lt;&gt;1,J265&lt;=0),"",IF(H265="Yes","",IF(I265&lt;W1,IF(OverdueW1="No","",1),IF(I265&lt;=W1+90,INT((I265-W1)/7)+1,""))))</f>
        <v/>
      </c>
      <c r="L265" s="36">
        <f>IF(ISNUMBER(K265),J265,0)</f>
        <v/>
      </c>
      <c r="M265" s="10">
        <f>IF(O265="","",IF(O265=0,"Not counted",IF(J265&lt;=0,"Paid",IF(H265="Yes","On hold (left out)",IF(I265&lt;W1,IF(OverdueW1="No","Overdue (left out)","Overdue → Week 1"),IF(I265&lt;=W1+90,"Week "&amp;K265,"After Week 13"))))))</f>
        <v/>
      </c>
      <c r="N265" s="10">
        <f>IF(O265="","",IF(O265=0,IF(NOT(ISNUMBER(E265)),"Fix: amount missing",IF(E265&lt;=0,"Fix: amount must be above 0",IF(AND(NOT(ISNUMBER(D265)),NOT(ISNUMBER(G265))),"Fix: add a due date or a planned pay date",IF(AND(D265&lt;&gt;"",NOT(ISNUMBER(D265))),"Fix: due date isn't a date",IF(AND(F265&lt;&gt;"",NOT(ISNUMBER(F265))),"Fix: paid must be a number",IF(AND(G265&lt;&gt;"",NOT(ISNUMBER(G265))),"Fix: planned date isn't a date","Fix: paid is more than the amount")))))),IF(AND(C265&lt;&gt;"",ISNUMBER(MATCH(C265,OutCats,0))),"OK","Category not on Settings (counted as Other)")))</f>
        <v/>
      </c>
      <c r="O265">
        <f>IF(COUNTA(A265:H265)=0,"",IF(AND(ISNUMBER(E265),E265&gt;0,OR(ISNUMBER(D265),ISNUMBER(G265)),OR(D265="",ISNUMBER(D265)),OR(F265="",ISNUMBER(F265)),OR(G265="",ISNUMBER(G265))),IF(N(F265)&gt;E265,0,1),0))</f>
        <v/>
      </c>
    </row>
    <row r="266">
      <c r="A266" s="29" t="n"/>
      <c r="B266" s="29" t="n"/>
      <c r="C266" s="29" t="n"/>
      <c r="D266" s="24" t="n"/>
      <c r="E266" s="34" t="n"/>
      <c r="F266" s="34" t="n"/>
      <c r="G266" s="24" t="n"/>
      <c r="H266" s="29" t="n"/>
      <c r="I266" s="32">
        <f>IF(O266&lt;&gt;1,"",IF(ISNUMBER(G266),INT(G266),INT(D266)))</f>
        <v/>
      </c>
      <c r="J266" s="21">
        <f>IF(O266&lt;&gt;1,0,E266-N(F266))</f>
        <v/>
      </c>
      <c r="K266" s="35">
        <f>IF(OR(O266&lt;&gt;1,J266&lt;=0),"",IF(H266="Yes","",IF(I266&lt;W1,IF(OverdueW1="No","",1),IF(I266&lt;=W1+90,INT((I266-W1)/7)+1,""))))</f>
        <v/>
      </c>
      <c r="L266" s="36">
        <f>IF(ISNUMBER(K266),J266,0)</f>
        <v/>
      </c>
      <c r="M266" s="10">
        <f>IF(O266="","",IF(O266=0,"Not counted",IF(J266&lt;=0,"Paid",IF(H266="Yes","On hold (left out)",IF(I266&lt;W1,IF(OverdueW1="No","Overdue (left out)","Overdue → Week 1"),IF(I266&lt;=W1+90,"Week "&amp;K266,"After Week 13"))))))</f>
        <v/>
      </c>
      <c r="N266" s="10">
        <f>IF(O266="","",IF(O266=0,IF(NOT(ISNUMBER(E266)),"Fix: amount missing",IF(E266&lt;=0,"Fix: amount must be above 0",IF(AND(NOT(ISNUMBER(D266)),NOT(ISNUMBER(G266))),"Fix: add a due date or a planned pay date",IF(AND(D266&lt;&gt;"",NOT(ISNUMBER(D266))),"Fix: due date isn't a date",IF(AND(F266&lt;&gt;"",NOT(ISNUMBER(F266))),"Fix: paid must be a number",IF(AND(G266&lt;&gt;"",NOT(ISNUMBER(G266))),"Fix: planned date isn't a date","Fix: paid is more than the amount")))))),IF(AND(C266&lt;&gt;"",ISNUMBER(MATCH(C266,OutCats,0))),"OK","Category not on Settings (counted as Other)")))</f>
        <v/>
      </c>
      <c r="O266">
        <f>IF(COUNTA(A266:H266)=0,"",IF(AND(ISNUMBER(E266),E266&gt;0,OR(ISNUMBER(D266),ISNUMBER(G266)),OR(D266="",ISNUMBER(D266)),OR(F266="",ISNUMBER(F266)),OR(G266="",ISNUMBER(G266))),IF(N(F266)&gt;E266,0,1),0))</f>
        <v/>
      </c>
    </row>
    <row r="267">
      <c r="A267" s="29" t="n"/>
      <c r="B267" s="29" t="n"/>
      <c r="C267" s="29" t="n"/>
      <c r="D267" s="24" t="n"/>
      <c r="E267" s="34" t="n"/>
      <c r="F267" s="34" t="n"/>
      <c r="G267" s="24" t="n"/>
      <c r="H267" s="29" t="n"/>
      <c r="I267" s="32">
        <f>IF(O267&lt;&gt;1,"",IF(ISNUMBER(G267),INT(G267),INT(D267)))</f>
        <v/>
      </c>
      <c r="J267" s="21">
        <f>IF(O267&lt;&gt;1,0,E267-N(F267))</f>
        <v/>
      </c>
      <c r="K267" s="35">
        <f>IF(OR(O267&lt;&gt;1,J267&lt;=0),"",IF(H267="Yes","",IF(I267&lt;W1,IF(OverdueW1="No","",1),IF(I267&lt;=W1+90,INT((I267-W1)/7)+1,""))))</f>
        <v/>
      </c>
      <c r="L267" s="36">
        <f>IF(ISNUMBER(K267),J267,0)</f>
        <v/>
      </c>
      <c r="M267" s="10">
        <f>IF(O267="","",IF(O267=0,"Not counted",IF(J267&lt;=0,"Paid",IF(H267="Yes","On hold (left out)",IF(I267&lt;W1,IF(OverdueW1="No","Overdue (left out)","Overdue → Week 1"),IF(I267&lt;=W1+90,"Week "&amp;K267,"After Week 13"))))))</f>
        <v/>
      </c>
      <c r="N267" s="10">
        <f>IF(O267="","",IF(O267=0,IF(NOT(ISNUMBER(E267)),"Fix: amount missing",IF(E267&lt;=0,"Fix: amount must be above 0",IF(AND(NOT(ISNUMBER(D267)),NOT(ISNUMBER(G267))),"Fix: add a due date or a planned pay date",IF(AND(D267&lt;&gt;"",NOT(ISNUMBER(D267))),"Fix: due date isn't a date",IF(AND(F267&lt;&gt;"",NOT(ISNUMBER(F267))),"Fix: paid must be a number",IF(AND(G267&lt;&gt;"",NOT(ISNUMBER(G267))),"Fix: planned date isn't a date","Fix: paid is more than the amount")))))),IF(AND(C267&lt;&gt;"",ISNUMBER(MATCH(C267,OutCats,0))),"OK","Category not on Settings (counted as Other)")))</f>
        <v/>
      </c>
      <c r="O267">
        <f>IF(COUNTA(A267:H267)=0,"",IF(AND(ISNUMBER(E267),E267&gt;0,OR(ISNUMBER(D267),ISNUMBER(G267)),OR(D267="",ISNUMBER(D267)),OR(F267="",ISNUMBER(F267)),OR(G267="",ISNUMBER(G267))),IF(N(F267)&gt;E267,0,1),0))</f>
        <v/>
      </c>
    </row>
    <row r="268">
      <c r="A268" s="29" t="n"/>
      <c r="B268" s="29" t="n"/>
      <c r="C268" s="29" t="n"/>
      <c r="D268" s="24" t="n"/>
      <c r="E268" s="34" t="n"/>
      <c r="F268" s="34" t="n"/>
      <c r="G268" s="24" t="n"/>
      <c r="H268" s="29" t="n"/>
      <c r="I268" s="32">
        <f>IF(O268&lt;&gt;1,"",IF(ISNUMBER(G268),INT(G268),INT(D268)))</f>
        <v/>
      </c>
      <c r="J268" s="21">
        <f>IF(O268&lt;&gt;1,0,E268-N(F268))</f>
        <v/>
      </c>
      <c r="K268" s="35">
        <f>IF(OR(O268&lt;&gt;1,J268&lt;=0),"",IF(H268="Yes","",IF(I268&lt;W1,IF(OverdueW1="No","",1),IF(I268&lt;=W1+90,INT((I268-W1)/7)+1,""))))</f>
        <v/>
      </c>
      <c r="L268" s="36">
        <f>IF(ISNUMBER(K268),J268,0)</f>
        <v/>
      </c>
      <c r="M268" s="10">
        <f>IF(O268="","",IF(O268=0,"Not counted",IF(J268&lt;=0,"Paid",IF(H268="Yes","On hold (left out)",IF(I268&lt;W1,IF(OverdueW1="No","Overdue (left out)","Overdue → Week 1"),IF(I268&lt;=W1+90,"Week "&amp;K268,"After Week 13"))))))</f>
        <v/>
      </c>
      <c r="N268" s="10">
        <f>IF(O268="","",IF(O268=0,IF(NOT(ISNUMBER(E268)),"Fix: amount missing",IF(E268&lt;=0,"Fix: amount must be above 0",IF(AND(NOT(ISNUMBER(D268)),NOT(ISNUMBER(G268))),"Fix: add a due date or a planned pay date",IF(AND(D268&lt;&gt;"",NOT(ISNUMBER(D268))),"Fix: due date isn't a date",IF(AND(F268&lt;&gt;"",NOT(ISNUMBER(F268))),"Fix: paid must be a number",IF(AND(G268&lt;&gt;"",NOT(ISNUMBER(G268))),"Fix: planned date isn't a date","Fix: paid is more than the amount")))))),IF(AND(C268&lt;&gt;"",ISNUMBER(MATCH(C268,OutCats,0))),"OK","Category not on Settings (counted as Other)")))</f>
        <v/>
      </c>
      <c r="O268">
        <f>IF(COUNTA(A268:H268)=0,"",IF(AND(ISNUMBER(E268),E268&gt;0,OR(ISNUMBER(D268),ISNUMBER(G268)),OR(D268="",ISNUMBER(D268)),OR(F268="",ISNUMBER(F268)),OR(G268="",ISNUMBER(G268))),IF(N(F268)&gt;E268,0,1),0))</f>
        <v/>
      </c>
    </row>
    <row r="269">
      <c r="A269" s="29" t="n"/>
      <c r="B269" s="29" t="n"/>
      <c r="C269" s="29" t="n"/>
      <c r="D269" s="24" t="n"/>
      <c r="E269" s="34" t="n"/>
      <c r="F269" s="34" t="n"/>
      <c r="G269" s="24" t="n"/>
      <c r="H269" s="29" t="n"/>
      <c r="I269" s="32">
        <f>IF(O269&lt;&gt;1,"",IF(ISNUMBER(G269),INT(G269),INT(D269)))</f>
        <v/>
      </c>
      <c r="J269" s="21">
        <f>IF(O269&lt;&gt;1,0,E269-N(F269))</f>
        <v/>
      </c>
      <c r="K269" s="35">
        <f>IF(OR(O269&lt;&gt;1,J269&lt;=0),"",IF(H269="Yes","",IF(I269&lt;W1,IF(OverdueW1="No","",1),IF(I269&lt;=W1+90,INT((I269-W1)/7)+1,""))))</f>
        <v/>
      </c>
      <c r="L269" s="36">
        <f>IF(ISNUMBER(K269),J269,0)</f>
        <v/>
      </c>
      <c r="M269" s="10">
        <f>IF(O269="","",IF(O269=0,"Not counted",IF(J269&lt;=0,"Paid",IF(H269="Yes","On hold (left out)",IF(I269&lt;W1,IF(OverdueW1="No","Overdue (left out)","Overdue → Week 1"),IF(I269&lt;=W1+90,"Week "&amp;K269,"After Week 13"))))))</f>
        <v/>
      </c>
      <c r="N269" s="10">
        <f>IF(O269="","",IF(O269=0,IF(NOT(ISNUMBER(E269)),"Fix: amount missing",IF(E269&lt;=0,"Fix: amount must be above 0",IF(AND(NOT(ISNUMBER(D269)),NOT(ISNUMBER(G269))),"Fix: add a due date or a planned pay date",IF(AND(D269&lt;&gt;"",NOT(ISNUMBER(D269))),"Fix: due date isn't a date",IF(AND(F269&lt;&gt;"",NOT(ISNUMBER(F269))),"Fix: paid must be a number",IF(AND(G269&lt;&gt;"",NOT(ISNUMBER(G269))),"Fix: planned date isn't a date","Fix: paid is more than the amount")))))),IF(AND(C269&lt;&gt;"",ISNUMBER(MATCH(C269,OutCats,0))),"OK","Category not on Settings (counted as Other)")))</f>
        <v/>
      </c>
      <c r="O269">
        <f>IF(COUNTA(A269:H269)=0,"",IF(AND(ISNUMBER(E269),E269&gt;0,OR(ISNUMBER(D269),ISNUMBER(G269)),OR(D269="",ISNUMBER(D269)),OR(F269="",ISNUMBER(F269)),OR(G269="",ISNUMBER(G269))),IF(N(F269)&gt;E269,0,1),0))</f>
        <v/>
      </c>
    </row>
    <row r="270">
      <c r="A270" s="29" t="n"/>
      <c r="B270" s="29" t="n"/>
      <c r="C270" s="29" t="n"/>
      <c r="D270" s="24" t="n"/>
      <c r="E270" s="34" t="n"/>
      <c r="F270" s="34" t="n"/>
      <c r="G270" s="24" t="n"/>
      <c r="H270" s="29" t="n"/>
      <c r="I270" s="32">
        <f>IF(O270&lt;&gt;1,"",IF(ISNUMBER(G270),INT(G270),INT(D270)))</f>
        <v/>
      </c>
      <c r="J270" s="21">
        <f>IF(O270&lt;&gt;1,0,E270-N(F270))</f>
        <v/>
      </c>
      <c r="K270" s="35">
        <f>IF(OR(O270&lt;&gt;1,J270&lt;=0),"",IF(H270="Yes","",IF(I270&lt;W1,IF(OverdueW1="No","",1),IF(I270&lt;=W1+90,INT((I270-W1)/7)+1,""))))</f>
        <v/>
      </c>
      <c r="L270" s="36">
        <f>IF(ISNUMBER(K270),J270,0)</f>
        <v/>
      </c>
      <c r="M270" s="10">
        <f>IF(O270="","",IF(O270=0,"Not counted",IF(J270&lt;=0,"Paid",IF(H270="Yes","On hold (left out)",IF(I270&lt;W1,IF(OverdueW1="No","Overdue (left out)","Overdue → Week 1"),IF(I270&lt;=W1+90,"Week "&amp;K270,"After Week 13"))))))</f>
        <v/>
      </c>
      <c r="N270" s="10">
        <f>IF(O270="","",IF(O270=0,IF(NOT(ISNUMBER(E270)),"Fix: amount missing",IF(E270&lt;=0,"Fix: amount must be above 0",IF(AND(NOT(ISNUMBER(D270)),NOT(ISNUMBER(G270))),"Fix: add a due date or a planned pay date",IF(AND(D270&lt;&gt;"",NOT(ISNUMBER(D270))),"Fix: due date isn't a date",IF(AND(F270&lt;&gt;"",NOT(ISNUMBER(F270))),"Fix: paid must be a number",IF(AND(G270&lt;&gt;"",NOT(ISNUMBER(G270))),"Fix: planned date isn't a date","Fix: paid is more than the amount")))))),IF(AND(C270&lt;&gt;"",ISNUMBER(MATCH(C270,OutCats,0))),"OK","Category not on Settings (counted as Other)")))</f>
        <v/>
      </c>
      <c r="O270">
        <f>IF(COUNTA(A270:H270)=0,"",IF(AND(ISNUMBER(E270),E270&gt;0,OR(ISNUMBER(D270),ISNUMBER(G270)),OR(D270="",ISNUMBER(D270)),OR(F270="",ISNUMBER(F270)),OR(G270="",ISNUMBER(G270))),IF(N(F270)&gt;E270,0,1),0))</f>
        <v/>
      </c>
    </row>
    <row r="271">
      <c r="A271" s="29" t="n"/>
      <c r="B271" s="29" t="n"/>
      <c r="C271" s="29" t="n"/>
      <c r="D271" s="24" t="n"/>
      <c r="E271" s="34" t="n"/>
      <c r="F271" s="34" t="n"/>
      <c r="G271" s="24" t="n"/>
      <c r="H271" s="29" t="n"/>
      <c r="I271" s="32">
        <f>IF(O271&lt;&gt;1,"",IF(ISNUMBER(G271),INT(G271),INT(D271)))</f>
        <v/>
      </c>
      <c r="J271" s="21">
        <f>IF(O271&lt;&gt;1,0,E271-N(F271))</f>
        <v/>
      </c>
      <c r="K271" s="35">
        <f>IF(OR(O271&lt;&gt;1,J271&lt;=0),"",IF(H271="Yes","",IF(I271&lt;W1,IF(OverdueW1="No","",1),IF(I271&lt;=W1+90,INT((I271-W1)/7)+1,""))))</f>
        <v/>
      </c>
      <c r="L271" s="36">
        <f>IF(ISNUMBER(K271),J271,0)</f>
        <v/>
      </c>
      <c r="M271" s="10">
        <f>IF(O271="","",IF(O271=0,"Not counted",IF(J271&lt;=0,"Paid",IF(H271="Yes","On hold (left out)",IF(I271&lt;W1,IF(OverdueW1="No","Overdue (left out)","Overdue → Week 1"),IF(I271&lt;=W1+90,"Week "&amp;K271,"After Week 13"))))))</f>
        <v/>
      </c>
      <c r="N271" s="10">
        <f>IF(O271="","",IF(O271=0,IF(NOT(ISNUMBER(E271)),"Fix: amount missing",IF(E271&lt;=0,"Fix: amount must be above 0",IF(AND(NOT(ISNUMBER(D271)),NOT(ISNUMBER(G271))),"Fix: add a due date or a planned pay date",IF(AND(D271&lt;&gt;"",NOT(ISNUMBER(D271))),"Fix: due date isn't a date",IF(AND(F271&lt;&gt;"",NOT(ISNUMBER(F271))),"Fix: paid must be a number",IF(AND(G271&lt;&gt;"",NOT(ISNUMBER(G271))),"Fix: planned date isn't a date","Fix: paid is more than the amount")))))),IF(AND(C271&lt;&gt;"",ISNUMBER(MATCH(C271,OutCats,0))),"OK","Category not on Settings (counted as Other)")))</f>
        <v/>
      </c>
      <c r="O271">
        <f>IF(COUNTA(A271:H271)=0,"",IF(AND(ISNUMBER(E271),E271&gt;0,OR(ISNUMBER(D271),ISNUMBER(G271)),OR(D271="",ISNUMBER(D271)),OR(F271="",ISNUMBER(F271)),OR(G271="",ISNUMBER(G271))),IF(N(F271)&gt;E271,0,1),0))</f>
        <v/>
      </c>
    </row>
    <row r="272">
      <c r="A272" s="29" t="n"/>
      <c r="B272" s="29" t="n"/>
      <c r="C272" s="29" t="n"/>
      <c r="D272" s="24" t="n"/>
      <c r="E272" s="34" t="n"/>
      <c r="F272" s="34" t="n"/>
      <c r="G272" s="24" t="n"/>
      <c r="H272" s="29" t="n"/>
      <c r="I272" s="32">
        <f>IF(O272&lt;&gt;1,"",IF(ISNUMBER(G272),INT(G272),INT(D272)))</f>
        <v/>
      </c>
      <c r="J272" s="21">
        <f>IF(O272&lt;&gt;1,0,E272-N(F272))</f>
        <v/>
      </c>
      <c r="K272" s="35">
        <f>IF(OR(O272&lt;&gt;1,J272&lt;=0),"",IF(H272="Yes","",IF(I272&lt;W1,IF(OverdueW1="No","",1),IF(I272&lt;=W1+90,INT((I272-W1)/7)+1,""))))</f>
        <v/>
      </c>
      <c r="L272" s="36">
        <f>IF(ISNUMBER(K272),J272,0)</f>
        <v/>
      </c>
      <c r="M272" s="10">
        <f>IF(O272="","",IF(O272=0,"Not counted",IF(J272&lt;=0,"Paid",IF(H272="Yes","On hold (left out)",IF(I272&lt;W1,IF(OverdueW1="No","Overdue (left out)","Overdue → Week 1"),IF(I272&lt;=W1+90,"Week "&amp;K272,"After Week 13"))))))</f>
        <v/>
      </c>
      <c r="N272" s="10">
        <f>IF(O272="","",IF(O272=0,IF(NOT(ISNUMBER(E272)),"Fix: amount missing",IF(E272&lt;=0,"Fix: amount must be above 0",IF(AND(NOT(ISNUMBER(D272)),NOT(ISNUMBER(G272))),"Fix: add a due date or a planned pay date",IF(AND(D272&lt;&gt;"",NOT(ISNUMBER(D272))),"Fix: due date isn't a date",IF(AND(F272&lt;&gt;"",NOT(ISNUMBER(F272))),"Fix: paid must be a number",IF(AND(G272&lt;&gt;"",NOT(ISNUMBER(G272))),"Fix: planned date isn't a date","Fix: paid is more than the amount")))))),IF(AND(C272&lt;&gt;"",ISNUMBER(MATCH(C272,OutCats,0))),"OK","Category not on Settings (counted as Other)")))</f>
        <v/>
      </c>
      <c r="O272">
        <f>IF(COUNTA(A272:H272)=0,"",IF(AND(ISNUMBER(E272),E272&gt;0,OR(ISNUMBER(D272),ISNUMBER(G272)),OR(D272="",ISNUMBER(D272)),OR(F272="",ISNUMBER(F272)),OR(G272="",ISNUMBER(G272))),IF(N(F272)&gt;E272,0,1),0))</f>
        <v/>
      </c>
    </row>
    <row r="273">
      <c r="A273" s="29" t="n"/>
      <c r="B273" s="29" t="n"/>
      <c r="C273" s="29" t="n"/>
      <c r="D273" s="24" t="n"/>
      <c r="E273" s="34" t="n"/>
      <c r="F273" s="34" t="n"/>
      <c r="G273" s="24" t="n"/>
      <c r="H273" s="29" t="n"/>
      <c r="I273" s="32">
        <f>IF(O273&lt;&gt;1,"",IF(ISNUMBER(G273),INT(G273),INT(D273)))</f>
        <v/>
      </c>
      <c r="J273" s="21">
        <f>IF(O273&lt;&gt;1,0,E273-N(F273))</f>
        <v/>
      </c>
      <c r="K273" s="35">
        <f>IF(OR(O273&lt;&gt;1,J273&lt;=0),"",IF(H273="Yes","",IF(I273&lt;W1,IF(OverdueW1="No","",1),IF(I273&lt;=W1+90,INT((I273-W1)/7)+1,""))))</f>
        <v/>
      </c>
      <c r="L273" s="36">
        <f>IF(ISNUMBER(K273),J273,0)</f>
        <v/>
      </c>
      <c r="M273" s="10">
        <f>IF(O273="","",IF(O273=0,"Not counted",IF(J273&lt;=0,"Paid",IF(H273="Yes","On hold (left out)",IF(I273&lt;W1,IF(OverdueW1="No","Overdue (left out)","Overdue → Week 1"),IF(I273&lt;=W1+90,"Week "&amp;K273,"After Week 13"))))))</f>
        <v/>
      </c>
      <c r="N273" s="10">
        <f>IF(O273="","",IF(O273=0,IF(NOT(ISNUMBER(E273)),"Fix: amount missing",IF(E273&lt;=0,"Fix: amount must be above 0",IF(AND(NOT(ISNUMBER(D273)),NOT(ISNUMBER(G273))),"Fix: add a due date or a planned pay date",IF(AND(D273&lt;&gt;"",NOT(ISNUMBER(D273))),"Fix: due date isn't a date",IF(AND(F273&lt;&gt;"",NOT(ISNUMBER(F273))),"Fix: paid must be a number",IF(AND(G273&lt;&gt;"",NOT(ISNUMBER(G273))),"Fix: planned date isn't a date","Fix: paid is more than the amount")))))),IF(AND(C273&lt;&gt;"",ISNUMBER(MATCH(C273,OutCats,0))),"OK","Category not on Settings (counted as Other)")))</f>
        <v/>
      </c>
      <c r="O273">
        <f>IF(COUNTA(A273:H273)=0,"",IF(AND(ISNUMBER(E273),E273&gt;0,OR(ISNUMBER(D273),ISNUMBER(G273)),OR(D273="",ISNUMBER(D273)),OR(F273="",ISNUMBER(F273)),OR(G273="",ISNUMBER(G273))),IF(N(F273)&gt;E273,0,1),0))</f>
        <v/>
      </c>
    </row>
    <row r="274">
      <c r="A274" s="29" t="n"/>
      <c r="B274" s="29" t="n"/>
      <c r="C274" s="29" t="n"/>
      <c r="D274" s="24" t="n"/>
      <c r="E274" s="34" t="n"/>
      <c r="F274" s="34" t="n"/>
      <c r="G274" s="24" t="n"/>
      <c r="H274" s="29" t="n"/>
      <c r="I274" s="32">
        <f>IF(O274&lt;&gt;1,"",IF(ISNUMBER(G274),INT(G274),INT(D274)))</f>
        <v/>
      </c>
      <c r="J274" s="21">
        <f>IF(O274&lt;&gt;1,0,E274-N(F274))</f>
        <v/>
      </c>
      <c r="K274" s="35">
        <f>IF(OR(O274&lt;&gt;1,J274&lt;=0),"",IF(H274="Yes","",IF(I274&lt;W1,IF(OverdueW1="No","",1),IF(I274&lt;=W1+90,INT((I274-W1)/7)+1,""))))</f>
        <v/>
      </c>
      <c r="L274" s="36">
        <f>IF(ISNUMBER(K274),J274,0)</f>
        <v/>
      </c>
      <c r="M274" s="10">
        <f>IF(O274="","",IF(O274=0,"Not counted",IF(J274&lt;=0,"Paid",IF(H274="Yes","On hold (left out)",IF(I274&lt;W1,IF(OverdueW1="No","Overdue (left out)","Overdue → Week 1"),IF(I274&lt;=W1+90,"Week "&amp;K274,"After Week 13"))))))</f>
        <v/>
      </c>
      <c r="N274" s="10">
        <f>IF(O274="","",IF(O274=0,IF(NOT(ISNUMBER(E274)),"Fix: amount missing",IF(E274&lt;=0,"Fix: amount must be above 0",IF(AND(NOT(ISNUMBER(D274)),NOT(ISNUMBER(G274))),"Fix: add a due date or a planned pay date",IF(AND(D274&lt;&gt;"",NOT(ISNUMBER(D274))),"Fix: due date isn't a date",IF(AND(F274&lt;&gt;"",NOT(ISNUMBER(F274))),"Fix: paid must be a number",IF(AND(G274&lt;&gt;"",NOT(ISNUMBER(G274))),"Fix: planned date isn't a date","Fix: paid is more than the amount")))))),IF(AND(C274&lt;&gt;"",ISNUMBER(MATCH(C274,OutCats,0))),"OK","Category not on Settings (counted as Other)")))</f>
        <v/>
      </c>
      <c r="O274">
        <f>IF(COUNTA(A274:H274)=0,"",IF(AND(ISNUMBER(E274),E274&gt;0,OR(ISNUMBER(D274),ISNUMBER(G274)),OR(D274="",ISNUMBER(D274)),OR(F274="",ISNUMBER(F274)),OR(G274="",ISNUMBER(G274))),IF(N(F274)&gt;E274,0,1),0))</f>
        <v/>
      </c>
    </row>
    <row r="275">
      <c r="A275" s="29" t="n"/>
      <c r="B275" s="29" t="n"/>
      <c r="C275" s="29" t="n"/>
      <c r="D275" s="24" t="n"/>
      <c r="E275" s="34" t="n"/>
      <c r="F275" s="34" t="n"/>
      <c r="G275" s="24" t="n"/>
      <c r="H275" s="29" t="n"/>
      <c r="I275" s="32">
        <f>IF(O275&lt;&gt;1,"",IF(ISNUMBER(G275),INT(G275),INT(D275)))</f>
        <v/>
      </c>
      <c r="J275" s="21">
        <f>IF(O275&lt;&gt;1,0,E275-N(F275))</f>
        <v/>
      </c>
      <c r="K275" s="35">
        <f>IF(OR(O275&lt;&gt;1,J275&lt;=0),"",IF(H275="Yes","",IF(I275&lt;W1,IF(OverdueW1="No","",1),IF(I275&lt;=W1+90,INT((I275-W1)/7)+1,""))))</f>
        <v/>
      </c>
      <c r="L275" s="36">
        <f>IF(ISNUMBER(K275),J275,0)</f>
        <v/>
      </c>
      <c r="M275" s="10">
        <f>IF(O275="","",IF(O275=0,"Not counted",IF(J275&lt;=0,"Paid",IF(H275="Yes","On hold (left out)",IF(I275&lt;W1,IF(OverdueW1="No","Overdue (left out)","Overdue → Week 1"),IF(I275&lt;=W1+90,"Week "&amp;K275,"After Week 13"))))))</f>
        <v/>
      </c>
      <c r="N275" s="10">
        <f>IF(O275="","",IF(O275=0,IF(NOT(ISNUMBER(E275)),"Fix: amount missing",IF(E275&lt;=0,"Fix: amount must be above 0",IF(AND(NOT(ISNUMBER(D275)),NOT(ISNUMBER(G275))),"Fix: add a due date or a planned pay date",IF(AND(D275&lt;&gt;"",NOT(ISNUMBER(D275))),"Fix: due date isn't a date",IF(AND(F275&lt;&gt;"",NOT(ISNUMBER(F275))),"Fix: paid must be a number",IF(AND(G275&lt;&gt;"",NOT(ISNUMBER(G275))),"Fix: planned date isn't a date","Fix: paid is more than the amount")))))),IF(AND(C275&lt;&gt;"",ISNUMBER(MATCH(C275,OutCats,0))),"OK","Category not on Settings (counted as Other)")))</f>
        <v/>
      </c>
      <c r="O275">
        <f>IF(COUNTA(A275:H275)=0,"",IF(AND(ISNUMBER(E275),E275&gt;0,OR(ISNUMBER(D275),ISNUMBER(G275)),OR(D275="",ISNUMBER(D275)),OR(F275="",ISNUMBER(F275)),OR(G275="",ISNUMBER(G275))),IF(N(F275)&gt;E275,0,1),0))</f>
        <v/>
      </c>
    </row>
    <row r="276">
      <c r="A276" s="29" t="n"/>
      <c r="B276" s="29" t="n"/>
      <c r="C276" s="29" t="n"/>
      <c r="D276" s="24" t="n"/>
      <c r="E276" s="34" t="n"/>
      <c r="F276" s="34" t="n"/>
      <c r="G276" s="24" t="n"/>
      <c r="H276" s="29" t="n"/>
      <c r="I276" s="32">
        <f>IF(O276&lt;&gt;1,"",IF(ISNUMBER(G276),INT(G276),INT(D276)))</f>
        <v/>
      </c>
      <c r="J276" s="21">
        <f>IF(O276&lt;&gt;1,0,E276-N(F276))</f>
        <v/>
      </c>
      <c r="K276" s="35">
        <f>IF(OR(O276&lt;&gt;1,J276&lt;=0),"",IF(H276="Yes","",IF(I276&lt;W1,IF(OverdueW1="No","",1),IF(I276&lt;=W1+90,INT((I276-W1)/7)+1,""))))</f>
        <v/>
      </c>
      <c r="L276" s="36">
        <f>IF(ISNUMBER(K276),J276,0)</f>
        <v/>
      </c>
      <c r="M276" s="10">
        <f>IF(O276="","",IF(O276=0,"Not counted",IF(J276&lt;=0,"Paid",IF(H276="Yes","On hold (left out)",IF(I276&lt;W1,IF(OverdueW1="No","Overdue (left out)","Overdue → Week 1"),IF(I276&lt;=W1+90,"Week "&amp;K276,"After Week 13"))))))</f>
        <v/>
      </c>
      <c r="N276" s="10">
        <f>IF(O276="","",IF(O276=0,IF(NOT(ISNUMBER(E276)),"Fix: amount missing",IF(E276&lt;=0,"Fix: amount must be above 0",IF(AND(NOT(ISNUMBER(D276)),NOT(ISNUMBER(G276))),"Fix: add a due date or a planned pay date",IF(AND(D276&lt;&gt;"",NOT(ISNUMBER(D276))),"Fix: due date isn't a date",IF(AND(F276&lt;&gt;"",NOT(ISNUMBER(F276))),"Fix: paid must be a number",IF(AND(G276&lt;&gt;"",NOT(ISNUMBER(G276))),"Fix: planned date isn't a date","Fix: paid is more than the amount")))))),IF(AND(C276&lt;&gt;"",ISNUMBER(MATCH(C276,OutCats,0))),"OK","Category not on Settings (counted as Other)")))</f>
        <v/>
      </c>
      <c r="O276">
        <f>IF(COUNTA(A276:H276)=0,"",IF(AND(ISNUMBER(E276),E276&gt;0,OR(ISNUMBER(D276),ISNUMBER(G276)),OR(D276="",ISNUMBER(D276)),OR(F276="",ISNUMBER(F276)),OR(G276="",ISNUMBER(G276))),IF(N(F276)&gt;E276,0,1),0))</f>
        <v/>
      </c>
    </row>
    <row r="277">
      <c r="A277" s="29" t="n"/>
      <c r="B277" s="29" t="n"/>
      <c r="C277" s="29" t="n"/>
      <c r="D277" s="24" t="n"/>
      <c r="E277" s="34" t="n"/>
      <c r="F277" s="34" t="n"/>
      <c r="G277" s="24" t="n"/>
      <c r="H277" s="29" t="n"/>
      <c r="I277" s="32">
        <f>IF(O277&lt;&gt;1,"",IF(ISNUMBER(G277),INT(G277),INT(D277)))</f>
        <v/>
      </c>
      <c r="J277" s="21">
        <f>IF(O277&lt;&gt;1,0,E277-N(F277))</f>
        <v/>
      </c>
      <c r="K277" s="35">
        <f>IF(OR(O277&lt;&gt;1,J277&lt;=0),"",IF(H277="Yes","",IF(I277&lt;W1,IF(OverdueW1="No","",1),IF(I277&lt;=W1+90,INT((I277-W1)/7)+1,""))))</f>
        <v/>
      </c>
      <c r="L277" s="36">
        <f>IF(ISNUMBER(K277),J277,0)</f>
        <v/>
      </c>
      <c r="M277" s="10">
        <f>IF(O277="","",IF(O277=0,"Not counted",IF(J277&lt;=0,"Paid",IF(H277="Yes","On hold (left out)",IF(I277&lt;W1,IF(OverdueW1="No","Overdue (left out)","Overdue → Week 1"),IF(I277&lt;=W1+90,"Week "&amp;K277,"After Week 13"))))))</f>
        <v/>
      </c>
      <c r="N277" s="10">
        <f>IF(O277="","",IF(O277=0,IF(NOT(ISNUMBER(E277)),"Fix: amount missing",IF(E277&lt;=0,"Fix: amount must be above 0",IF(AND(NOT(ISNUMBER(D277)),NOT(ISNUMBER(G277))),"Fix: add a due date or a planned pay date",IF(AND(D277&lt;&gt;"",NOT(ISNUMBER(D277))),"Fix: due date isn't a date",IF(AND(F277&lt;&gt;"",NOT(ISNUMBER(F277))),"Fix: paid must be a number",IF(AND(G277&lt;&gt;"",NOT(ISNUMBER(G277))),"Fix: planned date isn't a date","Fix: paid is more than the amount")))))),IF(AND(C277&lt;&gt;"",ISNUMBER(MATCH(C277,OutCats,0))),"OK","Category not on Settings (counted as Other)")))</f>
        <v/>
      </c>
      <c r="O277">
        <f>IF(COUNTA(A277:H277)=0,"",IF(AND(ISNUMBER(E277),E277&gt;0,OR(ISNUMBER(D277),ISNUMBER(G277)),OR(D277="",ISNUMBER(D277)),OR(F277="",ISNUMBER(F277)),OR(G277="",ISNUMBER(G277))),IF(N(F277)&gt;E277,0,1),0))</f>
        <v/>
      </c>
    </row>
    <row r="278">
      <c r="A278" s="29" t="n"/>
      <c r="B278" s="29" t="n"/>
      <c r="C278" s="29" t="n"/>
      <c r="D278" s="24" t="n"/>
      <c r="E278" s="34" t="n"/>
      <c r="F278" s="34" t="n"/>
      <c r="G278" s="24" t="n"/>
      <c r="H278" s="29" t="n"/>
      <c r="I278" s="32">
        <f>IF(O278&lt;&gt;1,"",IF(ISNUMBER(G278),INT(G278),INT(D278)))</f>
        <v/>
      </c>
      <c r="J278" s="21">
        <f>IF(O278&lt;&gt;1,0,E278-N(F278))</f>
        <v/>
      </c>
      <c r="K278" s="35">
        <f>IF(OR(O278&lt;&gt;1,J278&lt;=0),"",IF(H278="Yes","",IF(I278&lt;W1,IF(OverdueW1="No","",1),IF(I278&lt;=W1+90,INT((I278-W1)/7)+1,""))))</f>
        <v/>
      </c>
      <c r="L278" s="36">
        <f>IF(ISNUMBER(K278),J278,0)</f>
        <v/>
      </c>
      <c r="M278" s="10">
        <f>IF(O278="","",IF(O278=0,"Not counted",IF(J278&lt;=0,"Paid",IF(H278="Yes","On hold (left out)",IF(I278&lt;W1,IF(OverdueW1="No","Overdue (left out)","Overdue → Week 1"),IF(I278&lt;=W1+90,"Week "&amp;K278,"After Week 13"))))))</f>
        <v/>
      </c>
      <c r="N278" s="10">
        <f>IF(O278="","",IF(O278=0,IF(NOT(ISNUMBER(E278)),"Fix: amount missing",IF(E278&lt;=0,"Fix: amount must be above 0",IF(AND(NOT(ISNUMBER(D278)),NOT(ISNUMBER(G278))),"Fix: add a due date or a planned pay date",IF(AND(D278&lt;&gt;"",NOT(ISNUMBER(D278))),"Fix: due date isn't a date",IF(AND(F278&lt;&gt;"",NOT(ISNUMBER(F278))),"Fix: paid must be a number",IF(AND(G278&lt;&gt;"",NOT(ISNUMBER(G278))),"Fix: planned date isn't a date","Fix: paid is more than the amount")))))),IF(AND(C278&lt;&gt;"",ISNUMBER(MATCH(C278,OutCats,0))),"OK","Category not on Settings (counted as Other)")))</f>
        <v/>
      </c>
      <c r="O278">
        <f>IF(COUNTA(A278:H278)=0,"",IF(AND(ISNUMBER(E278),E278&gt;0,OR(ISNUMBER(D278),ISNUMBER(G278)),OR(D278="",ISNUMBER(D278)),OR(F278="",ISNUMBER(F278)),OR(G278="",ISNUMBER(G278))),IF(N(F278)&gt;E278,0,1),0))</f>
        <v/>
      </c>
    </row>
    <row r="279">
      <c r="A279" s="29" t="n"/>
      <c r="B279" s="29" t="n"/>
      <c r="C279" s="29" t="n"/>
      <c r="D279" s="24" t="n"/>
      <c r="E279" s="34" t="n"/>
      <c r="F279" s="34" t="n"/>
      <c r="G279" s="24" t="n"/>
      <c r="H279" s="29" t="n"/>
      <c r="I279" s="32">
        <f>IF(O279&lt;&gt;1,"",IF(ISNUMBER(G279),INT(G279),INT(D279)))</f>
        <v/>
      </c>
      <c r="J279" s="21">
        <f>IF(O279&lt;&gt;1,0,E279-N(F279))</f>
        <v/>
      </c>
      <c r="K279" s="35">
        <f>IF(OR(O279&lt;&gt;1,J279&lt;=0),"",IF(H279="Yes","",IF(I279&lt;W1,IF(OverdueW1="No","",1),IF(I279&lt;=W1+90,INT((I279-W1)/7)+1,""))))</f>
        <v/>
      </c>
      <c r="L279" s="36">
        <f>IF(ISNUMBER(K279),J279,0)</f>
        <v/>
      </c>
      <c r="M279" s="10">
        <f>IF(O279="","",IF(O279=0,"Not counted",IF(J279&lt;=0,"Paid",IF(H279="Yes","On hold (left out)",IF(I279&lt;W1,IF(OverdueW1="No","Overdue (left out)","Overdue → Week 1"),IF(I279&lt;=W1+90,"Week "&amp;K279,"After Week 13"))))))</f>
        <v/>
      </c>
      <c r="N279" s="10">
        <f>IF(O279="","",IF(O279=0,IF(NOT(ISNUMBER(E279)),"Fix: amount missing",IF(E279&lt;=0,"Fix: amount must be above 0",IF(AND(NOT(ISNUMBER(D279)),NOT(ISNUMBER(G279))),"Fix: add a due date or a planned pay date",IF(AND(D279&lt;&gt;"",NOT(ISNUMBER(D279))),"Fix: due date isn't a date",IF(AND(F279&lt;&gt;"",NOT(ISNUMBER(F279))),"Fix: paid must be a number",IF(AND(G279&lt;&gt;"",NOT(ISNUMBER(G279))),"Fix: planned date isn't a date","Fix: paid is more than the amount")))))),IF(AND(C279&lt;&gt;"",ISNUMBER(MATCH(C279,OutCats,0))),"OK","Category not on Settings (counted as Other)")))</f>
        <v/>
      </c>
      <c r="O279">
        <f>IF(COUNTA(A279:H279)=0,"",IF(AND(ISNUMBER(E279),E279&gt;0,OR(ISNUMBER(D279),ISNUMBER(G279)),OR(D279="",ISNUMBER(D279)),OR(F279="",ISNUMBER(F279)),OR(G279="",ISNUMBER(G279))),IF(N(F279)&gt;E279,0,1),0))</f>
        <v/>
      </c>
    </row>
    <row r="280">
      <c r="A280" s="29" t="n"/>
      <c r="B280" s="29" t="n"/>
      <c r="C280" s="29" t="n"/>
      <c r="D280" s="24" t="n"/>
      <c r="E280" s="34" t="n"/>
      <c r="F280" s="34" t="n"/>
      <c r="G280" s="24" t="n"/>
      <c r="H280" s="29" t="n"/>
      <c r="I280" s="32">
        <f>IF(O280&lt;&gt;1,"",IF(ISNUMBER(G280),INT(G280),INT(D280)))</f>
        <v/>
      </c>
      <c r="J280" s="21">
        <f>IF(O280&lt;&gt;1,0,E280-N(F280))</f>
        <v/>
      </c>
      <c r="K280" s="35">
        <f>IF(OR(O280&lt;&gt;1,J280&lt;=0),"",IF(H280="Yes","",IF(I280&lt;W1,IF(OverdueW1="No","",1),IF(I280&lt;=W1+90,INT((I280-W1)/7)+1,""))))</f>
        <v/>
      </c>
      <c r="L280" s="36">
        <f>IF(ISNUMBER(K280),J280,0)</f>
        <v/>
      </c>
      <c r="M280" s="10">
        <f>IF(O280="","",IF(O280=0,"Not counted",IF(J280&lt;=0,"Paid",IF(H280="Yes","On hold (left out)",IF(I280&lt;W1,IF(OverdueW1="No","Overdue (left out)","Overdue → Week 1"),IF(I280&lt;=W1+90,"Week "&amp;K280,"After Week 13"))))))</f>
        <v/>
      </c>
      <c r="N280" s="10">
        <f>IF(O280="","",IF(O280=0,IF(NOT(ISNUMBER(E280)),"Fix: amount missing",IF(E280&lt;=0,"Fix: amount must be above 0",IF(AND(NOT(ISNUMBER(D280)),NOT(ISNUMBER(G280))),"Fix: add a due date or a planned pay date",IF(AND(D280&lt;&gt;"",NOT(ISNUMBER(D280))),"Fix: due date isn't a date",IF(AND(F280&lt;&gt;"",NOT(ISNUMBER(F280))),"Fix: paid must be a number",IF(AND(G280&lt;&gt;"",NOT(ISNUMBER(G280))),"Fix: planned date isn't a date","Fix: paid is more than the amount")))))),IF(AND(C280&lt;&gt;"",ISNUMBER(MATCH(C280,OutCats,0))),"OK","Category not on Settings (counted as Other)")))</f>
        <v/>
      </c>
      <c r="O280">
        <f>IF(COUNTA(A280:H280)=0,"",IF(AND(ISNUMBER(E280),E280&gt;0,OR(ISNUMBER(D280),ISNUMBER(G280)),OR(D280="",ISNUMBER(D280)),OR(F280="",ISNUMBER(F280)),OR(G280="",ISNUMBER(G280))),IF(N(F280)&gt;E280,0,1),0))</f>
        <v/>
      </c>
    </row>
    <row r="281">
      <c r="A281" s="29" t="n"/>
      <c r="B281" s="29" t="n"/>
      <c r="C281" s="29" t="n"/>
      <c r="D281" s="24" t="n"/>
      <c r="E281" s="34" t="n"/>
      <c r="F281" s="34" t="n"/>
      <c r="G281" s="24" t="n"/>
      <c r="H281" s="29" t="n"/>
      <c r="I281" s="32">
        <f>IF(O281&lt;&gt;1,"",IF(ISNUMBER(G281),INT(G281),INT(D281)))</f>
        <v/>
      </c>
      <c r="J281" s="21">
        <f>IF(O281&lt;&gt;1,0,E281-N(F281))</f>
        <v/>
      </c>
      <c r="K281" s="35">
        <f>IF(OR(O281&lt;&gt;1,J281&lt;=0),"",IF(H281="Yes","",IF(I281&lt;W1,IF(OverdueW1="No","",1),IF(I281&lt;=W1+90,INT((I281-W1)/7)+1,""))))</f>
        <v/>
      </c>
      <c r="L281" s="36">
        <f>IF(ISNUMBER(K281),J281,0)</f>
        <v/>
      </c>
      <c r="M281" s="10">
        <f>IF(O281="","",IF(O281=0,"Not counted",IF(J281&lt;=0,"Paid",IF(H281="Yes","On hold (left out)",IF(I281&lt;W1,IF(OverdueW1="No","Overdue (left out)","Overdue → Week 1"),IF(I281&lt;=W1+90,"Week "&amp;K281,"After Week 13"))))))</f>
        <v/>
      </c>
      <c r="N281" s="10">
        <f>IF(O281="","",IF(O281=0,IF(NOT(ISNUMBER(E281)),"Fix: amount missing",IF(E281&lt;=0,"Fix: amount must be above 0",IF(AND(NOT(ISNUMBER(D281)),NOT(ISNUMBER(G281))),"Fix: add a due date or a planned pay date",IF(AND(D281&lt;&gt;"",NOT(ISNUMBER(D281))),"Fix: due date isn't a date",IF(AND(F281&lt;&gt;"",NOT(ISNUMBER(F281))),"Fix: paid must be a number",IF(AND(G281&lt;&gt;"",NOT(ISNUMBER(G281))),"Fix: planned date isn't a date","Fix: paid is more than the amount")))))),IF(AND(C281&lt;&gt;"",ISNUMBER(MATCH(C281,OutCats,0))),"OK","Category not on Settings (counted as Other)")))</f>
        <v/>
      </c>
      <c r="O281">
        <f>IF(COUNTA(A281:H281)=0,"",IF(AND(ISNUMBER(E281),E281&gt;0,OR(ISNUMBER(D281),ISNUMBER(G281)),OR(D281="",ISNUMBER(D281)),OR(F281="",ISNUMBER(F281)),OR(G281="",ISNUMBER(G281))),IF(N(F281)&gt;E281,0,1),0))</f>
        <v/>
      </c>
    </row>
    <row r="282">
      <c r="A282" s="29" t="n"/>
      <c r="B282" s="29" t="n"/>
      <c r="C282" s="29" t="n"/>
      <c r="D282" s="24" t="n"/>
      <c r="E282" s="34" t="n"/>
      <c r="F282" s="34" t="n"/>
      <c r="G282" s="24" t="n"/>
      <c r="H282" s="29" t="n"/>
      <c r="I282" s="32">
        <f>IF(O282&lt;&gt;1,"",IF(ISNUMBER(G282),INT(G282),INT(D282)))</f>
        <v/>
      </c>
      <c r="J282" s="21">
        <f>IF(O282&lt;&gt;1,0,E282-N(F282))</f>
        <v/>
      </c>
      <c r="K282" s="35">
        <f>IF(OR(O282&lt;&gt;1,J282&lt;=0),"",IF(H282="Yes","",IF(I282&lt;W1,IF(OverdueW1="No","",1),IF(I282&lt;=W1+90,INT((I282-W1)/7)+1,""))))</f>
        <v/>
      </c>
      <c r="L282" s="36">
        <f>IF(ISNUMBER(K282),J282,0)</f>
        <v/>
      </c>
      <c r="M282" s="10">
        <f>IF(O282="","",IF(O282=0,"Not counted",IF(J282&lt;=0,"Paid",IF(H282="Yes","On hold (left out)",IF(I282&lt;W1,IF(OverdueW1="No","Overdue (left out)","Overdue → Week 1"),IF(I282&lt;=W1+90,"Week "&amp;K282,"After Week 13"))))))</f>
        <v/>
      </c>
      <c r="N282" s="10">
        <f>IF(O282="","",IF(O282=0,IF(NOT(ISNUMBER(E282)),"Fix: amount missing",IF(E282&lt;=0,"Fix: amount must be above 0",IF(AND(NOT(ISNUMBER(D282)),NOT(ISNUMBER(G282))),"Fix: add a due date or a planned pay date",IF(AND(D282&lt;&gt;"",NOT(ISNUMBER(D282))),"Fix: due date isn't a date",IF(AND(F282&lt;&gt;"",NOT(ISNUMBER(F282))),"Fix: paid must be a number",IF(AND(G282&lt;&gt;"",NOT(ISNUMBER(G282))),"Fix: planned date isn't a date","Fix: paid is more than the amount")))))),IF(AND(C282&lt;&gt;"",ISNUMBER(MATCH(C282,OutCats,0))),"OK","Category not on Settings (counted as Other)")))</f>
        <v/>
      </c>
      <c r="O282">
        <f>IF(COUNTA(A282:H282)=0,"",IF(AND(ISNUMBER(E282),E282&gt;0,OR(ISNUMBER(D282),ISNUMBER(G282)),OR(D282="",ISNUMBER(D282)),OR(F282="",ISNUMBER(F282)),OR(G282="",ISNUMBER(G282))),IF(N(F282)&gt;E282,0,1),0))</f>
        <v/>
      </c>
    </row>
    <row r="283">
      <c r="A283" s="29" t="n"/>
      <c r="B283" s="29" t="n"/>
      <c r="C283" s="29" t="n"/>
      <c r="D283" s="24" t="n"/>
      <c r="E283" s="34" t="n"/>
      <c r="F283" s="34" t="n"/>
      <c r="G283" s="24" t="n"/>
      <c r="H283" s="29" t="n"/>
      <c r="I283" s="32">
        <f>IF(O283&lt;&gt;1,"",IF(ISNUMBER(G283),INT(G283),INT(D283)))</f>
        <v/>
      </c>
      <c r="J283" s="21">
        <f>IF(O283&lt;&gt;1,0,E283-N(F283))</f>
        <v/>
      </c>
      <c r="K283" s="35">
        <f>IF(OR(O283&lt;&gt;1,J283&lt;=0),"",IF(H283="Yes","",IF(I283&lt;W1,IF(OverdueW1="No","",1),IF(I283&lt;=W1+90,INT((I283-W1)/7)+1,""))))</f>
        <v/>
      </c>
      <c r="L283" s="36">
        <f>IF(ISNUMBER(K283),J283,0)</f>
        <v/>
      </c>
      <c r="M283" s="10">
        <f>IF(O283="","",IF(O283=0,"Not counted",IF(J283&lt;=0,"Paid",IF(H283="Yes","On hold (left out)",IF(I283&lt;W1,IF(OverdueW1="No","Overdue (left out)","Overdue → Week 1"),IF(I283&lt;=W1+90,"Week "&amp;K283,"After Week 13"))))))</f>
        <v/>
      </c>
      <c r="N283" s="10">
        <f>IF(O283="","",IF(O283=0,IF(NOT(ISNUMBER(E283)),"Fix: amount missing",IF(E283&lt;=0,"Fix: amount must be above 0",IF(AND(NOT(ISNUMBER(D283)),NOT(ISNUMBER(G283))),"Fix: add a due date or a planned pay date",IF(AND(D283&lt;&gt;"",NOT(ISNUMBER(D283))),"Fix: due date isn't a date",IF(AND(F283&lt;&gt;"",NOT(ISNUMBER(F283))),"Fix: paid must be a number",IF(AND(G283&lt;&gt;"",NOT(ISNUMBER(G283))),"Fix: planned date isn't a date","Fix: paid is more than the amount")))))),IF(AND(C283&lt;&gt;"",ISNUMBER(MATCH(C283,OutCats,0))),"OK","Category not on Settings (counted as Other)")))</f>
        <v/>
      </c>
      <c r="O283">
        <f>IF(COUNTA(A283:H283)=0,"",IF(AND(ISNUMBER(E283),E283&gt;0,OR(ISNUMBER(D283),ISNUMBER(G283)),OR(D283="",ISNUMBER(D283)),OR(F283="",ISNUMBER(F283)),OR(G283="",ISNUMBER(G283))),IF(N(F283)&gt;E283,0,1),0))</f>
        <v/>
      </c>
    </row>
    <row r="284">
      <c r="A284" s="29" t="n"/>
      <c r="B284" s="29" t="n"/>
      <c r="C284" s="29" t="n"/>
      <c r="D284" s="24" t="n"/>
      <c r="E284" s="34" t="n"/>
      <c r="F284" s="34" t="n"/>
      <c r="G284" s="24" t="n"/>
      <c r="H284" s="29" t="n"/>
      <c r="I284" s="32">
        <f>IF(O284&lt;&gt;1,"",IF(ISNUMBER(G284),INT(G284),INT(D284)))</f>
        <v/>
      </c>
      <c r="J284" s="21">
        <f>IF(O284&lt;&gt;1,0,E284-N(F284))</f>
        <v/>
      </c>
      <c r="K284" s="35">
        <f>IF(OR(O284&lt;&gt;1,J284&lt;=0),"",IF(H284="Yes","",IF(I284&lt;W1,IF(OverdueW1="No","",1),IF(I284&lt;=W1+90,INT((I284-W1)/7)+1,""))))</f>
        <v/>
      </c>
      <c r="L284" s="36">
        <f>IF(ISNUMBER(K284),J284,0)</f>
        <v/>
      </c>
      <c r="M284" s="10">
        <f>IF(O284="","",IF(O284=0,"Not counted",IF(J284&lt;=0,"Paid",IF(H284="Yes","On hold (left out)",IF(I284&lt;W1,IF(OverdueW1="No","Overdue (left out)","Overdue → Week 1"),IF(I284&lt;=W1+90,"Week "&amp;K284,"After Week 13"))))))</f>
        <v/>
      </c>
      <c r="N284" s="10">
        <f>IF(O284="","",IF(O284=0,IF(NOT(ISNUMBER(E284)),"Fix: amount missing",IF(E284&lt;=0,"Fix: amount must be above 0",IF(AND(NOT(ISNUMBER(D284)),NOT(ISNUMBER(G284))),"Fix: add a due date or a planned pay date",IF(AND(D284&lt;&gt;"",NOT(ISNUMBER(D284))),"Fix: due date isn't a date",IF(AND(F284&lt;&gt;"",NOT(ISNUMBER(F284))),"Fix: paid must be a number",IF(AND(G284&lt;&gt;"",NOT(ISNUMBER(G284))),"Fix: planned date isn't a date","Fix: paid is more than the amount")))))),IF(AND(C284&lt;&gt;"",ISNUMBER(MATCH(C284,OutCats,0))),"OK","Category not on Settings (counted as Other)")))</f>
        <v/>
      </c>
      <c r="O284">
        <f>IF(COUNTA(A284:H284)=0,"",IF(AND(ISNUMBER(E284),E284&gt;0,OR(ISNUMBER(D284),ISNUMBER(G284)),OR(D284="",ISNUMBER(D284)),OR(F284="",ISNUMBER(F284)),OR(G284="",ISNUMBER(G284))),IF(N(F284)&gt;E284,0,1),0))</f>
        <v/>
      </c>
    </row>
    <row r="285">
      <c r="A285" s="29" t="n"/>
      <c r="B285" s="29" t="n"/>
      <c r="C285" s="29" t="n"/>
      <c r="D285" s="24" t="n"/>
      <c r="E285" s="34" t="n"/>
      <c r="F285" s="34" t="n"/>
      <c r="G285" s="24" t="n"/>
      <c r="H285" s="29" t="n"/>
      <c r="I285" s="32">
        <f>IF(O285&lt;&gt;1,"",IF(ISNUMBER(G285),INT(G285),INT(D285)))</f>
        <v/>
      </c>
      <c r="J285" s="21">
        <f>IF(O285&lt;&gt;1,0,E285-N(F285))</f>
        <v/>
      </c>
      <c r="K285" s="35">
        <f>IF(OR(O285&lt;&gt;1,J285&lt;=0),"",IF(H285="Yes","",IF(I285&lt;W1,IF(OverdueW1="No","",1),IF(I285&lt;=W1+90,INT((I285-W1)/7)+1,""))))</f>
        <v/>
      </c>
      <c r="L285" s="36">
        <f>IF(ISNUMBER(K285),J285,0)</f>
        <v/>
      </c>
      <c r="M285" s="10">
        <f>IF(O285="","",IF(O285=0,"Not counted",IF(J285&lt;=0,"Paid",IF(H285="Yes","On hold (left out)",IF(I285&lt;W1,IF(OverdueW1="No","Overdue (left out)","Overdue → Week 1"),IF(I285&lt;=W1+90,"Week "&amp;K285,"After Week 13"))))))</f>
        <v/>
      </c>
      <c r="N285" s="10">
        <f>IF(O285="","",IF(O285=0,IF(NOT(ISNUMBER(E285)),"Fix: amount missing",IF(E285&lt;=0,"Fix: amount must be above 0",IF(AND(NOT(ISNUMBER(D285)),NOT(ISNUMBER(G285))),"Fix: add a due date or a planned pay date",IF(AND(D285&lt;&gt;"",NOT(ISNUMBER(D285))),"Fix: due date isn't a date",IF(AND(F285&lt;&gt;"",NOT(ISNUMBER(F285))),"Fix: paid must be a number",IF(AND(G285&lt;&gt;"",NOT(ISNUMBER(G285))),"Fix: planned date isn't a date","Fix: paid is more than the amount")))))),IF(AND(C285&lt;&gt;"",ISNUMBER(MATCH(C285,OutCats,0))),"OK","Category not on Settings (counted as Other)")))</f>
        <v/>
      </c>
      <c r="O285">
        <f>IF(COUNTA(A285:H285)=0,"",IF(AND(ISNUMBER(E285),E285&gt;0,OR(ISNUMBER(D285),ISNUMBER(G285)),OR(D285="",ISNUMBER(D285)),OR(F285="",ISNUMBER(F285)),OR(G285="",ISNUMBER(G285))),IF(N(F285)&gt;E285,0,1),0))</f>
        <v/>
      </c>
    </row>
    <row r="286">
      <c r="A286" s="29" t="n"/>
      <c r="B286" s="29" t="n"/>
      <c r="C286" s="29" t="n"/>
      <c r="D286" s="24" t="n"/>
      <c r="E286" s="34" t="n"/>
      <c r="F286" s="34" t="n"/>
      <c r="G286" s="24" t="n"/>
      <c r="H286" s="29" t="n"/>
      <c r="I286" s="32">
        <f>IF(O286&lt;&gt;1,"",IF(ISNUMBER(G286),INT(G286),INT(D286)))</f>
        <v/>
      </c>
      <c r="J286" s="21">
        <f>IF(O286&lt;&gt;1,0,E286-N(F286))</f>
        <v/>
      </c>
      <c r="K286" s="35">
        <f>IF(OR(O286&lt;&gt;1,J286&lt;=0),"",IF(H286="Yes","",IF(I286&lt;W1,IF(OverdueW1="No","",1),IF(I286&lt;=W1+90,INT((I286-W1)/7)+1,""))))</f>
        <v/>
      </c>
      <c r="L286" s="36">
        <f>IF(ISNUMBER(K286),J286,0)</f>
        <v/>
      </c>
      <c r="M286" s="10">
        <f>IF(O286="","",IF(O286=0,"Not counted",IF(J286&lt;=0,"Paid",IF(H286="Yes","On hold (left out)",IF(I286&lt;W1,IF(OverdueW1="No","Overdue (left out)","Overdue → Week 1"),IF(I286&lt;=W1+90,"Week "&amp;K286,"After Week 13"))))))</f>
        <v/>
      </c>
      <c r="N286" s="10">
        <f>IF(O286="","",IF(O286=0,IF(NOT(ISNUMBER(E286)),"Fix: amount missing",IF(E286&lt;=0,"Fix: amount must be above 0",IF(AND(NOT(ISNUMBER(D286)),NOT(ISNUMBER(G286))),"Fix: add a due date or a planned pay date",IF(AND(D286&lt;&gt;"",NOT(ISNUMBER(D286))),"Fix: due date isn't a date",IF(AND(F286&lt;&gt;"",NOT(ISNUMBER(F286))),"Fix: paid must be a number",IF(AND(G286&lt;&gt;"",NOT(ISNUMBER(G286))),"Fix: planned date isn't a date","Fix: paid is more than the amount")))))),IF(AND(C286&lt;&gt;"",ISNUMBER(MATCH(C286,OutCats,0))),"OK","Category not on Settings (counted as Other)")))</f>
        <v/>
      </c>
      <c r="O286">
        <f>IF(COUNTA(A286:H286)=0,"",IF(AND(ISNUMBER(E286),E286&gt;0,OR(ISNUMBER(D286),ISNUMBER(G286)),OR(D286="",ISNUMBER(D286)),OR(F286="",ISNUMBER(F286)),OR(G286="",ISNUMBER(G286))),IF(N(F286)&gt;E286,0,1),0))</f>
        <v/>
      </c>
    </row>
    <row r="287">
      <c r="A287" s="29" t="n"/>
      <c r="B287" s="29" t="n"/>
      <c r="C287" s="29" t="n"/>
      <c r="D287" s="24" t="n"/>
      <c r="E287" s="34" t="n"/>
      <c r="F287" s="34" t="n"/>
      <c r="G287" s="24" t="n"/>
      <c r="H287" s="29" t="n"/>
      <c r="I287" s="32">
        <f>IF(O287&lt;&gt;1,"",IF(ISNUMBER(G287),INT(G287),INT(D287)))</f>
        <v/>
      </c>
      <c r="J287" s="21">
        <f>IF(O287&lt;&gt;1,0,E287-N(F287))</f>
        <v/>
      </c>
      <c r="K287" s="35">
        <f>IF(OR(O287&lt;&gt;1,J287&lt;=0),"",IF(H287="Yes","",IF(I287&lt;W1,IF(OverdueW1="No","",1),IF(I287&lt;=W1+90,INT((I287-W1)/7)+1,""))))</f>
        <v/>
      </c>
      <c r="L287" s="36">
        <f>IF(ISNUMBER(K287),J287,0)</f>
        <v/>
      </c>
      <c r="M287" s="10">
        <f>IF(O287="","",IF(O287=0,"Not counted",IF(J287&lt;=0,"Paid",IF(H287="Yes","On hold (left out)",IF(I287&lt;W1,IF(OverdueW1="No","Overdue (left out)","Overdue → Week 1"),IF(I287&lt;=W1+90,"Week "&amp;K287,"After Week 13"))))))</f>
        <v/>
      </c>
      <c r="N287" s="10">
        <f>IF(O287="","",IF(O287=0,IF(NOT(ISNUMBER(E287)),"Fix: amount missing",IF(E287&lt;=0,"Fix: amount must be above 0",IF(AND(NOT(ISNUMBER(D287)),NOT(ISNUMBER(G287))),"Fix: add a due date or a planned pay date",IF(AND(D287&lt;&gt;"",NOT(ISNUMBER(D287))),"Fix: due date isn't a date",IF(AND(F287&lt;&gt;"",NOT(ISNUMBER(F287))),"Fix: paid must be a number",IF(AND(G287&lt;&gt;"",NOT(ISNUMBER(G287))),"Fix: planned date isn't a date","Fix: paid is more than the amount")))))),IF(AND(C287&lt;&gt;"",ISNUMBER(MATCH(C287,OutCats,0))),"OK","Category not on Settings (counted as Other)")))</f>
        <v/>
      </c>
      <c r="O287">
        <f>IF(COUNTA(A287:H287)=0,"",IF(AND(ISNUMBER(E287),E287&gt;0,OR(ISNUMBER(D287),ISNUMBER(G287)),OR(D287="",ISNUMBER(D287)),OR(F287="",ISNUMBER(F287)),OR(G287="",ISNUMBER(G287))),IF(N(F287)&gt;E287,0,1),0))</f>
        <v/>
      </c>
    </row>
    <row r="288">
      <c r="A288" s="29" t="n"/>
      <c r="B288" s="29" t="n"/>
      <c r="C288" s="29" t="n"/>
      <c r="D288" s="24" t="n"/>
      <c r="E288" s="34" t="n"/>
      <c r="F288" s="34" t="n"/>
      <c r="G288" s="24" t="n"/>
      <c r="H288" s="29" t="n"/>
      <c r="I288" s="32">
        <f>IF(O288&lt;&gt;1,"",IF(ISNUMBER(G288),INT(G288),INT(D288)))</f>
        <v/>
      </c>
      <c r="J288" s="21">
        <f>IF(O288&lt;&gt;1,0,E288-N(F288))</f>
        <v/>
      </c>
      <c r="K288" s="35">
        <f>IF(OR(O288&lt;&gt;1,J288&lt;=0),"",IF(H288="Yes","",IF(I288&lt;W1,IF(OverdueW1="No","",1),IF(I288&lt;=W1+90,INT((I288-W1)/7)+1,""))))</f>
        <v/>
      </c>
      <c r="L288" s="36">
        <f>IF(ISNUMBER(K288),J288,0)</f>
        <v/>
      </c>
      <c r="M288" s="10">
        <f>IF(O288="","",IF(O288=0,"Not counted",IF(J288&lt;=0,"Paid",IF(H288="Yes","On hold (left out)",IF(I288&lt;W1,IF(OverdueW1="No","Overdue (left out)","Overdue → Week 1"),IF(I288&lt;=W1+90,"Week "&amp;K288,"After Week 13"))))))</f>
        <v/>
      </c>
      <c r="N288" s="10">
        <f>IF(O288="","",IF(O288=0,IF(NOT(ISNUMBER(E288)),"Fix: amount missing",IF(E288&lt;=0,"Fix: amount must be above 0",IF(AND(NOT(ISNUMBER(D288)),NOT(ISNUMBER(G288))),"Fix: add a due date or a planned pay date",IF(AND(D288&lt;&gt;"",NOT(ISNUMBER(D288))),"Fix: due date isn't a date",IF(AND(F288&lt;&gt;"",NOT(ISNUMBER(F288))),"Fix: paid must be a number",IF(AND(G288&lt;&gt;"",NOT(ISNUMBER(G288))),"Fix: planned date isn't a date","Fix: paid is more than the amount")))))),IF(AND(C288&lt;&gt;"",ISNUMBER(MATCH(C288,OutCats,0))),"OK","Category not on Settings (counted as Other)")))</f>
        <v/>
      </c>
      <c r="O288">
        <f>IF(COUNTA(A288:H288)=0,"",IF(AND(ISNUMBER(E288),E288&gt;0,OR(ISNUMBER(D288),ISNUMBER(G288)),OR(D288="",ISNUMBER(D288)),OR(F288="",ISNUMBER(F288)),OR(G288="",ISNUMBER(G288))),IF(N(F288)&gt;E288,0,1),0))</f>
        <v/>
      </c>
    </row>
    <row r="289">
      <c r="A289" s="29" t="n"/>
      <c r="B289" s="29" t="n"/>
      <c r="C289" s="29" t="n"/>
      <c r="D289" s="24" t="n"/>
      <c r="E289" s="34" t="n"/>
      <c r="F289" s="34" t="n"/>
      <c r="G289" s="24" t="n"/>
      <c r="H289" s="29" t="n"/>
      <c r="I289" s="32">
        <f>IF(O289&lt;&gt;1,"",IF(ISNUMBER(G289),INT(G289),INT(D289)))</f>
        <v/>
      </c>
      <c r="J289" s="21">
        <f>IF(O289&lt;&gt;1,0,E289-N(F289))</f>
        <v/>
      </c>
      <c r="K289" s="35">
        <f>IF(OR(O289&lt;&gt;1,J289&lt;=0),"",IF(H289="Yes","",IF(I289&lt;W1,IF(OverdueW1="No","",1),IF(I289&lt;=W1+90,INT((I289-W1)/7)+1,""))))</f>
        <v/>
      </c>
      <c r="L289" s="36">
        <f>IF(ISNUMBER(K289),J289,0)</f>
        <v/>
      </c>
      <c r="M289" s="10">
        <f>IF(O289="","",IF(O289=0,"Not counted",IF(J289&lt;=0,"Paid",IF(H289="Yes","On hold (left out)",IF(I289&lt;W1,IF(OverdueW1="No","Overdue (left out)","Overdue → Week 1"),IF(I289&lt;=W1+90,"Week "&amp;K289,"After Week 13"))))))</f>
        <v/>
      </c>
      <c r="N289" s="10">
        <f>IF(O289="","",IF(O289=0,IF(NOT(ISNUMBER(E289)),"Fix: amount missing",IF(E289&lt;=0,"Fix: amount must be above 0",IF(AND(NOT(ISNUMBER(D289)),NOT(ISNUMBER(G289))),"Fix: add a due date or a planned pay date",IF(AND(D289&lt;&gt;"",NOT(ISNUMBER(D289))),"Fix: due date isn't a date",IF(AND(F289&lt;&gt;"",NOT(ISNUMBER(F289))),"Fix: paid must be a number",IF(AND(G289&lt;&gt;"",NOT(ISNUMBER(G289))),"Fix: planned date isn't a date","Fix: paid is more than the amount")))))),IF(AND(C289&lt;&gt;"",ISNUMBER(MATCH(C289,OutCats,0))),"OK","Category not on Settings (counted as Other)")))</f>
        <v/>
      </c>
      <c r="O289">
        <f>IF(COUNTA(A289:H289)=0,"",IF(AND(ISNUMBER(E289),E289&gt;0,OR(ISNUMBER(D289),ISNUMBER(G289)),OR(D289="",ISNUMBER(D289)),OR(F289="",ISNUMBER(F289)),OR(G289="",ISNUMBER(G289))),IF(N(F289)&gt;E289,0,1),0))</f>
        <v/>
      </c>
    </row>
    <row r="290">
      <c r="A290" s="29" t="n"/>
      <c r="B290" s="29" t="n"/>
      <c r="C290" s="29" t="n"/>
      <c r="D290" s="24" t="n"/>
      <c r="E290" s="34" t="n"/>
      <c r="F290" s="34" t="n"/>
      <c r="G290" s="24" t="n"/>
      <c r="H290" s="29" t="n"/>
      <c r="I290" s="32">
        <f>IF(O290&lt;&gt;1,"",IF(ISNUMBER(G290),INT(G290),INT(D290)))</f>
        <v/>
      </c>
      <c r="J290" s="21">
        <f>IF(O290&lt;&gt;1,0,E290-N(F290))</f>
        <v/>
      </c>
      <c r="K290" s="35">
        <f>IF(OR(O290&lt;&gt;1,J290&lt;=0),"",IF(H290="Yes","",IF(I290&lt;W1,IF(OverdueW1="No","",1),IF(I290&lt;=W1+90,INT((I290-W1)/7)+1,""))))</f>
        <v/>
      </c>
      <c r="L290" s="36">
        <f>IF(ISNUMBER(K290),J290,0)</f>
        <v/>
      </c>
      <c r="M290" s="10">
        <f>IF(O290="","",IF(O290=0,"Not counted",IF(J290&lt;=0,"Paid",IF(H290="Yes","On hold (left out)",IF(I290&lt;W1,IF(OverdueW1="No","Overdue (left out)","Overdue → Week 1"),IF(I290&lt;=W1+90,"Week "&amp;K290,"After Week 13"))))))</f>
        <v/>
      </c>
      <c r="N290" s="10">
        <f>IF(O290="","",IF(O290=0,IF(NOT(ISNUMBER(E290)),"Fix: amount missing",IF(E290&lt;=0,"Fix: amount must be above 0",IF(AND(NOT(ISNUMBER(D290)),NOT(ISNUMBER(G290))),"Fix: add a due date or a planned pay date",IF(AND(D290&lt;&gt;"",NOT(ISNUMBER(D290))),"Fix: due date isn't a date",IF(AND(F290&lt;&gt;"",NOT(ISNUMBER(F290))),"Fix: paid must be a number",IF(AND(G290&lt;&gt;"",NOT(ISNUMBER(G290))),"Fix: planned date isn't a date","Fix: paid is more than the amount")))))),IF(AND(C290&lt;&gt;"",ISNUMBER(MATCH(C290,OutCats,0))),"OK","Category not on Settings (counted as Other)")))</f>
        <v/>
      </c>
      <c r="O290">
        <f>IF(COUNTA(A290:H290)=0,"",IF(AND(ISNUMBER(E290),E290&gt;0,OR(ISNUMBER(D290),ISNUMBER(G290)),OR(D290="",ISNUMBER(D290)),OR(F290="",ISNUMBER(F290)),OR(G290="",ISNUMBER(G290))),IF(N(F290)&gt;E290,0,1),0))</f>
        <v/>
      </c>
    </row>
    <row r="291">
      <c r="A291" s="29" t="n"/>
      <c r="B291" s="29" t="n"/>
      <c r="C291" s="29" t="n"/>
      <c r="D291" s="24" t="n"/>
      <c r="E291" s="34" t="n"/>
      <c r="F291" s="34" t="n"/>
      <c r="G291" s="24" t="n"/>
      <c r="H291" s="29" t="n"/>
      <c r="I291" s="32">
        <f>IF(O291&lt;&gt;1,"",IF(ISNUMBER(G291),INT(G291),INT(D291)))</f>
        <v/>
      </c>
      <c r="J291" s="21">
        <f>IF(O291&lt;&gt;1,0,E291-N(F291))</f>
        <v/>
      </c>
      <c r="K291" s="35">
        <f>IF(OR(O291&lt;&gt;1,J291&lt;=0),"",IF(H291="Yes","",IF(I291&lt;W1,IF(OverdueW1="No","",1),IF(I291&lt;=W1+90,INT((I291-W1)/7)+1,""))))</f>
        <v/>
      </c>
      <c r="L291" s="36">
        <f>IF(ISNUMBER(K291),J291,0)</f>
        <v/>
      </c>
      <c r="M291" s="10">
        <f>IF(O291="","",IF(O291=0,"Not counted",IF(J291&lt;=0,"Paid",IF(H291="Yes","On hold (left out)",IF(I291&lt;W1,IF(OverdueW1="No","Overdue (left out)","Overdue → Week 1"),IF(I291&lt;=W1+90,"Week "&amp;K291,"After Week 13"))))))</f>
        <v/>
      </c>
      <c r="N291" s="10">
        <f>IF(O291="","",IF(O291=0,IF(NOT(ISNUMBER(E291)),"Fix: amount missing",IF(E291&lt;=0,"Fix: amount must be above 0",IF(AND(NOT(ISNUMBER(D291)),NOT(ISNUMBER(G291))),"Fix: add a due date or a planned pay date",IF(AND(D291&lt;&gt;"",NOT(ISNUMBER(D291))),"Fix: due date isn't a date",IF(AND(F291&lt;&gt;"",NOT(ISNUMBER(F291))),"Fix: paid must be a number",IF(AND(G291&lt;&gt;"",NOT(ISNUMBER(G291))),"Fix: planned date isn't a date","Fix: paid is more than the amount")))))),IF(AND(C291&lt;&gt;"",ISNUMBER(MATCH(C291,OutCats,0))),"OK","Category not on Settings (counted as Other)")))</f>
        <v/>
      </c>
      <c r="O291">
        <f>IF(COUNTA(A291:H291)=0,"",IF(AND(ISNUMBER(E291),E291&gt;0,OR(ISNUMBER(D291),ISNUMBER(G291)),OR(D291="",ISNUMBER(D291)),OR(F291="",ISNUMBER(F291)),OR(G291="",ISNUMBER(G291))),IF(N(F291)&gt;E291,0,1),0))</f>
        <v/>
      </c>
    </row>
    <row r="292">
      <c r="A292" s="29" t="n"/>
      <c r="B292" s="29" t="n"/>
      <c r="C292" s="29" t="n"/>
      <c r="D292" s="24" t="n"/>
      <c r="E292" s="34" t="n"/>
      <c r="F292" s="34" t="n"/>
      <c r="G292" s="24" t="n"/>
      <c r="H292" s="29" t="n"/>
      <c r="I292" s="32">
        <f>IF(O292&lt;&gt;1,"",IF(ISNUMBER(G292),INT(G292),INT(D292)))</f>
        <v/>
      </c>
      <c r="J292" s="21">
        <f>IF(O292&lt;&gt;1,0,E292-N(F292))</f>
        <v/>
      </c>
      <c r="K292" s="35">
        <f>IF(OR(O292&lt;&gt;1,J292&lt;=0),"",IF(H292="Yes","",IF(I292&lt;W1,IF(OverdueW1="No","",1),IF(I292&lt;=W1+90,INT((I292-W1)/7)+1,""))))</f>
        <v/>
      </c>
      <c r="L292" s="36">
        <f>IF(ISNUMBER(K292),J292,0)</f>
        <v/>
      </c>
      <c r="M292" s="10">
        <f>IF(O292="","",IF(O292=0,"Not counted",IF(J292&lt;=0,"Paid",IF(H292="Yes","On hold (left out)",IF(I292&lt;W1,IF(OverdueW1="No","Overdue (left out)","Overdue → Week 1"),IF(I292&lt;=W1+90,"Week "&amp;K292,"After Week 13"))))))</f>
        <v/>
      </c>
      <c r="N292" s="10">
        <f>IF(O292="","",IF(O292=0,IF(NOT(ISNUMBER(E292)),"Fix: amount missing",IF(E292&lt;=0,"Fix: amount must be above 0",IF(AND(NOT(ISNUMBER(D292)),NOT(ISNUMBER(G292))),"Fix: add a due date or a planned pay date",IF(AND(D292&lt;&gt;"",NOT(ISNUMBER(D292))),"Fix: due date isn't a date",IF(AND(F292&lt;&gt;"",NOT(ISNUMBER(F292))),"Fix: paid must be a number",IF(AND(G292&lt;&gt;"",NOT(ISNUMBER(G292))),"Fix: planned date isn't a date","Fix: paid is more than the amount")))))),IF(AND(C292&lt;&gt;"",ISNUMBER(MATCH(C292,OutCats,0))),"OK","Category not on Settings (counted as Other)")))</f>
        <v/>
      </c>
      <c r="O292">
        <f>IF(COUNTA(A292:H292)=0,"",IF(AND(ISNUMBER(E292),E292&gt;0,OR(ISNUMBER(D292),ISNUMBER(G292)),OR(D292="",ISNUMBER(D292)),OR(F292="",ISNUMBER(F292)),OR(G292="",ISNUMBER(G292))),IF(N(F292)&gt;E292,0,1),0))</f>
        <v/>
      </c>
    </row>
    <row r="293">
      <c r="A293" s="29" t="n"/>
      <c r="B293" s="29" t="n"/>
      <c r="C293" s="29" t="n"/>
      <c r="D293" s="24" t="n"/>
      <c r="E293" s="34" t="n"/>
      <c r="F293" s="34" t="n"/>
      <c r="G293" s="24" t="n"/>
      <c r="H293" s="29" t="n"/>
      <c r="I293" s="32">
        <f>IF(O293&lt;&gt;1,"",IF(ISNUMBER(G293),INT(G293),INT(D293)))</f>
        <v/>
      </c>
      <c r="J293" s="21">
        <f>IF(O293&lt;&gt;1,0,E293-N(F293))</f>
        <v/>
      </c>
      <c r="K293" s="35">
        <f>IF(OR(O293&lt;&gt;1,J293&lt;=0),"",IF(H293="Yes","",IF(I293&lt;W1,IF(OverdueW1="No","",1),IF(I293&lt;=W1+90,INT((I293-W1)/7)+1,""))))</f>
        <v/>
      </c>
      <c r="L293" s="36">
        <f>IF(ISNUMBER(K293),J293,0)</f>
        <v/>
      </c>
      <c r="M293" s="10">
        <f>IF(O293="","",IF(O293=0,"Not counted",IF(J293&lt;=0,"Paid",IF(H293="Yes","On hold (left out)",IF(I293&lt;W1,IF(OverdueW1="No","Overdue (left out)","Overdue → Week 1"),IF(I293&lt;=W1+90,"Week "&amp;K293,"After Week 13"))))))</f>
        <v/>
      </c>
      <c r="N293" s="10">
        <f>IF(O293="","",IF(O293=0,IF(NOT(ISNUMBER(E293)),"Fix: amount missing",IF(E293&lt;=0,"Fix: amount must be above 0",IF(AND(NOT(ISNUMBER(D293)),NOT(ISNUMBER(G293))),"Fix: add a due date or a planned pay date",IF(AND(D293&lt;&gt;"",NOT(ISNUMBER(D293))),"Fix: due date isn't a date",IF(AND(F293&lt;&gt;"",NOT(ISNUMBER(F293))),"Fix: paid must be a number",IF(AND(G293&lt;&gt;"",NOT(ISNUMBER(G293))),"Fix: planned date isn't a date","Fix: paid is more than the amount")))))),IF(AND(C293&lt;&gt;"",ISNUMBER(MATCH(C293,OutCats,0))),"OK","Category not on Settings (counted as Other)")))</f>
        <v/>
      </c>
      <c r="O293">
        <f>IF(COUNTA(A293:H293)=0,"",IF(AND(ISNUMBER(E293),E293&gt;0,OR(ISNUMBER(D293),ISNUMBER(G293)),OR(D293="",ISNUMBER(D293)),OR(F293="",ISNUMBER(F293)),OR(G293="",ISNUMBER(G293))),IF(N(F293)&gt;E293,0,1),0))</f>
        <v/>
      </c>
    </row>
    <row r="294">
      <c r="A294" s="29" t="n"/>
      <c r="B294" s="29" t="n"/>
      <c r="C294" s="29" t="n"/>
      <c r="D294" s="24" t="n"/>
      <c r="E294" s="34" t="n"/>
      <c r="F294" s="34" t="n"/>
      <c r="G294" s="24" t="n"/>
      <c r="H294" s="29" t="n"/>
      <c r="I294" s="32">
        <f>IF(O294&lt;&gt;1,"",IF(ISNUMBER(G294),INT(G294),INT(D294)))</f>
        <v/>
      </c>
      <c r="J294" s="21">
        <f>IF(O294&lt;&gt;1,0,E294-N(F294))</f>
        <v/>
      </c>
      <c r="K294" s="35">
        <f>IF(OR(O294&lt;&gt;1,J294&lt;=0),"",IF(H294="Yes","",IF(I294&lt;W1,IF(OverdueW1="No","",1),IF(I294&lt;=W1+90,INT((I294-W1)/7)+1,""))))</f>
        <v/>
      </c>
      <c r="L294" s="36">
        <f>IF(ISNUMBER(K294),J294,0)</f>
        <v/>
      </c>
      <c r="M294" s="10">
        <f>IF(O294="","",IF(O294=0,"Not counted",IF(J294&lt;=0,"Paid",IF(H294="Yes","On hold (left out)",IF(I294&lt;W1,IF(OverdueW1="No","Overdue (left out)","Overdue → Week 1"),IF(I294&lt;=W1+90,"Week "&amp;K294,"After Week 13"))))))</f>
        <v/>
      </c>
      <c r="N294" s="10">
        <f>IF(O294="","",IF(O294=0,IF(NOT(ISNUMBER(E294)),"Fix: amount missing",IF(E294&lt;=0,"Fix: amount must be above 0",IF(AND(NOT(ISNUMBER(D294)),NOT(ISNUMBER(G294))),"Fix: add a due date or a planned pay date",IF(AND(D294&lt;&gt;"",NOT(ISNUMBER(D294))),"Fix: due date isn't a date",IF(AND(F294&lt;&gt;"",NOT(ISNUMBER(F294))),"Fix: paid must be a number",IF(AND(G294&lt;&gt;"",NOT(ISNUMBER(G294))),"Fix: planned date isn't a date","Fix: paid is more than the amount")))))),IF(AND(C294&lt;&gt;"",ISNUMBER(MATCH(C294,OutCats,0))),"OK","Category not on Settings (counted as Other)")))</f>
        <v/>
      </c>
      <c r="O294">
        <f>IF(COUNTA(A294:H294)=0,"",IF(AND(ISNUMBER(E294),E294&gt;0,OR(ISNUMBER(D294),ISNUMBER(G294)),OR(D294="",ISNUMBER(D294)),OR(F294="",ISNUMBER(F294)),OR(G294="",ISNUMBER(G294))),IF(N(F294)&gt;E294,0,1),0))</f>
        <v/>
      </c>
    </row>
    <row r="295">
      <c r="A295" s="29" t="n"/>
      <c r="B295" s="29" t="n"/>
      <c r="C295" s="29" t="n"/>
      <c r="D295" s="24" t="n"/>
      <c r="E295" s="34" t="n"/>
      <c r="F295" s="34" t="n"/>
      <c r="G295" s="24" t="n"/>
      <c r="H295" s="29" t="n"/>
      <c r="I295" s="32">
        <f>IF(O295&lt;&gt;1,"",IF(ISNUMBER(G295),INT(G295),INT(D295)))</f>
        <v/>
      </c>
      <c r="J295" s="21">
        <f>IF(O295&lt;&gt;1,0,E295-N(F295))</f>
        <v/>
      </c>
      <c r="K295" s="35">
        <f>IF(OR(O295&lt;&gt;1,J295&lt;=0),"",IF(H295="Yes","",IF(I295&lt;W1,IF(OverdueW1="No","",1),IF(I295&lt;=W1+90,INT((I295-W1)/7)+1,""))))</f>
        <v/>
      </c>
      <c r="L295" s="36">
        <f>IF(ISNUMBER(K295),J295,0)</f>
        <v/>
      </c>
      <c r="M295" s="10">
        <f>IF(O295="","",IF(O295=0,"Not counted",IF(J295&lt;=0,"Paid",IF(H295="Yes","On hold (left out)",IF(I295&lt;W1,IF(OverdueW1="No","Overdue (left out)","Overdue → Week 1"),IF(I295&lt;=W1+90,"Week "&amp;K295,"After Week 13"))))))</f>
        <v/>
      </c>
      <c r="N295" s="10">
        <f>IF(O295="","",IF(O295=0,IF(NOT(ISNUMBER(E295)),"Fix: amount missing",IF(E295&lt;=0,"Fix: amount must be above 0",IF(AND(NOT(ISNUMBER(D295)),NOT(ISNUMBER(G295))),"Fix: add a due date or a planned pay date",IF(AND(D295&lt;&gt;"",NOT(ISNUMBER(D295))),"Fix: due date isn't a date",IF(AND(F295&lt;&gt;"",NOT(ISNUMBER(F295))),"Fix: paid must be a number",IF(AND(G295&lt;&gt;"",NOT(ISNUMBER(G295))),"Fix: planned date isn't a date","Fix: paid is more than the amount")))))),IF(AND(C295&lt;&gt;"",ISNUMBER(MATCH(C295,OutCats,0))),"OK","Category not on Settings (counted as Other)")))</f>
        <v/>
      </c>
      <c r="O295">
        <f>IF(COUNTA(A295:H295)=0,"",IF(AND(ISNUMBER(E295),E295&gt;0,OR(ISNUMBER(D295),ISNUMBER(G295)),OR(D295="",ISNUMBER(D295)),OR(F295="",ISNUMBER(F295)),OR(G295="",ISNUMBER(G295))),IF(N(F295)&gt;E295,0,1),0))</f>
        <v/>
      </c>
    </row>
    <row r="296">
      <c r="A296" s="29" t="n"/>
      <c r="B296" s="29" t="n"/>
      <c r="C296" s="29" t="n"/>
      <c r="D296" s="24" t="n"/>
      <c r="E296" s="34" t="n"/>
      <c r="F296" s="34" t="n"/>
      <c r="G296" s="24" t="n"/>
      <c r="H296" s="29" t="n"/>
      <c r="I296" s="32">
        <f>IF(O296&lt;&gt;1,"",IF(ISNUMBER(G296),INT(G296),INT(D296)))</f>
        <v/>
      </c>
      <c r="J296" s="21">
        <f>IF(O296&lt;&gt;1,0,E296-N(F296))</f>
        <v/>
      </c>
      <c r="K296" s="35">
        <f>IF(OR(O296&lt;&gt;1,J296&lt;=0),"",IF(H296="Yes","",IF(I296&lt;W1,IF(OverdueW1="No","",1),IF(I296&lt;=W1+90,INT((I296-W1)/7)+1,""))))</f>
        <v/>
      </c>
      <c r="L296" s="36">
        <f>IF(ISNUMBER(K296),J296,0)</f>
        <v/>
      </c>
      <c r="M296" s="10">
        <f>IF(O296="","",IF(O296=0,"Not counted",IF(J296&lt;=0,"Paid",IF(H296="Yes","On hold (left out)",IF(I296&lt;W1,IF(OverdueW1="No","Overdue (left out)","Overdue → Week 1"),IF(I296&lt;=W1+90,"Week "&amp;K296,"After Week 13"))))))</f>
        <v/>
      </c>
      <c r="N296" s="10">
        <f>IF(O296="","",IF(O296=0,IF(NOT(ISNUMBER(E296)),"Fix: amount missing",IF(E296&lt;=0,"Fix: amount must be above 0",IF(AND(NOT(ISNUMBER(D296)),NOT(ISNUMBER(G296))),"Fix: add a due date or a planned pay date",IF(AND(D296&lt;&gt;"",NOT(ISNUMBER(D296))),"Fix: due date isn't a date",IF(AND(F296&lt;&gt;"",NOT(ISNUMBER(F296))),"Fix: paid must be a number",IF(AND(G296&lt;&gt;"",NOT(ISNUMBER(G296))),"Fix: planned date isn't a date","Fix: paid is more than the amount")))))),IF(AND(C296&lt;&gt;"",ISNUMBER(MATCH(C296,OutCats,0))),"OK","Category not on Settings (counted as Other)")))</f>
        <v/>
      </c>
      <c r="O296">
        <f>IF(COUNTA(A296:H296)=0,"",IF(AND(ISNUMBER(E296),E296&gt;0,OR(ISNUMBER(D296),ISNUMBER(G296)),OR(D296="",ISNUMBER(D296)),OR(F296="",ISNUMBER(F296)),OR(G296="",ISNUMBER(G296))),IF(N(F296)&gt;E296,0,1),0))</f>
        <v/>
      </c>
    </row>
    <row r="297">
      <c r="A297" s="29" t="n"/>
      <c r="B297" s="29" t="n"/>
      <c r="C297" s="29" t="n"/>
      <c r="D297" s="24" t="n"/>
      <c r="E297" s="34" t="n"/>
      <c r="F297" s="34" t="n"/>
      <c r="G297" s="24" t="n"/>
      <c r="H297" s="29" t="n"/>
      <c r="I297" s="32">
        <f>IF(O297&lt;&gt;1,"",IF(ISNUMBER(G297),INT(G297),INT(D297)))</f>
        <v/>
      </c>
      <c r="J297" s="21">
        <f>IF(O297&lt;&gt;1,0,E297-N(F297))</f>
        <v/>
      </c>
      <c r="K297" s="35">
        <f>IF(OR(O297&lt;&gt;1,J297&lt;=0),"",IF(H297="Yes","",IF(I297&lt;W1,IF(OverdueW1="No","",1),IF(I297&lt;=W1+90,INT((I297-W1)/7)+1,""))))</f>
        <v/>
      </c>
      <c r="L297" s="36">
        <f>IF(ISNUMBER(K297),J297,0)</f>
        <v/>
      </c>
      <c r="M297" s="10">
        <f>IF(O297="","",IF(O297=0,"Not counted",IF(J297&lt;=0,"Paid",IF(H297="Yes","On hold (left out)",IF(I297&lt;W1,IF(OverdueW1="No","Overdue (left out)","Overdue → Week 1"),IF(I297&lt;=W1+90,"Week "&amp;K297,"After Week 13"))))))</f>
        <v/>
      </c>
      <c r="N297" s="10">
        <f>IF(O297="","",IF(O297=0,IF(NOT(ISNUMBER(E297)),"Fix: amount missing",IF(E297&lt;=0,"Fix: amount must be above 0",IF(AND(NOT(ISNUMBER(D297)),NOT(ISNUMBER(G297))),"Fix: add a due date or a planned pay date",IF(AND(D297&lt;&gt;"",NOT(ISNUMBER(D297))),"Fix: due date isn't a date",IF(AND(F297&lt;&gt;"",NOT(ISNUMBER(F297))),"Fix: paid must be a number",IF(AND(G297&lt;&gt;"",NOT(ISNUMBER(G297))),"Fix: planned date isn't a date","Fix: paid is more than the amount")))))),IF(AND(C297&lt;&gt;"",ISNUMBER(MATCH(C297,OutCats,0))),"OK","Category not on Settings (counted as Other)")))</f>
        <v/>
      </c>
      <c r="O297">
        <f>IF(COUNTA(A297:H297)=0,"",IF(AND(ISNUMBER(E297),E297&gt;0,OR(ISNUMBER(D297),ISNUMBER(G297)),OR(D297="",ISNUMBER(D297)),OR(F297="",ISNUMBER(F297)),OR(G297="",ISNUMBER(G297))),IF(N(F297)&gt;E297,0,1),0))</f>
        <v/>
      </c>
    </row>
    <row r="298">
      <c r="A298" s="29" t="n"/>
      <c r="B298" s="29" t="n"/>
      <c r="C298" s="29" t="n"/>
      <c r="D298" s="24" t="n"/>
      <c r="E298" s="34" t="n"/>
      <c r="F298" s="34" t="n"/>
      <c r="G298" s="24" t="n"/>
      <c r="H298" s="29" t="n"/>
      <c r="I298" s="32">
        <f>IF(O298&lt;&gt;1,"",IF(ISNUMBER(G298),INT(G298),INT(D298)))</f>
        <v/>
      </c>
      <c r="J298" s="21">
        <f>IF(O298&lt;&gt;1,0,E298-N(F298))</f>
        <v/>
      </c>
      <c r="K298" s="35">
        <f>IF(OR(O298&lt;&gt;1,J298&lt;=0),"",IF(H298="Yes","",IF(I298&lt;W1,IF(OverdueW1="No","",1),IF(I298&lt;=W1+90,INT((I298-W1)/7)+1,""))))</f>
        <v/>
      </c>
      <c r="L298" s="36">
        <f>IF(ISNUMBER(K298),J298,0)</f>
        <v/>
      </c>
      <c r="M298" s="10">
        <f>IF(O298="","",IF(O298=0,"Not counted",IF(J298&lt;=0,"Paid",IF(H298="Yes","On hold (left out)",IF(I298&lt;W1,IF(OverdueW1="No","Overdue (left out)","Overdue → Week 1"),IF(I298&lt;=W1+90,"Week "&amp;K298,"After Week 13"))))))</f>
        <v/>
      </c>
      <c r="N298" s="10">
        <f>IF(O298="","",IF(O298=0,IF(NOT(ISNUMBER(E298)),"Fix: amount missing",IF(E298&lt;=0,"Fix: amount must be above 0",IF(AND(NOT(ISNUMBER(D298)),NOT(ISNUMBER(G298))),"Fix: add a due date or a planned pay date",IF(AND(D298&lt;&gt;"",NOT(ISNUMBER(D298))),"Fix: due date isn't a date",IF(AND(F298&lt;&gt;"",NOT(ISNUMBER(F298))),"Fix: paid must be a number",IF(AND(G298&lt;&gt;"",NOT(ISNUMBER(G298))),"Fix: planned date isn't a date","Fix: paid is more than the amount")))))),IF(AND(C298&lt;&gt;"",ISNUMBER(MATCH(C298,OutCats,0))),"OK","Category not on Settings (counted as Other)")))</f>
        <v/>
      </c>
      <c r="O298">
        <f>IF(COUNTA(A298:H298)=0,"",IF(AND(ISNUMBER(E298),E298&gt;0,OR(ISNUMBER(D298),ISNUMBER(G298)),OR(D298="",ISNUMBER(D298)),OR(F298="",ISNUMBER(F298)),OR(G298="",ISNUMBER(G298))),IF(N(F298)&gt;E298,0,1),0))</f>
        <v/>
      </c>
    </row>
    <row r="299">
      <c r="A299" s="29" t="n"/>
      <c r="B299" s="29" t="n"/>
      <c r="C299" s="29" t="n"/>
      <c r="D299" s="24" t="n"/>
      <c r="E299" s="34" t="n"/>
      <c r="F299" s="34" t="n"/>
      <c r="G299" s="24" t="n"/>
      <c r="H299" s="29" t="n"/>
      <c r="I299" s="32">
        <f>IF(O299&lt;&gt;1,"",IF(ISNUMBER(G299),INT(G299),INT(D299)))</f>
        <v/>
      </c>
      <c r="J299" s="21">
        <f>IF(O299&lt;&gt;1,0,E299-N(F299))</f>
        <v/>
      </c>
      <c r="K299" s="35">
        <f>IF(OR(O299&lt;&gt;1,J299&lt;=0),"",IF(H299="Yes","",IF(I299&lt;W1,IF(OverdueW1="No","",1),IF(I299&lt;=W1+90,INT((I299-W1)/7)+1,""))))</f>
        <v/>
      </c>
      <c r="L299" s="36">
        <f>IF(ISNUMBER(K299),J299,0)</f>
        <v/>
      </c>
      <c r="M299" s="10">
        <f>IF(O299="","",IF(O299=0,"Not counted",IF(J299&lt;=0,"Paid",IF(H299="Yes","On hold (left out)",IF(I299&lt;W1,IF(OverdueW1="No","Overdue (left out)","Overdue → Week 1"),IF(I299&lt;=W1+90,"Week "&amp;K299,"After Week 13"))))))</f>
        <v/>
      </c>
      <c r="N299" s="10">
        <f>IF(O299="","",IF(O299=0,IF(NOT(ISNUMBER(E299)),"Fix: amount missing",IF(E299&lt;=0,"Fix: amount must be above 0",IF(AND(NOT(ISNUMBER(D299)),NOT(ISNUMBER(G299))),"Fix: add a due date or a planned pay date",IF(AND(D299&lt;&gt;"",NOT(ISNUMBER(D299))),"Fix: due date isn't a date",IF(AND(F299&lt;&gt;"",NOT(ISNUMBER(F299))),"Fix: paid must be a number",IF(AND(G299&lt;&gt;"",NOT(ISNUMBER(G299))),"Fix: planned date isn't a date","Fix: paid is more than the amount")))))),IF(AND(C299&lt;&gt;"",ISNUMBER(MATCH(C299,OutCats,0))),"OK","Category not on Settings (counted as Other)")))</f>
        <v/>
      </c>
      <c r="O299">
        <f>IF(COUNTA(A299:H299)=0,"",IF(AND(ISNUMBER(E299),E299&gt;0,OR(ISNUMBER(D299),ISNUMBER(G299)),OR(D299="",ISNUMBER(D299)),OR(F299="",ISNUMBER(F299)),OR(G299="",ISNUMBER(G299))),IF(N(F299)&gt;E299,0,1),0))</f>
        <v/>
      </c>
    </row>
    <row r="300">
      <c r="A300" s="29" t="n"/>
      <c r="B300" s="29" t="n"/>
      <c r="C300" s="29" t="n"/>
      <c r="D300" s="24" t="n"/>
      <c r="E300" s="34" t="n"/>
      <c r="F300" s="34" t="n"/>
      <c r="G300" s="24" t="n"/>
      <c r="H300" s="29" t="n"/>
      <c r="I300" s="32">
        <f>IF(O300&lt;&gt;1,"",IF(ISNUMBER(G300),INT(G300),INT(D300)))</f>
        <v/>
      </c>
      <c r="J300" s="21">
        <f>IF(O300&lt;&gt;1,0,E300-N(F300))</f>
        <v/>
      </c>
      <c r="K300" s="35">
        <f>IF(OR(O300&lt;&gt;1,J300&lt;=0),"",IF(H300="Yes","",IF(I300&lt;W1,IF(OverdueW1="No","",1),IF(I300&lt;=W1+90,INT((I300-W1)/7)+1,""))))</f>
        <v/>
      </c>
      <c r="L300" s="36">
        <f>IF(ISNUMBER(K300),J300,0)</f>
        <v/>
      </c>
      <c r="M300" s="10">
        <f>IF(O300="","",IF(O300=0,"Not counted",IF(J300&lt;=0,"Paid",IF(H300="Yes","On hold (left out)",IF(I300&lt;W1,IF(OverdueW1="No","Overdue (left out)","Overdue → Week 1"),IF(I300&lt;=W1+90,"Week "&amp;K300,"After Week 13"))))))</f>
        <v/>
      </c>
      <c r="N300" s="10">
        <f>IF(O300="","",IF(O300=0,IF(NOT(ISNUMBER(E300)),"Fix: amount missing",IF(E300&lt;=0,"Fix: amount must be above 0",IF(AND(NOT(ISNUMBER(D300)),NOT(ISNUMBER(G300))),"Fix: add a due date or a planned pay date",IF(AND(D300&lt;&gt;"",NOT(ISNUMBER(D300))),"Fix: due date isn't a date",IF(AND(F300&lt;&gt;"",NOT(ISNUMBER(F300))),"Fix: paid must be a number",IF(AND(G300&lt;&gt;"",NOT(ISNUMBER(G300))),"Fix: planned date isn't a date","Fix: paid is more than the amount")))))),IF(AND(C300&lt;&gt;"",ISNUMBER(MATCH(C300,OutCats,0))),"OK","Category not on Settings (counted as Other)")))</f>
        <v/>
      </c>
      <c r="O300">
        <f>IF(COUNTA(A300:H300)=0,"",IF(AND(ISNUMBER(E300),E300&gt;0,OR(ISNUMBER(D300),ISNUMBER(G300)),OR(D300="",ISNUMBER(D300)),OR(F300="",ISNUMBER(F300)),OR(G300="",ISNUMBER(G300))),IF(N(F300)&gt;E300,0,1),0))</f>
        <v/>
      </c>
    </row>
    <row r="301">
      <c r="A301" s="29" t="n"/>
      <c r="B301" s="29" t="n"/>
      <c r="C301" s="29" t="n"/>
      <c r="D301" s="24" t="n"/>
      <c r="E301" s="34" t="n"/>
      <c r="F301" s="34" t="n"/>
      <c r="G301" s="24" t="n"/>
      <c r="H301" s="29" t="n"/>
      <c r="I301" s="32">
        <f>IF(O301&lt;&gt;1,"",IF(ISNUMBER(G301),INT(G301),INT(D301)))</f>
        <v/>
      </c>
      <c r="J301" s="21">
        <f>IF(O301&lt;&gt;1,0,E301-N(F301))</f>
        <v/>
      </c>
      <c r="K301" s="35">
        <f>IF(OR(O301&lt;&gt;1,J301&lt;=0),"",IF(H301="Yes","",IF(I301&lt;W1,IF(OverdueW1="No","",1),IF(I301&lt;=W1+90,INT((I301-W1)/7)+1,""))))</f>
        <v/>
      </c>
      <c r="L301" s="36">
        <f>IF(ISNUMBER(K301),J301,0)</f>
        <v/>
      </c>
      <c r="M301" s="10">
        <f>IF(O301="","",IF(O301=0,"Not counted",IF(J301&lt;=0,"Paid",IF(H301="Yes","On hold (left out)",IF(I301&lt;W1,IF(OverdueW1="No","Overdue (left out)","Overdue → Week 1"),IF(I301&lt;=W1+90,"Week "&amp;K301,"After Week 13"))))))</f>
        <v/>
      </c>
      <c r="N301" s="10">
        <f>IF(O301="","",IF(O301=0,IF(NOT(ISNUMBER(E301)),"Fix: amount missing",IF(E301&lt;=0,"Fix: amount must be above 0",IF(AND(NOT(ISNUMBER(D301)),NOT(ISNUMBER(G301))),"Fix: add a due date or a planned pay date",IF(AND(D301&lt;&gt;"",NOT(ISNUMBER(D301))),"Fix: due date isn't a date",IF(AND(F301&lt;&gt;"",NOT(ISNUMBER(F301))),"Fix: paid must be a number",IF(AND(G301&lt;&gt;"",NOT(ISNUMBER(G301))),"Fix: planned date isn't a date","Fix: paid is more than the amount")))))),IF(AND(C301&lt;&gt;"",ISNUMBER(MATCH(C301,OutCats,0))),"OK","Category not on Settings (counted as Other)")))</f>
        <v/>
      </c>
      <c r="O301">
        <f>IF(COUNTA(A301:H301)=0,"",IF(AND(ISNUMBER(E301),E301&gt;0,OR(ISNUMBER(D301),ISNUMBER(G301)),OR(D301="",ISNUMBER(D301)),OR(F301="",ISNUMBER(F301)),OR(G301="",ISNUMBER(G301))),IF(N(F301)&gt;E301,0,1),0))</f>
        <v/>
      </c>
    </row>
    <row r="302">
      <c r="A302" s="29" t="n"/>
      <c r="B302" s="29" t="n"/>
      <c r="C302" s="29" t="n"/>
      <c r="D302" s="24" t="n"/>
      <c r="E302" s="34" t="n"/>
      <c r="F302" s="34" t="n"/>
      <c r="G302" s="24" t="n"/>
      <c r="H302" s="29" t="n"/>
      <c r="I302" s="32">
        <f>IF(O302&lt;&gt;1,"",IF(ISNUMBER(G302),INT(G302),INT(D302)))</f>
        <v/>
      </c>
      <c r="J302" s="21">
        <f>IF(O302&lt;&gt;1,0,E302-N(F302))</f>
        <v/>
      </c>
      <c r="K302" s="35">
        <f>IF(OR(O302&lt;&gt;1,J302&lt;=0),"",IF(H302="Yes","",IF(I302&lt;W1,IF(OverdueW1="No","",1),IF(I302&lt;=W1+90,INT((I302-W1)/7)+1,""))))</f>
        <v/>
      </c>
      <c r="L302" s="36">
        <f>IF(ISNUMBER(K302),J302,0)</f>
        <v/>
      </c>
      <c r="M302" s="10">
        <f>IF(O302="","",IF(O302=0,"Not counted",IF(J302&lt;=0,"Paid",IF(H302="Yes","On hold (left out)",IF(I302&lt;W1,IF(OverdueW1="No","Overdue (left out)","Overdue → Week 1"),IF(I302&lt;=W1+90,"Week "&amp;K302,"After Week 13"))))))</f>
        <v/>
      </c>
      <c r="N302" s="10">
        <f>IF(O302="","",IF(O302=0,IF(NOT(ISNUMBER(E302)),"Fix: amount missing",IF(E302&lt;=0,"Fix: amount must be above 0",IF(AND(NOT(ISNUMBER(D302)),NOT(ISNUMBER(G302))),"Fix: add a due date or a planned pay date",IF(AND(D302&lt;&gt;"",NOT(ISNUMBER(D302))),"Fix: due date isn't a date",IF(AND(F302&lt;&gt;"",NOT(ISNUMBER(F302))),"Fix: paid must be a number",IF(AND(G302&lt;&gt;"",NOT(ISNUMBER(G302))),"Fix: planned date isn't a date","Fix: paid is more than the amount")))))),IF(AND(C302&lt;&gt;"",ISNUMBER(MATCH(C302,OutCats,0))),"OK","Category not on Settings (counted as Other)")))</f>
        <v/>
      </c>
      <c r="O302">
        <f>IF(COUNTA(A302:H302)=0,"",IF(AND(ISNUMBER(E302),E302&gt;0,OR(ISNUMBER(D302),ISNUMBER(G302)),OR(D302="",ISNUMBER(D302)),OR(F302="",ISNUMBER(F302)),OR(G302="",ISNUMBER(G302))),IF(N(F302)&gt;E302,0,1),0))</f>
        <v/>
      </c>
    </row>
    <row r="303">
      <c r="A303" s="29" t="n"/>
      <c r="B303" s="29" t="n"/>
      <c r="C303" s="29" t="n"/>
      <c r="D303" s="24" t="n"/>
      <c r="E303" s="34" t="n"/>
      <c r="F303" s="34" t="n"/>
      <c r="G303" s="24" t="n"/>
      <c r="H303" s="29" t="n"/>
      <c r="I303" s="32">
        <f>IF(O303&lt;&gt;1,"",IF(ISNUMBER(G303),INT(G303),INT(D303)))</f>
        <v/>
      </c>
      <c r="J303" s="21">
        <f>IF(O303&lt;&gt;1,0,E303-N(F303))</f>
        <v/>
      </c>
      <c r="K303" s="35">
        <f>IF(OR(O303&lt;&gt;1,J303&lt;=0),"",IF(H303="Yes","",IF(I303&lt;W1,IF(OverdueW1="No","",1),IF(I303&lt;=W1+90,INT((I303-W1)/7)+1,""))))</f>
        <v/>
      </c>
      <c r="L303" s="36">
        <f>IF(ISNUMBER(K303),J303,0)</f>
        <v/>
      </c>
      <c r="M303" s="10">
        <f>IF(O303="","",IF(O303=0,"Not counted",IF(J303&lt;=0,"Paid",IF(H303="Yes","On hold (left out)",IF(I303&lt;W1,IF(OverdueW1="No","Overdue (left out)","Overdue → Week 1"),IF(I303&lt;=W1+90,"Week "&amp;K303,"After Week 13"))))))</f>
        <v/>
      </c>
      <c r="N303" s="10">
        <f>IF(O303="","",IF(O303=0,IF(NOT(ISNUMBER(E303)),"Fix: amount missing",IF(E303&lt;=0,"Fix: amount must be above 0",IF(AND(NOT(ISNUMBER(D303)),NOT(ISNUMBER(G303))),"Fix: add a due date or a planned pay date",IF(AND(D303&lt;&gt;"",NOT(ISNUMBER(D303))),"Fix: due date isn't a date",IF(AND(F303&lt;&gt;"",NOT(ISNUMBER(F303))),"Fix: paid must be a number",IF(AND(G303&lt;&gt;"",NOT(ISNUMBER(G303))),"Fix: planned date isn't a date","Fix: paid is more than the amount")))))),IF(AND(C303&lt;&gt;"",ISNUMBER(MATCH(C303,OutCats,0))),"OK","Category not on Settings (counted as Other)")))</f>
        <v/>
      </c>
      <c r="O303">
        <f>IF(COUNTA(A303:H303)=0,"",IF(AND(ISNUMBER(E303),E303&gt;0,OR(ISNUMBER(D303),ISNUMBER(G303)),OR(D303="",ISNUMBER(D303)),OR(F303="",ISNUMBER(F303)),OR(G303="",ISNUMBER(G303))),IF(N(F303)&gt;E303,0,1),0))</f>
        <v/>
      </c>
    </row>
    <row r="304">
      <c r="A304" s="29" t="n"/>
      <c r="B304" s="29" t="n"/>
      <c r="C304" s="29" t="n"/>
      <c r="D304" s="24" t="n"/>
      <c r="E304" s="34" t="n"/>
      <c r="F304" s="34" t="n"/>
      <c r="G304" s="24" t="n"/>
      <c r="H304" s="29" t="n"/>
      <c r="I304" s="32">
        <f>IF(O304&lt;&gt;1,"",IF(ISNUMBER(G304),INT(G304),INT(D304)))</f>
        <v/>
      </c>
      <c r="J304" s="21">
        <f>IF(O304&lt;&gt;1,0,E304-N(F304))</f>
        <v/>
      </c>
      <c r="K304" s="35">
        <f>IF(OR(O304&lt;&gt;1,J304&lt;=0),"",IF(H304="Yes","",IF(I304&lt;W1,IF(OverdueW1="No","",1),IF(I304&lt;=W1+90,INT((I304-W1)/7)+1,""))))</f>
        <v/>
      </c>
      <c r="L304" s="36">
        <f>IF(ISNUMBER(K304),J304,0)</f>
        <v/>
      </c>
      <c r="M304" s="10">
        <f>IF(O304="","",IF(O304=0,"Not counted",IF(J304&lt;=0,"Paid",IF(H304="Yes","On hold (left out)",IF(I304&lt;W1,IF(OverdueW1="No","Overdue (left out)","Overdue → Week 1"),IF(I304&lt;=W1+90,"Week "&amp;K304,"After Week 13"))))))</f>
        <v/>
      </c>
      <c r="N304" s="10">
        <f>IF(O304="","",IF(O304=0,IF(NOT(ISNUMBER(E304)),"Fix: amount missing",IF(E304&lt;=0,"Fix: amount must be above 0",IF(AND(NOT(ISNUMBER(D304)),NOT(ISNUMBER(G304))),"Fix: add a due date or a planned pay date",IF(AND(D304&lt;&gt;"",NOT(ISNUMBER(D304))),"Fix: due date isn't a date",IF(AND(F304&lt;&gt;"",NOT(ISNUMBER(F304))),"Fix: paid must be a number",IF(AND(G304&lt;&gt;"",NOT(ISNUMBER(G304))),"Fix: planned date isn't a date","Fix: paid is more than the amount")))))),IF(AND(C304&lt;&gt;"",ISNUMBER(MATCH(C304,OutCats,0))),"OK","Category not on Settings (counted as Other)")))</f>
        <v/>
      </c>
      <c r="O304">
        <f>IF(COUNTA(A304:H304)=0,"",IF(AND(ISNUMBER(E304),E304&gt;0,OR(ISNUMBER(D304),ISNUMBER(G304)),OR(D304="",ISNUMBER(D304)),OR(F304="",ISNUMBER(F304)),OR(G304="",ISNUMBER(G304))),IF(N(F304)&gt;E304,0,1),0))</f>
        <v/>
      </c>
    </row>
    <row r="305">
      <c r="A305" s="29" t="n"/>
      <c r="B305" s="29" t="n"/>
      <c r="C305" s="29" t="n"/>
      <c r="D305" s="24" t="n"/>
      <c r="E305" s="34" t="n"/>
      <c r="F305" s="34" t="n"/>
      <c r="G305" s="24" t="n"/>
      <c r="H305" s="29" t="n"/>
      <c r="I305" s="32">
        <f>IF(O305&lt;&gt;1,"",IF(ISNUMBER(G305),INT(G305),INT(D305)))</f>
        <v/>
      </c>
      <c r="J305" s="21">
        <f>IF(O305&lt;&gt;1,0,E305-N(F305))</f>
        <v/>
      </c>
      <c r="K305" s="35">
        <f>IF(OR(O305&lt;&gt;1,J305&lt;=0),"",IF(H305="Yes","",IF(I305&lt;W1,IF(OverdueW1="No","",1),IF(I305&lt;=W1+90,INT((I305-W1)/7)+1,""))))</f>
        <v/>
      </c>
      <c r="L305" s="36">
        <f>IF(ISNUMBER(K305),J305,0)</f>
        <v/>
      </c>
      <c r="M305" s="10">
        <f>IF(O305="","",IF(O305=0,"Not counted",IF(J305&lt;=0,"Paid",IF(H305="Yes","On hold (left out)",IF(I305&lt;W1,IF(OverdueW1="No","Overdue (left out)","Overdue → Week 1"),IF(I305&lt;=W1+90,"Week "&amp;K305,"After Week 13"))))))</f>
        <v/>
      </c>
      <c r="N305" s="10">
        <f>IF(O305="","",IF(O305=0,IF(NOT(ISNUMBER(E305)),"Fix: amount missing",IF(E305&lt;=0,"Fix: amount must be above 0",IF(AND(NOT(ISNUMBER(D305)),NOT(ISNUMBER(G305))),"Fix: add a due date or a planned pay date",IF(AND(D305&lt;&gt;"",NOT(ISNUMBER(D305))),"Fix: due date isn't a date",IF(AND(F305&lt;&gt;"",NOT(ISNUMBER(F305))),"Fix: paid must be a number",IF(AND(G305&lt;&gt;"",NOT(ISNUMBER(G305))),"Fix: planned date isn't a date","Fix: paid is more than the amount")))))),IF(AND(C305&lt;&gt;"",ISNUMBER(MATCH(C305,OutCats,0))),"OK","Category not on Settings (counted as Other)")))</f>
        <v/>
      </c>
      <c r="O305">
        <f>IF(COUNTA(A305:H305)=0,"",IF(AND(ISNUMBER(E305),E305&gt;0,OR(ISNUMBER(D305),ISNUMBER(G305)),OR(D305="",ISNUMBER(D305)),OR(F305="",ISNUMBER(F305)),OR(G305="",ISNUMBER(G305))),IF(N(F305)&gt;E305,0,1),0))</f>
        <v/>
      </c>
    </row>
    <row r="306">
      <c r="A306" s="29" t="n"/>
      <c r="B306" s="29" t="n"/>
      <c r="C306" s="29" t="n"/>
      <c r="D306" s="24" t="n"/>
      <c r="E306" s="34" t="n"/>
      <c r="F306" s="34" t="n"/>
      <c r="G306" s="24" t="n"/>
      <c r="H306" s="29" t="n"/>
      <c r="I306" s="32">
        <f>IF(O306&lt;&gt;1,"",IF(ISNUMBER(G306),INT(G306),INT(D306)))</f>
        <v/>
      </c>
      <c r="J306" s="21">
        <f>IF(O306&lt;&gt;1,0,E306-N(F306))</f>
        <v/>
      </c>
      <c r="K306" s="35">
        <f>IF(OR(O306&lt;&gt;1,J306&lt;=0),"",IF(H306="Yes","",IF(I306&lt;W1,IF(OverdueW1="No","",1),IF(I306&lt;=W1+90,INT((I306-W1)/7)+1,""))))</f>
        <v/>
      </c>
      <c r="L306" s="36">
        <f>IF(ISNUMBER(K306),J306,0)</f>
        <v/>
      </c>
      <c r="M306" s="10">
        <f>IF(O306="","",IF(O306=0,"Not counted",IF(J306&lt;=0,"Paid",IF(H306="Yes","On hold (left out)",IF(I306&lt;W1,IF(OverdueW1="No","Overdue (left out)","Overdue → Week 1"),IF(I306&lt;=W1+90,"Week "&amp;K306,"After Week 13"))))))</f>
        <v/>
      </c>
      <c r="N306" s="10">
        <f>IF(O306="","",IF(O306=0,IF(NOT(ISNUMBER(E306)),"Fix: amount missing",IF(E306&lt;=0,"Fix: amount must be above 0",IF(AND(NOT(ISNUMBER(D306)),NOT(ISNUMBER(G306))),"Fix: add a due date or a planned pay date",IF(AND(D306&lt;&gt;"",NOT(ISNUMBER(D306))),"Fix: due date isn't a date",IF(AND(F306&lt;&gt;"",NOT(ISNUMBER(F306))),"Fix: paid must be a number",IF(AND(G306&lt;&gt;"",NOT(ISNUMBER(G306))),"Fix: planned date isn't a date","Fix: paid is more than the amount")))))),IF(AND(C306&lt;&gt;"",ISNUMBER(MATCH(C306,OutCats,0))),"OK","Category not on Settings (counted as Other)")))</f>
        <v/>
      </c>
      <c r="O306">
        <f>IF(COUNTA(A306:H306)=0,"",IF(AND(ISNUMBER(E306),E306&gt;0,OR(ISNUMBER(D306),ISNUMBER(G306)),OR(D306="",ISNUMBER(D306)),OR(F306="",ISNUMBER(F306)),OR(G306="",ISNUMBER(G306))),IF(N(F306)&gt;E306,0,1),0))</f>
        <v/>
      </c>
    </row>
  </sheetData>
  <sheetProtection selectLockedCells="0" selectUnlockedCells="0" sheet="1" objects="0" insertRows="1" insertHyperlinks="1" autoFilter="1" scenarios="0" formatColumns="0" deleteColumns="1" insertColumns="1" pivotTables="1" deleteRows="1" formatCells="1" formatRows="0" sort="1"/>
  <conditionalFormatting sqref="M7:N306">
    <cfRule type="expression" priority="1" dxfId="2">
      <formula>$O7=0</formula>
    </cfRule>
  </conditionalFormatting>
  <conditionalFormatting sqref="M7:M306">
    <cfRule type="expression" priority="2" dxfId="3">
      <formula>LEFT($M7,7)="Overdue"</formula>
    </cfRule>
  </conditionalFormatting>
  <conditionalFormatting sqref="N7:N306">
    <cfRule type="expression" priority="3" dxfId="3">
      <formula>LEFT($N7,8)="Category"</formula>
    </cfRule>
  </conditionalFormatting>
  <dataValidations count="4">
    <dataValidation sqref="C7:C306" showDropDown="0" showInputMessage="0" showErrorMessage="1" allowBlank="1" error="Not on the Settings list; it will count as Other / unlisted." type="list" errorStyle="warning">
      <formula1>OutCats</formula1>
    </dataValidation>
    <dataValidation sqref="H7:H306" showDropDown="0" showInputMessage="0" showErrorMessage="0" allowBlank="1" type="list">
      <formula1>"Yes,No"</formula1>
    </dataValidation>
    <dataValidation sqref="D7:D306 G7:G306" showDropDown="0" showInputMessage="0" showErrorMessage="1" allowBlank="1" error="Type a date" type="date" operator="between">
      <formula1>36526</formula1>
      <formula2>73050</formula2>
    </dataValidation>
    <dataValidation sqref="E7:F306" showDropDown="0" showInputMessage="0" showErrorMessage="1" allowBlank="1" error="A number, 0 or more" type="decimal" operator="greaterThanOrEqual">
      <formula1>0</formula1>
    </dataValidation>
  </dataValidations>
  <printOptions horizontalCentered="1"/>
  <pageMargins left="0.4" right="0.4"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2026-10-19T06:16:34Z</dcterms:created>
  <dcterms:modified xmlns:dcterms="http://purl.org/dc/terms/" xmlns:xsi="http://www.w3.org/2001/XMLSchema-instance" xsi:type="dcterms:W3CDTF">2026-10-19T06:16:34Z</dcterms:modified>
</cp:coreProperties>
</file>